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Storage Locations" sheetId="2" r:id="rId5"/>
    <sheet state="visible" name="Sub-Divisions" sheetId="3" r:id="rId6"/>
    <sheet state="visible" name="Rooms and Typ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Format:
Storage Location Name +
Storage Type + || +
Sub-Division Type +
ID Number (IF "Count == Yes") +
Label (If not empty)</t>
      </text>
    </comment>
  </commentList>
</comments>
</file>

<file path=xl/sharedStrings.xml><?xml version="1.0" encoding="utf-8"?>
<sst xmlns="http://schemas.openxmlformats.org/spreadsheetml/2006/main" count="3101" uniqueCount="1004">
  <si>
    <t>ROBOTICS LABORATORY INVENTORY SYSTEM (RLIS)</t>
  </si>
  <si>
    <t>SORT DATA</t>
  </si>
  <si>
    <t>Descending</t>
  </si>
  <si>
    <t>Item ID</t>
  </si>
  <si>
    <t>Item Name</t>
  </si>
  <si>
    <t>Description</t>
  </si>
  <si>
    <t>Quantity</t>
  </si>
  <si>
    <t>Date Modified</t>
  </si>
  <si>
    <t>Location ID</t>
  </si>
  <si>
    <t>Sub-Division Name</t>
  </si>
  <si>
    <t>Location Description</t>
  </si>
  <si>
    <t>Room</t>
  </si>
  <si>
    <t>RDaC Returned Kits</t>
  </si>
  <si>
    <t>Untested RDaC returned kits (Robotics Students and Kit )</t>
  </si>
  <si>
    <t>/410/205-01</t>
  </si>
  <si>
    <t>LED strip attachment bracket</t>
  </si>
  <si>
    <t>ASA 3D printed brackets designed to attach a strip of LED to the inside of one of the wall modules of the robotics arena. In a blue tray.</t>
  </si>
  <si>
    <t>~25</t>
  </si>
  <si>
    <t>/410/204-02</t>
  </si>
  <si>
    <t>Spare transparent obstacle assembly parts</t>
  </si>
  <si>
    <t>Spare transparent acrylic laser-cut parts from the first robotics arena obstacle prototype.</t>
  </si>
  <si>
    <t>Maze Configuration Documents</t>
  </si>
  <si>
    <t>Laminated A4 paper sheets with different possible maze configurations for the robotics arena</t>
  </si>
  <si>
    <t>Spare Small Cut Ferroflex Sheets</t>
  </si>
  <si>
    <t>Spare ferroflex sheets, cut to shape to be attached to the sides of a robotics arena obstacle</t>
  </si>
  <si>
    <t>Johnny 5 Action Figure</t>
  </si>
  <si>
    <t>Custom action figure made with spare robotics arena 3D printed brackets and fasteners</t>
  </si>
  <si>
    <t>Spare white obstacle assembly parts</t>
  </si>
  <si>
    <t>Spare white acrylic laser-cut parts to assemble robotics arena obstacles</t>
  </si>
  <si>
    <t>Frosted Acrylic Cover</t>
  </si>
  <si>
    <t>Polar white frosted acrylic laser-cut sheet with University of York logo. Prototype to be used as cover for the wall modules of the robotics arena.</t>
  </si>
  <si>
    <t>Transparent Acrylic Cover</t>
  </si>
  <si>
    <t>See-through frosted acrylic laser-cut sheet prototype to be used as cover for the wall modules of the robotics arena.</t>
  </si>
  <si>
    <t>Arena Tags</t>
  </si>
  <si>
    <t>Spare Magnetic Arena Tags</t>
  </si>
  <si>
    <t>White YORA Magnetic Obstacle Prototype</t>
  </si>
  <si>
    <t>Thick obstacle prototype for robotics arena made with white acrylic and neodymium magnets, wrapped in Ferroflex</t>
  </si>
  <si>
    <t>Transparent YORA Obstacle prototype</t>
  </si>
  <si>
    <t>Thin obstacle prototype for robotics arena made with transparent acrylic and neodymium magnets</t>
  </si>
  <si>
    <t>Foam board kit covers</t>
  </si>
  <si>
    <t>Dark gray foam board covers for RPRK and RDaC kits</t>
  </si>
  <si>
    <t>/410/204-01</t>
  </si>
  <si>
    <t>Misc fasteners and servo pieces</t>
  </si>
  <si>
    <t>Red box with miscelaneous screw. nuts and servo parts</t>
  </si>
  <si>
    <t>Webcam setup guide</t>
  </si>
  <si>
    <t>Logitec Webcam C930e Setup guide</t>
  </si>
  <si>
    <t>Webcam mounts</t>
  </si>
  <si>
    <t>Black Plastic webcam mount 9in a transparent plastic bag) - SZ15 400-05172</t>
  </si>
  <si>
    <t>Webcams</t>
  </si>
  <si>
    <t>Logitech C930e Ultra Wide Angle Webcam</t>
  </si>
  <si>
    <t>Pi Camera Cables</t>
  </si>
  <si>
    <t>Box with Raspberry Pi Camera Cable 50cm</t>
  </si>
  <si>
    <t>~35</t>
  </si>
  <si>
    <t>/410/002-05</t>
  </si>
  <si>
    <t>Short Mini USB</t>
  </si>
  <si>
    <t>Box with short USB 2.0 Type A to mini A cables, 90º USB mini A female to male extenders</t>
  </si>
  <si>
    <t>10 cables, 9 extenders</t>
  </si>
  <si>
    <t>M-F Jumpers</t>
  </si>
  <si>
    <t>Male to female jumper cables</t>
  </si>
  <si>
    <t>&gt;100</t>
  </si>
  <si>
    <t>Unsorted Jumpers</t>
  </si>
  <si>
    <t>Unsorted misc jumper cables</t>
  </si>
  <si>
    <t>M-M Jumpers</t>
  </si>
  <si>
    <t>Male to male jumper cables</t>
  </si>
  <si>
    <t>&gt;300</t>
  </si>
  <si>
    <t>F-F Jumpers</t>
  </si>
  <si>
    <t>Female to female jumper cables</t>
  </si>
  <si>
    <t>LEDs and Displays</t>
  </si>
  <si>
    <t>Green, Red and Yellow LEDS, 7-segment displays</t>
  </si>
  <si>
    <t>~150</t>
  </si>
  <si>
    <t>/410/002-04</t>
  </si>
  <si>
    <t>Misc Connectors</t>
  </si>
  <si>
    <t>Misc connectors: terminal blocks, JST connectors, WAGO connectors, interlocking, RCPT-RCPT</t>
  </si>
  <si>
    <t>~20</t>
  </si>
  <si>
    <t>Misc Infrared</t>
  </si>
  <si>
    <t>Miscellaneous infrared sensors</t>
  </si>
  <si>
    <t>~30</t>
  </si>
  <si>
    <t>Misc Ultrasonic</t>
  </si>
  <si>
    <t>Miscellaneous ultrasonic sensors, range finders, emitters &amp; receivers</t>
  </si>
  <si>
    <t>HC-SR04+ Ultrasonics</t>
  </si>
  <si>
    <t>Box with HC-SR04+ ultrasonic sensors for Arduino</t>
  </si>
  <si>
    <t>Battery Connectors</t>
  </si>
  <si>
    <t>BH-9VP 1 x PP3 PCB Battery Holder</t>
  </si>
  <si>
    <t>Headers</t>
  </si>
  <si>
    <t>Pin headers of sifferent shapes, sizes, lengths and types</t>
  </si>
  <si>
    <t>&gt;200</t>
  </si>
  <si>
    <t>Wheels</t>
  </si>
  <si>
    <t>Box with thick moonbuggy RPRK kit wheels, thin black polulu 60x8mm wheels, thin black pololu 70x8mm wheels, Thin black pololu90x10mm wheels, thin black pololu 32x7mm wheels</t>
  </si>
  <si>
    <t>4 rprk, 22 pol. 60x8, 6 pol. 90x10, 4 pol. 70x8, 6 pol. 32x7</t>
  </si>
  <si>
    <t>/410/002-03</t>
  </si>
  <si>
    <t>Small Actuators</t>
  </si>
  <si>
    <t>Box with assorted actuators: TowerPro Micro Servo Motor 9g SG90, GS-1502R linear servos, VPM2 Vibrating Disk Motors, servomotors</t>
  </si>
  <si>
    <t>8 micro, 8 linear, 21 vibromotor</t>
  </si>
  <si>
    <t>Assorted Untested Servos</t>
  </si>
  <si>
    <t>Box with FS5115M high-torque analog servomotors (untested)</t>
  </si>
  <si>
    <t>~100</t>
  </si>
  <si>
    <t>Rubbery Things</t>
  </si>
  <si>
    <t>5 Size Rubber Band Packs, Black Flat Round Rubber Feet 10.5x10.0x5.0</t>
  </si>
  <si>
    <t>3 packs, 2 feet</t>
  </si>
  <si>
    <t>Continuous Servos</t>
  </si>
  <si>
    <t>PARALLAX &amp; TowerPro MG996R 360º continuous servomotors</t>
  </si>
  <si>
    <t>Micro Metal gearmotors</t>
  </si>
  <si>
    <t>Box full of untested micrometal gear motors for both RDaC &amp; PRAR</t>
  </si>
  <si>
    <t>Buttons and Knobs</t>
  </si>
  <si>
    <t>Large potentiometers and buttons</t>
  </si>
  <si>
    <t>DRAPER Spring Assortment Box</t>
  </si>
  <si>
    <t>Spring assortment box from DRAPER with 200 pieces aprox</t>
  </si>
  <si>
    <t>Dremel bits</t>
  </si>
  <si>
    <t>Small blue tray with dremel bits and attachments</t>
  </si>
  <si>
    <t>5 bits</t>
  </si>
  <si>
    <t>/410/002-01</t>
  </si>
  <si>
    <t>Misc</t>
  </si>
  <si>
    <t>HW095 H-Bridge Motor drivers, Circular and square membrane force sensors, small aluminum heat sinks, Pimoroni temperature sensors, angle brackets, 10cm ball bearings, 3cm ball bearings</t>
  </si>
  <si>
    <t>2 drivers, 5 circular force, ~20 square force, 45 heat sinks, ~30 temp, 2 brackets, 2 10cm bear., 3 3cm bear.</t>
  </si>
  <si>
    <t>RPRK Screwdrivers</t>
  </si>
  <si>
    <t>Box with Red Hilka screwdrivers for RPRK kit</t>
  </si>
  <si>
    <t>Velcro strip</t>
  </si>
  <si>
    <t xml:space="preserve">Black BBB3 10m x 20mm roll of velcro </t>
  </si>
  <si>
    <t>Antistatic Packaging</t>
  </si>
  <si>
    <t>Box with an assortment of airtight antistatic plastic bags of different sizes</t>
  </si>
  <si>
    <t>~300</t>
  </si>
  <si>
    <t>Packaging</t>
  </si>
  <si>
    <t>Box with an assortment of airtight plastic bags of different sizes</t>
  </si>
  <si>
    <t>Aluminium Angle Brackets &amp; Flat Brackets (unlabelled)</t>
  </si>
  <si>
    <t>Small blue tray with aluminium brackets + Plastic PVC pipe</t>
  </si>
  <si>
    <t>/410/001-04</t>
  </si>
  <si>
    <t>Lidar Sensors Box (unlabelled)</t>
  </si>
  <si>
    <t>Box with OKDo LiDar Pi hats + EAI YDLiDAR Sensors</t>
  </si>
  <si>
    <t>Varied pan head bolts with cross slot (unlabelled)</t>
  </si>
  <si>
    <t>Pan-head cross-slot screws and bolts of different sizes</t>
  </si>
  <si>
    <t>&gt;10000</t>
  </si>
  <si>
    <t>Thick Moonbuggy wheels</t>
  </si>
  <si>
    <t>Thick wheels for mobile robot (Box)</t>
  </si>
  <si>
    <t>/410/001-03</t>
  </si>
  <si>
    <t>Brass Rods (Mechanical Components)</t>
  </si>
  <si>
    <t>Box labelled "Mechanical components" containing brass rods</t>
  </si>
  <si>
    <t>~120</t>
  </si>
  <si>
    <t>MBED Breadboards</t>
  </si>
  <si>
    <t>Box with MBED-005.1 microcontroller boards and breadboards</t>
  </si>
  <si>
    <t>/410/001-02</t>
  </si>
  <si>
    <t>Arduino Esplora (Arduino)</t>
  </si>
  <si>
    <t>Box with Arduino Esplora Development Boards</t>
  </si>
  <si>
    <t>Anker Power Supplies (unlabelled)</t>
  </si>
  <si>
    <t>Anker power supplies for MSc summer group projects + USB C Decoy Charge Trigger Boards</t>
  </si>
  <si>
    <t>5 powerbanks, 4 boards</t>
  </si>
  <si>
    <t>/410/001-01</t>
  </si>
  <si>
    <t>Micro USB + Ethernet</t>
  </si>
  <si>
    <t>Male micro USB to Male USB 2 type A cables of different lengths + 2M blue ethernel cable</t>
  </si>
  <si>
    <t>21 microUSB, 1 ethernet</t>
  </si>
  <si>
    <t>Male to Female Type A USB Cables + Velcros (unlabelled)</t>
  </si>
  <si>
    <t>A box of 3m USB 2 Type A Male to Female USB cables + small square velcros</t>
  </si>
  <si>
    <t>5 cables, 4 velcros</t>
  </si>
  <si>
    <t>Arduino Nano 33 BLE</t>
  </si>
  <si>
    <t>/412/108-04</t>
  </si>
  <si>
    <t>Gearboxes</t>
  </si>
  <si>
    <t>Small gearboxes for motors</t>
  </si>
  <si>
    <t>/412/109-02</t>
  </si>
  <si>
    <t>Heatsinks and Heatsink clips</t>
  </si>
  <si>
    <t>Bag full of small heatsinks &amp; heatsink clips</t>
  </si>
  <si>
    <t>/412/109-01</t>
  </si>
  <si>
    <t>Small micro USB cables</t>
  </si>
  <si>
    <t>Small red micro USB to USB Type A cables</t>
  </si>
  <si>
    <t>/412/108-01</t>
  </si>
  <si>
    <t>PSU banana connectors</t>
  </si>
  <si>
    <t>Banan connectors with crocodile clips for DC Power supply units</t>
  </si>
  <si>
    <t>/410/006-03</t>
  </si>
  <si>
    <t>Mini USB Cables</t>
  </si>
  <si>
    <t>Box with long USB 2.0 Type A to mini A cables</t>
  </si>
  <si>
    <t>~50</t>
  </si>
  <si>
    <t>Raspberry Pi Peripherals</t>
  </si>
  <si>
    <t>Box with male to male HDMI cables, male to female micro HDMI to HDMI adaptors, DC USB C Power Supplies, male to female HDMI cables, male to male micro HDMI to HDMI cable, Wired PC Mouse</t>
  </si>
  <si>
    <t>19 HDMI, 3 MtM micro HDMI, 24 adaptors, 1 FtM HDMI, 6 DC Power Supplies, 4 mice</t>
  </si>
  <si>
    <t>/410/002-02</t>
  </si>
  <si>
    <t>Wired PC Mice</t>
  </si>
  <si>
    <t>Viglen, Dell &amp; Microsoft brand wired computer mouse</t>
  </si>
  <si>
    <t>PRAR 2023 Spare Grippers</t>
  </si>
  <si>
    <t>Spare grippers from the PRAR 2023 spring project</t>
  </si>
  <si>
    <t>/410/303-01</t>
  </si>
  <si>
    <t>WiFi Serial Development Board</t>
  </si>
  <si>
    <t>ESP32 Boards</t>
  </si>
  <si>
    <t>~10</t>
  </si>
  <si>
    <t>LCD Screens</t>
  </si>
  <si>
    <t>LCD screen of different models, shapes and sizes</t>
  </si>
  <si>
    <t>~5</t>
  </si>
  <si>
    <t>WiFi Serial Transceiver Module</t>
  </si>
  <si>
    <t>ESP8266 - 1MB Flash small boards</t>
  </si>
  <si>
    <t>ESP8266MOD Wifi Board</t>
  </si>
  <si>
    <t xml:space="preserve">ESP8266MOD Pinout Board with Antenna </t>
  </si>
  <si>
    <t>Untested ARB Board</t>
  </si>
  <si>
    <t>Untested Arduino Robotics Boards (ARB)</t>
  </si>
  <si>
    <t>Good ARB Board</t>
  </si>
  <si>
    <t>Tested &amp; working Arduino Robotics Boards (ARB)</t>
  </si>
  <si>
    <t>Arduino Nano</t>
  </si>
  <si>
    <t xml:space="preserve">Arduino Nano Board </t>
  </si>
  <si>
    <t>RPRK Rasbian Fresh SDs</t>
  </si>
  <si>
    <t>Unused San Disk High Endurance 32GB micro SD Cards with Rasbian</t>
  </si>
  <si>
    <t>/412/108-03</t>
  </si>
  <si>
    <t>RPRK Rasbian Used / Blank SDs</t>
  </si>
  <si>
    <t>Used 32 GB micro SD cards with raspian &amp; blank 32 GB SD cards</t>
  </si>
  <si>
    <t>Used 16 GB microSDs</t>
  </si>
  <si>
    <t>Integral Micro SD HC V10 I A1 16GB (used)</t>
  </si>
  <si>
    <t>46 (in 2 boxes)</t>
  </si>
  <si>
    <t>Used 32 GB microSDs</t>
  </si>
  <si>
    <t>Integral Micro SD HC V30 I A1 32GB (used)</t>
  </si>
  <si>
    <t>5 (in 1 box)</t>
  </si>
  <si>
    <t>Empty SD card cases</t>
  </si>
  <si>
    <t>Empty cases to hold micro SD cards</t>
  </si>
  <si>
    <t>Empty SD Cards</t>
  </si>
  <si>
    <t>Empty San Disk High Endurance 32GB micro SD Cards in plastic cases</t>
  </si>
  <si>
    <t>Raspberry Pi Camera 2</t>
  </si>
  <si>
    <t>Raspberry Pi Camera Module 2</t>
  </si>
  <si>
    <t>Raspberry Pi Camera Wide</t>
  </si>
  <si>
    <t>Raspberry Pi Camera Module 3 Wide</t>
  </si>
  <si>
    <t>Raspberry Pi Camera 3</t>
  </si>
  <si>
    <t>Raspberry Pi Camera Module 3</t>
  </si>
  <si>
    <t>Raspberry Pi Hat</t>
  </si>
  <si>
    <t>RasPiO Pro Hat</t>
  </si>
  <si>
    <t>Raspberry Pi Power Supply</t>
  </si>
  <si>
    <t>Raspberry Pi Official USB-C Power Supply</t>
  </si>
  <si>
    <t>Raspberry Pi</t>
  </si>
  <si>
    <t>Raspberry Pi 4 Model B</t>
  </si>
  <si>
    <t>High Torque Servomotor</t>
  </si>
  <si>
    <t>FITEC FS5115M Servomotor</t>
  </si>
  <si>
    <t>/412/108-02</t>
  </si>
  <si>
    <t>Small Micro Servomotor</t>
  </si>
  <si>
    <t>Tower MG90S Tower Pro Micro Servo</t>
  </si>
  <si>
    <t>Ball bearings</t>
  </si>
  <si>
    <t>Bag full of smaller bags of ball bearings</t>
  </si>
  <si>
    <t>Jumper Cables for Motors (untested)</t>
  </si>
  <si>
    <t>6-way 2mm to 2.54mm F-F cables for motors (untested)</t>
  </si>
  <si>
    <t>Cable for IR sensor (untested)</t>
  </si>
  <si>
    <t>JST-SH cable for infrared sensor (untested, in zipbags)</t>
  </si>
  <si>
    <t>~40</t>
  </si>
  <si>
    <t>USB-C cables</t>
  </si>
  <si>
    <t>USB Type A to USB type C cables</t>
  </si>
  <si>
    <t>Jumper Cables for Ultrasonics (untested)</t>
  </si>
  <si>
    <t>4-way 2.54mm F-F cables for ultrasonic sensors (untested, in zipbags)</t>
  </si>
  <si>
    <t>Motor drivers</t>
  </si>
  <si>
    <t>TB6612FNG Dual Motor Driver</t>
  </si>
  <si>
    <t>Moonbuggy wheel pairs</t>
  </si>
  <si>
    <t>2x Narrow 'Moon Buggy' wheels</t>
  </si>
  <si>
    <t>Cable for IR sensor (tested)</t>
  </si>
  <si>
    <t>JST-SH cable for infrared sensor (tested)</t>
  </si>
  <si>
    <t>Jumper Cables for Ultrasonics (tested)</t>
  </si>
  <si>
    <t>4-way 2.54mm F-F cables for ultrasonic sensors (tested)</t>
  </si>
  <si>
    <t>PRAR High Gear Ratio Motors</t>
  </si>
  <si>
    <t>298:1 gear ratio COM0818 micro metal gearmotors (in a box)</t>
  </si>
  <si>
    <t>RDaC Low Gear Ratio Motors</t>
  </si>
  <si>
    <t>110:1 gear ratio COM0818 micro metal gearmotors (in a box)</t>
  </si>
  <si>
    <t>Jumper Cables for Motors (tested)</t>
  </si>
  <si>
    <t>6-way 2mm to 2.54mm F-F cables for motors (tested)</t>
  </si>
  <si>
    <t>~500</t>
  </si>
  <si>
    <t>Box of spare &amp; Misplaced Items</t>
  </si>
  <si>
    <t>Spare &amp; Misplaced Items from tidying up P/T/410</t>
  </si>
  <si>
    <t>Misc manufactured objects</t>
  </si>
  <si>
    <t>Assortment of fabricated parts using different techniques, for showcase</t>
  </si>
  <si>
    <t>/410/304-01</t>
  </si>
  <si>
    <t>Objects for gripping</t>
  </si>
  <si>
    <t>Box with assorted 3D printed objects and wooden objects to be manipulated by the robot arms</t>
  </si>
  <si>
    <t>/410/303-02</t>
  </si>
  <si>
    <t>Bench contents</t>
  </si>
  <si>
    <t>P/T/410 Bench Inventory</t>
  </si>
  <si>
    <t>/410/302-17</t>
  </si>
  <si>
    <t>Mains wall outlet faceplates</t>
  </si>
  <si>
    <t>White mains wall outlet faceplate with two outlets</t>
  </si>
  <si>
    <t>/410/301-01</t>
  </si>
  <si>
    <t>Assortment of capacitors</t>
  </si>
  <si>
    <t>10pF to 1000uF capacitors</t>
  </si>
  <si>
    <t>&gt;1000</t>
  </si>
  <si>
    <t>/410/211-01</t>
  </si>
  <si>
    <t>Assortment of M2 to M5 nuts, bolts &amp; washers</t>
  </si>
  <si>
    <t>6.5mm &amp; 9.5mm self-tapper screw for servo horns, M2.5 Standoffs, M2, M2.5, M3, M4 &amp; M5 6mm, 8mm, 10mm, 12mm, 16mm, 20mm, 30mm &amp; 40mm cross head screws, flat washers, full hex nuts, nyloc nuts</t>
  </si>
  <si>
    <t>/410/210-01</t>
  </si>
  <si>
    <t>Blue roll</t>
  </si>
  <si>
    <t>Blue paper roll</t>
  </si>
  <si>
    <t>/410/209-02</t>
  </si>
  <si>
    <t>Extension cables</t>
  </si>
  <si>
    <t>Large, medium and small extension cables of different lengths with a variety of outlet numbers</t>
  </si>
  <si>
    <t>/410/209-01</t>
  </si>
  <si>
    <t>Large PVC pipe</t>
  </si>
  <si>
    <t>3M tall gray PVC pipe</t>
  </si>
  <si>
    <t>/410/208-02</t>
  </si>
  <si>
    <t>Roll of ferroflex</t>
  </si>
  <si>
    <t>White ferroflex ferrouse plastic spare roll for robot arena obstacle manufacturing</t>
  </si>
  <si>
    <t>Roll of black textured vinyl</t>
  </si>
  <si>
    <t>Black textured vinyl spare roll for robot arena construction</t>
  </si>
  <si>
    <t>Spare RPRK kits</t>
  </si>
  <si>
    <t>Complete and tested RPRK kits for PRAR</t>
  </si>
  <si>
    <t>/410/207-31</t>
  </si>
  <si>
    <t>Spare RDaC kits</t>
  </si>
  <si>
    <t>Complete and tested RDaC kits</t>
  </si>
  <si>
    <t>Really Useful Box Plastic Box</t>
  </si>
  <si>
    <t>Empty "Really useful box" plastic box</t>
  </si>
  <si>
    <t>Robotics Kit Spares</t>
  </si>
  <si>
    <t xml:space="preserve">Box with red 3D printed RPRK camera mounts, RPRK laser-cut bases, velcro straps, flat brackets, fastener packs, ultrasonic sensor mounts, castor wheel attachments </t>
  </si>
  <si>
    <t>/410/206-01</t>
  </si>
  <si>
    <t>Assorted untested motors + cables</t>
  </si>
  <si>
    <t>Box with 298:1 gesar ratio COM0801 micro metal gearmotors, thick moonbuggy wheels and jumper cables</t>
  </si>
  <si>
    <t>2 wheels, ~50 motors, ~50 jumpers</t>
  </si>
  <si>
    <t>Assorted RDaC kits</t>
  </si>
  <si>
    <t>Box with 110:1 gear ratio COM0818 micro metal gearmotors (2pack), fastener packs with assorted fasteners, nuts, screws and standoffs for RDaC kits.</t>
  </si>
  <si>
    <t>15 motor packs (30 motors), 14 fastener packs</t>
  </si>
  <si>
    <t>Assorted Untested Sensors + Motor Drivers</t>
  </si>
  <si>
    <t>Box with untested IR infrared sensors, ultrasonic sensors, motor drivers, Arduino nanos, IR cables &amp; jumper cables</t>
  </si>
  <si>
    <t xml:space="preserve">54 IR, 13 ultrasonic, 4 nano, 13 drivers </t>
  </si>
  <si>
    <t>EAFU Power Bank BE-E1</t>
  </si>
  <si>
    <t>Unopened EAFU BE-E1 Power Bank box</t>
  </si>
  <si>
    <t>Short USB Type C cables</t>
  </si>
  <si>
    <t>Short black USB Type C to USB Type A cables for RPRK and RDaC kits</t>
  </si>
  <si>
    <t>Short micro USB cables</t>
  </si>
  <si>
    <t>Short red micro USB to USB Type A cables for RPRK and RDaC kits</t>
  </si>
  <si>
    <t>RPRK kit batteries</t>
  </si>
  <si>
    <t>EAFU BE-E1 Power Bank for the RPRK and RDaC kits</t>
  </si>
  <si>
    <t>White Paper Bag</t>
  </si>
  <si>
    <t>Banner White Sulphite Bags 150x78x317</t>
  </si>
  <si>
    <t>A1 Paper Sheet</t>
  </si>
  <si>
    <t>A1 White Paper Sheet</t>
  </si>
  <si>
    <t>Square</t>
  </si>
  <si>
    <t>Small plastic square for technical drawing</t>
  </si>
  <si>
    <t>/410/203-03</t>
  </si>
  <si>
    <t>Dual bevel protractor</t>
  </si>
  <si>
    <t>1 meter analog bevel protractor goniometer with two ruler arms.</t>
  </si>
  <si>
    <t>Scissors</t>
  </si>
  <si>
    <t>Large yellow scissors</t>
  </si>
  <si>
    <t>Analog plastic calipers</t>
  </si>
  <si>
    <t>Anglia plastic analog calipers</t>
  </si>
  <si>
    <t>Glue sticks</t>
  </si>
  <si>
    <t>Small 10g pritt glue stick</t>
  </si>
  <si>
    <t>Utility knife</t>
  </si>
  <si>
    <t>Yellow stanley utility knife</t>
  </si>
  <si>
    <t>Small compasses</t>
  </si>
  <si>
    <t>An orange box full of metal compasses for technical drawing</t>
  </si>
  <si>
    <t>Stainless Steel Ruler</t>
  </si>
  <si>
    <t>60cm Stainless Steel Ruler</t>
  </si>
  <si>
    <t>Cutting Mat</t>
  </si>
  <si>
    <t>Rolson Cutting Mat 600x450x3mm 60809</t>
  </si>
  <si>
    <t>Green Marker</t>
  </si>
  <si>
    <t>Green whiteboard marker</t>
  </si>
  <si>
    <t>/410/203-02</t>
  </si>
  <si>
    <t>USB Type A to USB Type B cable</t>
  </si>
  <si>
    <t>Male to male USB type A to USB type B cable</t>
  </si>
  <si>
    <t>Mirror</t>
  </si>
  <si>
    <t>Small Red Mirror</t>
  </si>
  <si>
    <t>Scraper</t>
  </si>
  <si>
    <t>Zico ZI-4080 Orange Scraper</t>
  </si>
  <si>
    <t>Robox USB Flash Drive</t>
  </si>
  <si>
    <t>Robox USB Flash Drive for Automaker 3D printer software, in a cardboard sheet</t>
  </si>
  <si>
    <t>Duratool Tape Measure</t>
  </si>
  <si>
    <t>5M 19MM Duratool Tape Measure</t>
  </si>
  <si>
    <t>3D Printer carver knife</t>
  </si>
  <si>
    <t>Knifes to carve 3D printed material. Different types of knifes.</t>
  </si>
  <si>
    <t>Wax carver Tool set</t>
  </si>
  <si>
    <t>Set of tools to carve wax. RAVI wax carver 12 pcs set stainless steel</t>
  </si>
  <si>
    <t>Bluetooth 4.0 Nano USB adapter</t>
  </si>
  <si>
    <t>Tp-Link UB4A Bluetooth 4.0 Nano USB adapter</t>
  </si>
  <si>
    <t>Axis Lubricant</t>
  </si>
  <si>
    <t>ROBOX Axis Lubricant - High temperature syntetic oil</t>
  </si>
  <si>
    <t>Bed Cleaning Wipe</t>
  </si>
  <si>
    <t>ROBOX Bed Cleaning Wipe (Isopropyl Alcohol + De-Ionised water)</t>
  </si>
  <si>
    <t>~15</t>
  </si>
  <si>
    <t>Silica Gel</t>
  </si>
  <si>
    <t>Bag full of Silica Gel Powder Bags</t>
  </si>
  <si>
    <t>Digital Multimeter</t>
  </si>
  <si>
    <t>TENMA 72-7780 True RMS Digital Multimeter</t>
  </si>
  <si>
    <t>Mini Hacksaw</t>
  </si>
  <si>
    <t>CK 836A 150mm mini hacksaw</t>
  </si>
  <si>
    <t>/410/203-01</t>
  </si>
  <si>
    <t>RS232C Connector</t>
  </si>
  <si>
    <t>Gray RS232-C connector and cable</t>
  </si>
  <si>
    <t>Cooler Instructions of use</t>
  </si>
  <si>
    <t>STUART SRC4 SRC14 Recirculation Cooler Instructions of Use</t>
  </si>
  <si>
    <t>Fume extractor operators manual</t>
  </si>
  <si>
    <t>PUREX fume extractor digital series operation manual</t>
  </si>
  <si>
    <t>Captive Straps</t>
  </si>
  <si>
    <t>Aluminium captive straps for extraction tubes</t>
  </si>
  <si>
    <t>Oscilloscope probe</t>
  </si>
  <si>
    <t>Keysight N2140A and N2142A Passive probes</t>
  </si>
  <si>
    <t>Spare large screwdrivers</t>
  </si>
  <si>
    <t>Bag with spare large screw drivers from Duratool 22PC Screwdriver Set (Slotted &amp; Phillips)</t>
  </si>
  <si>
    <t>Precision Mill/Drill Machine</t>
  </si>
  <si>
    <t>PROXXON MICROMOT 60/EF Precision Mill/Drill Machine</t>
  </si>
  <si>
    <t>Screwdriver bits set</t>
  </si>
  <si>
    <t>Rolson 31 Piece Precision Screwdriver Set</t>
  </si>
  <si>
    <t>Duratool Needle File Set</t>
  </si>
  <si>
    <t>6 PC 140MM Needle File Set from Duratool</t>
  </si>
  <si>
    <t>Duratool 150mm Digital Caliper</t>
  </si>
  <si>
    <t>Duratool 150mm digital caliper with LCD display</t>
  </si>
  <si>
    <t>Duratool 22PC Screwdriver Set</t>
  </si>
  <si>
    <t>Set of Duratool Screwdrivers. It contains:
- Slotted Flat Screwdrivers: 9MM x 250MM, 8MM x 200MM, 3MM x 75MM, 6MM x 38MM STUBBY, 4MM x 100MM, 5MM x 100MM, 5MM x 150MM, 6MM x 150MM, 6MM x 100MM
- Star Torx Screwdrivers: T-30 STAR, T-10 STAR, T-15 STAR, T-20 STAR, T-25 STAR
- Cross-head Phillips Screwdrivers: 3MM x 75MM NO.0, 6MM x 38 MM NO.2 STUBBY, 5MM x 75MM NO.1, 6MM x 100MM NO.2, 8MM x 150MM NO.3
- Other: 4MM x 100MM Slotted with Screwholder, Scratch Awl, Tack Puller</t>
  </si>
  <si>
    <t>Spare cutters, pliers, knifes, spanners</t>
  </si>
  <si>
    <t>Box full of spare cutters and pliers, utility knifes and spanner sets</t>
  </si>
  <si>
    <t>Spare screwdrivers</t>
  </si>
  <si>
    <t>Box full of spare bench screw drivers of different types and sizes. Cross shape, torx, splay, flat, stub, large, medium, small</t>
  </si>
  <si>
    <t>/410/202-09</t>
  </si>
  <si>
    <t>Enamelled Copper Wire Spool</t>
  </si>
  <si>
    <t>19.61Kgr Enoflex 180 Hellenic Cables Enamelled Copper Wire Spool</t>
  </si>
  <si>
    <t>/410/201-01</t>
  </si>
  <si>
    <t>50 way Ribbon cable</t>
  </si>
  <si>
    <t>50 way 100 Feet Ribbon Cable Spool</t>
  </si>
  <si>
    <t>64 way Ribbon cable</t>
  </si>
  <si>
    <t>64 way 100 Feet Ribbon Cable Spool</t>
  </si>
  <si>
    <t>37 way Ribbon cable</t>
  </si>
  <si>
    <t>37 way 100 Feet Ribbon Cable Spool</t>
  </si>
  <si>
    <t>20 way Ribbon cable</t>
  </si>
  <si>
    <t>20 way 100 Feet Ribbon Cable Spool</t>
  </si>
  <si>
    <t>10 way Ribbon cable</t>
  </si>
  <si>
    <t>10 way 100 Feet Ribbon Cable Spool</t>
  </si>
  <si>
    <t>15 way Ribbon cable</t>
  </si>
  <si>
    <t>15 way 100 Feet Ribbon Cable Spool</t>
  </si>
  <si>
    <t>Assortment of resistors</t>
  </si>
  <si>
    <t>3.3Kohm to 1Mohm resistors</t>
  </si>
  <si>
    <t>/410/107-01</t>
  </si>
  <si>
    <t>10ohm to 3Kohm resistors</t>
  </si>
  <si>
    <t>/410/106-01</t>
  </si>
  <si>
    <t>/410/105-01</t>
  </si>
  <si>
    <t>Misc boxes</t>
  </si>
  <si>
    <t>Miscellaneous plastic &amp; aluminium project boxes</t>
  </si>
  <si>
    <t>/410/104-01</t>
  </si>
  <si>
    <t>PC Case</t>
  </si>
  <si>
    <t>Empty aluminium PC Case</t>
  </si>
  <si>
    <t>Tight Junction Box</t>
  </si>
  <si>
    <t>Cassetta Stagna DIM 300x220x120 Tight Junction Thermoplastic Box Enclosure OL20025</t>
  </si>
  <si>
    <t>Schmidtt array connector box with switches</t>
  </si>
  <si>
    <t xml:space="preserve">Schmidtt array connector box with 4 output connectors, 1 Dc, 1 GND and 4 switches </t>
  </si>
  <si>
    <t>Projector PC &amp; Controller</t>
  </si>
  <si>
    <t>Controller for lab projector &amp; PC connected to projector</t>
  </si>
  <si>
    <t>/410/103-01</t>
  </si>
  <si>
    <t>/410/102-01</t>
  </si>
  <si>
    <t>AC &amp; DC Power adaptors</t>
  </si>
  <si>
    <t>AC to AC &amp; AC to DC Power Adaptors, with barrel connectors (untested or PAT failed)</t>
  </si>
  <si>
    <t>/410/101-01</t>
  </si>
  <si>
    <t>RS Encapsulated power supply</t>
  </si>
  <si>
    <t>Old RS 591-118 Encapsulated Power Supply (210-250V AC to 5V 1A DC)</t>
  </si>
  <si>
    <t>/410/008-02</t>
  </si>
  <si>
    <t>Porous concrete bricks</t>
  </si>
  <si>
    <t>Large porous concrete bricks (painted black), with aruco tags</t>
  </si>
  <si>
    <t>Chargers &amp; AC Adaptors</t>
  </si>
  <si>
    <t>Untested or failed assortment of old DC chargers and AC adaptors</t>
  </si>
  <si>
    <t>~800 (6 boxes)</t>
  </si>
  <si>
    <t>/410/008-01</t>
  </si>
  <si>
    <t>Plywood Maze</t>
  </si>
  <si>
    <t>Lab-made plywood maze for robot localisation projects, painted white</t>
  </si>
  <si>
    <t>/410/007-01</t>
  </si>
  <si>
    <t>Room Divider</t>
  </si>
  <si>
    <t>Wheeled 7-panel room divider</t>
  </si>
  <si>
    <t>M BNC to dual crocodile clip connector cable</t>
  </si>
  <si>
    <t>Male BNC connector to dual crocodile clip connector coaxial cable</t>
  </si>
  <si>
    <t>/410/006-11</t>
  </si>
  <si>
    <t>M BNC to dual banana connector cable</t>
  </si>
  <si>
    <t>Male BNC connector to dual banana connector coaxial cable</t>
  </si>
  <si>
    <t>/410/006-10</t>
  </si>
  <si>
    <t>/410/006-09</t>
  </si>
  <si>
    <t>/410/006-08</t>
  </si>
  <si>
    <t>/410/006-07</t>
  </si>
  <si>
    <t>M-M Bulkhead BNC Connector cable</t>
  </si>
  <si>
    <t>Male to Male BNC connector coaxial BNC cable with plastic bulkhead protector</t>
  </si>
  <si>
    <t>/410/006-06</t>
  </si>
  <si>
    <t>M-M BNC Connector cable</t>
  </si>
  <si>
    <t>Male to Male BNC connector coaxial BNC cable</t>
  </si>
  <si>
    <t>/410/006-05</t>
  </si>
  <si>
    <t>/410/006-04</t>
  </si>
  <si>
    <t>/410/006-02</t>
  </si>
  <si>
    <t>F-M USB Type A Cable</t>
  </si>
  <si>
    <t>Female to male USB type A cable, USB extension cable</t>
  </si>
  <si>
    <t>/410/006-01</t>
  </si>
  <si>
    <t>PVC Walls</t>
  </si>
  <si>
    <t xml:space="preserve">Small white PVC arena/racecourse wall strips with black vertical tape strips </t>
  </si>
  <si>
    <t>/410/005-02</t>
  </si>
  <si>
    <t>Robot racecourse connectors (YRL box)</t>
  </si>
  <si>
    <t>Small wooden bowtie-shaped connectors to attach racecourse fragments to each other.</t>
  </si>
  <si>
    <t>Robot racecourse fragments (YRL box)</t>
  </si>
  <si>
    <t>Wooden rectangles containing fragments of a racecourse. With connecting slots so that they can be attached to each other like a puzzle.</t>
  </si>
  <si>
    <t>Lead solder wire spool</t>
  </si>
  <si>
    <t>22SWG lead &amp; rosin solder wire spool</t>
  </si>
  <si>
    <t>/410/005-01</t>
  </si>
  <si>
    <t>Black Single-core wire spool</t>
  </si>
  <si>
    <t>1mm insulated single core black wire spool for electronics</t>
  </si>
  <si>
    <t>Yellow Single-core wire spool</t>
  </si>
  <si>
    <t>1mm insulated single core yellow wire spool for electronics</t>
  </si>
  <si>
    <t>Red Single-core wire spool</t>
  </si>
  <si>
    <t>1mm insulated single core red wire spool for electronics</t>
  </si>
  <si>
    <t>Deionised water</t>
  </si>
  <si>
    <t xml:space="preserve">Deionised water bottle with dispenser for solder sponge </t>
  </si>
  <si>
    <t>Large Flip-Disk Dot Display</t>
  </si>
  <si>
    <t>Hanover M018C / BC / F / M023C 96×16 Flip Dot Destination Display (Large)</t>
  </si>
  <si>
    <t>/410/004-01</t>
  </si>
  <si>
    <t>/410/003-06</t>
  </si>
  <si>
    <t>Stratasys Black PLA</t>
  </si>
  <si>
    <t>Black PLA plastic 3D print material spool box</t>
  </si>
  <si>
    <t>Stratasys Natural Translucent PLA</t>
  </si>
  <si>
    <t>Natural Translucent PLA plastic 3D print material spool box</t>
  </si>
  <si>
    <t>Stratasys White PLA</t>
  </si>
  <si>
    <t>White PLA plastic 3D print material spool box</t>
  </si>
  <si>
    <t>Stratasys White ABS (Orange box)</t>
  </si>
  <si>
    <t>White ABS plastic 3D print material spool box (used) (cloggs head?)</t>
  </si>
  <si>
    <t>/410/003-05</t>
  </si>
  <si>
    <t>Stratasys Dark Gray ABS</t>
  </si>
  <si>
    <t>Dark Gray ABS plastic 3D print material spool box</t>
  </si>
  <si>
    <t>Stratasys Ivory ABS</t>
  </si>
  <si>
    <t>Ivory ABS plastic 3D print material spool box</t>
  </si>
  <si>
    <t>Stratasys Blue ASA</t>
  </si>
  <si>
    <t>Blue ASA plastic 3D print material spool box</t>
  </si>
  <si>
    <t>/410/003-04</t>
  </si>
  <si>
    <t>Stratasys Yellow ASA</t>
  </si>
  <si>
    <t>Yellow ASA plastic 3D print material spool box</t>
  </si>
  <si>
    <t>/410/003-03</t>
  </si>
  <si>
    <t>Stratasys Red ASA</t>
  </si>
  <si>
    <t>Red ASA plastic 3D print material spool box</t>
  </si>
  <si>
    <t>Stratasys F170/F120 Build Trays</t>
  </si>
  <si>
    <t>Build material 3D printer trays for Stratasys F170 printer</t>
  </si>
  <si>
    <t>32 (in 2 boxes of 16)</t>
  </si>
  <si>
    <t>/410/003-02</t>
  </si>
  <si>
    <t>Stratasys F123/F770 Series Extrusion Head</t>
  </si>
  <si>
    <t>Used (1000 Hrs) Clogged? material extrusion head for F170 3D printer</t>
  </si>
  <si>
    <t>QSR Support</t>
  </si>
  <si>
    <t>White QSR plastic solvable support material 3D print spool box</t>
  </si>
  <si>
    <t>Stratasys Black FDM TPU 92A</t>
  </si>
  <si>
    <t>Black TPU plastic elastomer flexible 3D print material spool box</t>
  </si>
  <si>
    <t>/410/003-01</t>
  </si>
  <si>
    <t>Stratasys Black FDM ABS-CF10</t>
  </si>
  <si>
    <t>Black carbon fiber ABS plastic 3D print material spool box</t>
  </si>
  <si>
    <t>Stratasys PLA with arena tags</t>
  </si>
  <si>
    <t>Full stratasys PLA boxes with tags for former MSc autumn project</t>
  </si>
  <si>
    <t>/410/002-06</t>
  </si>
  <si>
    <t>PSU Cables 4mm</t>
  </si>
  <si>
    <t>Box with male to male power supply unit banana plug cables 4mm</t>
  </si>
  <si>
    <t>Infrared Beacons</t>
  </si>
  <si>
    <t>Box with infrared beacon prototypes from a lab project</t>
  </si>
  <si>
    <t>Breadboards</t>
  </si>
  <si>
    <t>Box with breadboards / solderless protoboards</t>
  </si>
  <si>
    <t>Discrete components</t>
  </si>
  <si>
    <t>Miscellaneous electronics components for soldering and surface mounting, transistors, temperature sensors, photodiodes</t>
  </si>
  <si>
    <t>Raspberry Pi + MicroSD Cards</t>
  </si>
  <si>
    <t>Raspberry Pi 3 Model B+, Pi cases, MicroSD adaptors</t>
  </si>
  <si>
    <t>3 Pis, 3 cases, 5 adaptors</t>
  </si>
  <si>
    <t>USB Power Supplies</t>
  </si>
  <si>
    <t>Micro USB DC Power Supplies</t>
  </si>
  <si>
    <t>Motor accesories</t>
  </si>
  <si>
    <t>TB6612FNG Pololu Dual Motor Driver Carriers, micro metal gear motor brackets and casings</t>
  </si>
  <si>
    <t>8 drivers, 2 brackets, 1 casing</t>
  </si>
  <si>
    <t>Keyboards</t>
  </si>
  <si>
    <t>Microsoft brand PC Keyboards with number pad</t>
  </si>
  <si>
    <t>Tape</t>
  </si>
  <si>
    <t>Pro-gaff tape used for marking obstacles</t>
  </si>
  <si>
    <t>Python Programming for Raspberry Pi Second Edition</t>
  </si>
  <si>
    <t>Python programming book by Sams-Teach Yourself</t>
  </si>
  <si>
    <t>/410/001-06</t>
  </si>
  <si>
    <t>CYNQA Propeller Guard for TELLO</t>
  </si>
  <si>
    <t>Enclosed full-body propeller guard for TELLO drone</t>
  </si>
  <si>
    <t>/410/001-05</t>
  </si>
  <si>
    <t>Robomaster TT TELLO Talent Drone</t>
  </si>
  <si>
    <t>TELLO Drone used for MSc summer project</t>
  </si>
  <si>
    <t>GameSir T1d Bluetooth Controller</t>
  </si>
  <si>
    <t>Manual gaming-style controller for TELLO Drone with smartphone attachment</t>
  </si>
  <si>
    <t>Drone Batteries and Chargers</t>
  </si>
  <si>
    <t>TELLO Drone Batteries and micro USB DC chargers</t>
  </si>
  <si>
    <t>6 chargers, 6 battery sets of 3, 4 spare batteries</t>
  </si>
  <si>
    <t>Drone Spares</t>
  </si>
  <si>
    <t>Box with TELLO drone spare propellers, drone batteries &amp; propeller guards</t>
  </si>
  <si>
    <t>5 propeller sets, 9 batteries, 5 guard sets</t>
  </si>
  <si>
    <t>Nut &amp; Bolt organiser cabinet</t>
  </si>
  <si>
    <t>Organiser cabinet with M2, M2.5 and M3 screws, nuts and standoffs</t>
  </si>
  <si>
    <t>&gt;500</t>
  </si>
  <si>
    <t>Misc Velcro (unlabelled)</t>
  </si>
  <si>
    <t>Small gray tray containing an assortment of velcro strips of different sizes</t>
  </si>
  <si>
    <t>~7</t>
  </si>
  <si>
    <t>Misc USB Drives (unlabelled)</t>
  </si>
  <si>
    <t>Small red tray with USB flash drives, glue stick &amp; oscilloscope cable</t>
  </si>
  <si>
    <t>7 USB drives, 1 glue, 1 cable</t>
  </si>
  <si>
    <t>Servo extension cables (MUNRO)</t>
  </si>
  <si>
    <t>Small orange tray with 300mm servo extension cables</t>
  </si>
  <si>
    <t>Servo Harness Spares (unlabelled)</t>
  </si>
  <si>
    <t>Cardboard box containing spare surface-mounting electronic components to manufacture more servo harness boards</t>
  </si>
  <si>
    <t>Roll of velcro</t>
  </si>
  <si>
    <t>TSS Arduino Servo Harness</t>
  </si>
  <si>
    <t>Cardboard box containing another box with components to manufacture servo harnesses + faulty finished servo harness boards+ spare servo harness PCBs + robot arm cable &amp; connector for actuator</t>
  </si>
  <si>
    <t>1 box with components, 6 faulty boards, 5 PCB harness boards, 1 cable</t>
  </si>
  <si>
    <t>Misc Wheels</t>
  </si>
  <si>
    <t>Box with thick moonbuggy RPRK kit wheels, thin black polulu 60x8mm wheels, thick blue RC car wheels and small mecanum wheels</t>
  </si>
  <si>
    <t>4 RPRK, 4 mecanum, 2 RC, 24 polulu</t>
  </si>
  <si>
    <t>Misc Wheels (Mecanum)</t>
  </si>
  <si>
    <t>Box with large black mecanum wheels, motor shaft attachments for the wheels &amp; metal angle brackets</t>
  </si>
  <si>
    <t>Misc Robotics Components</t>
  </si>
  <si>
    <t>Box with 10cm diameter bearings, 3 cm diameter bearings, a small camera, barrel conectors (male and female), and a powerbank</t>
  </si>
  <si>
    <t>3 large &amp; 4 small bearings, 4 barrel connectors, 1 camera, 1 powerbank</t>
  </si>
  <si>
    <t>Servo Harnesses (unlabelled)</t>
  </si>
  <si>
    <t>Box full of 3D printed servo harnesses + boards</t>
  </si>
  <si>
    <t>Robotics Kit Sub-Spares</t>
  </si>
  <si>
    <t>Spare screws, stripboard squares for IR sensor adaptors, IR sensor cable spares</t>
  </si>
  <si>
    <t xml:space="preserve">&gt;1000 screws, ~30 stripboard, 2 small bags of wires </t>
  </si>
  <si>
    <t>RPRK Test Kit</t>
  </si>
  <si>
    <t>Box with some RPRK parts: ARB, Arduino Nano BLE, Ultrasound sensors, Motor driver (md08a-0J7303), Motors w/ encoders</t>
  </si>
  <si>
    <t>1 ARB, 4 ultrasonic, 1 nano, 1 driver, 2 motors</t>
  </si>
  <si>
    <t>Motor Prep + Repair, More Wheels</t>
  </si>
  <si>
    <t>Motor encoder parts (unsoldered) + 3D printed casings</t>
  </si>
  <si>
    <t>Ethernet, Bluetooth &amp; WiFi</t>
  </si>
  <si>
    <t>Ethernet-USB 3.0 &amp; 2.0 Adapter, JY-MCY Bluetooth Wireless Module (Slave/Master), USB  Wireless WiFi Adapters</t>
  </si>
  <si>
    <t>6 ethernet, ~15 bluetooth, 3 WiFi</t>
  </si>
  <si>
    <t>Ball Castors</t>
  </si>
  <si>
    <t>Box with ball castor kits</t>
  </si>
  <si>
    <t>Micro metal gearmotors (unlabelled)</t>
  </si>
  <si>
    <t>Box full of micro metal gear motors for both RDaC &amp; PRAR</t>
  </si>
  <si>
    <t>~80</t>
  </si>
  <si>
    <t>Micro metal gearmotors + casings (unlabelled)</t>
  </si>
  <si>
    <t>Box full of micro metal gear motors &amp; motor casings for both RDaC and PRAR</t>
  </si>
  <si>
    <t>~60 of each</t>
  </si>
  <si>
    <t>PSI Swarm Mobile Robots (PSI-Swarm)</t>
  </si>
  <si>
    <t>PSI differential-drive mobile robots for swarm robotics projects + AA Batteries</t>
  </si>
  <si>
    <t>Magnetic Walls and Optical Cards</t>
  </si>
  <si>
    <t>White cardboard walls with black strips and magnets + Cards with shapes, colours and aruco tags for computer vision</t>
  </si>
  <si>
    <t>3-DOF Robot arm with laser cut claw</t>
  </si>
  <si>
    <t>Robot arm designed by students in 2023 for the summer semester student project</t>
  </si>
  <si>
    <t>RoBearts Summer Project Student Mobile Robot</t>
  </si>
  <si>
    <t>Mobile robot with gripper designed in 2023 for summer semester student project</t>
  </si>
  <si>
    <t>DC Power Supplies (USB-C) (unlabelled)</t>
  </si>
  <si>
    <t>A4' unlabelled box with 3A, 5.1V DC Sockets and Power supplies w/ USB-C connectors.</t>
  </si>
  <si>
    <t>USB-UART cables</t>
  </si>
  <si>
    <t>Box with blue USB-UART cables</t>
  </si>
  <si>
    <t>Battery Banks &amp; Cables</t>
  </si>
  <si>
    <t>Box labelled "Battery Banks" containing powerbanks, USB-C cables &amp; laptop lights</t>
  </si>
  <si>
    <t>4 banks, ~30 cables, 2 lights</t>
  </si>
  <si>
    <t>EAFU Power Bank BE-E3</t>
  </si>
  <si>
    <t>6000 mAh USB-C power bank with LED digital display.</t>
  </si>
  <si>
    <t>DC Power Supplies (Barrell)</t>
  </si>
  <si>
    <t>Box with 2.4A, 5V DC Sockets and Power supplies w/ barrel connectors.</t>
  </si>
  <si>
    <t>RLIS STORAGE LOCATIONS</t>
  </si>
  <si>
    <t>Storage ID</t>
  </si>
  <si>
    <t>Storage Name</t>
  </si>
  <si>
    <t>Storage Type</t>
  </si>
  <si>
    <t>ID #</t>
  </si>
  <si>
    <t># of Sub-Divisons</t>
  </si>
  <si>
    <t>Robotics Staff</t>
  </si>
  <si>
    <t>Cupboard</t>
  </si>
  <si>
    <t>P/T/410</t>
  </si>
  <si>
    <t>South wall, next to east windows</t>
  </si>
  <si>
    <t>Robotics Consumables</t>
  </si>
  <si>
    <t>South wall, next to Robotics Staff cupboard (/410/001)</t>
  </si>
  <si>
    <t>3D Printer Materials</t>
  </si>
  <si>
    <t>South wall, next to Robotics Consumables cupboard (/410/002)</t>
  </si>
  <si>
    <t>South Wall</t>
  </si>
  <si>
    <t>Gap</t>
  </si>
  <si>
    <t>South wall, next to 3D Printer Materials cupboard (/410/003), in between the cupboard and the lockers (/410/005)</t>
  </si>
  <si>
    <t>South Wall Lockers</t>
  </si>
  <si>
    <t>Locker Group</t>
  </si>
  <si>
    <t>South wall, in between the 3D Printer Materials cupboard (/410/003) and the cable hangers (/410/006)</t>
  </si>
  <si>
    <t>PSU &amp; BNC Cables</t>
  </si>
  <si>
    <t>Hanger Set</t>
  </si>
  <si>
    <t>South wall, next to south wall lockers (/410/005)</t>
  </si>
  <si>
    <t>Entrance</t>
  </si>
  <si>
    <t>South &amp; west wall, next to the front door</t>
  </si>
  <si>
    <t>Southeast Corner</t>
  </si>
  <si>
    <t>Southeast corner, east wall &amp; south wall, under the window, next to Robotics Staff cupboard (/410/001)</t>
  </si>
  <si>
    <t>Power Adaptors</t>
  </si>
  <si>
    <t>East wall, under the window, next to Bench 1</t>
  </si>
  <si>
    <t>Bench Cluster 1-8</t>
  </si>
  <si>
    <t>Bench Cluster</t>
  </si>
  <si>
    <t>Benches 1-8</t>
  </si>
  <si>
    <t>Projector PC</t>
  </si>
  <si>
    <t>Desk</t>
  </si>
  <si>
    <t>Desk with PC used for projector, next to front door</t>
  </si>
  <si>
    <t>Project Enclosures and Boxes</t>
  </si>
  <si>
    <t>East Wall, under the window, next to Bench 5</t>
  </si>
  <si>
    <t>Nut &amp; Bolt Organiser 1</t>
  </si>
  <si>
    <t>Cabinet</t>
  </si>
  <si>
    <t>East Wall, on top of windowsill, next to Bench 5</t>
  </si>
  <si>
    <t>Resistor Organiser 1</t>
  </si>
  <si>
    <t>Resistor Organiser 2</t>
  </si>
  <si>
    <t>Ribbon Cable</t>
  </si>
  <si>
    <t>East Wall, under the window, next to Bench 9</t>
  </si>
  <si>
    <t>Bench Cluster 9,10,13,14</t>
  </si>
  <si>
    <t>Benches 9, 10, 13 &amp; 14</t>
  </si>
  <si>
    <t>Bench Tools &amp; Lab Spares</t>
  </si>
  <si>
    <t>Drawer Unit</t>
  </si>
  <si>
    <t>Drawer Unit under robotics arena, next to Bench 10</t>
  </si>
  <si>
    <t>Robotics Arena Parts &amp; Stationery</t>
  </si>
  <si>
    <t>Cupboard under robotics arena, next to Lab Spares cupboard (/410/203)</t>
  </si>
  <si>
    <t>Temporary Project Components</t>
  </si>
  <si>
    <t>Cupboard under robotics arena, next to Bench 14</t>
  </si>
  <si>
    <t>RPRK &amp; RDaC Project Spares</t>
  </si>
  <si>
    <t>Cupboard under robotics arena, next to Temporary Project Components cupboard (/410/205)</t>
  </si>
  <si>
    <t>West Wall Lockers</t>
  </si>
  <si>
    <t>West Wall, behind the projector</t>
  </si>
  <si>
    <t>West Wall</t>
  </si>
  <si>
    <t>West Wall, behind the projector, next to west wall lockers (/410/207)</t>
  </si>
  <si>
    <t>Mains Outlet Extensions</t>
  </si>
  <si>
    <t>East Wall, under the window, next to Bench 13</t>
  </si>
  <si>
    <t>Nut &amp; Bolt Organiser 2</t>
  </si>
  <si>
    <t>East Wall, on top of windowsill, next to Bench 13</t>
  </si>
  <si>
    <t>Capacitor Organiser</t>
  </si>
  <si>
    <t>Mains Distribution Panels</t>
  </si>
  <si>
    <t>East Wall, under the window, next to Bench 17</t>
  </si>
  <si>
    <t>Bench Cluster 17-24</t>
  </si>
  <si>
    <t>Benches 17-24</t>
  </si>
  <si>
    <t>Robot Arms Table</t>
  </si>
  <si>
    <t>West Wall, behind the projector, next to the material store</t>
  </si>
  <si>
    <t>Manufacturing Products Showcase</t>
  </si>
  <si>
    <t>Shelving Unit</t>
  </si>
  <si>
    <t>In front of material store, between bench 20 and bench 24</t>
  </si>
  <si>
    <t>Dremmel Press Station</t>
  </si>
  <si>
    <t>East Wall &amp; North Wall, next to bench 21</t>
  </si>
  <si>
    <t>3D Printing Station</t>
  </si>
  <si>
    <t>North Wall &amp; East Wall, next to 3D printers</t>
  </si>
  <si>
    <t>Stratasys F170/88 3D Printer</t>
  </si>
  <si>
    <t>3D printer next to 3D printing station (/410/402)</t>
  </si>
  <si>
    <t>Stratasys F170/77 3D Printer</t>
  </si>
  <si>
    <t>3D printer next to F170/77 3D printer (/410/403)</t>
  </si>
  <si>
    <t>Laser Cutting Station</t>
  </si>
  <si>
    <t>North Wall &amp; West Wall, next to laser cutter</t>
  </si>
  <si>
    <t>Laser Cutting Drawers</t>
  </si>
  <si>
    <t>West Wall, next to Laser cutting station (/410/405), under COSHH cabinet</t>
  </si>
  <si>
    <t>Chemical &amp; Hazardous Substances (COSHH)</t>
  </si>
  <si>
    <t>West Wall, next to Laser cutting station (/410/405), on top of Laser cutting drawers (/410/406)</t>
  </si>
  <si>
    <t>Material Store</t>
  </si>
  <si>
    <t>West Wall, next to &amp; to the right of Robot arms table (/410/303)</t>
  </si>
  <si>
    <t>Research Long-Term</t>
  </si>
  <si>
    <t>P/T/412</t>
  </si>
  <si>
    <t>North &amp; East Wall, next to &amp; facing window, first shelving cluster from north windows</t>
  </si>
  <si>
    <t>Research Equipment</t>
  </si>
  <si>
    <t>Next to Research Long-Term Shelving Unit (412/001), facing West, first shelving cluster from north windows</t>
  </si>
  <si>
    <t>Research Current</t>
  </si>
  <si>
    <t>Next to Research Long-Term Shelving Unit (412/001), facing South, first shelving cluster from north windows</t>
  </si>
  <si>
    <t>Research Misc.</t>
  </si>
  <si>
    <t>2nd Shelving Unit Cluster from north of the room (with two units), facing North windows</t>
  </si>
  <si>
    <t>Power Tools</t>
  </si>
  <si>
    <t>2nd Shelving Unit Cluster from north of the room (with two units), facing South, next to Research Misc Shelving Unit (412/004)</t>
  </si>
  <si>
    <t>Cables &amp; Wires</t>
  </si>
  <si>
    <t>3rd cluster from north windows, facing north</t>
  </si>
  <si>
    <t>Test Equipment</t>
  </si>
  <si>
    <t>3rd cluster from north windows, facing west,</t>
  </si>
  <si>
    <t>Teaching + Overflow</t>
  </si>
  <si>
    <t>3rd cluster from north windows, facing south</t>
  </si>
  <si>
    <t>Teaching</t>
  </si>
  <si>
    <t>4th cluster from north windows, facing north</t>
  </si>
  <si>
    <t>Computing</t>
  </si>
  <si>
    <t>4th cluster from north windows, facing west</t>
  </si>
  <si>
    <t>Cleaning &amp; PPE</t>
  </si>
  <si>
    <t>4th cluster from north windows, facing south</t>
  </si>
  <si>
    <t>Wire Spools</t>
  </si>
  <si>
    <t>In the 2nd Shelving Unit Cluster from the north windows, facing west, next to Research Misc Shelving Unit (412/004) and Power Tools Shelving Unit (412/005)</t>
  </si>
  <si>
    <t>TSS Lockers 1</t>
  </si>
  <si>
    <t>South wall, next to P/T/410 entrance door, next to Andy's Office</t>
  </si>
  <si>
    <t>Electronics Equipment</t>
  </si>
  <si>
    <t>South wall, next to P/T/410 entrance door, next to /412/012 &amp; Andy's Office</t>
  </si>
  <si>
    <t>Project Area 1</t>
  </si>
  <si>
    <t>Next to &amp; across Corner Desk (/412/107), facing south wall, behind Mike's Office Desk</t>
  </si>
  <si>
    <t>Project Area 2</t>
  </si>
  <si>
    <t>Next to Project Bench 1 (/412/101), behind Mike &amp; Jonathan's Office Desks</t>
  </si>
  <si>
    <t>Project Area 3</t>
  </si>
  <si>
    <t>Next to Project Bench 2 (/412/102), behind Jonathan &amp; Alejandro's Office Desks</t>
  </si>
  <si>
    <t>Project Area 4</t>
  </si>
  <si>
    <t>Next to Project Bench 3 (/412/103) &amp; Bench 5 (/412/105), behind Alejandro's Office Desk, facing East</t>
  </si>
  <si>
    <t>Project Area 5</t>
  </si>
  <si>
    <t>Next to Project Bench 6 (/412/106), facing the window</t>
  </si>
  <si>
    <t>Project Area 6</t>
  </si>
  <si>
    <t>Next to Corner Desk (/412/107), facing the window</t>
  </si>
  <si>
    <t>Corner Desk</t>
  </si>
  <si>
    <t>West &amp; north wall, in the corner, next to the window</t>
  </si>
  <si>
    <t>Teaching Materials</t>
  </si>
  <si>
    <t>Under Project Bench 4 (/412/104), next to Research Materials Drawer Unit, behind Jonathan &amp; Alejandro's Office Desks</t>
  </si>
  <si>
    <t>Research Materials</t>
  </si>
  <si>
    <t>Under Project Bench 5 (/412/105), behind Mike &amp; Jonathan's Office Desks</t>
  </si>
  <si>
    <t>Mike's Office Desk</t>
  </si>
  <si>
    <t>West wall, in front of Project Bench 6 (/412/106)</t>
  </si>
  <si>
    <t>Mike's Office Drawers 1</t>
  </si>
  <si>
    <t>West Wall, facing east, next to Mike's desk</t>
  </si>
  <si>
    <t>Mike's Office Drawers 2</t>
  </si>
  <si>
    <t>In between Mike and Jonathan's desks</t>
  </si>
  <si>
    <t>Jonathan's Office Desk</t>
  </si>
  <si>
    <t>East of &amp; next to Mike's desk</t>
  </si>
  <si>
    <t>Jonathan's Office Drawers</t>
  </si>
  <si>
    <t>In between Alejandro and Jonathan's desks</t>
  </si>
  <si>
    <t>Alejandro's Office Desk</t>
  </si>
  <si>
    <t>East of &amp; next to Jonathan's desk</t>
  </si>
  <si>
    <t>Alejandro's Office Drawers</t>
  </si>
  <si>
    <t>East of &amp; next to Alejandro's desk</t>
  </si>
  <si>
    <t>RLIS SUB-DIVISIONS</t>
  </si>
  <si>
    <t>Sub-Division ID</t>
  </si>
  <si>
    <t>Full Name/Contents</t>
  </si>
  <si>
    <t>Storage Location</t>
  </si>
  <si>
    <t>Sub-Division Type</t>
  </si>
  <si>
    <t>Label</t>
  </si>
  <si>
    <t>Count ? (Y/N)</t>
  </si>
  <si>
    <t>/410/001</t>
  </si>
  <si>
    <t>Shelf</t>
  </si>
  <si>
    <t>Power Supplies, Batteries &amp; Cables</t>
  </si>
  <si>
    <t>Yes</t>
  </si>
  <si>
    <t>Robotics Projects</t>
  </si>
  <si>
    <t>Robotics Kits</t>
  </si>
  <si>
    <t>Miscellaneous Items</t>
  </si>
  <si>
    <t>Drone Equipment</t>
  </si>
  <si>
    <t>Top</t>
  </si>
  <si>
    <t>Assorted PLA</t>
  </si>
  <si>
    <t>No</t>
  </si>
  <si>
    <t>/410/002</t>
  </si>
  <si>
    <t>IT Supplies</t>
  </si>
  <si>
    <t>Mechanical Components &amp; Actuators</t>
  </si>
  <si>
    <t>Electrical Components &amp; Sensors</t>
  </si>
  <si>
    <t>Jumpers &amp; Cables</t>
  </si>
  <si>
    <t>/410/003</t>
  </si>
  <si>
    <t>Exotic Materials</t>
  </si>
  <si>
    <t>QSR Support / Travs / Heads</t>
  </si>
  <si>
    <t>Assorted Colour ASA</t>
  </si>
  <si>
    <t>Blue ASA</t>
  </si>
  <si>
    <t>ABS/Monochrome ASA</t>
  </si>
  <si>
    <t>/410/004</t>
  </si>
  <si>
    <t>Space</t>
  </si>
  <si>
    <t>Large Dot Displays</t>
  </si>
  <si>
    <t>/410/005</t>
  </si>
  <si>
    <t>Locker/Safe</t>
  </si>
  <si>
    <t>Locker 31</t>
  </si>
  <si>
    <t>Locker 32</t>
  </si>
  <si>
    <t>Locker 33</t>
  </si>
  <si>
    <t>Locker 34</t>
  </si>
  <si>
    <t>Locker 35</t>
  </si>
  <si>
    <t>Locker 36</t>
  </si>
  <si>
    <t>Locker 37</t>
  </si>
  <si>
    <t>Locker 38</t>
  </si>
  <si>
    <t>Locker 39</t>
  </si>
  <si>
    <t>Wiring &amp; Soldering Supplies</t>
  </si>
  <si>
    <t>Robot Racecourse Assembly Parts</t>
  </si>
  <si>
    <t>/410/006</t>
  </si>
  <si>
    <t>Hanger</t>
  </si>
  <si>
    <t>F-M USB Type A</t>
  </si>
  <si>
    <t>USB Type A to USB Type B</t>
  </si>
  <si>
    <t>PSU Banana Connectors</t>
  </si>
  <si>
    <t>M-M BNC Connector Cable</t>
  </si>
  <si>
    <t>M-M Bulkhead BNC Connector Cable</t>
  </si>
  <si>
    <t>M BNC to Dual Banana Connector</t>
  </si>
  <si>
    <t>M BNC to Dual Crocodile Clip</t>
  </si>
  <si>
    <t>/410/007</t>
  </si>
  <si>
    <t>Project Partitions &amp; Structures</t>
  </si>
  <si>
    <t>/410/008</t>
  </si>
  <si>
    <t>Old/Failed Chargers &amp; AC Adaptors</t>
  </si>
  <si>
    <t>Window Sill</t>
  </si>
  <si>
    <t>Old Structural Project Components</t>
  </si>
  <si>
    <t>/410/101</t>
  </si>
  <si>
    <t>Untested/Failed AC &amp; DC Power Adaptors</t>
  </si>
  <si>
    <t>/410/102</t>
  </si>
  <si>
    <t>Bench</t>
  </si>
  <si>
    <t>Bench 1</t>
  </si>
  <si>
    <t>Bench 2</t>
  </si>
  <si>
    <t>Bench 3</t>
  </si>
  <si>
    <t>Bench 4</t>
  </si>
  <si>
    <t>Bench 5</t>
  </si>
  <si>
    <t>Bench 6</t>
  </si>
  <si>
    <t>Bench 7</t>
  </si>
  <si>
    <t>Bench 8</t>
  </si>
  <si>
    <t>/410/103</t>
  </si>
  <si>
    <t>/410/104</t>
  </si>
  <si>
    <t>Misc Boxes and Enclosures</t>
  </si>
  <si>
    <t>/410/105</t>
  </si>
  <si>
    <t>Organiser</t>
  </si>
  <si>
    <t>/410/106</t>
  </si>
  <si>
    <t>/410/107</t>
  </si>
  <si>
    <t>/410/201</t>
  </si>
  <si>
    <t>Ribbon Cable and Copper Wire Spools</t>
  </si>
  <si>
    <t>/410/202</t>
  </si>
  <si>
    <t>Bench 9</t>
  </si>
  <si>
    <t>Bench 10</t>
  </si>
  <si>
    <t>Bench 13</t>
  </si>
  <si>
    <t>Bench 14</t>
  </si>
  <si>
    <t>/410/203</t>
  </si>
  <si>
    <t>Drawer</t>
  </si>
  <si>
    <t>Spare Lab Bench Tools</t>
  </si>
  <si>
    <t>3D Printer Material Processing Accesories &amp; Spare Lab Bench Tools</t>
  </si>
  <si>
    <t>Measurement and Cutting Tools</t>
  </si>
  <si>
    <t>Distributed Circuits</t>
  </si>
  <si>
    <t>/410/204</t>
  </si>
  <si>
    <t>Webcams, Webcam Accesories &amp; Misc Stationery</t>
  </si>
  <si>
    <t>Robotics Arena Accesories</t>
  </si>
  <si>
    <t>/410/205</t>
  </si>
  <si>
    <t>/410/206</t>
  </si>
  <si>
    <t>Robotics Kit Inventory and Spare Parts</t>
  </si>
  <si>
    <t>/410/207</t>
  </si>
  <si>
    <t>Locker 1</t>
  </si>
  <si>
    <t>Locker 2</t>
  </si>
  <si>
    <t>Locker 3</t>
  </si>
  <si>
    <t>Locker 4</t>
  </si>
  <si>
    <t>Locker 5</t>
  </si>
  <si>
    <t>Locker 6</t>
  </si>
  <si>
    <t>Locker 7</t>
  </si>
  <si>
    <t>Locker 8</t>
  </si>
  <si>
    <t>Locker 9</t>
  </si>
  <si>
    <t>Locker 10</t>
  </si>
  <si>
    <t>Locker 11</t>
  </si>
  <si>
    <t>Locker 12</t>
  </si>
  <si>
    <t>Locker 13</t>
  </si>
  <si>
    <t>Locker 14</t>
  </si>
  <si>
    <t>Locker 15</t>
  </si>
  <si>
    <t>Locker 16</t>
  </si>
  <si>
    <t>Locker 17</t>
  </si>
  <si>
    <t>Locker 18</t>
  </si>
  <si>
    <t>Locker 19</t>
  </si>
  <si>
    <t>Locker 20</t>
  </si>
  <si>
    <t>Locker 21</t>
  </si>
  <si>
    <t>Locker 22</t>
  </si>
  <si>
    <t>Locker 23</t>
  </si>
  <si>
    <t>Locker 24</t>
  </si>
  <si>
    <t>Locker 25</t>
  </si>
  <si>
    <t>Locker 26</t>
  </si>
  <si>
    <t>Locker 27</t>
  </si>
  <si>
    <t>Locker 28</t>
  </si>
  <si>
    <t>Locker 29</t>
  </si>
  <si>
    <t>Locker 30</t>
  </si>
  <si>
    <t>RPRK &amp; RDaC kits + Empty Boxes</t>
  </si>
  <si>
    <t>/410/208</t>
  </si>
  <si>
    <t>Spare Arena Vinyl and Ferroflex</t>
  </si>
  <si>
    <t>/410/209</t>
  </si>
  <si>
    <t>/410/210</t>
  </si>
  <si>
    <t>/410/211</t>
  </si>
  <si>
    <t>/410/301</t>
  </si>
  <si>
    <t>Mains Wall Outlet Faceplates</t>
  </si>
  <si>
    <t>/410/302</t>
  </si>
  <si>
    <t>Bench 17</t>
  </si>
  <si>
    <t>Bench 18</t>
  </si>
  <si>
    <t>Bench 19</t>
  </si>
  <si>
    <t>Bench 20</t>
  </si>
  <si>
    <t>Bench 21</t>
  </si>
  <si>
    <t>Bench 22</t>
  </si>
  <si>
    <t>Bench 23</t>
  </si>
  <si>
    <t>Bench 24</t>
  </si>
  <si>
    <t>/410/303</t>
  </si>
  <si>
    <t>Floor</t>
  </si>
  <si>
    <t>Robot Arm &amp; Gripper Accesories</t>
  </si>
  <si>
    <t>EVA Automata Robot Arms</t>
  </si>
  <si>
    <t>/410/304</t>
  </si>
  <si>
    <t>/410/401</t>
  </si>
  <si>
    <t>/410/402</t>
  </si>
  <si>
    <t>/410/403</t>
  </si>
  <si>
    <t>/410/404</t>
  </si>
  <si>
    <t>/410/405</t>
  </si>
  <si>
    <t>/410/406</t>
  </si>
  <si>
    <t>Up</t>
  </si>
  <si>
    <t>/410/407</t>
  </si>
  <si>
    <t>/410/408</t>
  </si>
  <si>
    <t>/412/001</t>
  </si>
  <si>
    <t>/412/002</t>
  </si>
  <si>
    <t>/412/003</t>
  </si>
  <si>
    <t>/412/004</t>
  </si>
  <si>
    <t>/412/005</t>
  </si>
  <si>
    <t>/412/006</t>
  </si>
  <si>
    <t>/412/007</t>
  </si>
  <si>
    <t>/412/008</t>
  </si>
  <si>
    <t>/412/009</t>
  </si>
  <si>
    <t>/412/010</t>
  </si>
  <si>
    <t>/412/011</t>
  </si>
  <si>
    <t>/412/012</t>
  </si>
  <si>
    <t>/412/013</t>
  </si>
  <si>
    <t>/412/014</t>
  </si>
  <si>
    <t>/412/101</t>
  </si>
  <si>
    <t>/412/102</t>
  </si>
  <si>
    <t>/412/103</t>
  </si>
  <si>
    <t>/412/104</t>
  </si>
  <si>
    <t>/412/105</t>
  </si>
  <si>
    <t>/412/106</t>
  </si>
  <si>
    <t>/412/107</t>
  </si>
  <si>
    <t>/412/108</t>
  </si>
  <si>
    <t>Robotics Kit Motors, Sensors and Accessories</t>
  </si>
  <si>
    <t>Servomotors and Bearings</t>
  </si>
  <si>
    <t>Raspberry Pi Boards, Cameras and Accesories</t>
  </si>
  <si>
    <t>ARBs and Arduinos</t>
  </si>
  <si>
    <t>/412/109</t>
  </si>
  <si>
    <t>/412/201</t>
  </si>
  <si>
    <t>/412/202</t>
  </si>
  <si>
    <t>/412/203</t>
  </si>
  <si>
    <t>/412/204</t>
  </si>
  <si>
    <t>/412/205</t>
  </si>
  <si>
    <t>/412/206</t>
  </si>
  <si>
    <t>/412/207</t>
  </si>
  <si>
    <t>ROOMS</t>
  </si>
  <si>
    <t>PIVOT</t>
  </si>
  <si>
    <t>Room ID</t>
  </si>
  <si>
    <t>Room Name</t>
  </si>
  <si>
    <t>Storage Types</t>
  </si>
  <si>
    <t>Sub-Division Types</t>
  </si>
  <si>
    <t>Max Item ID</t>
  </si>
  <si>
    <t>Current Date</t>
  </si>
  <si>
    <t>Robotics Teaching Lab</t>
  </si>
  <si>
    <t>4th Floor</t>
  </si>
  <si>
    <t>TSS Office</t>
  </si>
  <si>
    <t>P/T/401</t>
  </si>
  <si>
    <t>Electronics Teaching Lab</t>
  </si>
  <si>
    <t>P/T/403</t>
  </si>
  <si>
    <t>Fabrication Workshop</t>
  </si>
  <si>
    <t>P/T/405</t>
  </si>
  <si>
    <t>Electrical Switch Gear</t>
  </si>
  <si>
    <t>P/T/407</t>
  </si>
  <si>
    <t>PCB Manufacture Wet Lab</t>
  </si>
  <si>
    <t>P/T/411</t>
  </si>
  <si>
    <t>Project Lab 1</t>
  </si>
  <si>
    <t>P/T/310</t>
  </si>
  <si>
    <t>PC Lab</t>
  </si>
  <si>
    <t>3rd Floor</t>
  </si>
  <si>
    <t>P/T/310-A</t>
  </si>
  <si>
    <t>Nuclear Laboratory</t>
  </si>
  <si>
    <t>P/T/301</t>
  </si>
  <si>
    <t>General Laboratory</t>
  </si>
  <si>
    <t>Other</t>
  </si>
  <si>
    <t>P/T/303</t>
  </si>
  <si>
    <t>Optics Laboratory 1</t>
  </si>
  <si>
    <t>P/T/312</t>
  </si>
  <si>
    <t>Optics Laboratory 2</t>
  </si>
  <si>
    <t>P/T/313</t>
  </si>
  <si>
    <t>Laboratory 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</si>
</sst>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24.0"/>
      <color theme="1"/>
      <name val="Arial"/>
      <scheme val="minor"/>
    </font>
    <font/>
    <font>
      <b/>
      <sz val="9.0"/>
      <color theme="1"/>
      <name val="Arial"/>
      <scheme val="minor"/>
    </font>
    <font>
      <b/>
      <color theme="1"/>
      <name val="Arial"/>
      <scheme val="minor"/>
    </font>
    <font>
      <b/>
      <i/>
      <sz val="16.0"/>
      <color theme="1"/>
      <name val="Arial"/>
      <scheme val="minor"/>
    </font>
    <font>
      <sz val="9.0"/>
      <color theme="1"/>
      <name val="Arial"/>
      <scheme val="minor"/>
    </font>
    <font>
      <sz val="9.0"/>
      <color theme="1"/>
      <name val="Arial"/>
    </font>
    <font>
      <u/>
      <sz val="9.0"/>
      <color theme="1"/>
      <name val="Arial"/>
    </font>
    <font>
      <sz val="9.0"/>
      <color rgb="FF000000"/>
      <name val="Arial"/>
    </font>
    <font>
      <u/>
      <sz val="9.0"/>
      <color rgb="FF0000FF"/>
      <name val="Arial"/>
    </font>
    <font>
      <color theme="1"/>
      <name val="Arial"/>
      <scheme val="minor"/>
    </font>
    <font>
      <color rgb="FF000000"/>
      <name val="Arial"/>
    </font>
    <font>
      <b/>
      <sz val="15.0"/>
      <color theme="1"/>
      <name val="Arial"/>
    </font>
    <font>
      <b/>
      <sz val="15.0"/>
      <color rgb="FF434343"/>
      <name val="Arial"/>
    </font>
    <font>
      <sz val="9.0"/>
      <color rgb="FFCCCCCC"/>
      <name val="Arial"/>
    </font>
    <font>
      <b/>
      <sz val="9.0"/>
      <color rgb="FFCCCCCC"/>
      <name val="Arial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rgb="FF666666"/>
      <name val="Arial"/>
    </font>
  </fonts>
  <fills count="5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AE4D1"/>
        <bgColor rgb="FFFAE4D1"/>
      </patternFill>
    </fill>
    <fill>
      <patternFill patternType="solid">
        <fgColor rgb="FFFAF7D1"/>
        <bgColor rgb="FFFAF7D1"/>
      </patternFill>
    </fill>
    <fill>
      <patternFill patternType="solid">
        <fgColor rgb="FFEAFAD1"/>
        <bgColor rgb="FFEAFAD1"/>
      </patternFill>
    </fill>
    <fill>
      <patternFill patternType="solid">
        <fgColor rgb="FFD7FAD1"/>
        <bgColor rgb="FFD7FAD1"/>
      </patternFill>
    </fill>
    <fill>
      <patternFill patternType="solid">
        <fgColor rgb="FFD1FADE"/>
        <bgColor rgb="FFD1FADE"/>
      </patternFill>
    </fill>
    <fill>
      <patternFill patternType="solid">
        <fgColor rgb="FFD1FAF0"/>
        <bgColor rgb="FFD1FAF0"/>
      </patternFill>
    </fill>
    <fill>
      <patternFill patternType="solid">
        <fgColor rgb="FFD1F0FA"/>
        <bgColor rgb="FFD1F0FA"/>
      </patternFill>
    </fill>
    <fill>
      <patternFill patternType="solid">
        <fgColor rgb="FFD1DEFA"/>
        <bgColor rgb="FFD1DEFA"/>
      </patternFill>
    </fill>
    <fill>
      <patternFill patternType="solid">
        <fgColor rgb="FFD7D1FA"/>
        <bgColor rgb="FFD7D1FA"/>
      </patternFill>
    </fill>
    <fill>
      <patternFill patternType="solid">
        <fgColor rgb="FFEAD1FA"/>
        <bgColor rgb="FFEAD1FA"/>
      </patternFill>
    </fill>
    <fill>
      <patternFill patternType="solid">
        <fgColor rgb="FFFAD1F7"/>
        <bgColor rgb="FFFAD1F7"/>
      </patternFill>
    </fill>
    <fill>
      <patternFill patternType="solid">
        <fgColor rgb="FFFAD1E4"/>
        <bgColor rgb="FFFAD1E4"/>
      </patternFill>
    </fill>
    <fill>
      <patternFill patternType="solid">
        <fgColor rgb="FFFAD1D1"/>
        <bgColor rgb="FFFAD1D1"/>
      </patternFill>
    </fill>
    <fill>
      <patternFill patternType="solid">
        <fgColor rgb="FF6FA8DC"/>
        <bgColor rgb="FF6FA8DC"/>
      </patternFill>
    </fill>
    <fill>
      <patternFill patternType="solid">
        <fgColor rgb="FFFAE7D1"/>
        <bgColor rgb="FFFAE7D1"/>
      </patternFill>
    </fill>
    <fill>
      <patternFill patternType="solid">
        <fgColor rgb="FFFAE0D1"/>
        <bgColor rgb="FFFAE0D1"/>
      </patternFill>
    </fill>
    <fill>
      <patternFill patternType="solid">
        <fgColor rgb="FFFAEED1"/>
        <bgColor rgb="FFFAEED1"/>
      </patternFill>
    </fill>
    <fill>
      <patternFill patternType="solid">
        <fgColor rgb="FFF8FAD1"/>
        <bgColor rgb="FFF8FAD1"/>
      </patternFill>
    </fill>
    <fill>
      <patternFill patternType="solid">
        <fgColor rgb="FFE9FAD1"/>
        <bgColor rgb="FFE9FAD1"/>
      </patternFill>
    </fill>
    <fill>
      <patternFill patternType="solid">
        <fgColor rgb="FFDBFAD1"/>
        <bgColor rgb="FFDBFAD1"/>
      </patternFill>
    </fill>
    <fill>
      <patternFill patternType="solid">
        <fgColor rgb="FFD1FAD6"/>
        <bgColor rgb="FFD1FAD6"/>
      </patternFill>
    </fill>
    <fill>
      <patternFill patternType="solid">
        <fgColor rgb="FFF6FAD1"/>
        <bgColor rgb="FFF6FAD1"/>
      </patternFill>
    </fill>
    <fill>
      <patternFill patternType="solid">
        <fgColor rgb="FFE0FAD1"/>
        <bgColor rgb="FFE0FAD1"/>
      </patternFill>
    </fill>
    <fill>
      <patternFill patternType="solid">
        <fgColor rgb="FFD1FAD9"/>
        <bgColor rgb="FFD1FAD9"/>
      </patternFill>
    </fill>
    <fill>
      <patternFill patternType="solid">
        <fgColor rgb="FFD1FAEF"/>
        <bgColor rgb="FFD1FAEF"/>
      </patternFill>
    </fill>
    <fill>
      <patternFill patternType="solid">
        <fgColor rgb="FFF8D1FA"/>
        <bgColor rgb="FFF8D1FA"/>
      </patternFill>
    </fill>
    <fill>
      <patternFill patternType="solid">
        <fgColor rgb="FFFAD1EE"/>
        <bgColor rgb="FFFAD1EE"/>
      </patternFill>
    </fill>
    <fill>
      <patternFill patternType="solid">
        <fgColor rgb="FFFAD1DF"/>
        <bgColor rgb="FFFAD1DF"/>
      </patternFill>
    </fill>
    <fill>
      <patternFill patternType="solid">
        <fgColor rgb="FFFADFD1"/>
        <bgColor rgb="FFFADFD1"/>
      </patternFill>
    </fill>
    <fill>
      <patternFill patternType="solid">
        <fgColor rgb="FFD1EFFA"/>
        <bgColor rgb="FFD1EFFA"/>
      </patternFill>
    </fill>
    <fill>
      <patternFill patternType="solid">
        <fgColor rgb="FFD1FAE4"/>
        <bgColor rgb="FFD1FAE4"/>
      </patternFill>
    </fill>
    <fill>
      <patternFill patternType="solid">
        <fgColor rgb="FFD1FAF3"/>
        <bgColor rgb="FFD1FAF3"/>
      </patternFill>
    </fill>
    <fill>
      <patternFill patternType="solid">
        <fgColor rgb="FFD1F3FA"/>
        <bgColor rgb="FFD1F3FA"/>
      </patternFill>
    </fill>
    <fill>
      <patternFill patternType="solid">
        <fgColor rgb="FFD1E4FA"/>
        <bgColor rgb="FFD1E4FA"/>
      </patternFill>
    </fill>
    <fill>
      <patternFill patternType="solid">
        <fgColor rgb="FFD1D6FA"/>
        <bgColor rgb="FFD1D6FA"/>
      </patternFill>
    </fill>
    <fill>
      <patternFill patternType="solid">
        <fgColor rgb="FFD1D9FA"/>
        <bgColor rgb="FFD1D9FA"/>
      </patternFill>
    </fill>
    <fill>
      <patternFill patternType="solid">
        <fgColor rgb="FFE0D1FA"/>
        <bgColor rgb="FFE0D1FA"/>
      </patternFill>
    </fill>
    <fill>
      <patternFill patternType="solid">
        <fgColor rgb="FFD5D1FA"/>
        <bgColor rgb="FFD5D1FA"/>
      </patternFill>
    </fill>
    <fill>
      <patternFill patternType="solid">
        <fgColor rgb="FFEBD1FA"/>
        <bgColor rgb="FFEBD1FA"/>
      </patternFill>
    </fill>
    <fill>
      <patternFill patternType="solid">
        <fgColor rgb="FFFAD1F2"/>
        <bgColor rgb="FFFAD1F2"/>
      </patternFill>
    </fill>
    <fill>
      <patternFill patternType="solid">
        <fgColor rgb="FFFAD1DC"/>
        <bgColor rgb="FFFAD1DC"/>
      </patternFill>
    </fill>
    <fill>
      <patternFill patternType="solid">
        <fgColor rgb="FFDBD1FA"/>
        <bgColor rgb="FFDBD1FA"/>
      </patternFill>
    </fill>
    <fill>
      <patternFill patternType="solid">
        <fgColor rgb="FFE9D1FA"/>
        <bgColor rgb="FFE9D1FA"/>
      </patternFill>
    </fill>
    <fill>
      <patternFill patternType="solid">
        <fgColor rgb="FFFADCD1"/>
        <bgColor rgb="FFFADCD1"/>
      </patternFill>
    </fill>
    <fill>
      <patternFill patternType="solid">
        <fgColor rgb="FFFAF2D1"/>
        <bgColor rgb="FFFAF2D1"/>
      </patternFill>
    </fill>
    <fill>
      <patternFill patternType="solid">
        <fgColor rgb="FFF6D1FA"/>
        <bgColor rgb="FFF6D1FA"/>
      </patternFill>
    </fill>
    <fill>
      <patternFill patternType="solid">
        <fgColor rgb="FFFAD1E7"/>
        <bgColor rgb="FFFAD1E7"/>
      </patternFill>
    </fill>
    <fill>
      <patternFill patternType="solid">
        <fgColor rgb="FFEBFAD1"/>
        <bgColor rgb="FFEBFAD1"/>
      </patternFill>
    </fill>
    <fill>
      <patternFill patternType="solid">
        <fgColor rgb="FFD5FAD1"/>
        <bgColor rgb="FFD5FAD1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2" fillId="0" fontId="1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0" fillId="0" fontId="3" numFmtId="0" xfId="0" applyFont="1"/>
    <xf borderId="1" fillId="0" fontId="4" numFmtId="0" xfId="0" applyAlignment="1" applyBorder="1" applyFont="1">
      <alignment horizontal="center" readingOrder="0" vertical="center"/>
    </xf>
    <xf borderId="5" fillId="3" fontId="5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7" fillId="0" fontId="4" numFmtId="0" xfId="0" applyAlignment="1" applyBorder="1" applyFont="1">
      <alignment horizontal="center" readingOrder="0" vertical="center"/>
    </xf>
    <xf borderId="4" fillId="0" fontId="6" numFmtId="0" xfId="0" applyBorder="1" applyFont="1"/>
    <xf borderId="0" fillId="0" fontId="6" numFmtId="0" xfId="0" applyFont="1"/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8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readingOrder="0" vertical="center"/>
    </xf>
    <xf borderId="13" fillId="2" fontId="3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center" readingOrder="0" shrinkToFit="0" vertical="center" wrapText="1"/>
    </xf>
    <xf borderId="13" fillId="2" fontId="4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14" xfId="0" applyAlignment="1" applyFont="1" applyNumberForma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4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vertical="center" wrapText="1"/>
    </xf>
    <xf quotePrefix="1"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14" fillId="0" fontId="6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14" fillId="0" fontId="2" numFmtId="0" xfId="0" applyBorder="1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15" fillId="0" fontId="2" numFmtId="0" xfId="0" applyBorder="1" applyFont="1"/>
    <xf borderId="13" fillId="5" fontId="3" numFmtId="0" xfId="0" applyAlignment="1" applyBorder="1" applyFont="1">
      <alignment horizontal="center" readingOrder="0"/>
    </xf>
    <xf borderId="13" fillId="5" fontId="3" numFmtId="0" xfId="0" applyAlignment="1" applyBorder="1" applyFont="1">
      <alignment horizontal="center" readingOrder="0" shrinkToFit="0" wrapText="1"/>
    </xf>
    <xf borderId="14" fillId="0" fontId="6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14" fillId="6" fontId="6" numFmtId="0" xfId="0" applyAlignment="1" applyBorder="1" applyFill="1" applyFont="1">
      <alignment horizontal="center" readingOrder="0"/>
    </xf>
    <xf borderId="0" fillId="0" fontId="6" numFmtId="0" xfId="0" applyAlignment="1" applyFont="1">
      <alignment readingOrder="0" shrinkToFit="0" wrapText="1"/>
    </xf>
    <xf borderId="14" fillId="7" fontId="6" numFmtId="0" xfId="0" applyAlignment="1" applyBorder="1" applyFill="1" applyFont="1">
      <alignment horizontal="center" readingOrder="0"/>
    </xf>
    <xf borderId="14" fillId="8" fontId="6" numFmtId="0" xfId="0" applyAlignment="1" applyBorder="1" applyFill="1" applyFont="1">
      <alignment horizontal="center" readingOrder="0"/>
    </xf>
    <xf borderId="14" fillId="9" fontId="6" numFmtId="0" xfId="0" applyAlignment="1" applyBorder="1" applyFill="1" applyFont="1">
      <alignment horizontal="center" readingOrder="0"/>
    </xf>
    <xf borderId="14" fillId="10" fontId="6" numFmtId="0" xfId="0" applyAlignment="1" applyBorder="1" applyFill="1" applyFont="1">
      <alignment horizontal="center" readingOrder="0"/>
    </xf>
    <xf borderId="14" fillId="11" fontId="6" numFmtId="0" xfId="0" applyAlignment="1" applyBorder="1" applyFill="1" applyFont="1">
      <alignment horizontal="center" readingOrder="0"/>
    </xf>
    <xf borderId="14" fillId="12" fontId="6" numFmtId="0" xfId="0" applyAlignment="1" applyBorder="1" applyFill="1" applyFont="1">
      <alignment horizontal="center" readingOrder="0"/>
    </xf>
    <xf borderId="14" fillId="13" fontId="6" numFmtId="0" xfId="0" applyAlignment="1" applyBorder="1" applyFill="1" applyFont="1">
      <alignment horizontal="center" readingOrder="0"/>
    </xf>
    <xf borderId="14" fillId="14" fontId="6" numFmtId="0" xfId="0" applyAlignment="1" applyBorder="1" applyFill="1" applyFont="1">
      <alignment horizontal="center" readingOrder="0"/>
    </xf>
    <xf borderId="14" fillId="15" fontId="6" numFmtId="0" xfId="0" applyAlignment="1" applyBorder="1" applyFill="1" applyFont="1">
      <alignment horizontal="center" readingOrder="0"/>
    </xf>
    <xf borderId="14" fillId="16" fontId="6" numFmtId="0" xfId="0" applyAlignment="1" applyBorder="1" applyFill="1" applyFont="1">
      <alignment horizontal="center" readingOrder="0"/>
    </xf>
    <xf borderId="14" fillId="17" fontId="6" numFmtId="0" xfId="0" applyAlignment="1" applyBorder="1" applyFill="1" applyFont="1">
      <alignment horizontal="center" readingOrder="0"/>
    </xf>
    <xf borderId="14" fillId="18" fontId="6" numFmtId="0" xfId="0" applyAlignment="1" applyBorder="1" applyFill="1" applyFont="1">
      <alignment horizontal="center" readingOrder="0"/>
    </xf>
    <xf borderId="0" fillId="0" fontId="6" numFmtId="0" xfId="0" applyAlignment="1" applyFont="1">
      <alignment shrinkToFit="0" wrapText="1"/>
    </xf>
    <xf borderId="14" fillId="0" fontId="6" numFmtId="0" xfId="0" applyAlignment="1" applyBorder="1" applyFont="1">
      <alignment horizontal="center"/>
    </xf>
    <xf borderId="0" fillId="19" fontId="1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16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 readingOrder="0" shrinkToFit="0" wrapText="1"/>
    </xf>
    <xf borderId="16" fillId="0" fontId="4" numFmtId="0" xfId="0" applyAlignment="1" applyBorder="1" applyFont="1">
      <alignment horizontal="center" readingOrder="0" shrinkToFit="0" wrapText="1"/>
    </xf>
    <xf borderId="0" fillId="6" fontId="6" numFmtId="0" xfId="0" applyAlignment="1" applyFont="1">
      <alignment horizontal="center" readingOrder="0"/>
    </xf>
    <xf borderId="14" fillId="0" fontId="11" numFmtId="0" xfId="0" applyAlignment="1" applyBorder="1" applyFont="1">
      <alignment shrinkToFit="0" wrapText="1"/>
    </xf>
    <xf borderId="0" fillId="20" fontId="6" numFmtId="0" xfId="0" applyAlignment="1" applyFill="1" applyFont="1">
      <alignment horizontal="center" readingOrder="0"/>
    </xf>
    <xf borderId="0" fillId="21" fontId="11" numFmtId="0" xfId="0" applyAlignment="1" applyFill="1" applyFont="1">
      <alignment horizontal="center"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14" fillId="0" fontId="11" numFmtId="0" xfId="0" applyAlignment="1" applyBorder="1" applyFont="1">
      <alignment readingOrder="0" shrinkToFit="0" wrapText="1"/>
    </xf>
    <xf borderId="0" fillId="22" fontId="11" numFmtId="0" xfId="0" applyAlignment="1" applyFill="1" applyFont="1">
      <alignment horizontal="center" readingOrder="0"/>
    </xf>
    <xf borderId="0" fillId="23" fontId="11" numFmtId="0" xfId="0" applyAlignment="1" applyFill="1" applyFont="1">
      <alignment horizontal="center" readingOrder="0"/>
    </xf>
    <xf borderId="0" fillId="24" fontId="11" numFmtId="0" xfId="0" applyAlignment="1" applyFill="1" applyFont="1">
      <alignment horizontal="center" readingOrder="0"/>
    </xf>
    <xf borderId="0" fillId="25" fontId="11" numFmtId="0" xfId="0" applyAlignment="1" applyFill="1" applyFont="1">
      <alignment horizontal="center" readingOrder="0"/>
    </xf>
    <xf borderId="0" fillId="26" fontId="11" numFmtId="0" xfId="0" applyAlignment="1" applyFill="1" applyFont="1">
      <alignment horizontal="center" readingOrder="0"/>
    </xf>
    <xf borderId="0" fillId="7" fontId="6" numFmtId="0" xfId="0" applyAlignment="1" applyFont="1">
      <alignment horizontal="center" readingOrder="0"/>
    </xf>
    <xf borderId="0" fillId="27" fontId="6" numFmtId="0" xfId="0" applyAlignment="1" applyFill="1" applyFont="1">
      <alignment horizontal="center" readingOrder="0"/>
    </xf>
    <xf borderId="0" fillId="8" fontId="6" numFmtId="0" xfId="0" applyAlignment="1" applyFont="1">
      <alignment horizontal="center" readingOrder="0"/>
    </xf>
    <xf borderId="0" fillId="28" fontId="6" numFmtId="0" xfId="0" applyAlignment="1" applyFill="1" applyFont="1">
      <alignment horizontal="center" readingOrder="0"/>
    </xf>
    <xf borderId="0" fillId="9" fontId="6" numFmtId="0" xfId="0" applyAlignment="1" applyFont="1">
      <alignment horizontal="center" readingOrder="0"/>
    </xf>
    <xf borderId="0" fillId="29" fontId="6" numFmtId="0" xfId="0" applyAlignment="1" applyFill="1" applyFont="1">
      <alignment horizontal="center" readingOrder="0"/>
    </xf>
    <xf borderId="0" fillId="10" fontId="6" numFmtId="0" xfId="0" applyAlignment="1" applyFont="1">
      <alignment horizontal="center" readingOrder="0"/>
    </xf>
    <xf borderId="0" fillId="30" fontId="6" numFmtId="0" xfId="0" applyAlignment="1" applyFill="1" applyFont="1">
      <alignment horizontal="center" readingOrder="0"/>
    </xf>
    <xf borderId="0" fillId="31" fontId="11" numFmtId="0" xfId="0" applyAlignment="1" applyFill="1" applyFont="1">
      <alignment horizontal="center" readingOrder="0"/>
    </xf>
    <xf borderId="0" fillId="32" fontId="11" numFmtId="0" xfId="0" applyAlignment="1" applyFill="1" applyFont="1">
      <alignment horizontal="center" readingOrder="0"/>
    </xf>
    <xf borderId="0" fillId="33" fontId="11" numFmtId="0" xfId="0" applyAlignment="1" applyFill="1" applyFont="1">
      <alignment horizontal="center" readingOrder="0"/>
    </xf>
    <xf borderId="0" fillId="18" fontId="11" numFmtId="0" xfId="0" applyAlignment="1" applyFont="1">
      <alignment horizontal="center" readingOrder="0"/>
    </xf>
    <xf borderId="0" fillId="34" fontId="11" numFmtId="0" xfId="0" applyAlignment="1" applyFill="1" applyFont="1">
      <alignment horizontal="center" readingOrder="0"/>
    </xf>
    <xf borderId="0" fillId="11" fontId="6" numFmtId="0" xfId="0" applyAlignment="1" applyFont="1">
      <alignment horizontal="center" readingOrder="0"/>
    </xf>
    <xf borderId="0" fillId="35" fontId="6" numFmtId="0" xfId="0" applyAlignment="1" applyFill="1" applyFont="1">
      <alignment horizontal="center" readingOrder="0"/>
    </xf>
    <xf borderId="0" fillId="36" fontId="11" numFmtId="0" xfId="0" applyAlignment="1" applyFill="1" applyFont="1">
      <alignment horizontal="center" readingOrder="0"/>
    </xf>
    <xf borderId="0" fillId="37" fontId="11" numFmtId="0" xfId="0" applyAlignment="1" applyFill="1" applyFont="1">
      <alignment horizontal="center" readingOrder="0"/>
    </xf>
    <xf borderId="0" fillId="38" fontId="11" numFmtId="0" xfId="0" applyAlignment="1" applyFill="1" applyFont="1">
      <alignment horizontal="center" readingOrder="0"/>
    </xf>
    <xf borderId="0" fillId="39" fontId="11" numFmtId="0" xfId="0" applyAlignment="1" applyFill="1" applyFont="1">
      <alignment horizontal="center" readingOrder="0"/>
    </xf>
    <xf borderId="0" fillId="40" fontId="11" numFmtId="0" xfId="0" applyAlignment="1" applyFill="1" applyFont="1">
      <alignment horizontal="center" readingOrder="0"/>
    </xf>
    <xf borderId="0" fillId="12" fontId="6" numFmtId="0" xfId="0" applyAlignment="1" applyFont="1">
      <alignment horizontal="center" readingOrder="0"/>
    </xf>
    <xf borderId="0" fillId="41" fontId="6" numFmtId="0" xfId="0" applyAlignment="1" applyFill="1" applyFont="1">
      <alignment horizontal="center" readingOrder="0"/>
    </xf>
    <xf borderId="0" fillId="13" fontId="6" numFmtId="0" xfId="0" applyAlignment="1" applyFont="1">
      <alignment horizontal="center" readingOrder="0"/>
    </xf>
    <xf borderId="0" fillId="42" fontId="6" numFmtId="0" xfId="0" applyAlignment="1" applyFill="1" applyFont="1">
      <alignment horizontal="center" readingOrder="0"/>
    </xf>
    <xf borderId="0" fillId="39" fontId="6" numFmtId="0" xfId="0" applyAlignment="1" applyFont="1">
      <alignment horizontal="center" readingOrder="0"/>
    </xf>
    <xf borderId="0" fillId="43" fontId="6" numFmtId="0" xfId="0" applyAlignment="1" applyFill="1" applyFont="1">
      <alignment horizontal="center" readingOrder="0"/>
    </xf>
    <xf borderId="0" fillId="44" fontId="6" numFmtId="0" xfId="0" applyAlignment="1" applyFill="1" applyFont="1">
      <alignment horizontal="center" readingOrder="0"/>
    </xf>
    <xf borderId="0" fillId="45" fontId="6" numFmtId="0" xfId="0" applyAlignment="1" applyFill="1" applyFont="1">
      <alignment horizontal="center" readingOrder="0"/>
    </xf>
    <xf borderId="0" fillId="46" fontId="6" numFmtId="0" xfId="0" applyAlignment="1" applyFill="1" applyFont="1">
      <alignment horizontal="center" readingOrder="0"/>
    </xf>
    <xf borderId="0" fillId="0" fontId="11" numFmtId="0" xfId="0" applyAlignment="1" applyFont="1">
      <alignment shrinkToFit="0" wrapText="1"/>
    </xf>
    <xf borderId="0" fillId="47" fontId="11" numFmtId="0" xfId="0" applyAlignment="1" applyFill="1" applyFont="1">
      <alignment horizontal="center" readingOrder="0"/>
    </xf>
    <xf borderId="0" fillId="48" fontId="11" numFmtId="0" xfId="0" applyAlignment="1" applyFill="1" applyFont="1">
      <alignment horizontal="center" readingOrder="0"/>
    </xf>
    <xf borderId="0" fillId="49" fontId="6" numFmtId="0" xfId="0" applyAlignment="1" applyFill="1" applyFont="1">
      <alignment horizontal="center" readingOrder="0"/>
    </xf>
    <xf borderId="0" fillId="50" fontId="6" numFmtId="0" xfId="0" applyAlignment="1" applyFill="1" applyFont="1">
      <alignment horizontal="center" readingOrder="0"/>
    </xf>
    <xf borderId="0" fillId="14" fontId="6" numFmtId="0" xfId="0" applyAlignment="1" applyFont="1">
      <alignment horizontal="center" readingOrder="0"/>
    </xf>
    <xf borderId="0" fillId="51" fontId="6" numFmtId="0" xfId="0" applyAlignment="1" applyFill="1" applyFont="1">
      <alignment horizontal="center" readingOrder="0"/>
    </xf>
    <xf borderId="0" fillId="15" fontId="6" numFmtId="0" xfId="0" applyAlignment="1" applyFont="1">
      <alignment horizontal="center" readingOrder="0"/>
    </xf>
    <xf borderId="0" fillId="52" fontId="6" numFmtId="0" xfId="0" applyAlignment="1" applyFill="1" applyFont="1">
      <alignment horizontal="center" readingOrder="0"/>
    </xf>
    <xf borderId="0" fillId="16" fontId="6" numFmtId="0" xfId="0" applyAlignment="1" applyFont="1">
      <alignment horizontal="center" readingOrder="0"/>
    </xf>
    <xf borderId="0" fillId="18" fontId="6" numFmtId="0" xfId="0" applyAlignment="1" applyFont="1">
      <alignment horizontal="center" readingOrder="0"/>
    </xf>
    <xf borderId="0" fillId="4" fontId="12" numFmtId="0" xfId="0" applyAlignment="1" applyFont="1">
      <alignment horizontal="left" readingOrder="0"/>
    </xf>
    <xf borderId="0" fillId="17" fontId="6" numFmtId="0" xfId="0" applyAlignment="1" applyFont="1">
      <alignment horizontal="center" readingOrder="0"/>
    </xf>
    <xf borderId="0" fillId="53" fontId="6" numFmtId="0" xfId="0" applyAlignment="1" applyFill="1" applyFont="1">
      <alignment horizontal="center" readingOrder="0"/>
    </xf>
    <xf borderId="0" fillId="54" fontId="6" numFmtId="0" xfId="0" applyAlignment="1" applyFill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14" fillId="0" fontId="6" numFmtId="0" xfId="0" applyAlignment="1" applyBorder="1" applyFont="1">
      <alignment shrinkToFit="0" wrapText="1"/>
    </xf>
    <xf borderId="0" fillId="0" fontId="6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14" fillId="0" fontId="11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0" fillId="55" fontId="13" numFmtId="0" xfId="0" applyAlignment="1" applyFill="1" applyFont="1">
      <alignment horizontal="center" readingOrder="0" vertical="center"/>
    </xf>
    <xf borderId="4" fillId="56" fontId="14" numFmtId="0" xfId="0" applyAlignment="1" applyBorder="1" applyFill="1" applyFont="1">
      <alignment horizontal="center" readingOrder="0" vertical="center"/>
    </xf>
    <xf borderId="0" fillId="4" fontId="15" numFmtId="0" xfId="0" applyFont="1"/>
    <xf borderId="0" fillId="0" fontId="15" numFmtId="0" xfId="0" applyFont="1"/>
    <xf borderId="0" fillId="0" fontId="16" numFmtId="0" xfId="0" applyFont="1"/>
    <xf borderId="0" fillId="0" fontId="15" numFmtId="0" xfId="0" applyAlignment="1" applyFont="1">
      <alignment readingOrder="0"/>
    </xf>
    <xf borderId="0" fillId="55" fontId="17" numFmtId="0" xfId="0" applyAlignment="1" applyFont="1">
      <alignment horizontal="center" readingOrder="0" vertical="center"/>
    </xf>
    <xf borderId="4" fillId="56" fontId="18" numFmtId="0" xfId="0" applyAlignment="1" applyBorder="1" applyFont="1">
      <alignment horizontal="center" readingOrder="0" vertical="center"/>
    </xf>
    <xf borderId="0" fillId="56" fontId="18" numFmtId="0" xfId="0" applyAlignment="1" applyFont="1">
      <alignment horizontal="center" readingOrder="0" vertical="center"/>
    </xf>
    <xf borderId="0" fillId="4" fontId="19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19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4" fillId="0" fontId="19" numFmtId="0" xfId="0" applyAlignment="1" applyBorder="1" applyFont="1">
      <alignment readingOrder="0"/>
    </xf>
    <xf borderId="0" fillId="0" fontId="19" numFmtId="0" xfId="0" applyAlignment="1" applyFont="1">
      <alignment readingOrder="0"/>
    </xf>
    <xf borderId="0" fillId="0" fontId="19" numFmtId="0" xfId="0" applyFont="1"/>
    <xf borderId="0" fillId="0" fontId="19" numFmtId="14" xfId="0" applyFont="1" applyNumberFormat="1"/>
    <xf borderId="0" fillId="4" fontId="19" numFmtId="0" xfId="0" applyFont="1"/>
    <xf borderId="4" fillId="0" fontId="19" numFmtId="0" xfId="0" applyBorder="1" applyFont="1"/>
    <xf borderId="0" fillId="0" fontId="7" numFmtId="0" xfId="0" applyFont="1"/>
  </cellXfs>
  <cellStyles count="1">
    <cellStyle xfId="0" name="Normal" builtinId="0"/>
  </cellStyles>
  <dxfs count="1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</xdr:row>
      <xdr:rowOff>123825</xdr:rowOff>
    </xdr:from>
    <xdr:ext cx="1190625" cy="628650"/>
    <xdr:grpSp>
      <xdr:nvGrpSpPr>
        <xdr:cNvPr id="2" name="Shape 2" title="Drawing"/>
        <xdr:cNvGrpSpPr/>
      </xdr:nvGrpSpPr>
      <xdr:grpSpPr>
        <a:xfrm>
          <a:off x="2286000" y="1189650"/>
          <a:ext cx="1172400" cy="608400"/>
          <a:chOff x="2286000" y="1189650"/>
          <a:chExt cx="1172400" cy="608400"/>
        </a:xfrm>
      </xdr:grpSpPr>
      <xdr:sp>
        <xdr:nvSpPr>
          <xdr:cNvPr id="3" name="Shape 3"/>
          <xdr:cNvSpPr/>
        </xdr:nvSpPr>
        <xdr:spPr>
          <a:xfrm>
            <a:off x="2286000" y="1189650"/>
            <a:ext cx="1172400" cy="6084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286000" y="1259325"/>
            <a:ext cx="1172400" cy="406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900"/>
              <a:t>Add Item</a:t>
            </a:r>
            <a:endParaRPr sz="1900"/>
          </a:p>
        </xdr:txBody>
      </xdr:sp>
    </xdr:grpSp>
    <xdr:clientData fLocksWithSheet="0"/>
  </xdr:oneCellAnchor>
  <xdr:oneCellAnchor>
    <xdr:from>
      <xdr:col>2</xdr:col>
      <xdr:colOff>5114925</xdr:colOff>
      <xdr:row>1</xdr:row>
      <xdr:rowOff>457200</xdr:rowOff>
    </xdr:from>
    <xdr:ext cx="819150" cy="419100"/>
    <xdr:grpSp>
      <xdr:nvGrpSpPr>
        <xdr:cNvPr id="2" name="Shape 2" title="Drawing"/>
        <xdr:cNvGrpSpPr/>
      </xdr:nvGrpSpPr>
      <xdr:grpSpPr>
        <a:xfrm>
          <a:off x="1761225" y="290200"/>
          <a:ext cx="800700" cy="400200"/>
          <a:chOff x="1761225" y="290200"/>
          <a:chExt cx="800700" cy="400200"/>
        </a:xfrm>
      </xdr:grpSpPr>
      <xdr:sp>
        <xdr:nvSpPr>
          <xdr:cNvPr id="5" name="Shape 5"/>
          <xdr:cNvSpPr/>
        </xdr:nvSpPr>
        <xdr:spPr>
          <a:xfrm>
            <a:off x="1801275" y="360250"/>
            <a:ext cx="720600" cy="260100"/>
          </a:xfrm>
          <a:prstGeom prst="roundRect">
            <a:avLst>
              <a:gd fmla="val 16667" name="adj"/>
            </a:avLst>
          </a:prstGeom>
          <a:solidFill>
            <a:srgbClr val="D9D2E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1761225" y="290200"/>
            <a:ext cx="800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By Item</a:t>
            </a:r>
            <a:endParaRPr sz="1400"/>
          </a:p>
        </xdr:txBody>
      </xdr:sp>
    </xdr:grpSp>
    <xdr:clientData fLocksWithSheet="0"/>
  </xdr:oneCellAnchor>
  <xdr:oneCellAnchor>
    <xdr:from>
      <xdr:col>3</xdr:col>
      <xdr:colOff>962025</xdr:colOff>
      <xdr:row>1</xdr:row>
      <xdr:rowOff>476250</xdr:rowOff>
    </xdr:from>
    <xdr:ext cx="866775" cy="342900"/>
    <xdr:grpSp>
      <xdr:nvGrpSpPr>
        <xdr:cNvPr id="2" name="Shape 2" title="Drawing"/>
        <xdr:cNvGrpSpPr/>
      </xdr:nvGrpSpPr>
      <xdr:grpSpPr>
        <a:xfrm>
          <a:off x="1380975" y="295375"/>
          <a:ext cx="850500" cy="325200"/>
          <a:chOff x="1380975" y="295375"/>
          <a:chExt cx="850500" cy="325200"/>
        </a:xfrm>
      </xdr:grpSpPr>
      <xdr:sp>
        <xdr:nvSpPr>
          <xdr:cNvPr id="7" name="Shape 7"/>
          <xdr:cNvSpPr/>
        </xdr:nvSpPr>
        <xdr:spPr>
          <a:xfrm>
            <a:off x="1431025" y="350275"/>
            <a:ext cx="730500" cy="270300"/>
          </a:xfrm>
          <a:prstGeom prst="roundRect">
            <a:avLst>
              <a:gd fmla="val 16667" name="adj"/>
            </a:avLst>
          </a:prstGeom>
          <a:solidFill>
            <a:srgbClr val="D9D2E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1380975" y="295375"/>
            <a:ext cx="850500" cy="325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By Date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9525</xdr:colOff>
      <xdr:row>1</xdr:row>
      <xdr:rowOff>476250</xdr:rowOff>
    </xdr:from>
    <xdr:ext cx="1152525" cy="381000"/>
    <xdr:grpSp>
      <xdr:nvGrpSpPr>
        <xdr:cNvPr id="2" name="Shape 2" title="Drawing"/>
        <xdr:cNvGrpSpPr/>
      </xdr:nvGrpSpPr>
      <xdr:grpSpPr>
        <a:xfrm>
          <a:off x="1421025" y="310125"/>
          <a:ext cx="1130700" cy="360300"/>
          <a:chOff x="1421025" y="310125"/>
          <a:chExt cx="1130700" cy="360300"/>
        </a:xfrm>
      </xdr:grpSpPr>
      <xdr:sp>
        <xdr:nvSpPr>
          <xdr:cNvPr id="9" name="Shape 9"/>
          <xdr:cNvSpPr/>
        </xdr:nvSpPr>
        <xdr:spPr>
          <a:xfrm>
            <a:off x="1451025" y="360225"/>
            <a:ext cx="1070700" cy="260100"/>
          </a:xfrm>
          <a:prstGeom prst="roundRect">
            <a:avLst>
              <a:gd fmla="val 16667" name="adj"/>
            </a:avLst>
          </a:prstGeom>
          <a:solidFill>
            <a:srgbClr val="D9D2E9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1421025" y="310125"/>
            <a:ext cx="1130700" cy="360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By Location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</xdr:row>
      <xdr:rowOff>76200</xdr:rowOff>
    </xdr:from>
    <xdr:ext cx="1409700" cy="466725"/>
    <xdr:grpSp>
      <xdr:nvGrpSpPr>
        <xdr:cNvPr id="2" name="Shape 2" title="Drawing"/>
        <xdr:cNvGrpSpPr/>
      </xdr:nvGrpSpPr>
      <xdr:grpSpPr>
        <a:xfrm>
          <a:off x="40025" y="180125"/>
          <a:ext cx="1391100" cy="450300"/>
          <a:chOff x="40025" y="180125"/>
          <a:chExt cx="1391100" cy="450300"/>
        </a:xfrm>
      </xdr:grpSpPr>
      <xdr:sp>
        <xdr:nvSpPr>
          <xdr:cNvPr id="11" name="Shape 11"/>
          <xdr:cNvSpPr/>
        </xdr:nvSpPr>
        <xdr:spPr>
          <a:xfrm>
            <a:off x="40025" y="180125"/>
            <a:ext cx="1391100" cy="4503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140225" y="185075"/>
            <a:ext cx="1290900" cy="44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Add Location</a:t>
            </a:r>
            <a:endParaRPr sz="1400"/>
          </a:p>
        </xdr:txBody>
      </xdr:sp>
    </xdr:grpSp>
    <xdr:clientData fLocksWithSheet="0"/>
  </xdr:oneCellAnchor>
  <xdr:oneCellAnchor>
    <xdr:from>
      <xdr:col>7</xdr:col>
      <xdr:colOff>171450</xdr:colOff>
      <xdr:row>0</xdr:row>
      <xdr:rowOff>600075</xdr:rowOff>
    </xdr:from>
    <xdr:ext cx="1600200" cy="552450"/>
    <xdr:grpSp>
      <xdr:nvGrpSpPr>
        <xdr:cNvPr id="2" name="Shape 2" title="Drawing"/>
        <xdr:cNvGrpSpPr/>
      </xdr:nvGrpSpPr>
      <xdr:grpSpPr>
        <a:xfrm>
          <a:off x="180125" y="119925"/>
          <a:ext cx="1581000" cy="530400"/>
          <a:chOff x="180125" y="119925"/>
          <a:chExt cx="1581000" cy="530400"/>
        </a:xfrm>
      </xdr:grpSpPr>
      <xdr:sp>
        <xdr:nvSpPr>
          <xdr:cNvPr id="13" name="Shape 13"/>
          <xdr:cNvSpPr/>
        </xdr:nvSpPr>
        <xdr:spPr>
          <a:xfrm>
            <a:off x="180125" y="160125"/>
            <a:ext cx="1581000" cy="490200"/>
          </a:xfrm>
          <a:prstGeom prst="roundRect">
            <a:avLst>
              <a:gd fmla="val 16667" name="adj"/>
            </a:avLst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 txBox="1"/>
        </xdr:nvSpPr>
        <xdr:spPr>
          <a:xfrm>
            <a:off x="200075" y="119925"/>
            <a:ext cx="1541100" cy="53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Re-Format Sheet Colours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</xdr:row>
      <xdr:rowOff>85725</xdr:rowOff>
    </xdr:from>
    <xdr:ext cx="1771650" cy="561975"/>
    <xdr:grpSp>
      <xdr:nvGrpSpPr>
        <xdr:cNvPr id="2" name="Shape 2" title="Drawing"/>
        <xdr:cNvGrpSpPr/>
      </xdr:nvGrpSpPr>
      <xdr:grpSpPr>
        <a:xfrm>
          <a:off x="160125" y="150100"/>
          <a:ext cx="1751100" cy="540525"/>
          <a:chOff x="160125" y="150100"/>
          <a:chExt cx="1751100" cy="540525"/>
        </a:xfrm>
      </xdr:grpSpPr>
      <xdr:sp>
        <xdr:nvSpPr>
          <xdr:cNvPr id="15" name="Shape 15"/>
          <xdr:cNvSpPr/>
        </xdr:nvSpPr>
        <xdr:spPr>
          <a:xfrm>
            <a:off x="160125" y="150100"/>
            <a:ext cx="1751100" cy="4905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 txBox="1"/>
        </xdr:nvSpPr>
        <xdr:spPr>
          <a:xfrm>
            <a:off x="245175" y="200125"/>
            <a:ext cx="1581000" cy="490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Add Sub-Division</a:t>
            </a:r>
            <a:endParaRPr sz="1400"/>
          </a:p>
        </xdr:txBody>
      </xdr:sp>
    </xdr:grpSp>
    <xdr:clientData fLocksWithSheet="0"/>
  </xdr:oneCellAnchor>
  <xdr:oneCellAnchor>
    <xdr:from>
      <xdr:col>7</xdr:col>
      <xdr:colOff>66675</xdr:colOff>
      <xdr:row>1</xdr:row>
      <xdr:rowOff>38100</xdr:rowOff>
    </xdr:from>
    <xdr:ext cx="1790700" cy="609600"/>
    <xdr:grpSp>
      <xdr:nvGrpSpPr>
        <xdr:cNvPr id="2" name="Shape 2" title="Drawing"/>
        <xdr:cNvGrpSpPr/>
      </xdr:nvGrpSpPr>
      <xdr:grpSpPr>
        <a:xfrm>
          <a:off x="20025" y="160125"/>
          <a:ext cx="1776300" cy="590400"/>
          <a:chOff x="20025" y="160125"/>
          <a:chExt cx="1776300" cy="590400"/>
        </a:xfrm>
      </xdr:grpSpPr>
      <xdr:sp>
        <xdr:nvSpPr>
          <xdr:cNvPr id="17" name="Shape 17"/>
          <xdr:cNvSpPr/>
        </xdr:nvSpPr>
        <xdr:spPr>
          <a:xfrm>
            <a:off x="20025" y="160125"/>
            <a:ext cx="1776300" cy="590400"/>
          </a:xfrm>
          <a:prstGeom prst="roundRect">
            <a:avLst>
              <a:gd fmla="val 16667" name="adj"/>
            </a:avLst>
          </a:prstGeom>
          <a:solidFill>
            <a:srgbClr val="D9EAD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72525" y="160125"/>
            <a:ext cx="1671300" cy="590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Re-Format Sheet Colours</a:t>
            </a:r>
            <a:endParaRPr sz="1400"/>
          </a:p>
        </xdr:txBody>
      </xdr: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V61cipKXDi503mF8FbNQ9huHofr6IuN7IXO5UxCVa0/edit" TargetMode="External"/><Relationship Id="rId2" Type="http://schemas.openxmlformats.org/officeDocument/2006/relationships/hyperlink" Target="https://docs.google.com/spreadsheets/d/1WhTZVWOdvCN-vBjT_jhFyotvwgSMJLeGgeIG9baUoxU/edit" TargetMode="External"/><Relationship Id="rId3" Type="http://schemas.openxmlformats.org/officeDocument/2006/relationships/hyperlink" Target="https://docs.google.com/spreadsheets/d/1WhTZVWOdvCN-vBjT_jhFyotvwgSMJLeGgeIG9baUoxU/edit" TargetMode="External"/><Relationship Id="rId4" Type="http://schemas.openxmlformats.org/officeDocument/2006/relationships/hyperlink" Target="https://docs.google.com/spreadsheets/d/1WhTZVWOdvCN-vBjT_jhFyotvwgSMJLeGgeIG9baUoxU/edit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36.88"/>
    <col customWidth="1" min="3" max="3" width="67.13"/>
    <col customWidth="1" min="4" max="4" width="14.38"/>
    <col customWidth="1" min="5" max="5" width="10.88"/>
    <col customWidth="1" min="6" max="6" width="15.88"/>
    <col customWidth="1" min="7" max="7" width="31.38"/>
    <col customWidth="1" min="8" max="8" width="44.0"/>
    <col customWidth="1" min="9" max="9" width="23.5"/>
  </cols>
  <sheetData>
    <row r="1" ht="63.0" customHeight="1">
      <c r="A1" s="1" t="s">
        <v>0</v>
      </c>
      <c r="B1" s="2"/>
      <c r="C1" s="2"/>
      <c r="D1" s="2"/>
      <c r="E1" s="2"/>
      <c r="F1" s="3"/>
      <c r="G1" s="4"/>
      <c r="H1" s="2"/>
      <c r="I1" s="2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7.5" customHeight="1">
      <c r="A2" s="7"/>
      <c r="B2" s="2"/>
      <c r="C2" s="2"/>
      <c r="D2" s="8" t="s">
        <v>1</v>
      </c>
      <c r="E2" s="9"/>
      <c r="F2" s="10" t="s">
        <v>2</v>
      </c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3.75" customHeight="1">
      <c r="A3" s="13"/>
      <c r="B3" s="14"/>
      <c r="C3" s="14"/>
      <c r="D3" s="15"/>
      <c r="E3" s="16"/>
      <c r="F3" s="17"/>
      <c r="G3" s="14"/>
      <c r="H3" s="14"/>
      <c r="I3" s="1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 t="s">
        <v>3</v>
      </c>
      <c r="B4" s="21" t="s">
        <v>4</v>
      </c>
      <c r="C4" s="22" t="s">
        <v>5</v>
      </c>
      <c r="D4" s="22" t="s">
        <v>6</v>
      </c>
      <c r="E4" s="22" t="s">
        <v>7</v>
      </c>
      <c r="F4" s="20" t="s">
        <v>8</v>
      </c>
      <c r="G4" s="23" t="s">
        <v>9</v>
      </c>
      <c r="H4" s="22" t="s">
        <v>10</v>
      </c>
      <c r="I4" s="20" t="s">
        <v>11</v>
      </c>
      <c r="J4" s="24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6">
        <v>243.0</v>
      </c>
      <c r="B5" s="27" t="s">
        <v>12</v>
      </c>
      <c r="C5" s="28" t="s">
        <v>13</v>
      </c>
      <c r="D5" s="29">
        <v>20.0</v>
      </c>
      <c r="E5" s="30">
        <v>45370.0</v>
      </c>
      <c r="F5" s="31" t="s">
        <v>14</v>
      </c>
      <c r="G5" s="32" t="str">
        <f>VLOOKUP(F5,'Sub-Divisions'!A:$B,2,FALSE)</f>
        <v>Temporary Project Components Cupboard || Shelf 1</v>
      </c>
      <c r="H5" s="32" t="str">
        <f>VLOOKUP(LEFT(F5,LEN(F5)-3),'Storage Locations'!$A:$F,6,FALSE)</f>
        <v>Cupboard under robotics arena, next to Bench 14</v>
      </c>
      <c r="I5" s="33" t="str">
        <f>CONCATENATE(VLOOKUP(CONCATENATE("P/T",LEFT(F5,LEN(F5)-7)),'Rooms and Types'!$A:$B,2,FALSE), " (", VLOOKUP(CONCATENATE("P/T",LEFT(F5,LEN(F5)-7)),'Rooms and Types'!$A:$C,3,FALSE),")")</f>
        <v>Robotics Teaching Lab (4th Floor)</v>
      </c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6">
        <v>258.0</v>
      </c>
      <c r="B6" s="34" t="s">
        <v>15</v>
      </c>
      <c r="C6" s="35" t="s">
        <v>16</v>
      </c>
      <c r="D6" s="36" t="s">
        <v>17</v>
      </c>
      <c r="E6" s="30">
        <v>45366.0</v>
      </c>
      <c r="F6" s="31" t="s">
        <v>18</v>
      </c>
      <c r="G6" s="32" t="str">
        <f>VLOOKUP(F6,'Sub-Divisions'!A:$B,2,FALSE)</f>
        <v>Robotics Arena Parts &amp; Stationery Cupboard || Shelf 2: Robotics Arena Accesories</v>
      </c>
      <c r="H6" s="32" t="str">
        <f>VLOOKUP(LEFT(F6,LEN(F6)-3),'Storage Locations'!$A:$F,6,FALSE)</f>
        <v>Cupboard under robotics arena, next to Lab Spares cupboard (/410/203)</v>
      </c>
      <c r="I6" s="33" t="str">
        <f>CONCATENATE(VLOOKUP(CONCATENATE("P/T",LEFT(F6,LEN(F6)-7)),'Rooms and Types'!$A:$B,2,FALSE), " (", VLOOKUP(CONCATENATE("P/T",LEFT(F6,LEN(F6)-7)),'Rooms and Types'!$A:$C,3,FALSE),")")</f>
        <v>Robotics Teaching Lab (4th Floor)</v>
      </c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6">
        <v>257.0</v>
      </c>
      <c r="B7" s="34" t="s">
        <v>19</v>
      </c>
      <c r="C7" s="35" t="s">
        <v>20</v>
      </c>
      <c r="D7" s="36">
        <v>1.0</v>
      </c>
      <c r="E7" s="30">
        <v>45366.0</v>
      </c>
      <c r="F7" s="31" t="s">
        <v>18</v>
      </c>
      <c r="G7" s="32" t="str">
        <f>VLOOKUP(F7,'Sub-Divisions'!A:$B,2,FALSE)</f>
        <v>Robotics Arena Parts &amp; Stationery Cupboard || Shelf 2: Robotics Arena Accesories</v>
      </c>
      <c r="H7" s="32" t="str">
        <f>VLOOKUP(LEFT(F7,LEN(F7)-3),'Storage Locations'!$A:$F,6,FALSE)</f>
        <v>Cupboard under robotics arena, next to Lab Spares cupboard (/410/203)</v>
      </c>
      <c r="I7" s="33" t="str">
        <f>CONCATENATE(VLOOKUP(CONCATENATE("P/T",LEFT(F7,LEN(F7)-7)),'Rooms and Types'!$A:$B,2,FALSE), " (", VLOOKUP(CONCATENATE("P/T",LEFT(F7,LEN(F7)-7)),'Rooms and Types'!$A:$C,3,FALSE),")")</f>
        <v>Robotics Teaching Lab (4th Floor)</v>
      </c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6">
        <v>256.0</v>
      </c>
      <c r="B8" s="34" t="s">
        <v>21</v>
      </c>
      <c r="C8" s="35" t="s">
        <v>22</v>
      </c>
      <c r="D8" s="36">
        <v>5.0</v>
      </c>
      <c r="E8" s="30">
        <v>45366.0</v>
      </c>
      <c r="F8" s="31" t="s">
        <v>18</v>
      </c>
      <c r="G8" s="32" t="str">
        <f>VLOOKUP(F8,'Sub-Divisions'!A:$B,2,FALSE)</f>
        <v>Robotics Arena Parts &amp; Stationery Cupboard || Shelf 2: Robotics Arena Accesories</v>
      </c>
      <c r="H8" s="32" t="str">
        <f>VLOOKUP(LEFT(F8,LEN(F8)-3),'Storage Locations'!$A:$F,6,FALSE)</f>
        <v>Cupboard under robotics arena, next to Lab Spares cupboard (/410/203)</v>
      </c>
      <c r="I8" s="33" t="str">
        <f>CONCATENATE(VLOOKUP(CONCATENATE("P/T",LEFT(F8,LEN(F8)-7)),'Rooms and Types'!$A:$B,2,FALSE), " (", VLOOKUP(CONCATENATE("P/T",LEFT(F8,LEN(F8)-7)),'Rooms and Types'!$A:$C,3,FALSE),")")</f>
        <v>Robotics Teaching Lab (4th Floor)</v>
      </c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6">
        <v>255.0</v>
      </c>
      <c r="B9" s="34" t="s">
        <v>23</v>
      </c>
      <c r="C9" s="35" t="s">
        <v>24</v>
      </c>
      <c r="D9" s="36">
        <v>2.0</v>
      </c>
      <c r="E9" s="30">
        <v>45366.0</v>
      </c>
      <c r="F9" s="31" t="s">
        <v>18</v>
      </c>
      <c r="G9" s="32" t="str">
        <f>VLOOKUP(F9,'Sub-Divisions'!A:$B,2,FALSE)</f>
        <v>Robotics Arena Parts &amp; Stationery Cupboard || Shelf 2: Robotics Arena Accesories</v>
      </c>
      <c r="H9" s="32" t="str">
        <f>VLOOKUP(LEFT(F9,LEN(F9)-3),'Storage Locations'!$A:$F,6,FALSE)</f>
        <v>Cupboard under robotics arena, next to Lab Spares cupboard (/410/203)</v>
      </c>
      <c r="I9" s="33" t="str">
        <f>CONCATENATE(VLOOKUP(CONCATENATE("P/T",LEFT(F9,LEN(F9)-7)),'Rooms and Types'!$A:$B,2,FALSE), " (", VLOOKUP(CONCATENATE("P/T",LEFT(F9,LEN(F9)-7)),'Rooms and Types'!$A:$C,3,FALSE),")")</f>
        <v>Robotics Teaching Lab (4th Floor)</v>
      </c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6">
        <v>254.0</v>
      </c>
      <c r="B10" s="34" t="s">
        <v>25</v>
      </c>
      <c r="C10" s="35" t="s">
        <v>26</v>
      </c>
      <c r="D10" s="36">
        <v>1.0</v>
      </c>
      <c r="E10" s="30">
        <v>45366.0</v>
      </c>
      <c r="F10" s="31" t="s">
        <v>18</v>
      </c>
      <c r="G10" s="32" t="str">
        <f>VLOOKUP(F10,'Sub-Divisions'!A:$B,2,FALSE)</f>
        <v>Robotics Arena Parts &amp; Stationery Cupboard || Shelf 2: Robotics Arena Accesories</v>
      </c>
      <c r="H10" s="32" t="str">
        <f>VLOOKUP(LEFT(F10,LEN(F10)-3),'Storage Locations'!$A:$F,6,FALSE)</f>
        <v>Cupboard under robotics arena, next to Lab Spares cupboard (/410/203)</v>
      </c>
      <c r="I10" s="33" t="str">
        <f>CONCATENATE(VLOOKUP(CONCATENATE("P/T",LEFT(F10,LEN(F10)-7)),'Rooms and Types'!$A:$B,2,FALSE), " (", VLOOKUP(CONCATENATE("P/T",LEFT(F10,LEN(F10)-7)),'Rooms and Types'!$A:$C,3,FALSE),")")</f>
        <v>Robotics Teaching Lab (4th Floor)</v>
      </c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6">
        <v>253.0</v>
      </c>
      <c r="B11" s="34" t="s">
        <v>27</v>
      </c>
      <c r="C11" s="35" t="s">
        <v>28</v>
      </c>
      <c r="D11" s="36">
        <v>6.0</v>
      </c>
      <c r="E11" s="30">
        <v>45366.0</v>
      </c>
      <c r="F11" s="31" t="s">
        <v>18</v>
      </c>
      <c r="G11" s="32" t="str">
        <f>VLOOKUP(F11,'Sub-Divisions'!A:$B,2,FALSE)</f>
        <v>Robotics Arena Parts &amp; Stationery Cupboard || Shelf 2: Robotics Arena Accesories</v>
      </c>
      <c r="H11" s="32" t="str">
        <f>VLOOKUP(LEFT(F11,LEN(F11)-3),'Storage Locations'!$A:$F,6,FALSE)</f>
        <v>Cupboard under robotics arena, next to Lab Spares cupboard (/410/203)</v>
      </c>
      <c r="I11" s="33" t="str">
        <f>CONCATENATE(VLOOKUP(CONCATENATE("P/T",LEFT(F11,LEN(F11)-7)),'Rooms and Types'!$A:$B,2,FALSE), " (", VLOOKUP(CONCATENATE("P/T",LEFT(F11,LEN(F11)-7)),'Rooms and Types'!$A:$C,3,FALSE),")")</f>
        <v>Robotics Teaching Lab (4th Floor)</v>
      </c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6">
        <v>252.0</v>
      </c>
      <c r="B12" s="34" t="s">
        <v>29</v>
      </c>
      <c r="C12" s="35" t="s">
        <v>30</v>
      </c>
      <c r="D12" s="36">
        <v>1.0</v>
      </c>
      <c r="E12" s="30">
        <v>45366.0</v>
      </c>
      <c r="F12" s="31" t="s">
        <v>18</v>
      </c>
      <c r="G12" s="32" t="str">
        <f>VLOOKUP(F12,'Sub-Divisions'!A:$B,2,FALSE)</f>
        <v>Robotics Arena Parts &amp; Stationery Cupboard || Shelf 2: Robotics Arena Accesories</v>
      </c>
      <c r="H12" s="32" t="str">
        <f>VLOOKUP(LEFT(F12,LEN(F12)-3),'Storage Locations'!$A:$F,6,FALSE)</f>
        <v>Cupboard under robotics arena, next to Lab Spares cupboard (/410/203)</v>
      </c>
      <c r="I12" s="33" t="str">
        <f>CONCATENATE(VLOOKUP(CONCATENATE("P/T",LEFT(F12,LEN(F12)-7)),'Rooms and Types'!$A:$B,2,FALSE), " (", VLOOKUP(CONCATENATE("P/T",LEFT(F12,LEN(F12)-7)),'Rooms and Types'!$A:$C,3,FALSE),")")</f>
        <v>Robotics Teaching Lab (4th Floor)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6">
        <v>251.0</v>
      </c>
      <c r="B13" s="34" t="s">
        <v>31</v>
      </c>
      <c r="C13" s="35" t="s">
        <v>32</v>
      </c>
      <c r="D13" s="36">
        <v>1.0</v>
      </c>
      <c r="E13" s="30">
        <v>45366.0</v>
      </c>
      <c r="F13" s="31" t="s">
        <v>18</v>
      </c>
      <c r="G13" s="32" t="str">
        <f>VLOOKUP(F13,'Sub-Divisions'!A:$B,2,FALSE)</f>
        <v>Robotics Arena Parts &amp; Stationery Cupboard || Shelf 2: Robotics Arena Accesories</v>
      </c>
      <c r="H13" s="32" t="str">
        <f>VLOOKUP(LEFT(F13,LEN(F13)-3),'Storage Locations'!$A:$F,6,FALSE)</f>
        <v>Cupboard under robotics arena, next to Lab Spares cupboard (/410/203)</v>
      </c>
      <c r="I13" s="33" t="str">
        <f>CONCATENATE(VLOOKUP(CONCATENATE("P/T",LEFT(F13,LEN(F13)-7)),'Rooms and Types'!$A:$B,2,FALSE), " (", VLOOKUP(CONCATENATE("P/T",LEFT(F13,LEN(F13)-7)),'Rooms and Types'!$A:$C,3,FALSE),")")</f>
        <v>Robotics Teaching Lab (4th Floor)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6">
        <v>250.0</v>
      </c>
      <c r="B14" s="34" t="s">
        <v>33</v>
      </c>
      <c r="C14" s="35" t="s">
        <v>34</v>
      </c>
      <c r="D14" s="36">
        <v>13.0</v>
      </c>
      <c r="E14" s="30">
        <v>45366.0</v>
      </c>
      <c r="F14" s="31" t="s">
        <v>18</v>
      </c>
      <c r="G14" s="32" t="str">
        <f>VLOOKUP(F14,'Sub-Divisions'!A:$B,2,FALSE)</f>
        <v>Robotics Arena Parts &amp; Stationery Cupboard || Shelf 2: Robotics Arena Accesories</v>
      </c>
      <c r="H14" s="32" t="str">
        <f>VLOOKUP(LEFT(F14,LEN(F14)-3),'Storage Locations'!$A:$F,6,FALSE)</f>
        <v>Cupboard under robotics arena, next to Lab Spares cupboard (/410/203)</v>
      </c>
      <c r="I14" s="33" t="str">
        <f>CONCATENATE(VLOOKUP(CONCATENATE("P/T",LEFT(F14,LEN(F14)-7)),'Rooms and Types'!$A:$B,2,FALSE), " (", VLOOKUP(CONCATENATE("P/T",LEFT(F14,LEN(F14)-7)),'Rooms and Types'!$A:$C,3,FALSE),")")</f>
        <v>Robotics Teaching Lab (4th Floor)</v>
      </c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6">
        <v>249.0</v>
      </c>
      <c r="B15" s="34" t="s">
        <v>35</v>
      </c>
      <c r="C15" s="35" t="s">
        <v>36</v>
      </c>
      <c r="D15" s="36">
        <v>1.0</v>
      </c>
      <c r="E15" s="30">
        <v>45366.0</v>
      </c>
      <c r="F15" s="31" t="s">
        <v>18</v>
      </c>
      <c r="G15" s="32" t="str">
        <f>VLOOKUP(F15,'Sub-Divisions'!A:$B,2,FALSE)</f>
        <v>Robotics Arena Parts &amp; Stationery Cupboard || Shelf 2: Robotics Arena Accesories</v>
      </c>
      <c r="H15" s="32" t="str">
        <f>VLOOKUP(LEFT(F15,LEN(F15)-3),'Storage Locations'!$A:$F,6,FALSE)</f>
        <v>Cupboard under robotics arena, next to Lab Spares cupboard (/410/203)</v>
      </c>
      <c r="I15" s="33" t="str">
        <f>CONCATENATE(VLOOKUP(CONCATENATE("P/T",LEFT(F15,LEN(F15)-7)),'Rooms and Types'!$A:$B,2,FALSE), " (", VLOOKUP(CONCATENATE("P/T",LEFT(F15,LEN(F15)-7)),'Rooms and Types'!$A:$C,3,FALSE),")")</f>
        <v>Robotics Teaching Lab (4th Floor)</v>
      </c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6">
        <v>248.0</v>
      </c>
      <c r="B16" s="34" t="s">
        <v>37</v>
      </c>
      <c r="C16" s="35" t="s">
        <v>38</v>
      </c>
      <c r="D16" s="36">
        <v>1.0</v>
      </c>
      <c r="E16" s="30">
        <v>45366.0</v>
      </c>
      <c r="F16" s="31" t="s">
        <v>18</v>
      </c>
      <c r="G16" s="32" t="str">
        <f>VLOOKUP(F16,'Sub-Divisions'!A:$B,2,FALSE)</f>
        <v>Robotics Arena Parts &amp; Stationery Cupboard || Shelf 2: Robotics Arena Accesories</v>
      </c>
      <c r="H16" s="32" t="str">
        <f>VLOOKUP(LEFT(F16,LEN(F16)-3),'Storage Locations'!$A:$F,6,FALSE)</f>
        <v>Cupboard under robotics arena, next to Lab Spares cupboard (/410/203)</v>
      </c>
      <c r="I16" s="33" t="str">
        <f>CONCATENATE(VLOOKUP(CONCATENATE("P/T",LEFT(F16,LEN(F16)-7)),'Rooms and Types'!$A:$B,2,FALSE), " (", VLOOKUP(CONCATENATE("P/T",LEFT(F16,LEN(F16)-7)),'Rooms and Types'!$A:$C,3,FALSE),")")</f>
        <v>Robotics Teaching Lab (4th Floor)</v>
      </c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6">
        <v>183.0</v>
      </c>
      <c r="B17" s="27" t="s">
        <v>39</v>
      </c>
      <c r="C17" s="27" t="s">
        <v>40</v>
      </c>
      <c r="D17" s="29">
        <v>35.0</v>
      </c>
      <c r="E17" s="30">
        <v>45366.0</v>
      </c>
      <c r="F17" s="31" t="s">
        <v>41</v>
      </c>
      <c r="G17" s="32" t="str">
        <f>VLOOKUP(F17,'Sub-Divisions'!A:$B,2,FALSE)</f>
        <v>Robotics Arena Parts &amp; Stationery Cupboard || Shelf 1: Webcams, Webcam Accesories &amp; Misc Stationery</v>
      </c>
      <c r="H17" s="32" t="str">
        <f>VLOOKUP(LEFT(F17,LEN(F17)-3),'Storage Locations'!$A:$F,6,FALSE)</f>
        <v>Cupboard under robotics arena, next to Lab Spares cupboard (/410/203)</v>
      </c>
      <c r="I17" s="33" t="str">
        <f>CONCATENATE(VLOOKUP(CONCATENATE("P/T",LEFT(F17,LEN(F17)-7)),'Rooms and Types'!$A:$B,2,FALSE), " (", VLOOKUP(CONCATENATE("P/T",LEFT(F17,LEN(F17)-7)),'Rooms and Types'!$A:$C,3,FALSE),")")</f>
        <v>Robotics Teaching Lab (4th Floor)</v>
      </c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6">
        <v>182.0</v>
      </c>
      <c r="B18" s="27" t="s">
        <v>42</v>
      </c>
      <c r="C18" s="27" t="s">
        <v>43</v>
      </c>
      <c r="D18" s="29">
        <v>1.0</v>
      </c>
      <c r="E18" s="30">
        <v>45366.0</v>
      </c>
      <c r="F18" s="31" t="s">
        <v>41</v>
      </c>
      <c r="G18" s="32" t="str">
        <f>VLOOKUP(F18,'Sub-Divisions'!A:$B,2,FALSE)</f>
        <v>Robotics Arena Parts &amp; Stationery Cupboard || Shelf 1: Webcams, Webcam Accesories &amp; Misc Stationery</v>
      </c>
      <c r="H18" s="32" t="str">
        <f>VLOOKUP(LEFT(F18,LEN(F18)-3),'Storage Locations'!$A:$F,6,FALSE)</f>
        <v>Cupboard under robotics arena, next to Lab Spares cupboard (/410/203)</v>
      </c>
      <c r="I18" s="33" t="str">
        <f>CONCATENATE(VLOOKUP(CONCATENATE("P/T",LEFT(F18,LEN(F18)-7)),'Rooms and Types'!$A:$B,2,FALSE), " (", VLOOKUP(CONCATENATE("P/T",LEFT(F18,LEN(F18)-7)),'Rooms and Types'!$A:$C,3,FALSE),")")</f>
        <v>Robotics Teaching Lab (4th Floor)</v>
      </c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6">
        <v>181.0</v>
      </c>
      <c r="B19" s="27" t="s">
        <v>44</v>
      </c>
      <c r="C19" s="27" t="s">
        <v>45</v>
      </c>
      <c r="D19" s="29">
        <v>2.0</v>
      </c>
      <c r="E19" s="30">
        <v>45366.0</v>
      </c>
      <c r="F19" s="31" t="s">
        <v>41</v>
      </c>
      <c r="G19" s="32" t="str">
        <f>VLOOKUP(F19,'Sub-Divisions'!A:$B,2,FALSE)</f>
        <v>Robotics Arena Parts &amp; Stationery Cupboard || Shelf 1: Webcams, Webcam Accesories &amp; Misc Stationery</v>
      </c>
      <c r="H19" s="32" t="str">
        <f>VLOOKUP(LEFT(F19,LEN(F19)-3),'Storage Locations'!$A:$F,6,FALSE)</f>
        <v>Cupboard under robotics arena, next to Lab Spares cupboard (/410/203)</v>
      </c>
      <c r="I19" s="33" t="str">
        <f>CONCATENATE(VLOOKUP(CONCATENATE("P/T",LEFT(F19,LEN(F19)-7)),'Rooms and Types'!$A:$B,2,FALSE), " (", VLOOKUP(CONCATENATE("P/T",LEFT(F19,LEN(F19)-7)),'Rooms and Types'!$A:$C,3,FALSE),")")</f>
        <v>Robotics Teaching Lab (4th Floor)</v>
      </c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6">
        <v>178.0</v>
      </c>
      <c r="B20" s="27" t="s">
        <v>46</v>
      </c>
      <c r="C20" s="35" t="s">
        <v>47</v>
      </c>
      <c r="D20" s="29">
        <v>20.0</v>
      </c>
      <c r="E20" s="30">
        <v>45366.0</v>
      </c>
      <c r="F20" s="31" t="s">
        <v>41</v>
      </c>
      <c r="G20" s="32" t="str">
        <f>VLOOKUP(F20,'Sub-Divisions'!A:$B,2,FALSE)</f>
        <v>Robotics Arena Parts &amp; Stationery Cupboard || Shelf 1: Webcams, Webcam Accesories &amp; Misc Stationery</v>
      </c>
      <c r="H20" s="32" t="str">
        <f>VLOOKUP(LEFT(F20,LEN(F20)-3),'Storage Locations'!$A:$F,6,FALSE)</f>
        <v>Cupboard under robotics arena, next to Lab Spares cupboard (/410/203)</v>
      </c>
      <c r="I20" s="33" t="str">
        <f>CONCATENATE(VLOOKUP(CONCATENATE("P/T",LEFT(F20,LEN(F20)-7)),'Rooms and Types'!$A:$B,2,FALSE), " (", VLOOKUP(CONCATENATE("P/T",LEFT(F20,LEN(F20)-7)),'Rooms and Types'!$A:$C,3,FALSE),")")</f>
        <v>Robotics Teaching Lab (4th Floor)</v>
      </c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6">
        <v>177.0</v>
      </c>
      <c r="B21" s="27" t="s">
        <v>48</v>
      </c>
      <c r="C21" s="35" t="s">
        <v>49</v>
      </c>
      <c r="D21" s="29">
        <v>7.0</v>
      </c>
      <c r="E21" s="30">
        <v>45366.0</v>
      </c>
      <c r="F21" s="31" t="s">
        <v>41</v>
      </c>
      <c r="G21" s="32" t="str">
        <f>VLOOKUP(F21,'Sub-Divisions'!A:$B,2,FALSE)</f>
        <v>Robotics Arena Parts &amp; Stationery Cupboard || Shelf 1: Webcams, Webcam Accesories &amp; Misc Stationery</v>
      </c>
      <c r="H21" s="32" t="str">
        <f>VLOOKUP(LEFT(F21,LEN(F21)-3),'Storage Locations'!$A:$F,6,FALSE)</f>
        <v>Cupboard under robotics arena, next to Lab Spares cupboard (/410/203)</v>
      </c>
      <c r="I21" s="33" t="str">
        <f>CONCATENATE(VLOOKUP(CONCATENATE("P/T",LEFT(F21,LEN(F21)-7)),'Rooms and Types'!$A:$B,2,FALSE), " (", VLOOKUP(CONCATENATE("P/T",LEFT(F21,LEN(F21)-7)),'Rooms and Types'!$A:$C,3,FALSE),")")</f>
        <v>Robotics Teaching Lab (4th Floor)</v>
      </c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6">
        <v>75.0</v>
      </c>
      <c r="B22" s="34" t="s">
        <v>50</v>
      </c>
      <c r="C22" s="35" t="s">
        <v>51</v>
      </c>
      <c r="D22" s="36" t="s">
        <v>52</v>
      </c>
      <c r="E22" s="30">
        <v>45364.0</v>
      </c>
      <c r="F22" s="31" t="s">
        <v>53</v>
      </c>
      <c r="G22" s="32" t="str">
        <f>VLOOKUP(F22,'Sub-Divisions'!A:$B,2,FALSE)</f>
        <v>Robotics Consumables Cupboard || Shelf 5: Jumpers &amp; Cables</v>
      </c>
      <c r="H22" s="32" t="str">
        <f>VLOOKUP(LEFT(F22,LEN(F22)-3),'Storage Locations'!$A:$F,6,FALSE)</f>
        <v>South wall, next to Robotics Staff cupboard (/410/001)</v>
      </c>
      <c r="I22" s="33" t="str">
        <f>CONCATENATE(VLOOKUP(CONCATENATE("P/T",LEFT(F22,LEN(F22)-7)),'Rooms and Types'!$A:$B,2,FALSE), " (", VLOOKUP(CONCATENATE("P/T",LEFT(F22,LEN(F22)-7)),'Rooms and Types'!$A:$C,3,FALSE),")")</f>
        <v>Robotics Teaching Lab (4th Floor)</v>
      </c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26">
        <v>74.0</v>
      </c>
      <c r="B23" s="34" t="s">
        <v>54</v>
      </c>
      <c r="C23" s="35" t="s">
        <v>55</v>
      </c>
      <c r="D23" s="36" t="s">
        <v>56</v>
      </c>
      <c r="E23" s="30">
        <v>45364.0</v>
      </c>
      <c r="F23" s="31" t="s">
        <v>53</v>
      </c>
      <c r="G23" s="32" t="str">
        <f>VLOOKUP(F23,'Sub-Divisions'!A:$B,2,FALSE)</f>
        <v>Robotics Consumables Cupboard || Shelf 5: Jumpers &amp; Cables</v>
      </c>
      <c r="H23" s="32" t="str">
        <f>VLOOKUP(LEFT(F23,LEN(F23)-3),'Storage Locations'!$A:$F,6,FALSE)</f>
        <v>South wall, next to Robotics Staff cupboard (/410/001)</v>
      </c>
      <c r="I23" s="33" t="str">
        <f>CONCATENATE(VLOOKUP(CONCATENATE("P/T",LEFT(F23,LEN(F23)-7)),'Rooms and Types'!$A:$B,2,FALSE), " (", VLOOKUP(CONCATENATE("P/T",LEFT(F23,LEN(F23)-7)),'Rooms and Types'!$A:$C,3,FALSE),")")</f>
        <v>Robotics Teaching Lab (4th Floor)</v>
      </c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6">
        <v>57.0</v>
      </c>
      <c r="B24" s="34" t="s">
        <v>57</v>
      </c>
      <c r="C24" s="35" t="s">
        <v>58</v>
      </c>
      <c r="D24" s="36" t="s">
        <v>59</v>
      </c>
      <c r="E24" s="30">
        <v>45364.0</v>
      </c>
      <c r="F24" s="31" t="s">
        <v>53</v>
      </c>
      <c r="G24" s="32" t="str">
        <f>VLOOKUP(F24,'Sub-Divisions'!A:$B,2,FALSE)</f>
        <v>Robotics Consumables Cupboard || Shelf 5: Jumpers &amp; Cables</v>
      </c>
      <c r="H24" s="32" t="str">
        <f>VLOOKUP(LEFT(F24,LEN(F24)-3),'Storage Locations'!$A:$F,6,FALSE)</f>
        <v>South wall, next to Robotics Staff cupboard (/410/001)</v>
      </c>
      <c r="I24" s="33" t="str">
        <f>CONCATENATE(VLOOKUP(CONCATENATE("P/T",LEFT(F24,LEN(F24)-7)),'Rooms and Types'!$A:$B,2,FALSE), " (", VLOOKUP(CONCATENATE("P/T",LEFT(F24,LEN(F24)-7)),'Rooms and Types'!$A:$C,3,FALSE),")")</f>
        <v>Robotics Teaching Lab (4th Floor)</v>
      </c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6">
        <v>56.0</v>
      </c>
      <c r="B25" s="34" t="s">
        <v>60</v>
      </c>
      <c r="C25" s="35" t="s">
        <v>61</v>
      </c>
      <c r="D25" s="36" t="s">
        <v>59</v>
      </c>
      <c r="E25" s="30">
        <v>45364.0</v>
      </c>
      <c r="F25" s="31" t="s">
        <v>53</v>
      </c>
      <c r="G25" s="32" t="str">
        <f>VLOOKUP(F25,'Sub-Divisions'!A:$B,2,FALSE)</f>
        <v>Robotics Consumables Cupboard || Shelf 5: Jumpers &amp; Cables</v>
      </c>
      <c r="H25" s="32" t="str">
        <f>VLOOKUP(LEFT(F25,LEN(F25)-3),'Storage Locations'!$A:$F,6,FALSE)</f>
        <v>South wall, next to Robotics Staff cupboard (/410/001)</v>
      </c>
      <c r="I25" s="33" t="str">
        <f>CONCATENATE(VLOOKUP(CONCATENATE("P/T",LEFT(F25,LEN(F25)-7)),'Rooms and Types'!$A:$B,2,FALSE), " (", VLOOKUP(CONCATENATE("P/T",LEFT(F25,LEN(F25)-7)),'Rooms and Types'!$A:$C,3,FALSE),")")</f>
        <v>Robotics Teaching Lab (4th Floor)</v>
      </c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6">
        <v>55.0</v>
      </c>
      <c r="B26" s="34" t="s">
        <v>62</v>
      </c>
      <c r="C26" s="35" t="s">
        <v>63</v>
      </c>
      <c r="D26" s="36" t="s">
        <v>64</v>
      </c>
      <c r="E26" s="30">
        <v>45364.0</v>
      </c>
      <c r="F26" s="31" t="s">
        <v>53</v>
      </c>
      <c r="G26" s="32" t="str">
        <f>VLOOKUP(F26,'Sub-Divisions'!A:$B,2,FALSE)</f>
        <v>Robotics Consumables Cupboard || Shelf 5: Jumpers &amp; Cables</v>
      </c>
      <c r="H26" s="32" t="str">
        <f>VLOOKUP(LEFT(F26,LEN(F26)-3),'Storage Locations'!$A:$F,6,FALSE)</f>
        <v>South wall, next to Robotics Staff cupboard (/410/001)</v>
      </c>
      <c r="I26" s="33" t="str">
        <f>CONCATENATE(VLOOKUP(CONCATENATE("P/T",LEFT(F26,LEN(F26)-7)),'Rooms and Types'!$A:$B,2,FALSE), " (", VLOOKUP(CONCATENATE("P/T",LEFT(F26,LEN(F26)-7)),'Rooms and Types'!$A:$C,3,FALSE),")")</f>
        <v>Robotics Teaching Lab (4th Floor)</v>
      </c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6">
        <v>53.0</v>
      </c>
      <c r="B27" s="34" t="s">
        <v>65</v>
      </c>
      <c r="C27" s="35" t="s">
        <v>66</v>
      </c>
      <c r="D27" s="36" t="s">
        <v>64</v>
      </c>
      <c r="E27" s="30">
        <v>45364.0</v>
      </c>
      <c r="F27" s="31" t="s">
        <v>53</v>
      </c>
      <c r="G27" s="32" t="str">
        <f>VLOOKUP(F27,'Sub-Divisions'!A:$B,2,FALSE)</f>
        <v>Robotics Consumables Cupboard || Shelf 5: Jumpers &amp; Cables</v>
      </c>
      <c r="H27" s="32" t="str">
        <f>VLOOKUP(LEFT(F27,LEN(F27)-3),'Storage Locations'!$A:$F,6,FALSE)</f>
        <v>South wall, next to Robotics Staff cupboard (/410/001)</v>
      </c>
      <c r="I27" s="33" t="str">
        <f>CONCATENATE(VLOOKUP(CONCATENATE("P/T",LEFT(F27,LEN(F27)-7)),'Rooms and Types'!$A:$B,2,FALSE), " (", VLOOKUP(CONCATENATE("P/T",LEFT(F27,LEN(F27)-7)),'Rooms and Types'!$A:$C,3,FALSE),")")</f>
        <v>Robotics Teaching Lab (4th Floor)</v>
      </c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6">
        <v>65.0</v>
      </c>
      <c r="B28" s="34" t="s">
        <v>67</v>
      </c>
      <c r="C28" s="35" t="s">
        <v>68</v>
      </c>
      <c r="D28" s="36" t="s">
        <v>69</v>
      </c>
      <c r="E28" s="30">
        <v>45364.0</v>
      </c>
      <c r="F28" s="31" t="s">
        <v>70</v>
      </c>
      <c r="G28" s="32" t="str">
        <f>VLOOKUP(F28,'Sub-Divisions'!A:$B,2,FALSE)</f>
        <v>Robotics Consumables Cupboard || Shelf 4: Electrical Components &amp; Sensors</v>
      </c>
      <c r="H28" s="32" t="str">
        <f>VLOOKUP(LEFT(F28,LEN(F28)-3),'Storage Locations'!$A:$F,6,FALSE)</f>
        <v>South wall, next to Robotics Staff cupboard (/410/001)</v>
      </c>
      <c r="I28" s="33" t="str">
        <f>CONCATENATE(VLOOKUP(CONCATENATE("P/T",LEFT(F28,LEN(F28)-7)),'Rooms and Types'!$A:$B,2,FALSE), " (", VLOOKUP(CONCATENATE("P/T",LEFT(F28,LEN(F28)-7)),'Rooms and Types'!$A:$C,3,FALSE),")")</f>
        <v>Robotics Teaching Lab (4th Floor)</v>
      </c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6">
        <v>64.0</v>
      </c>
      <c r="B29" s="34" t="s">
        <v>71</v>
      </c>
      <c r="C29" s="35" t="s">
        <v>72</v>
      </c>
      <c r="D29" s="36" t="s">
        <v>73</v>
      </c>
      <c r="E29" s="30">
        <v>45364.0</v>
      </c>
      <c r="F29" s="31" t="s">
        <v>70</v>
      </c>
      <c r="G29" s="32" t="str">
        <f>VLOOKUP(F29,'Sub-Divisions'!A:$B,2,FALSE)</f>
        <v>Robotics Consumables Cupboard || Shelf 4: Electrical Components &amp; Sensors</v>
      </c>
      <c r="H29" s="32" t="str">
        <f>VLOOKUP(LEFT(F29,LEN(F29)-3),'Storage Locations'!$A:$F,6,FALSE)</f>
        <v>South wall, next to Robotics Staff cupboard (/410/001)</v>
      </c>
      <c r="I29" s="33" t="str">
        <f>CONCATENATE(VLOOKUP(CONCATENATE("P/T",LEFT(F29,LEN(F29)-7)),'Rooms and Types'!$A:$B,2,FALSE), " (", VLOOKUP(CONCATENATE("P/T",LEFT(F29,LEN(F29)-7)),'Rooms and Types'!$A:$C,3,FALSE),")")</f>
        <v>Robotics Teaching Lab (4th Floor)</v>
      </c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6">
        <v>63.0</v>
      </c>
      <c r="B30" s="34" t="s">
        <v>74</v>
      </c>
      <c r="C30" s="35" t="s">
        <v>75</v>
      </c>
      <c r="D30" s="36" t="s">
        <v>76</v>
      </c>
      <c r="E30" s="30">
        <v>45364.0</v>
      </c>
      <c r="F30" s="31" t="s">
        <v>70</v>
      </c>
      <c r="G30" s="32" t="str">
        <f>VLOOKUP(F30,'Sub-Divisions'!A:$B,2,FALSE)</f>
        <v>Robotics Consumables Cupboard || Shelf 4: Electrical Components &amp; Sensors</v>
      </c>
      <c r="H30" s="32" t="str">
        <f>VLOOKUP(LEFT(F30,LEN(F30)-3),'Storage Locations'!$A:$F,6,FALSE)</f>
        <v>South wall, next to Robotics Staff cupboard (/410/001)</v>
      </c>
      <c r="I30" s="33" t="str">
        <f>CONCATENATE(VLOOKUP(CONCATENATE("P/T",LEFT(F30,LEN(F30)-7)),'Rooms and Types'!$A:$B,2,FALSE), " (", VLOOKUP(CONCATENATE("P/T",LEFT(F30,LEN(F30)-7)),'Rooms and Types'!$A:$C,3,FALSE),")")</f>
        <v>Robotics Teaching Lab (4th Floor)</v>
      </c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6">
        <v>61.0</v>
      </c>
      <c r="B31" s="34" t="s">
        <v>77</v>
      </c>
      <c r="C31" s="35" t="s">
        <v>78</v>
      </c>
      <c r="D31" s="36" t="s">
        <v>76</v>
      </c>
      <c r="E31" s="30">
        <v>45364.0</v>
      </c>
      <c r="F31" s="31" t="s">
        <v>70</v>
      </c>
      <c r="G31" s="32" t="str">
        <f>VLOOKUP(F31,'Sub-Divisions'!A:$B,2,FALSE)</f>
        <v>Robotics Consumables Cupboard || Shelf 4: Electrical Components &amp; Sensors</v>
      </c>
      <c r="H31" s="32" t="str">
        <f>VLOOKUP(LEFT(F31,LEN(F31)-3),'Storage Locations'!$A:$F,6,FALSE)</f>
        <v>South wall, next to Robotics Staff cupboard (/410/001)</v>
      </c>
      <c r="I31" s="33" t="str">
        <f>CONCATENATE(VLOOKUP(CONCATENATE("P/T",LEFT(F31,LEN(F31)-7)),'Rooms and Types'!$A:$B,2,FALSE), " (", VLOOKUP(CONCATENATE("P/T",LEFT(F31,LEN(F31)-7)),'Rooms and Types'!$A:$C,3,FALSE),")")</f>
        <v>Robotics Teaching Lab (4th Floor)</v>
      </c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6">
        <v>58.0</v>
      </c>
      <c r="B32" s="34" t="s">
        <v>79</v>
      </c>
      <c r="C32" s="35" t="s">
        <v>80</v>
      </c>
      <c r="D32" s="36">
        <v>21.0</v>
      </c>
      <c r="E32" s="30">
        <v>45364.0</v>
      </c>
      <c r="F32" s="31" t="s">
        <v>70</v>
      </c>
      <c r="G32" s="32" t="str">
        <f>VLOOKUP(F32,'Sub-Divisions'!A:$B,2,FALSE)</f>
        <v>Robotics Consumables Cupboard || Shelf 4: Electrical Components &amp; Sensors</v>
      </c>
      <c r="H32" s="32" t="str">
        <f>VLOOKUP(LEFT(F32,LEN(F32)-3),'Storage Locations'!$A:$F,6,FALSE)</f>
        <v>South wall, next to Robotics Staff cupboard (/410/001)</v>
      </c>
      <c r="I32" s="33" t="str">
        <f>CONCATENATE(VLOOKUP(CONCATENATE("P/T",LEFT(F32,LEN(F32)-7)),'Rooms and Types'!$A:$B,2,FALSE), " (", VLOOKUP(CONCATENATE("P/T",LEFT(F32,LEN(F32)-7)),'Rooms and Types'!$A:$C,3,FALSE),")")</f>
        <v>Robotics Teaching Lab (4th Floor)</v>
      </c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6">
        <v>52.0</v>
      </c>
      <c r="B33" s="34" t="s">
        <v>81</v>
      </c>
      <c r="C33" s="35" t="s">
        <v>82</v>
      </c>
      <c r="D33" s="36">
        <v>17.0</v>
      </c>
      <c r="E33" s="30">
        <v>45364.0</v>
      </c>
      <c r="F33" s="31" t="s">
        <v>70</v>
      </c>
      <c r="G33" s="32" t="str">
        <f>VLOOKUP(F33,'Sub-Divisions'!A:$B,2,FALSE)</f>
        <v>Robotics Consumables Cupboard || Shelf 4: Electrical Components &amp; Sensors</v>
      </c>
      <c r="H33" s="32" t="str">
        <f>VLOOKUP(LEFT(F33,LEN(F33)-3),'Storage Locations'!$A:$F,6,FALSE)</f>
        <v>South wall, next to Robotics Staff cupboard (/410/001)</v>
      </c>
      <c r="I33" s="33" t="str">
        <f>CONCATENATE(VLOOKUP(CONCATENATE("P/T",LEFT(F33,LEN(F33)-7)),'Rooms and Types'!$A:$B,2,FALSE), " (", VLOOKUP(CONCATENATE("P/T",LEFT(F33,LEN(F33)-7)),'Rooms and Types'!$A:$C,3,FALSE),")")</f>
        <v>Robotics Teaching Lab (4th Floor)</v>
      </c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6">
        <v>51.0</v>
      </c>
      <c r="B34" s="34" t="s">
        <v>83</v>
      </c>
      <c r="C34" s="35" t="s">
        <v>84</v>
      </c>
      <c r="D34" s="36" t="s">
        <v>85</v>
      </c>
      <c r="E34" s="30">
        <v>45364.0</v>
      </c>
      <c r="F34" s="31" t="s">
        <v>70</v>
      </c>
      <c r="G34" s="32" t="str">
        <f>VLOOKUP(F34,'Sub-Divisions'!A:$B,2,FALSE)</f>
        <v>Robotics Consumables Cupboard || Shelf 4: Electrical Components &amp; Sensors</v>
      </c>
      <c r="H34" s="32" t="str">
        <f>VLOOKUP(LEFT(F34,LEN(F34)-3),'Storage Locations'!$A:$F,6,FALSE)</f>
        <v>South wall, next to Robotics Staff cupboard (/410/001)</v>
      </c>
      <c r="I34" s="33" t="str">
        <f>CONCATENATE(VLOOKUP(CONCATENATE("P/T",LEFT(F34,LEN(F34)-7)),'Rooms and Types'!$A:$B,2,FALSE), " (", VLOOKUP(CONCATENATE("P/T",LEFT(F34,LEN(F34)-7)),'Rooms and Types'!$A:$C,3,FALSE),")")</f>
        <v>Robotics Teaching Lab (4th Floor)</v>
      </c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6">
        <v>81.0</v>
      </c>
      <c r="B35" s="34" t="s">
        <v>86</v>
      </c>
      <c r="C35" s="35" t="s">
        <v>87</v>
      </c>
      <c r="D35" s="36" t="s">
        <v>88</v>
      </c>
      <c r="E35" s="30">
        <v>45364.0</v>
      </c>
      <c r="F35" s="31" t="s">
        <v>89</v>
      </c>
      <c r="G35" s="32" t="str">
        <f>VLOOKUP(F35,'Sub-Divisions'!A:$B,2,FALSE)</f>
        <v>Robotics Consumables Cupboard || Shelf 3: Mechanical Components &amp; Actuators</v>
      </c>
      <c r="H35" s="32" t="str">
        <f>VLOOKUP(LEFT(F35,LEN(F35)-3),'Storage Locations'!$A:$F,6,FALSE)</f>
        <v>South wall, next to Robotics Staff cupboard (/410/001)</v>
      </c>
      <c r="I35" s="33" t="str">
        <f>CONCATENATE(VLOOKUP(CONCATENATE("P/T",LEFT(F35,LEN(F35)-7)),'Rooms and Types'!$A:$B,2,FALSE), " (", VLOOKUP(CONCATENATE("P/T",LEFT(F35,LEN(F35)-7)),'Rooms and Types'!$A:$C,3,FALSE),")")</f>
        <v>Robotics Teaching Lab (4th Floor)</v>
      </c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6">
        <v>80.0</v>
      </c>
      <c r="B36" s="34" t="s">
        <v>90</v>
      </c>
      <c r="C36" s="35" t="s">
        <v>91</v>
      </c>
      <c r="D36" s="36" t="s">
        <v>92</v>
      </c>
      <c r="E36" s="30">
        <v>45364.0</v>
      </c>
      <c r="F36" s="31" t="s">
        <v>89</v>
      </c>
      <c r="G36" s="32" t="str">
        <f>VLOOKUP(F36,'Sub-Divisions'!A:$B,2,FALSE)</f>
        <v>Robotics Consumables Cupboard || Shelf 3: Mechanical Components &amp; Actuators</v>
      </c>
      <c r="H36" s="32" t="str">
        <f>VLOOKUP(LEFT(F36,LEN(F36)-3),'Storage Locations'!$A:$F,6,FALSE)</f>
        <v>South wall, next to Robotics Staff cupboard (/410/001)</v>
      </c>
      <c r="I36" s="33" t="str">
        <f>CONCATENATE(VLOOKUP(CONCATENATE("P/T",LEFT(F36,LEN(F36)-7)),'Rooms and Types'!$A:$B,2,FALSE), " (", VLOOKUP(CONCATENATE("P/T",LEFT(F36,LEN(F36)-7)),'Rooms and Types'!$A:$C,3,FALSE),")")</f>
        <v>Robotics Teaching Lab (4th Floor)</v>
      </c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6">
        <v>77.0</v>
      </c>
      <c r="B37" s="34" t="s">
        <v>93</v>
      </c>
      <c r="C37" s="35" t="s">
        <v>94</v>
      </c>
      <c r="D37" s="36" t="s">
        <v>95</v>
      </c>
      <c r="E37" s="30">
        <v>45364.0</v>
      </c>
      <c r="F37" s="31" t="s">
        <v>89</v>
      </c>
      <c r="G37" s="32" t="str">
        <f>VLOOKUP(F37,'Sub-Divisions'!A:$B,2,FALSE)</f>
        <v>Robotics Consumables Cupboard || Shelf 3: Mechanical Components &amp; Actuators</v>
      </c>
      <c r="H37" s="32" t="str">
        <f>VLOOKUP(LEFT(F37,LEN(F37)-3),'Storage Locations'!$A:$F,6,FALSE)</f>
        <v>South wall, next to Robotics Staff cupboard (/410/001)</v>
      </c>
      <c r="I37" s="33" t="str">
        <f>CONCATENATE(VLOOKUP(CONCATENATE("P/T",LEFT(F37,LEN(F37)-7)),'Rooms and Types'!$A:$B,2,FALSE), " (", VLOOKUP(CONCATENATE("P/T",LEFT(F37,LEN(F37)-7)),'Rooms and Types'!$A:$C,3,FALSE),")")</f>
        <v>Robotics Teaching Lab (4th Floor)</v>
      </c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6">
        <v>76.0</v>
      </c>
      <c r="B38" s="34" t="s">
        <v>96</v>
      </c>
      <c r="C38" s="35" t="s">
        <v>97</v>
      </c>
      <c r="D38" s="36" t="s">
        <v>98</v>
      </c>
      <c r="E38" s="30">
        <v>45364.0</v>
      </c>
      <c r="F38" s="31" t="s">
        <v>89</v>
      </c>
      <c r="G38" s="32" t="str">
        <f>VLOOKUP(F38,'Sub-Divisions'!A:$B,2,FALSE)</f>
        <v>Robotics Consumables Cupboard || Shelf 3: Mechanical Components &amp; Actuators</v>
      </c>
      <c r="H38" s="32" t="str">
        <f>VLOOKUP(LEFT(F38,LEN(F38)-3),'Storage Locations'!$A:$F,6,FALSE)</f>
        <v>South wall, next to Robotics Staff cupboard (/410/001)</v>
      </c>
      <c r="I38" s="33" t="str">
        <f>CONCATENATE(VLOOKUP(CONCATENATE("P/T",LEFT(F38,LEN(F38)-7)),'Rooms and Types'!$A:$B,2,FALSE), " (", VLOOKUP(CONCATENATE("P/T",LEFT(F38,LEN(F38)-7)),'Rooms and Types'!$A:$C,3,FALSE),")")</f>
        <v>Robotics Teaching Lab (4th Floor)</v>
      </c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6">
        <v>73.0</v>
      </c>
      <c r="B39" s="34" t="s">
        <v>99</v>
      </c>
      <c r="C39" s="35" t="s">
        <v>100</v>
      </c>
      <c r="D39" s="36">
        <v>9.0</v>
      </c>
      <c r="E39" s="30">
        <v>45364.0</v>
      </c>
      <c r="F39" s="31" t="s">
        <v>89</v>
      </c>
      <c r="G39" s="32" t="str">
        <f>VLOOKUP(F39,'Sub-Divisions'!A:$B,2,FALSE)</f>
        <v>Robotics Consumables Cupboard || Shelf 3: Mechanical Components &amp; Actuators</v>
      </c>
      <c r="H39" s="32" t="str">
        <f>VLOOKUP(LEFT(F39,LEN(F39)-3),'Storage Locations'!$A:$F,6,FALSE)</f>
        <v>South wall, next to Robotics Staff cupboard (/410/001)</v>
      </c>
      <c r="I39" s="33" t="str">
        <f>CONCATENATE(VLOOKUP(CONCATENATE("P/T",LEFT(F39,LEN(F39)-7)),'Rooms and Types'!$A:$B,2,FALSE), " (", VLOOKUP(CONCATENATE("P/T",LEFT(F39,LEN(F39)-7)),'Rooms and Types'!$A:$C,3,FALSE),")")</f>
        <v>Robotics Teaching Lab (4th Floor)</v>
      </c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6">
        <v>68.0</v>
      </c>
      <c r="B40" s="34" t="s">
        <v>101</v>
      </c>
      <c r="C40" s="35" t="s">
        <v>102</v>
      </c>
      <c r="D40" s="36" t="s">
        <v>59</v>
      </c>
      <c r="E40" s="30">
        <v>45364.0</v>
      </c>
      <c r="F40" s="31" t="s">
        <v>89</v>
      </c>
      <c r="G40" s="32" t="str">
        <f>VLOOKUP(F40,'Sub-Divisions'!A:$B,2,FALSE)</f>
        <v>Robotics Consumables Cupboard || Shelf 3: Mechanical Components &amp; Actuators</v>
      </c>
      <c r="H40" s="32" t="str">
        <f>VLOOKUP(LEFT(F40,LEN(F40)-3),'Storage Locations'!$A:$F,6,FALSE)</f>
        <v>South wall, next to Robotics Staff cupboard (/410/001)</v>
      </c>
      <c r="I40" s="33" t="str">
        <f>CONCATENATE(VLOOKUP(CONCATENATE("P/T",LEFT(F40,LEN(F40)-7)),'Rooms and Types'!$A:$B,2,FALSE), " (", VLOOKUP(CONCATENATE("P/T",LEFT(F40,LEN(F40)-7)),'Rooms and Types'!$A:$C,3,FALSE),")")</f>
        <v>Robotics Teaching Lab (4th Floor)</v>
      </c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6">
        <v>60.0</v>
      </c>
      <c r="B41" s="34" t="s">
        <v>103</v>
      </c>
      <c r="C41" s="35" t="s">
        <v>104</v>
      </c>
      <c r="D41" s="36" t="s">
        <v>85</v>
      </c>
      <c r="E41" s="30">
        <v>45364.0</v>
      </c>
      <c r="F41" s="31" t="s">
        <v>89</v>
      </c>
      <c r="G41" s="32" t="str">
        <f>VLOOKUP(F41,'Sub-Divisions'!A:$B,2,FALSE)</f>
        <v>Robotics Consumables Cupboard || Shelf 3: Mechanical Components &amp; Actuators</v>
      </c>
      <c r="H41" s="32" t="str">
        <f>VLOOKUP(LEFT(F41,LEN(F41)-3),'Storage Locations'!$A:$F,6,FALSE)</f>
        <v>South wall, next to Robotics Staff cupboard (/410/001)</v>
      </c>
      <c r="I41" s="33" t="str">
        <f>CONCATENATE(VLOOKUP(CONCATENATE("P/T",LEFT(F41,LEN(F41)-7)),'Rooms and Types'!$A:$B,2,FALSE), " (", VLOOKUP(CONCATENATE("P/T",LEFT(F41,LEN(F41)-7)),'Rooms and Types'!$A:$C,3,FALSE),")")</f>
        <v>Robotics Teaching Lab (4th Floor)</v>
      </c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6">
        <v>43.0</v>
      </c>
      <c r="B42" s="34" t="s">
        <v>105</v>
      </c>
      <c r="C42" s="35" t="s">
        <v>106</v>
      </c>
      <c r="D42" s="36">
        <v>3.0</v>
      </c>
      <c r="E42" s="30">
        <v>45364.0</v>
      </c>
      <c r="F42" s="31" t="s">
        <v>89</v>
      </c>
      <c r="G42" s="32" t="str">
        <f>VLOOKUP(F42,'Sub-Divisions'!A:$B,2,FALSE)</f>
        <v>Robotics Consumables Cupboard || Shelf 3: Mechanical Components &amp; Actuators</v>
      </c>
      <c r="H42" s="32" t="str">
        <f>VLOOKUP(LEFT(F42,LEN(F42)-3),'Storage Locations'!$A:$F,6,FALSE)</f>
        <v>South wall, next to Robotics Staff cupboard (/410/001)</v>
      </c>
      <c r="I42" s="33" t="str">
        <f>CONCATENATE(VLOOKUP(CONCATENATE("P/T",LEFT(F42,LEN(F42)-7)),'Rooms and Types'!$A:$B,2,FALSE), " (", VLOOKUP(CONCATENATE("P/T",LEFT(F42,LEN(F42)-7)),'Rooms and Types'!$A:$C,3,FALSE),")")</f>
        <v>Robotics Teaching Lab (4th Floor)</v>
      </c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6">
        <v>247.0</v>
      </c>
      <c r="B43" s="34" t="s">
        <v>107</v>
      </c>
      <c r="C43" s="35" t="s">
        <v>108</v>
      </c>
      <c r="D43" s="36" t="s">
        <v>109</v>
      </c>
      <c r="E43" s="30">
        <v>45364.0</v>
      </c>
      <c r="F43" s="31" t="s">
        <v>110</v>
      </c>
      <c r="G43" s="32" t="str">
        <f>VLOOKUP(F43,'Sub-Divisions'!A:$B,2,FALSE)</f>
        <v>Robotics Consumables Cupboard || Shelf 1: Miscellaneous Items</v>
      </c>
      <c r="H43" s="32" t="str">
        <f>VLOOKUP(LEFT(F43,LEN(F43)-3),'Storage Locations'!$A:$F,6,FALSE)</f>
        <v>South wall, next to Robotics Staff cupboard (/410/001)</v>
      </c>
      <c r="I43" s="33" t="str">
        <f>CONCATENATE(VLOOKUP(CONCATENATE("P/T",LEFT(F43,LEN(F43)-7)),'Rooms and Types'!$A:$B,2,FALSE), " (", VLOOKUP(CONCATENATE("P/T",LEFT(F43,LEN(F43)-7)),'Rooms and Types'!$A:$C,3,FALSE),")")</f>
        <v>Robotics Teaching Lab (4th Floor)</v>
      </c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6">
        <v>72.0</v>
      </c>
      <c r="B44" s="34" t="s">
        <v>111</v>
      </c>
      <c r="C44" s="35" t="s">
        <v>112</v>
      </c>
      <c r="D44" s="36" t="s">
        <v>113</v>
      </c>
      <c r="E44" s="30">
        <v>45364.0</v>
      </c>
      <c r="F44" s="31" t="s">
        <v>110</v>
      </c>
      <c r="G44" s="32" t="str">
        <f>VLOOKUP(F44,'Sub-Divisions'!A:$B,2,FALSE)</f>
        <v>Robotics Consumables Cupboard || Shelf 1: Miscellaneous Items</v>
      </c>
      <c r="H44" s="32" t="str">
        <f>VLOOKUP(LEFT(F44,LEN(F44)-3),'Storage Locations'!$A:$F,6,FALSE)</f>
        <v>South wall, next to Robotics Staff cupboard (/410/001)</v>
      </c>
      <c r="I44" s="33" t="str">
        <f>CONCATENATE(VLOOKUP(CONCATENATE("P/T",LEFT(F44,LEN(F44)-7)),'Rooms and Types'!$A:$B,2,FALSE), " (", VLOOKUP(CONCATENATE("P/T",LEFT(F44,LEN(F44)-7)),'Rooms and Types'!$A:$C,3,FALSE),")")</f>
        <v>Robotics Teaching Lab (4th Floor)</v>
      </c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6">
        <v>54.0</v>
      </c>
      <c r="B45" s="34" t="s">
        <v>114</v>
      </c>
      <c r="C45" s="35" t="s">
        <v>115</v>
      </c>
      <c r="D45" s="36" t="s">
        <v>52</v>
      </c>
      <c r="E45" s="30">
        <v>45364.0</v>
      </c>
      <c r="F45" s="31" t="s">
        <v>110</v>
      </c>
      <c r="G45" s="32" t="str">
        <f>VLOOKUP(F45,'Sub-Divisions'!A:$B,2,FALSE)</f>
        <v>Robotics Consumables Cupboard || Shelf 1: Miscellaneous Items</v>
      </c>
      <c r="H45" s="32" t="str">
        <f>VLOOKUP(LEFT(F45,LEN(F45)-3),'Storage Locations'!$A:$F,6,FALSE)</f>
        <v>South wall, next to Robotics Staff cupboard (/410/001)</v>
      </c>
      <c r="I45" s="33" t="str">
        <f>CONCATENATE(VLOOKUP(CONCATENATE("P/T",LEFT(F45,LEN(F45)-7)),'Rooms and Types'!$A:$B,2,FALSE), " (", VLOOKUP(CONCATENATE("P/T",LEFT(F45,LEN(F45)-7)),'Rooms and Types'!$A:$C,3,FALSE),")")</f>
        <v>Robotics Teaching Lab (4th Floor)</v>
      </c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6">
        <v>50.0</v>
      </c>
      <c r="B46" s="34" t="s">
        <v>116</v>
      </c>
      <c r="C46" s="35" t="s">
        <v>117</v>
      </c>
      <c r="D46" s="36">
        <v>2.0</v>
      </c>
      <c r="E46" s="30">
        <v>45364.0</v>
      </c>
      <c r="F46" s="31" t="s">
        <v>110</v>
      </c>
      <c r="G46" s="32" t="str">
        <f>VLOOKUP(F46,'Sub-Divisions'!A:$B,2,FALSE)</f>
        <v>Robotics Consumables Cupboard || Shelf 1: Miscellaneous Items</v>
      </c>
      <c r="H46" s="32" t="str">
        <f>VLOOKUP(LEFT(F46,LEN(F46)-3),'Storage Locations'!$A:$F,6,FALSE)</f>
        <v>South wall, next to Robotics Staff cupboard (/410/001)</v>
      </c>
      <c r="I46" s="33" t="str">
        <f>CONCATENATE(VLOOKUP(CONCATENATE("P/T",LEFT(F46,LEN(F46)-7)),'Rooms and Types'!$A:$B,2,FALSE), " (", VLOOKUP(CONCATENATE("P/T",LEFT(F46,LEN(F46)-7)),'Rooms and Types'!$A:$C,3,FALSE),")")</f>
        <v>Robotics Teaching Lab (4th Floor)</v>
      </c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6">
        <v>45.0</v>
      </c>
      <c r="B47" s="34" t="s">
        <v>118</v>
      </c>
      <c r="C47" s="35" t="s">
        <v>119</v>
      </c>
      <c r="D47" s="36" t="s">
        <v>120</v>
      </c>
      <c r="E47" s="30">
        <v>45364.0</v>
      </c>
      <c r="F47" s="31" t="s">
        <v>110</v>
      </c>
      <c r="G47" s="32" t="str">
        <f>VLOOKUP(F47,'Sub-Divisions'!A:$B,2,FALSE)</f>
        <v>Robotics Consumables Cupboard || Shelf 1: Miscellaneous Items</v>
      </c>
      <c r="H47" s="32" t="str">
        <f>VLOOKUP(LEFT(F47,LEN(F47)-3),'Storage Locations'!$A:$F,6,FALSE)</f>
        <v>South wall, next to Robotics Staff cupboard (/410/001)</v>
      </c>
      <c r="I47" s="33" t="str">
        <f>CONCATENATE(VLOOKUP(CONCATENATE("P/T",LEFT(F47,LEN(F47)-7)),'Rooms and Types'!$A:$B,2,FALSE), " (", VLOOKUP(CONCATENATE("P/T",LEFT(F47,LEN(F47)-7)),'Rooms and Types'!$A:$C,3,FALSE),")")</f>
        <v>Robotics Teaching Lab (4th Floor)</v>
      </c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26">
        <v>44.0</v>
      </c>
      <c r="B48" s="34" t="s">
        <v>121</v>
      </c>
      <c r="C48" s="35" t="s">
        <v>122</v>
      </c>
      <c r="D48" s="36" t="s">
        <v>120</v>
      </c>
      <c r="E48" s="30">
        <v>45364.0</v>
      </c>
      <c r="F48" s="31" t="s">
        <v>110</v>
      </c>
      <c r="G48" s="32" t="str">
        <f>VLOOKUP(F48,'Sub-Divisions'!A:$B,2,FALSE)</f>
        <v>Robotics Consumables Cupboard || Shelf 1: Miscellaneous Items</v>
      </c>
      <c r="H48" s="32" t="str">
        <f>VLOOKUP(LEFT(F48,LEN(F48)-3),'Storage Locations'!$A:$F,6,FALSE)</f>
        <v>South wall, next to Robotics Staff cupboard (/410/001)</v>
      </c>
      <c r="I48" s="33" t="str">
        <f>CONCATENATE(VLOOKUP(CONCATENATE("P/T",LEFT(F48,LEN(F48)-7)),'Rooms and Types'!$A:$B,2,FALSE), " (", VLOOKUP(CONCATENATE("P/T",LEFT(F48,LEN(F48)-7)),'Rooms and Types'!$A:$C,3,FALSE),")")</f>
        <v>Robotics Teaching Lab (4th Floor)</v>
      </c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6">
        <v>23.0</v>
      </c>
      <c r="B49" s="34" t="s">
        <v>123</v>
      </c>
      <c r="C49" s="35" t="s">
        <v>124</v>
      </c>
      <c r="D49" s="36" t="s">
        <v>73</v>
      </c>
      <c r="E49" s="30">
        <v>45364.0</v>
      </c>
      <c r="F49" s="31" t="s">
        <v>125</v>
      </c>
      <c r="G49" s="32" t="str">
        <f>VLOOKUP(F49,'Sub-Divisions'!A:$B,2,FALSE)</f>
        <v>Robotics Staff Cupboard || Shelf 4: Miscellaneous Items</v>
      </c>
      <c r="H49" s="32" t="str">
        <f>VLOOKUP(LEFT(F49,LEN(F49)-3),'Storage Locations'!$A:$F,6,FALSE)</f>
        <v>South wall, next to east windows</v>
      </c>
      <c r="I49" s="33" t="str">
        <f>CONCATENATE(VLOOKUP(CONCATENATE("P/T",LEFT(F49,LEN(F49)-7)),'Rooms and Types'!$A:$B,2,FALSE), " (", VLOOKUP(CONCATENATE("P/T",LEFT(F49,LEN(F49)-7)),'Rooms and Types'!$A:$C,3,FALSE),")")</f>
        <v>Robotics Teaching Lab (4th Floor)</v>
      </c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26">
        <v>21.0</v>
      </c>
      <c r="B50" s="34" t="s">
        <v>126</v>
      </c>
      <c r="C50" s="35" t="s">
        <v>127</v>
      </c>
      <c r="D50" s="36">
        <v>6.0</v>
      </c>
      <c r="E50" s="30">
        <v>45364.0</v>
      </c>
      <c r="F50" s="31" t="s">
        <v>125</v>
      </c>
      <c r="G50" s="32" t="str">
        <f>VLOOKUP(F50,'Sub-Divisions'!A:$B,2,FALSE)</f>
        <v>Robotics Staff Cupboard || Shelf 4: Miscellaneous Items</v>
      </c>
      <c r="H50" s="32" t="str">
        <f>VLOOKUP(LEFT(F50,LEN(F50)-3),'Storage Locations'!$A:$F,6,FALSE)</f>
        <v>South wall, next to east windows</v>
      </c>
      <c r="I50" s="33" t="str">
        <f>CONCATENATE(VLOOKUP(CONCATENATE("P/T",LEFT(F50,LEN(F50)-7)),'Rooms and Types'!$A:$B,2,FALSE), " (", VLOOKUP(CONCATENATE("P/T",LEFT(F50,LEN(F50)-7)),'Rooms and Types'!$A:$C,3,FALSE),")")</f>
        <v>Robotics Teaching Lab (4th Floor)</v>
      </c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6">
        <v>11.0</v>
      </c>
      <c r="B51" s="34" t="s">
        <v>128</v>
      </c>
      <c r="C51" s="35" t="s">
        <v>129</v>
      </c>
      <c r="D51" s="36" t="s">
        <v>130</v>
      </c>
      <c r="E51" s="30">
        <v>45364.0</v>
      </c>
      <c r="F51" s="31" t="s">
        <v>125</v>
      </c>
      <c r="G51" s="32" t="str">
        <f>VLOOKUP(F51,'Sub-Divisions'!A:$B,2,FALSE)</f>
        <v>Robotics Staff Cupboard || Shelf 4: Miscellaneous Items</v>
      </c>
      <c r="H51" s="32" t="str">
        <f>VLOOKUP(LEFT(F51,LEN(F51)-3),'Storage Locations'!$A:$F,6,FALSE)</f>
        <v>South wall, next to east windows</v>
      </c>
      <c r="I51" s="33" t="str">
        <f>CONCATENATE(VLOOKUP(CONCATENATE("P/T",LEFT(F51,LEN(F51)-7)),'Rooms and Types'!$A:$B,2,FALSE), " (", VLOOKUP(CONCATENATE("P/T",LEFT(F51,LEN(F51)-7)),'Rooms and Types'!$A:$C,3,FALSE),")")</f>
        <v>Robotics Teaching Lab (4th Floor)</v>
      </c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6">
        <v>10.0</v>
      </c>
      <c r="B52" s="34" t="s">
        <v>131</v>
      </c>
      <c r="C52" s="35" t="s">
        <v>132</v>
      </c>
      <c r="D52" s="36">
        <v>84.0</v>
      </c>
      <c r="E52" s="30">
        <v>45364.0</v>
      </c>
      <c r="F52" s="31" t="s">
        <v>133</v>
      </c>
      <c r="G52" s="32" t="str">
        <f>VLOOKUP(F52,'Sub-Divisions'!A:$B,2,FALSE)</f>
        <v>Robotics Staff Cupboard || Shelf 3: Robotics Kits</v>
      </c>
      <c r="H52" s="32" t="str">
        <f>VLOOKUP(LEFT(F52,LEN(F52)-3),'Storage Locations'!$A:$F,6,FALSE)</f>
        <v>South wall, next to east windows</v>
      </c>
      <c r="I52" s="33" t="str">
        <f>CONCATENATE(VLOOKUP(CONCATENATE("P/T",LEFT(F52,LEN(F52)-7)),'Rooms and Types'!$A:$B,2,FALSE), " (", VLOOKUP(CONCATENATE("P/T",LEFT(F52,LEN(F52)-7)),'Rooms and Types'!$A:$C,3,FALSE),")")</f>
        <v>Robotics Teaching Lab (4th Floor)</v>
      </c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6">
        <v>5.0</v>
      </c>
      <c r="B53" s="34" t="s">
        <v>134</v>
      </c>
      <c r="C53" s="35" t="s">
        <v>135</v>
      </c>
      <c r="D53" s="36" t="s">
        <v>136</v>
      </c>
      <c r="E53" s="30">
        <v>45364.0</v>
      </c>
      <c r="F53" s="31" t="s">
        <v>133</v>
      </c>
      <c r="G53" s="32" t="str">
        <f>VLOOKUP(F53,'Sub-Divisions'!A:$B,2,FALSE)</f>
        <v>Robotics Staff Cupboard || Shelf 3: Robotics Kits</v>
      </c>
      <c r="H53" s="32" t="str">
        <f>VLOOKUP(LEFT(F53,LEN(F53)-3),'Storage Locations'!$A:$F,6,FALSE)</f>
        <v>South wall, next to east windows</v>
      </c>
      <c r="I53" s="33" t="str">
        <f>CONCATENATE(VLOOKUP(CONCATENATE("P/T",LEFT(F53,LEN(F53)-7)),'Rooms and Types'!$A:$B,2,FALSE), " (", VLOOKUP(CONCATENATE("P/T",LEFT(F53,LEN(F53)-7)),'Rooms and Types'!$A:$C,3,FALSE),")")</f>
        <v>Robotics Teaching Lab (4th Floor)</v>
      </c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6">
        <v>246.0</v>
      </c>
      <c r="B54" s="34" t="s">
        <v>137</v>
      </c>
      <c r="C54" s="35" t="s">
        <v>138</v>
      </c>
      <c r="D54" s="36">
        <v>10.0</v>
      </c>
      <c r="E54" s="30">
        <v>45364.0</v>
      </c>
      <c r="F54" s="31" t="s">
        <v>139</v>
      </c>
      <c r="G54" s="32" t="str">
        <f>VLOOKUP(F54,'Sub-Divisions'!A:$B,2,FALSE)</f>
        <v>Robotics Staff Cupboard || Shelf 2: Robotics Projects</v>
      </c>
      <c r="H54" s="32" t="str">
        <f>VLOOKUP(LEFT(F54,LEN(F54)-3),'Storage Locations'!$A:$F,6,FALSE)</f>
        <v>South wall, next to east windows</v>
      </c>
      <c r="I54" s="33" t="str">
        <f>CONCATENATE(VLOOKUP(CONCATENATE("P/T",LEFT(F54,LEN(F54)-7)),'Rooms and Types'!$A:$B,2,FALSE), " (", VLOOKUP(CONCATENATE("P/T",LEFT(F54,LEN(F54)-7)),'Rooms and Types'!$A:$C,3,FALSE),")")</f>
        <v>Robotics Teaching Lab (4th Floor)</v>
      </c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26">
        <v>3.0</v>
      </c>
      <c r="B55" s="34" t="s">
        <v>140</v>
      </c>
      <c r="C55" s="35" t="s">
        <v>141</v>
      </c>
      <c r="D55" s="36" t="s">
        <v>73</v>
      </c>
      <c r="E55" s="30">
        <v>45364.0</v>
      </c>
      <c r="F55" s="31" t="s">
        <v>139</v>
      </c>
      <c r="G55" s="32" t="str">
        <f>VLOOKUP(F55,'Sub-Divisions'!A:$B,2,FALSE)</f>
        <v>Robotics Staff Cupboard || Shelf 2: Robotics Projects</v>
      </c>
      <c r="H55" s="32" t="str">
        <f>VLOOKUP(LEFT(F55,LEN(F55)-3),'Storage Locations'!$A:$F,6,FALSE)</f>
        <v>South wall, next to east windows</v>
      </c>
      <c r="I55" s="33" t="str">
        <f>CONCATENATE(VLOOKUP(CONCATENATE("P/T",LEFT(F55,LEN(F55)-7)),'Rooms and Types'!$A:$B,2,FALSE), " (", VLOOKUP(CONCATENATE("P/T",LEFT(F55,LEN(F55)-7)),'Rooms and Types'!$A:$C,3,FALSE),")")</f>
        <v>Robotics Teaching Lab (4th Floor)</v>
      </c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26">
        <v>29.0</v>
      </c>
      <c r="B56" s="34" t="s">
        <v>142</v>
      </c>
      <c r="C56" s="35" t="s">
        <v>143</v>
      </c>
      <c r="D56" s="36" t="s">
        <v>144</v>
      </c>
      <c r="E56" s="30">
        <v>45364.0</v>
      </c>
      <c r="F56" s="31" t="s">
        <v>145</v>
      </c>
      <c r="G56" s="32" t="str">
        <f>VLOOKUP(F56,'Sub-Divisions'!A:$B,2,FALSE)</f>
        <v>Robotics Staff Cupboard || Shelf 1: Power Supplies, Batteries &amp; Cables</v>
      </c>
      <c r="H56" s="32" t="str">
        <f>VLOOKUP(LEFT(F56,LEN(F56)-3),'Storage Locations'!$A:$F,6,FALSE)</f>
        <v>South wall, next to east windows</v>
      </c>
      <c r="I56" s="33" t="str">
        <f>CONCATENATE(VLOOKUP(CONCATENATE("P/T",LEFT(F56,LEN(F56)-7)),'Rooms and Types'!$A:$B,2,FALSE), " (", VLOOKUP(CONCATENATE("P/T",LEFT(F56,LEN(F56)-7)),'Rooms and Types'!$A:$C,3,FALSE),")")</f>
        <v>Robotics Teaching Lab (4th Floor)</v>
      </c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6">
        <v>25.0</v>
      </c>
      <c r="B57" s="34" t="s">
        <v>146</v>
      </c>
      <c r="C57" s="35" t="s">
        <v>147</v>
      </c>
      <c r="D57" s="36" t="s">
        <v>148</v>
      </c>
      <c r="E57" s="30">
        <v>45364.0</v>
      </c>
      <c r="F57" s="31" t="s">
        <v>145</v>
      </c>
      <c r="G57" s="32" t="str">
        <f>VLOOKUP(F57,'Sub-Divisions'!A:$B,2,FALSE)</f>
        <v>Robotics Staff Cupboard || Shelf 1: Power Supplies, Batteries &amp; Cables</v>
      </c>
      <c r="H57" s="32" t="str">
        <f>VLOOKUP(LEFT(F57,LEN(F57)-3),'Storage Locations'!$A:$F,6,FALSE)</f>
        <v>South wall, next to east windows</v>
      </c>
      <c r="I57" s="33" t="str">
        <f>CONCATENATE(VLOOKUP(CONCATENATE("P/T",LEFT(F57,LEN(F57)-7)),'Rooms and Types'!$A:$B,2,FALSE), " (", VLOOKUP(CONCATENATE("P/T",LEFT(F57,LEN(F57)-7)),'Rooms and Types'!$A:$C,3,FALSE),")")</f>
        <v>Robotics Teaching Lab (4th Floor)</v>
      </c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6">
        <v>24.0</v>
      </c>
      <c r="B58" s="34" t="s">
        <v>149</v>
      </c>
      <c r="C58" s="35" t="s">
        <v>150</v>
      </c>
      <c r="D58" s="36" t="s">
        <v>151</v>
      </c>
      <c r="E58" s="30">
        <v>45364.0</v>
      </c>
      <c r="F58" s="31" t="s">
        <v>145</v>
      </c>
      <c r="G58" s="32" t="str">
        <f>VLOOKUP(F58,'Sub-Divisions'!A:$B,2,FALSE)</f>
        <v>Robotics Staff Cupboard || Shelf 1: Power Supplies, Batteries &amp; Cables</v>
      </c>
      <c r="H58" s="32" t="str">
        <f>VLOOKUP(LEFT(F58,LEN(F58)-3),'Storage Locations'!$A:$F,6,FALSE)</f>
        <v>South wall, next to east windows</v>
      </c>
      <c r="I58" s="33" t="str">
        <f>CONCATENATE(VLOOKUP(CONCATENATE("P/T",LEFT(F58,LEN(F58)-7)),'Rooms and Types'!$A:$B,2,FALSE), " (", VLOOKUP(CONCATENATE("P/T",LEFT(F58,LEN(F58)-7)),'Rooms and Types'!$A:$C,3,FALSE),")")</f>
        <v>Robotics Teaching Lab (4th Floor)</v>
      </c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6">
        <v>236.0</v>
      </c>
      <c r="B59" s="27" t="s">
        <v>152</v>
      </c>
      <c r="C59" s="27" t="s">
        <v>152</v>
      </c>
      <c r="D59" s="29">
        <v>12.0</v>
      </c>
      <c r="E59" s="30">
        <v>45363.0</v>
      </c>
      <c r="F59" s="31" t="s">
        <v>153</v>
      </c>
      <c r="G59" s="32" t="str">
        <f>VLOOKUP(F59,'Sub-Divisions'!A:$B,2,FALSE)</f>
        <v>Teaching Materials Drawer Unit || Drawer 4: ARBs and Arduinos</v>
      </c>
      <c r="H59" s="32" t="str">
        <f>VLOOKUP(LEFT(F59,LEN(F59)-3),'Storage Locations'!$A:$F,6,FALSE)</f>
        <v>Under Project Bench 4 (/412/104), next to Research Materials Drawer Unit, behind Jonathan &amp; Alejandro's Office Desks</v>
      </c>
      <c r="I59" s="33" t="str">
        <f>CONCATENATE(VLOOKUP(CONCATENATE("P/T",LEFT(F59,LEN(F59)-7)),'Rooms and Types'!$A:$B,2,FALSE), " (", VLOOKUP(CONCATENATE("P/T",LEFT(F59,LEN(F59)-7)),'Rooms and Types'!$A:$C,3,FALSE),")")</f>
        <v>TSS Office (4th Floor)</v>
      </c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6">
        <v>245.0</v>
      </c>
      <c r="B60" s="27" t="s">
        <v>154</v>
      </c>
      <c r="C60" s="27" t="s">
        <v>155</v>
      </c>
      <c r="D60" s="29">
        <v>21.0</v>
      </c>
      <c r="E60" s="30">
        <v>45359.0</v>
      </c>
      <c r="F60" s="31" t="s">
        <v>156</v>
      </c>
      <c r="G60" s="32" t="str">
        <f>VLOOKUP(F60,'Sub-Divisions'!A:$B,2,FALSE)</f>
        <v>Research Materials Drawer Unit || Drawer 2</v>
      </c>
      <c r="H60" s="32" t="str">
        <f>VLOOKUP(LEFT(F60,LEN(F60)-3),'Storage Locations'!$A:$F,6,FALSE)</f>
        <v>Under Project Bench 5 (/412/105), behind Mike &amp; Jonathan's Office Desks</v>
      </c>
      <c r="I60" s="33" t="str">
        <f>CONCATENATE(VLOOKUP(CONCATENATE("P/T",LEFT(F60,LEN(F60)-7)),'Rooms and Types'!$A:$B,2,FALSE), " (", VLOOKUP(CONCATENATE("P/T",LEFT(F60,LEN(F60)-7)),'Rooms and Types'!$A:$C,3,FALSE),")")</f>
        <v>TSS Office (4th Floor)</v>
      </c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6">
        <v>244.0</v>
      </c>
      <c r="B61" s="27" t="s">
        <v>157</v>
      </c>
      <c r="C61" s="27" t="s">
        <v>158</v>
      </c>
      <c r="D61" s="29" t="s">
        <v>69</v>
      </c>
      <c r="E61" s="30">
        <v>45359.0</v>
      </c>
      <c r="F61" s="31" t="s">
        <v>159</v>
      </c>
      <c r="G61" s="32" t="str">
        <f>VLOOKUP(F61,'Sub-Divisions'!A:$B,2,FALSE)</f>
        <v>Research Materials Drawer Unit || Drawer 1</v>
      </c>
      <c r="H61" s="32" t="str">
        <f>VLOOKUP(LEFT(F61,LEN(F61)-3),'Storage Locations'!$A:$F,6,FALSE)</f>
        <v>Under Project Bench 5 (/412/105), behind Mike &amp; Jonathan's Office Desks</v>
      </c>
      <c r="I61" s="33" t="str">
        <f>CONCATENATE(VLOOKUP(CONCATENATE("P/T",LEFT(F61,LEN(F61)-7)),'Rooms and Types'!$A:$B,2,FALSE), " (", VLOOKUP(CONCATENATE("P/T",LEFT(F61,LEN(F61)-7)),'Rooms and Types'!$A:$C,3,FALSE),")")</f>
        <v>TSS Office (4th Floor)</v>
      </c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46.5" customHeight="1">
      <c r="A62" s="26">
        <v>217.0</v>
      </c>
      <c r="B62" s="27" t="s">
        <v>160</v>
      </c>
      <c r="C62" s="27" t="s">
        <v>161</v>
      </c>
      <c r="D62" s="29">
        <v>21.0</v>
      </c>
      <c r="E62" s="30">
        <v>45359.0</v>
      </c>
      <c r="F62" s="31" t="s">
        <v>162</v>
      </c>
      <c r="G62" s="32" t="str">
        <f>VLOOKUP(F62,'Sub-Divisions'!A:$B,2,FALSE)</f>
        <v>Teaching Materials Drawer Unit || Drawer 1: Robotics Kit Motors, Sensors and Accessories</v>
      </c>
      <c r="H62" s="32" t="str">
        <f>VLOOKUP(LEFT(F62,LEN(F62)-3),'Storage Locations'!$A:$F,6,FALSE)</f>
        <v>Under Project Bench 4 (/412/104), next to Research Materials Drawer Unit, behind Jonathan &amp; Alejandro's Office Desks</v>
      </c>
      <c r="I62" s="33" t="str">
        <f>CONCATENATE(VLOOKUP(CONCATENATE("P/T",LEFT(F62,LEN(F62)-7)),'Rooms and Types'!$A:$B,2,FALSE), " (", VLOOKUP(CONCATENATE("P/T",LEFT(F62,LEN(F62)-7)),'Rooms and Types'!$A:$C,3,FALSE),")")</f>
        <v>TSS Office (4th Floor)</v>
      </c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6">
        <v>109.0</v>
      </c>
      <c r="B63" s="34" t="s">
        <v>163</v>
      </c>
      <c r="C63" s="35" t="s">
        <v>164</v>
      </c>
      <c r="D63" s="36">
        <v>4.0</v>
      </c>
      <c r="E63" s="30">
        <v>45359.0</v>
      </c>
      <c r="F63" s="31" t="s">
        <v>165</v>
      </c>
      <c r="G63" s="32" t="str">
        <f>VLOOKUP(F63,'Sub-Divisions'!A:$B,2,FALSE)</f>
        <v>PSU &amp; BNC Cables Hanger Set || Hanger 3: PSU Banana Connectors</v>
      </c>
      <c r="H63" s="32" t="str">
        <f>VLOOKUP(LEFT(F63,LEN(F63)-3),'Storage Locations'!$A:$F,6,FALSE)</f>
        <v>South wall, next to south wall lockers (/410/005)</v>
      </c>
      <c r="I63" s="33" t="str">
        <f>CONCATENATE(VLOOKUP(CONCATENATE("P/T",LEFT(F63,LEN(F63)-7)),'Rooms and Types'!$A:$B,2,FALSE), " (", VLOOKUP(CONCATENATE("P/T",LEFT(F63,LEN(F63)-7)),'Rooms and Types'!$A:$C,3,FALSE),")")</f>
        <v>Robotics Teaching Lab (4th Floor)</v>
      </c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6">
        <v>78.0</v>
      </c>
      <c r="B64" s="34" t="s">
        <v>166</v>
      </c>
      <c r="C64" s="35" t="s">
        <v>167</v>
      </c>
      <c r="D64" s="36" t="s">
        <v>168</v>
      </c>
      <c r="E64" s="30">
        <v>45359.0</v>
      </c>
      <c r="F64" s="31" t="s">
        <v>53</v>
      </c>
      <c r="G64" s="32" t="str">
        <f>VLOOKUP(F64,'Sub-Divisions'!A:$B,2,FALSE)</f>
        <v>Robotics Consumables Cupboard || Shelf 5: Jumpers &amp; Cables</v>
      </c>
      <c r="H64" s="32" t="str">
        <f>VLOOKUP(LEFT(F64,LEN(F64)-3),'Storage Locations'!$A:$F,6,FALSE)</f>
        <v>South wall, next to Robotics Staff cupboard (/410/001)</v>
      </c>
      <c r="I64" s="33" t="str">
        <f>CONCATENATE(VLOOKUP(CONCATENATE("P/T",LEFT(F64,LEN(F64)-7)),'Rooms and Types'!$A:$B,2,FALSE), " (", VLOOKUP(CONCATENATE("P/T",LEFT(F64,LEN(F64)-7)),'Rooms and Types'!$A:$C,3,FALSE),")")</f>
        <v>Robotics Teaching Lab (4th Floor)</v>
      </c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6">
        <v>48.0</v>
      </c>
      <c r="B65" s="34" t="s">
        <v>169</v>
      </c>
      <c r="C65" s="35" t="s">
        <v>170</v>
      </c>
      <c r="D65" s="36" t="s">
        <v>171</v>
      </c>
      <c r="E65" s="30">
        <v>45359.0</v>
      </c>
      <c r="F65" s="31" t="s">
        <v>172</v>
      </c>
      <c r="G65" s="32" t="str">
        <f>VLOOKUP(F65,'Sub-Divisions'!A:$B,2,FALSE)</f>
        <v>Robotics Consumables Cupboard || Shelf 2: IT Supplies</v>
      </c>
      <c r="H65" s="32" t="str">
        <f>VLOOKUP(LEFT(F65,LEN(F65)-3),'Storage Locations'!$A:$F,6,FALSE)</f>
        <v>South wall, next to Robotics Staff cupboard (/410/001)</v>
      </c>
      <c r="I65" s="33" t="str">
        <f>CONCATENATE(VLOOKUP(CONCATENATE("P/T",LEFT(F65,LEN(F65)-7)),'Rooms and Types'!$A:$B,2,FALSE), " (", VLOOKUP(CONCATENATE("P/T",LEFT(F65,LEN(F65)-7)),'Rooms and Types'!$A:$C,3,FALSE),")")</f>
        <v>Robotics Teaching Lab (4th Floor)</v>
      </c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6">
        <v>47.0</v>
      </c>
      <c r="B66" s="34" t="s">
        <v>173</v>
      </c>
      <c r="C66" s="35" t="s">
        <v>174</v>
      </c>
      <c r="D66" s="36">
        <v>14.0</v>
      </c>
      <c r="E66" s="30">
        <v>45359.0</v>
      </c>
      <c r="F66" s="31" t="s">
        <v>172</v>
      </c>
      <c r="G66" s="32" t="str">
        <f>VLOOKUP(F66,'Sub-Divisions'!A:$B,2,FALSE)</f>
        <v>Robotics Consumables Cupboard || Shelf 2: IT Supplies</v>
      </c>
      <c r="H66" s="32" t="str">
        <f>VLOOKUP(LEFT(F66,LEN(F66)-3),'Storage Locations'!$A:$F,6,FALSE)</f>
        <v>South wall, next to Robotics Staff cupboard (/410/001)</v>
      </c>
      <c r="I66" s="33" t="str">
        <f>CONCATENATE(VLOOKUP(CONCATENATE("P/T",LEFT(F66,LEN(F66)-7)),'Rooms and Types'!$A:$B,2,FALSE), " (", VLOOKUP(CONCATENATE("P/T",LEFT(F66,LEN(F66)-7)),'Rooms and Types'!$A:$C,3,FALSE),")")</f>
        <v>Robotics Teaching Lab (4th Floor)</v>
      </c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26">
        <v>184.0</v>
      </c>
      <c r="B67" s="27" t="s">
        <v>175</v>
      </c>
      <c r="C67" s="27" t="s">
        <v>176</v>
      </c>
      <c r="D67" s="29">
        <v>15.0</v>
      </c>
      <c r="E67" s="30">
        <v>45358.0</v>
      </c>
      <c r="F67" s="31" t="s">
        <v>177</v>
      </c>
      <c r="G67" s="32" t="str">
        <f>VLOOKUP(F67,'Sub-Divisions'!A:$B,2,FALSE)</f>
        <v>Robot Arms Table Desk || Floor: Robot Arm &amp; Gripper Accesories</v>
      </c>
      <c r="H67" s="32" t="str">
        <f>VLOOKUP(LEFT(F67,LEN(F67)-3),'Storage Locations'!$A:$F,6,FALSE)</f>
        <v>West Wall, behind the projector, next to the material store</v>
      </c>
      <c r="I67" s="33" t="str">
        <f>CONCATENATE(VLOOKUP(CONCATENATE("P/T",LEFT(F67,LEN(F67)-7)),'Rooms and Types'!$A:$B,2,FALSE), " (", VLOOKUP(CONCATENATE("P/T",LEFT(F67,LEN(F67)-7)),'Rooms and Types'!$A:$C,3,FALSE),")")</f>
        <v>Robotics Teaching Lab (4th Floor)</v>
      </c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26">
        <v>242.0</v>
      </c>
      <c r="B68" s="27" t="s">
        <v>178</v>
      </c>
      <c r="C68" s="27" t="s">
        <v>179</v>
      </c>
      <c r="D68" s="29" t="s">
        <v>180</v>
      </c>
      <c r="E68" s="30">
        <v>45357.0</v>
      </c>
      <c r="F68" s="31" t="s">
        <v>153</v>
      </c>
      <c r="G68" s="32" t="str">
        <f>VLOOKUP(F68,'Sub-Divisions'!A:$B,2,FALSE)</f>
        <v>Teaching Materials Drawer Unit || Drawer 4: ARBs and Arduinos</v>
      </c>
      <c r="H68" s="32" t="str">
        <f>VLOOKUP(LEFT(F68,LEN(F68)-3),'Storage Locations'!$A:$F,6,FALSE)</f>
        <v>Under Project Bench 4 (/412/104), next to Research Materials Drawer Unit, behind Jonathan &amp; Alejandro's Office Desks</v>
      </c>
      <c r="I68" s="33" t="str">
        <f>CONCATENATE(VLOOKUP(CONCATENATE("P/T",LEFT(F68,LEN(F68)-7)),'Rooms and Types'!$A:$B,2,FALSE), " (", VLOOKUP(CONCATENATE("P/T",LEFT(F68,LEN(F68)-7)),'Rooms and Types'!$A:$C,3,FALSE),")")</f>
        <v>TSS Office (4th Floor)</v>
      </c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6">
        <v>241.0</v>
      </c>
      <c r="B69" s="27" t="s">
        <v>181</v>
      </c>
      <c r="C69" s="27" t="s">
        <v>182</v>
      </c>
      <c r="D69" s="29" t="s">
        <v>183</v>
      </c>
      <c r="E69" s="30">
        <v>45357.0</v>
      </c>
      <c r="F69" s="31" t="s">
        <v>153</v>
      </c>
      <c r="G69" s="32" t="str">
        <f>VLOOKUP(F69,'Sub-Divisions'!A:$B,2,FALSE)</f>
        <v>Teaching Materials Drawer Unit || Drawer 4: ARBs and Arduinos</v>
      </c>
      <c r="H69" s="32" t="str">
        <f>VLOOKUP(LEFT(F69,LEN(F69)-3),'Storage Locations'!$A:$F,6,FALSE)</f>
        <v>Under Project Bench 4 (/412/104), next to Research Materials Drawer Unit, behind Jonathan &amp; Alejandro's Office Desks</v>
      </c>
      <c r="I69" s="33" t="str">
        <f>CONCATENATE(VLOOKUP(CONCATENATE("P/T",LEFT(F69,LEN(F69)-7)),'Rooms and Types'!$A:$B,2,FALSE), " (", VLOOKUP(CONCATENATE("P/T",LEFT(F69,LEN(F69)-7)),'Rooms and Types'!$A:$C,3,FALSE),")")</f>
        <v>TSS Office (4th Floor)</v>
      </c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26">
        <v>240.0</v>
      </c>
      <c r="B70" s="27" t="s">
        <v>184</v>
      </c>
      <c r="C70" s="27" t="s">
        <v>185</v>
      </c>
      <c r="D70" s="29" t="s">
        <v>76</v>
      </c>
      <c r="E70" s="30">
        <v>45357.0</v>
      </c>
      <c r="F70" s="31" t="s">
        <v>153</v>
      </c>
      <c r="G70" s="32" t="str">
        <f>VLOOKUP(F70,'Sub-Divisions'!A:$B,2,FALSE)</f>
        <v>Teaching Materials Drawer Unit || Drawer 4: ARBs and Arduinos</v>
      </c>
      <c r="H70" s="32" t="str">
        <f>VLOOKUP(LEFT(F70,LEN(F70)-3),'Storage Locations'!$A:$F,6,FALSE)</f>
        <v>Under Project Bench 4 (/412/104), next to Research Materials Drawer Unit, behind Jonathan &amp; Alejandro's Office Desks</v>
      </c>
      <c r="I70" s="33" t="str">
        <f>CONCATENATE(VLOOKUP(CONCATENATE("P/T",LEFT(F70,LEN(F70)-7)),'Rooms and Types'!$A:$B,2,FALSE), " (", VLOOKUP(CONCATENATE("P/T",LEFT(F70,LEN(F70)-7)),'Rooms and Types'!$A:$C,3,FALSE),")")</f>
        <v>TSS Office (4th Floor)</v>
      </c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6">
        <v>239.0</v>
      </c>
      <c r="B71" s="27" t="s">
        <v>186</v>
      </c>
      <c r="C71" s="27" t="s">
        <v>187</v>
      </c>
      <c r="D71" s="29" t="s">
        <v>73</v>
      </c>
      <c r="E71" s="30">
        <v>45357.0</v>
      </c>
      <c r="F71" s="31" t="s">
        <v>153</v>
      </c>
      <c r="G71" s="32" t="str">
        <f>VLOOKUP(F71,'Sub-Divisions'!A:$B,2,FALSE)</f>
        <v>Teaching Materials Drawer Unit || Drawer 4: ARBs and Arduinos</v>
      </c>
      <c r="H71" s="32" t="str">
        <f>VLOOKUP(LEFT(F71,LEN(F71)-3),'Storage Locations'!$A:$F,6,FALSE)</f>
        <v>Under Project Bench 4 (/412/104), next to Research Materials Drawer Unit, behind Jonathan &amp; Alejandro's Office Desks</v>
      </c>
      <c r="I71" s="33" t="str">
        <f>CONCATENATE(VLOOKUP(CONCATENATE("P/T",LEFT(F71,LEN(F71)-7)),'Rooms and Types'!$A:$B,2,FALSE), " (", VLOOKUP(CONCATENATE("P/T",LEFT(F71,LEN(F71)-7)),'Rooms and Types'!$A:$C,3,FALSE),")")</f>
        <v>TSS Office (4th Floor)</v>
      </c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6">
        <v>238.0</v>
      </c>
      <c r="B72" s="27" t="s">
        <v>188</v>
      </c>
      <c r="C72" s="27" t="s">
        <v>189</v>
      </c>
      <c r="D72" s="29">
        <v>7.0</v>
      </c>
      <c r="E72" s="30">
        <v>45357.0</v>
      </c>
      <c r="F72" s="31" t="s">
        <v>153</v>
      </c>
      <c r="G72" s="32" t="str">
        <f>VLOOKUP(F72,'Sub-Divisions'!A:$B,2,FALSE)</f>
        <v>Teaching Materials Drawer Unit || Drawer 4: ARBs and Arduinos</v>
      </c>
      <c r="H72" s="32" t="str">
        <f>VLOOKUP(LEFT(F72,LEN(F72)-3),'Storage Locations'!$A:$F,6,FALSE)</f>
        <v>Under Project Bench 4 (/412/104), next to Research Materials Drawer Unit, behind Jonathan &amp; Alejandro's Office Desks</v>
      </c>
      <c r="I72" s="33" t="str">
        <f>CONCATENATE(VLOOKUP(CONCATENATE("P/T",LEFT(F72,LEN(F72)-7)),'Rooms and Types'!$A:$B,2,FALSE), " (", VLOOKUP(CONCATENATE("P/T",LEFT(F72,LEN(F72)-7)),'Rooms and Types'!$A:$C,3,FALSE),")")</f>
        <v>TSS Office (4th Floor)</v>
      </c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6">
        <v>237.0</v>
      </c>
      <c r="B73" s="27" t="s">
        <v>190</v>
      </c>
      <c r="C73" s="27" t="s">
        <v>191</v>
      </c>
      <c r="D73" s="29">
        <v>9.0</v>
      </c>
      <c r="E73" s="30">
        <v>45357.0</v>
      </c>
      <c r="F73" s="31" t="s">
        <v>153</v>
      </c>
      <c r="G73" s="32" t="str">
        <f>VLOOKUP(F73,'Sub-Divisions'!A:$B,2,FALSE)</f>
        <v>Teaching Materials Drawer Unit || Drawer 4: ARBs and Arduinos</v>
      </c>
      <c r="H73" s="32" t="str">
        <f>VLOOKUP(LEFT(F73,LEN(F73)-3),'Storage Locations'!$A:$F,6,FALSE)</f>
        <v>Under Project Bench 4 (/412/104), next to Research Materials Drawer Unit, behind Jonathan &amp; Alejandro's Office Desks</v>
      </c>
      <c r="I73" s="33" t="str">
        <f>CONCATENATE(VLOOKUP(CONCATENATE("P/T",LEFT(F73,LEN(F73)-7)),'Rooms and Types'!$A:$B,2,FALSE), " (", VLOOKUP(CONCATENATE("P/T",LEFT(F73,LEN(F73)-7)),'Rooms and Types'!$A:$C,3,FALSE),")")</f>
        <v>TSS Office (4th Floor)</v>
      </c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26">
        <v>235.0</v>
      </c>
      <c r="B74" s="27" t="s">
        <v>192</v>
      </c>
      <c r="C74" s="27" t="s">
        <v>193</v>
      </c>
      <c r="D74" s="29">
        <v>22.0</v>
      </c>
      <c r="E74" s="30">
        <v>45357.0</v>
      </c>
      <c r="F74" s="31" t="s">
        <v>153</v>
      </c>
      <c r="G74" s="32" t="str">
        <f>VLOOKUP(F74,'Sub-Divisions'!A:$B,2,FALSE)</f>
        <v>Teaching Materials Drawer Unit || Drawer 4: ARBs and Arduinos</v>
      </c>
      <c r="H74" s="32" t="str">
        <f>VLOOKUP(LEFT(F74,LEN(F74)-3),'Storage Locations'!$A:$F,6,FALSE)</f>
        <v>Under Project Bench 4 (/412/104), next to Research Materials Drawer Unit, behind Jonathan &amp; Alejandro's Office Desks</v>
      </c>
      <c r="I74" s="33" t="str">
        <f>CONCATENATE(VLOOKUP(CONCATENATE("P/T",LEFT(F74,LEN(F74)-7)),'Rooms and Types'!$A:$B,2,FALSE), " (", VLOOKUP(CONCATENATE("P/T",LEFT(F74,LEN(F74)-7)),'Rooms and Types'!$A:$C,3,FALSE),")")</f>
        <v>TSS Office (4th Floor)</v>
      </c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6">
        <v>234.0</v>
      </c>
      <c r="B75" s="27" t="s">
        <v>194</v>
      </c>
      <c r="C75" s="27" t="s">
        <v>195</v>
      </c>
      <c r="D75" s="29">
        <v>10.0</v>
      </c>
      <c r="E75" s="30">
        <v>45357.0</v>
      </c>
      <c r="F75" s="31" t="s">
        <v>196</v>
      </c>
      <c r="G75" s="32" t="str">
        <f>VLOOKUP(F75,'Sub-Divisions'!A:$B,2,FALSE)</f>
        <v>Teaching Materials Drawer Unit || Drawer 3: Raspberry Pi Boards, Cameras and Accesories</v>
      </c>
      <c r="H75" s="32" t="str">
        <f>VLOOKUP(LEFT(F75,LEN(F75)-3),'Storage Locations'!$A:$F,6,FALSE)</f>
        <v>Under Project Bench 4 (/412/104), next to Research Materials Drawer Unit, behind Jonathan &amp; Alejandro's Office Desks</v>
      </c>
      <c r="I75" s="33" t="str">
        <f>CONCATENATE(VLOOKUP(CONCATENATE("P/T",LEFT(F75,LEN(F75)-7)),'Rooms and Types'!$A:$B,2,FALSE), " (", VLOOKUP(CONCATENATE("P/T",LEFT(F75,LEN(F75)-7)),'Rooms and Types'!$A:$C,3,FALSE),")")</f>
        <v>TSS Office (4th Floor)</v>
      </c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26">
        <v>233.0</v>
      </c>
      <c r="B76" s="27" t="s">
        <v>197</v>
      </c>
      <c r="C76" s="27" t="s">
        <v>198</v>
      </c>
      <c r="D76" s="29">
        <v>28.0</v>
      </c>
      <c r="E76" s="30">
        <v>45357.0</v>
      </c>
      <c r="F76" s="31" t="s">
        <v>196</v>
      </c>
      <c r="G76" s="32" t="str">
        <f>VLOOKUP(F76,'Sub-Divisions'!A:$B,2,FALSE)</f>
        <v>Teaching Materials Drawer Unit || Drawer 3: Raspberry Pi Boards, Cameras and Accesories</v>
      </c>
      <c r="H76" s="32" t="str">
        <f>VLOOKUP(LEFT(F76,LEN(F76)-3),'Storage Locations'!$A:$F,6,FALSE)</f>
        <v>Under Project Bench 4 (/412/104), next to Research Materials Drawer Unit, behind Jonathan &amp; Alejandro's Office Desks</v>
      </c>
      <c r="I76" s="33" t="str">
        <f>CONCATENATE(VLOOKUP(CONCATENATE("P/T",LEFT(F76,LEN(F76)-7)),'Rooms and Types'!$A:$B,2,FALSE), " (", VLOOKUP(CONCATENATE("P/T",LEFT(F76,LEN(F76)-7)),'Rooms and Types'!$A:$C,3,FALSE),")")</f>
        <v>TSS Office (4th Floor)</v>
      </c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6">
        <v>232.0</v>
      </c>
      <c r="B77" s="27" t="s">
        <v>199</v>
      </c>
      <c r="C77" s="27" t="s">
        <v>200</v>
      </c>
      <c r="D77" s="29" t="s">
        <v>201</v>
      </c>
      <c r="E77" s="30">
        <v>45357.0</v>
      </c>
      <c r="F77" s="31" t="s">
        <v>196</v>
      </c>
      <c r="G77" s="32" t="str">
        <f>VLOOKUP(F77,'Sub-Divisions'!A:$B,2,FALSE)</f>
        <v>Teaching Materials Drawer Unit || Drawer 3: Raspberry Pi Boards, Cameras and Accesories</v>
      </c>
      <c r="H77" s="32" t="str">
        <f>VLOOKUP(LEFT(F77,LEN(F77)-3),'Storage Locations'!$A:$F,6,FALSE)</f>
        <v>Under Project Bench 4 (/412/104), next to Research Materials Drawer Unit, behind Jonathan &amp; Alejandro's Office Desks</v>
      </c>
      <c r="I77" s="33" t="str">
        <f>CONCATENATE(VLOOKUP(CONCATENATE("P/T",LEFT(F77,LEN(F77)-7)),'Rooms and Types'!$A:$B,2,FALSE), " (", VLOOKUP(CONCATENATE("P/T",LEFT(F77,LEN(F77)-7)),'Rooms and Types'!$A:$C,3,FALSE),")")</f>
        <v>TSS Office (4th Floor)</v>
      </c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26">
        <v>231.0</v>
      </c>
      <c r="B78" s="27" t="s">
        <v>202</v>
      </c>
      <c r="C78" s="27" t="s">
        <v>203</v>
      </c>
      <c r="D78" s="29" t="s">
        <v>204</v>
      </c>
      <c r="E78" s="30">
        <v>45357.0</v>
      </c>
      <c r="F78" s="31" t="s">
        <v>196</v>
      </c>
      <c r="G78" s="32" t="str">
        <f>VLOOKUP(F78,'Sub-Divisions'!A:$B,2,FALSE)</f>
        <v>Teaching Materials Drawer Unit || Drawer 3: Raspberry Pi Boards, Cameras and Accesories</v>
      </c>
      <c r="H78" s="32" t="str">
        <f>VLOOKUP(LEFT(F78,LEN(F78)-3),'Storage Locations'!$A:$F,6,FALSE)</f>
        <v>Under Project Bench 4 (/412/104), next to Research Materials Drawer Unit, behind Jonathan &amp; Alejandro's Office Desks</v>
      </c>
      <c r="I78" s="33" t="str">
        <f>CONCATENATE(VLOOKUP(CONCATENATE("P/T",LEFT(F78,LEN(F78)-7)),'Rooms and Types'!$A:$B,2,FALSE), " (", VLOOKUP(CONCATENATE("P/T",LEFT(F78,LEN(F78)-7)),'Rooms and Types'!$A:$C,3,FALSE),")")</f>
        <v>TSS Office (4th Floor)</v>
      </c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6">
        <v>230.0</v>
      </c>
      <c r="B79" s="27" t="s">
        <v>205</v>
      </c>
      <c r="C79" s="27" t="s">
        <v>206</v>
      </c>
      <c r="D79" s="29">
        <v>10.0</v>
      </c>
      <c r="E79" s="30">
        <v>45357.0</v>
      </c>
      <c r="F79" s="31" t="s">
        <v>196</v>
      </c>
      <c r="G79" s="32" t="str">
        <f>VLOOKUP(F79,'Sub-Divisions'!A:$B,2,FALSE)</f>
        <v>Teaching Materials Drawer Unit || Drawer 3: Raspberry Pi Boards, Cameras and Accesories</v>
      </c>
      <c r="H79" s="32" t="str">
        <f>VLOOKUP(LEFT(F79,LEN(F79)-3),'Storage Locations'!$A:$F,6,FALSE)</f>
        <v>Under Project Bench 4 (/412/104), next to Research Materials Drawer Unit, behind Jonathan &amp; Alejandro's Office Desks</v>
      </c>
      <c r="I79" s="33" t="str">
        <f>CONCATENATE(VLOOKUP(CONCATENATE("P/T",LEFT(F79,LEN(F79)-7)),'Rooms and Types'!$A:$B,2,FALSE), " (", VLOOKUP(CONCATENATE("P/T",LEFT(F79,LEN(F79)-7)),'Rooms and Types'!$A:$C,3,FALSE),")")</f>
        <v>TSS Office (4th Floor)</v>
      </c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26">
        <v>229.0</v>
      </c>
      <c r="B80" s="27" t="s">
        <v>207</v>
      </c>
      <c r="C80" s="27" t="s">
        <v>208</v>
      </c>
      <c r="D80" s="29">
        <v>50.0</v>
      </c>
      <c r="E80" s="30">
        <v>45357.0</v>
      </c>
      <c r="F80" s="31" t="s">
        <v>196</v>
      </c>
      <c r="G80" s="32" t="str">
        <f>VLOOKUP(F80,'Sub-Divisions'!A:$B,2,FALSE)</f>
        <v>Teaching Materials Drawer Unit || Drawer 3: Raspberry Pi Boards, Cameras and Accesories</v>
      </c>
      <c r="H80" s="32" t="str">
        <f>VLOOKUP(LEFT(F80,LEN(F80)-3),'Storage Locations'!$A:$F,6,FALSE)</f>
        <v>Under Project Bench 4 (/412/104), next to Research Materials Drawer Unit, behind Jonathan &amp; Alejandro's Office Desks</v>
      </c>
      <c r="I80" s="33" t="str">
        <f>CONCATENATE(VLOOKUP(CONCATENATE("P/T",LEFT(F80,LEN(F80)-7)),'Rooms and Types'!$A:$B,2,FALSE), " (", VLOOKUP(CONCATENATE("P/T",LEFT(F80,LEN(F80)-7)),'Rooms and Types'!$A:$C,3,FALSE),")")</f>
        <v>TSS Office (4th Floor)</v>
      </c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26">
        <v>228.0</v>
      </c>
      <c r="B81" s="27" t="s">
        <v>209</v>
      </c>
      <c r="C81" s="27" t="s">
        <v>210</v>
      </c>
      <c r="D81" s="29">
        <v>16.0</v>
      </c>
      <c r="E81" s="30">
        <v>45357.0</v>
      </c>
      <c r="F81" s="31" t="s">
        <v>196</v>
      </c>
      <c r="G81" s="32" t="str">
        <f>VLOOKUP(F81,'Sub-Divisions'!A:$B,2,FALSE)</f>
        <v>Teaching Materials Drawer Unit || Drawer 3: Raspberry Pi Boards, Cameras and Accesories</v>
      </c>
      <c r="H81" s="32" t="str">
        <f>VLOOKUP(LEFT(F81,LEN(F81)-3),'Storage Locations'!$A:$F,6,FALSE)</f>
        <v>Under Project Bench 4 (/412/104), next to Research Materials Drawer Unit, behind Jonathan &amp; Alejandro's Office Desks</v>
      </c>
      <c r="I81" s="33" t="str">
        <f>CONCATENATE(VLOOKUP(CONCATENATE("P/T",LEFT(F81,LEN(F81)-7)),'Rooms and Types'!$A:$B,2,FALSE), " (", VLOOKUP(CONCATENATE("P/T",LEFT(F81,LEN(F81)-7)),'Rooms and Types'!$A:$C,3,FALSE),")")</f>
        <v>TSS Office (4th Floor)</v>
      </c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26">
        <v>227.0</v>
      </c>
      <c r="B82" s="27" t="s">
        <v>211</v>
      </c>
      <c r="C82" s="27" t="s">
        <v>212</v>
      </c>
      <c r="D82" s="29">
        <v>1.0</v>
      </c>
      <c r="E82" s="30">
        <v>45357.0</v>
      </c>
      <c r="F82" s="31" t="s">
        <v>196</v>
      </c>
      <c r="G82" s="32" t="str">
        <f>VLOOKUP(F82,'Sub-Divisions'!A:$B,2,FALSE)</f>
        <v>Teaching Materials Drawer Unit || Drawer 3: Raspberry Pi Boards, Cameras and Accesories</v>
      </c>
      <c r="H82" s="32" t="str">
        <f>VLOOKUP(LEFT(F82,LEN(F82)-3),'Storage Locations'!$A:$F,6,FALSE)</f>
        <v>Under Project Bench 4 (/412/104), next to Research Materials Drawer Unit, behind Jonathan &amp; Alejandro's Office Desks</v>
      </c>
      <c r="I82" s="33" t="str">
        <f>CONCATENATE(VLOOKUP(CONCATENATE("P/T",LEFT(F82,LEN(F82)-7)),'Rooms and Types'!$A:$B,2,FALSE), " (", VLOOKUP(CONCATENATE("P/T",LEFT(F82,LEN(F82)-7)),'Rooms and Types'!$A:$C,3,FALSE),")")</f>
        <v>TSS Office (4th Floor)</v>
      </c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26">
        <v>226.0</v>
      </c>
      <c r="B83" s="27" t="s">
        <v>213</v>
      </c>
      <c r="C83" s="27" t="s">
        <v>214</v>
      </c>
      <c r="D83" s="29">
        <v>59.0</v>
      </c>
      <c r="E83" s="30">
        <v>45357.0</v>
      </c>
      <c r="F83" s="31" t="s">
        <v>196</v>
      </c>
      <c r="G83" s="32" t="str">
        <f>VLOOKUP(F83,'Sub-Divisions'!A:$B,2,FALSE)</f>
        <v>Teaching Materials Drawer Unit || Drawer 3: Raspberry Pi Boards, Cameras and Accesories</v>
      </c>
      <c r="H83" s="32" t="str">
        <f>VLOOKUP(LEFT(F83,LEN(F83)-3),'Storage Locations'!$A:$F,6,FALSE)</f>
        <v>Under Project Bench 4 (/412/104), next to Research Materials Drawer Unit, behind Jonathan &amp; Alejandro's Office Desks</v>
      </c>
      <c r="I83" s="33" t="str">
        <f>CONCATENATE(VLOOKUP(CONCATENATE("P/T",LEFT(F83,LEN(F83)-7)),'Rooms and Types'!$A:$B,2,FALSE), " (", VLOOKUP(CONCATENATE("P/T",LEFT(F83,LEN(F83)-7)),'Rooms and Types'!$A:$C,3,FALSE),")")</f>
        <v>TSS Office (4th Floor)</v>
      </c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26">
        <v>225.0</v>
      </c>
      <c r="B84" s="27" t="s">
        <v>215</v>
      </c>
      <c r="C84" s="27" t="s">
        <v>216</v>
      </c>
      <c r="D84" s="29">
        <v>70.0</v>
      </c>
      <c r="E84" s="30">
        <v>45357.0</v>
      </c>
      <c r="F84" s="31" t="s">
        <v>196</v>
      </c>
      <c r="G84" s="32" t="str">
        <f>VLOOKUP(F84,'Sub-Divisions'!A:$B,2,FALSE)</f>
        <v>Teaching Materials Drawer Unit || Drawer 3: Raspberry Pi Boards, Cameras and Accesories</v>
      </c>
      <c r="H84" s="32" t="str">
        <f>VLOOKUP(LEFT(F84,LEN(F84)-3),'Storage Locations'!$A:$F,6,FALSE)</f>
        <v>Under Project Bench 4 (/412/104), next to Research Materials Drawer Unit, behind Jonathan &amp; Alejandro's Office Desks</v>
      </c>
      <c r="I84" s="33" t="str">
        <f>CONCATENATE(VLOOKUP(CONCATENATE("P/T",LEFT(F84,LEN(F84)-7)),'Rooms and Types'!$A:$B,2,FALSE), " (", VLOOKUP(CONCATENATE("P/T",LEFT(F84,LEN(F84)-7)),'Rooms and Types'!$A:$C,3,FALSE),")")</f>
        <v>TSS Office (4th Floor)</v>
      </c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26">
        <v>224.0</v>
      </c>
      <c r="B85" s="27" t="s">
        <v>217</v>
      </c>
      <c r="C85" s="27" t="s">
        <v>218</v>
      </c>
      <c r="D85" s="29">
        <v>7.0</v>
      </c>
      <c r="E85" s="30">
        <v>45357.0</v>
      </c>
      <c r="F85" s="31" t="s">
        <v>196</v>
      </c>
      <c r="G85" s="32" t="str">
        <f>VLOOKUP(F85,'Sub-Divisions'!A:$B,2,FALSE)</f>
        <v>Teaching Materials Drawer Unit || Drawer 3: Raspberry Pi Boards, Cameras and Accesories</v>
      </c>
      <c r="H85" s="32" t="str">
        <f>VLOOKUP(LEFT(F85,LEN(F85)-3),'Storage Locations'!$A:$F,6,FALSE)</f>
        <v>Under Project Bench 4 (/412/104), next to Research Materials Drawer Unit, behind Jonathan &amp; Alejandro's Office Desks</v>
      </c>
      <c r="I85" s="33" t="str">
        <f>CONCATENATE(VLOOKUP(CONCATENATE("P/T",LEFT(F85,LEN(F85)-7)),'Rooms and Types'!$A:$B,2,FALSE), " (", VLOOKUP(CONCATENATE("P/T",LEFT(F85,LEN(F85)-7)),'Rooms and Types'!$A:$C,3,FALSE),")")</f>
        <v>TSS Office (4th Floor)</v>
      </c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26">
        <v>223.0</v>
      </c>
      <c r="B86" s="27" t="s">
        <v>219</v>
      </c>
      <c r="C86" s="27" t="s">
        <v>220</v>
      </c>
      <c r="D86" s="29">
        <v>51.0</v>
      </c>
      <c r="E86" s="30">
        <v>45357.0</v>
      </c>
      <c r="F86" s="31" t="s">
        <v>196</v>
      </c>
      <c r="G86" s="32" t="str">
        <f>VLOOKUP(F86,'Sub-Divisions'!A:$B,2,FALSE)</f>
        <v>Teaching Materials Drawer Unit || Drawer 3: Raspberry Pi Boards, Cameras and Accesories</v>
      </c>
      <c r="H86" s="32" t="str">
        <f>VLOOKUP(LEFT(F86,LEN(F86)-3),'Storage Locations'!$A:$F,6,FALSE)</f>
        <v>Under Project Bench 4 (/412/104), next to Research Materials Drawer Unit, behind Jonathan &amp; Alejandro's Office Desks</v>
      </c>
      <c r="I86" s="33" t="str">
        <f>CONCATENATE(VLOOKUP(CONCATENATE("P/T",LEFT(F86,LEN(F86)-7)),'Rooms and Types'!$A:$B,2,FALSE), " (", VLOOKUP(CONCATENATE("P/T",LEFT(F86,LEN(F86)-7)),'Rooms and Types'!$A:$C,3,FALSE),")")</f>
        <v>TSS Office (4th Floor)</v>
      </c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26">
        <v>222.0</v>
      </c>
      <c r="B87" s="27" t="s">
        <v>221</v>
      </c>
      <c r="C87" s="27" t="s">
        <v>222</v>
      </c>
      <c r="D87" s="29" t="s">
        <v>95</v>
      </c>
      <c r="E87" s="30">
        <v>45357.0</v>
      </c>
      <c r="F87" s="31" t="s">
        <v>223</v>
      </c>
      <c r="G87" s="32" t="str">
        <f>VLOOKUP(F87,'Sub-Divisions'!A:$B,2,FALSE)</f>
        <v>Teaching Materials Drawer Unit || Drawer 2: Servomotors and Bearings</v>
      </c>
      <c r="H87" s="32" t="str">
        <f>VLOOKUP(LEFT(F87,LEN(F87)-3),'Storage Locations'!$A:$F,6,FALSE)</f>
        <v>Under Project Bench 4 (/412/104), next to Research Materials Drawer Unit, behind Jonathan &amp; Alejandro's Office Desks</v>
      </c>
      <c r="I87" s="33" t="str">
        <f>CONCATENATE(VLOOKUP(CONCATENATE("P/T",LEFT(F87,LEN(F87)-7)),'Rooms and Types'!$A:$B,2,FALSE), " (", VLOOKUP(CONCATENATE("P/T",LEFT(F87,LEN(F87)-7)),'Rooms and Types'!$A:$C,3,FALSE),")")</f>
        <v>TSS Office (4th Floor)</v>
      </c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26">
        <v>221.0</v>
      </c>
      <c r="B88" s="27" t="s">
        <v>224</v>
      </c>
      <c r="C88" s="27" t="s">
        <v>225</v>
      </c>
      <c r="D88" s="29" t="s">
        <v>95</v>
      </c>
      <c r="E88" s="30">
        <v>45357.0</v>
      </c>
      <c r="F88" s="31" t="s">
        <v>223</v>
      </c>
      <c r="G88" s="32" t="str">
        <f>VLOOKUP(F88,'Sub-Divisions'!A:$B,2,FALSE)</f>
        <v>Teaching Materials Drawer Unit || Drawer 2: Servomotors and Bearings</v>
      </c>
      <c r="H88" s="32" t="str">
        <f>VLOOKUP(LEFT(F88,LEN(F88)-3),'Storage Locations'!$A:$F,6,FALSE)</f>
        <v>Under Project Bench 4 (/412/104), next to Research Materials Drawer Unit, behind Jonathan &amp; Alejandro's Office Desks</v>
      </c>
      <c r="I88" s="33" t="str">
        <f>CONCATENATE(VLOOKUP(CONCATENATE("P/T",LEFT(F88,LEN(F88)-7)),'Rooms and Types'!$A:$B,2,FALSE), " (", VLOOKUP(CONCATENATE("P/T",LEFT(F88,LEN(F88)-7)),'Rooms and Types'!$A:$C,3,FALSE),")")</f>
        <v>TSS Office (4th Floor)</v>
      </c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26">
        <v>220.0</v>
      </c>
      <c r="B89" s="27" t="s">
        <v>226</v>
      </c>
      <c r="C89" s="37" t="s">
        <v>227</v>
      </c>
      <c r="D89" s="29" t="s">
        <v>168</v>
      </c>
      <c r="E89" s="30">
        <v>45357.0</v>
      </c>
      <c r="F89" s="31" t="s">
        <v>223</v>
      </c>
      <c r="G89" s="32" t="str">
        <f>VLOOKUP(F89,'Sub-Divisions'!A:$B,2,FALSE)</f>
        <v>Teaching Materials Drawer Unit || Drawer 2: Servomotors and Bearings</v>
      </c>
      <c r="H89" s="32" t="str">
        <f>VLOOKUP(LEFT(F89,LEN(F89)-3),'Storage Locations'!$A:$F,6,FALSE)</f>
        <v>Under Project Bench 4 (/412/104), next to Research Materials Drawer Unit, behind Jonathan &amp; Alejandro's Office Desks</v>
      </c>
      <c r="I89" s="33" t="str">
        <f>CONCATENATE(VLOOKUP(CONCATENATE("P/T",LEFT(F89,LEN(F89)-7)),'Rooms and Types'!$A:$B,2,FALSE), " (", VLOOKUP(CONCATENATE("P/T",LEFT(F89,LEN(F89)-7)),'Rooms and Types'!$A:$C,3,FALSE),")")</f>
        <v>TSS Office (4th Floor)</v>
      </c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26">
        <v>219.0</v>
      </c>
      <c r="B90" s="27" t="s">
        <v>228</v>
      </c>
      <c r="C90" s="37" t="s">
        <v>229</v>
      </c>
      <c r="D90" s="29" t="s">
        <v>95</v>
      </c>
      <c r="E90" s="30">
        <v>45357.0</v>
      </c>
      <c r="F90" s="31" t="s">
        <v>162</v>
      </c>
      <c r="G90" s="32" t="str">
        <f>VLOOKUP(F90,'Sub-Divisions'!A:$B,2,FALSE)</f>
        <v>Teaching Materials Drawer Unit || Drawer 1: Robotics Kit Motors, Sensors and Accessories</v>
      </c>
      <c r="H90" s="32" t="str">
        <f>VLOOKUP(LEFT(F90,LEN(F90)-3),'Storage Locations'!$A:$F,6,FALSE)</f>
        <v>Under Project Bench 4 (/412/104), next to Research Materials Drawer Unit, behind Jonathan &amp; Alejandro's Office Desks</v>
      </c>
      <c r="I90" s="33" t="str">
        <f>CONCATENATE(VLOOKUP(CONCATENATE("P/T",LEFT(F90,LEN(F90)-7)),'Rooms and Types'!$A:$B,2,FALSE), " (", VLOOKUP(CONCATENATE("P/T",LEFT(F90,LEN(F90)-7)),'Rooms and Types'!$A:$C,3,FALSE),")")</f>
        <v>TSS Office (4th Floor)</v>
      </c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26">
        <v>218.0</v>
      </c>
      <c r="B91" s="27" t="s">
        <v>230</v>
      </c>
      <c r="C91" s="38" t="s">
        <v>231</v>
      </c>
      <c r="D91" s="29" t="s">
        <v>232</v>
      </c>
      <c r="E91" s="30">
        <v>45357.0</v>
      </c>
      <c r="F91" s="31" t="s">
        <v>162</v>
      </c>
      <c r="G91" s="32" t="str">
        <f>VLOOKUP(F91,'Sub-Divisions'!A:$B,2,FALSE)</f>
        <v>Teaching Materials Drawer Unit || Drawer 1: Robotics Kit Motors, Sensors and Accessories</v>
      </c>
      <c r="H91" s="32" t="str">
        <f>VLOOKUP(LEFT(F91,LEN(F91)-3),'Storage Locations'!$A:$F,6,FALSE)</f>
        <v>Under Project Bench 4 (/412/104), next to Research Materials Drawer Unit, behind Jonathan &amp; Alejandro's Office Desks</v>
      </c>
      <c r="I91" s="33" t="str">
        <f>CONCATENATE(VLOOKUP(CONCATENATE("P/T",LEFT(F91,LEN(F91)-7)),'Rooms and Types'!$A:$B,2,FALSE), " (", VLOOKUP(CONCATENATE("P/T",LEFT(F91,LEN(F91)-7)),'Rooms and Types'!$A:$C,3,FALSE),")")</f>
        <v>TSS Office (4th Floor)</v>
      </c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26">
        <v>216.0</v>
      </c>
      <c r="B92" s="27" t="s">
        <v>233</v>
      </c>
      <c r="C92" s="38" t="s">
        <v>234</v>
      </c>
      <c r="D92" s="29">
        <v>8.0</v>
      </c>
      <c r="E92" s="30">
        <v>45357.0</v>
      </c>
      <c r="F92" s="31" t="s">
        <v>162</v>
      </c>
      <c r="G92" s="32" t="str">
        <f>VLOOKUP(F92,'Sub-Divisions'!A:$B,2,FALSE)</f>
        <v>Teaching Materials Drawer Unit || Drawer 1: Robotics Kit Motors, Sensors and Accessories</v>
      </c>
      <c r="H92" s="32" t="str">
        <f>VLOOKUP(LEFT(F92,LEN(F92)-3),'Storage Locations'!$A:$F,6,FALSE)</f>
        <v>Under Project Bench 4 (/412/104), next to Research Materials Drawer Unit, behind Jonathan &amp; Alejandro's Office Desks</v>
      </c>
      <c r="I92" s="33" t="str">
        <f>CONCATENATE(VLOOKUP(CONCATENATE("P/T",LEFT(F92,LEN(F92)-7)),'Rooms and Types'!$A:$B,2,FALSE), " (", VLOOKUP(CONCATENATE("P/T",LEFT(F92,LEN(F92)-7)),'Rooms and Types'!$A:$C,3,FALSE),")")</f>
        <v>TSS Office (4th Floor)</v>
      </c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26">
        <v>215.0</v>
      </c>
      <c r="B93" s="27" t="s">
        <v>235</v>
      </c>
      <c r="C93" s="38" t="s">
        <v>236</v>
      </c>
      <c r="D93" s="29" t="s">
        <v>232</v>
      </c>
      <c r="E93" s="30">
        <v>45357.0</v>
      </c>
      <c r="F93" s="31" t="s">
        <v>162</v>
      </c>
      <c r="G93" s="32" t="str">
        <f>VLOOKUP(F93,'Sub-Divisions'!A:$B,2,FALSE)</f>
        <v>Teaching Materials Drawer Unit || Drawer 1: Robotics Kit Motors, Sensors and Accessories</v>
      </c>
      <c r="H93" s="32" t="str">
        <f>VLOOKUP(LEFT(F93,LEN(F93)-3),'Storage Locations'!$A:$F,6,FALSE)</f>
        <v>Under Project Bench 4 (/412/104), next to Research Materials Drawer Unit, behind Jonathan &amp; Alejandro's Office Desks</v>
      </c>
      <c r="I93" s="33" t="str">
        <f>CONCATENATE(VLOOKUP(CONCATENATE("P/T",LEFT(F93,LEN(F93)-7)),'Rooms and Types'!$A:$B,2,FALSE), " (", VLOOKUP(CONCATENATE("P/T",LEFT(F93,LEN(F93)-7)),'Rooms and Types'!$A:$C,3,FALSE),")")</f>
        <v>TSS Office (4th Floor)</v>
      </c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26">
        <v>214.0</v>
      </c>
      <c r="B94" s="27" t="s">
        <v>237</v>
      </c>
      <c r="C94" s="38" t="s">
        <v>238</v>
      </c>
      <c r="D94" s="29" t="s">
        <v>52</v>
      </c>
      <c r="E94" s="30">
        <v>45357.0</v>
      </c>
      <c r="F94" s="31" t="s">
        <v>162</v>
      </c>
      <c r="G94" s="32" t="str">
        <f>VLOOKUP(F94,'Sub-Divisions'!A:$B,2,FALSE)</f>
        <v>Teaching Materials Drawer Unit || Drawer 1: Robotics Kit Motors, Sensors and Accessories</v>
      </c>
      <c r="H94" s="32" t="str">
        <f>VLOOKUP(LEFT(F94,LEN(F94)-3),'Storage Locations'!$A:$F,6,FALSE)</f>
        <v>Under Project Bench 4 (/412/104), next to Research Materials Drawer Unit, behind Jonathan &amp; Alejandro's Office Desks</v>
      </c>
      <c r="I94" s="33" t="str">
        <f>CONCATENATE(VLOOKUP(CONCATENATE("P/T",LEFT(F94,LEN(F94)-7)),'Rooms and Types'!$A:$B,2,FALSE), " (", VLOOKUP(CONCATENATE("P/T",LEFT(F94,LEN(F94)-7)),'Rooms and Types'!$A:$C,3,FALSE),")")</f>
        <v>TSS Office (4th Floor)</v>
      </c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26">
        <v>213.0</v>
      </c>
      <c r="B95" s="27" t="s">
        <v>239</v>
      </c>
      <c r="C95" s="38" t="s">
        <v>240</v>
      </c>
      <c r="D95" s="29" t="s">
        <v>232</v>
      </c>
      <c r="E95" s="30">
        <v>45357.0</v>
      </c>
      <c r="F95" s="31" t="s">
        <v>162</v>
      </c>
      <c r="G95" s="32" t="str">
        <f>VLOOKUP(F95,'Sub-Divisions'!A:$B,2,FALSE)</f>
        <v>Teaching Materials Drawer Unit || Drawer 1: Robotics Kit Motors, Sensors and Accessories</v>
      </c>
      <c r="H95" s="32" t="str">
        <f>VLOOKUP(LEFT(F95,LEN(F95)-3),'Storage Locations'!$A:$F,6,FALSE)</f>
        <v>Under Project Bench 4 (/412/104), next to Research Materials Drawer Unit, behind Jonathan &amp; Alejandro's Office Desks</v>
      </c>
      <c r="I95" s="33" t="str">
        <f>CONCATENATE(VLOOKUP(CONCATENATE("P/T",LEFT(F95,LEN(F95)-7)),'Rooms and Types'!$A:$B,2,FALSE), " (", VLOOKUP(CONCATENATE("P/T",LEFT(F95,LEN(F95)-7)),'Rooms and Types'!$A:$C,3,FALSE),")")</f>
        <v>TSS Office (4th Floor)</v>
      </c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26">
        <v>212.0</v>
      </c>
      <c r="B96" s="27" t="s">
        <v>241</v>
      </c>
      <c r="C96" s="38" t="s">
        <v>242</v>
      </c>
      <c r="D96" s="29">
        <v>1.0</v>
      </c>
      <c r="E96" s="30">
        <v>45357.0</v>
      </c>
      <c r="F96" s="31" t="s">
        <v>162</v>
      </c>
      <c r="G96" s="32" t="str">
        <f>VLOOKUP(F96,'Sub-Divisions'!A:$B,2,FALSE)</f>
        <v>Teaching Materials Drawer Unit || Drawer 1: Robotics Kit Motors, Sensors and Accessories</v>
      </c>
      <c r="H96" s="32" t="str">
        <f>VLOOKUP(LEFT(F96,LEN(F96)-3),'Storage Locations'!$A:$F,6,FALSE)</f>
        <v>Under Project Bench 4 (/412/104), next to Research Materials Drawer Unit, behind Jonathan &amp; Alejandro's Office Desks</v>
      </c>
      <c r="I96" s="33" t="str">
        <f>CONCATENATE(VLOOKUP(CONCATENATE("P/T",LEFT(F96,LEN(F96)-7)),'Rooms and Types'!$A:$B,2,FALSE), " (", VLOOKUP(CONCATENATE("P/T",LEFT(F96,LEN(F96)-7)),'Rooms and Types'!$A:$C,3,FALSE),")")</f>
        <v>TSS Office (4th Floor)</v>
      </c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6">
        <v>211.0</v>
      </c>
      <c r="B97" s="27" t="s">
        <v>243</v>
      </c>
      <c r="C97" s="38" t="s">
        <v>244</v>
      </c>
      <c r="D97" s="29" t="s">
        <v>168</v>
      </c>
      <c r="E97" s="30">
        <v>45357.0</v>
      </c>
      <c r="F97" s="31" t="s">
        <v>162</v>
      </c>
      <c r="G97" s="32" t="str">
        <f>VLOOKUP(F97,'Sub-Divisions'!A:$B,2,FALSE)</f>
        <v>Teaching Materials Drawer Unit || Drawer 1: Robotics Kit Motors, Sensors and Accessories</v>
      </c>
      <c r="H97" s="32" t="str">
        <f>VLOOKUP(LEFT(F97,LEN(F97)-3),'Storage Locations'!$A:$F,6,FALSE)</f>
        <v>Under Project Bench 4 (/412/104), next to Research Materials Drawer Unit, behind Jonathan &amp; Alejandro's Office Desks</v>
      </c>
      <c r="I97" s="33" t="str">
        <f>CONCATENATE(VLOOKUP(CONCATENATE("P/T",LEFT(F97,LEN(F97)-7)),'Rooms and Types'!$A:$B,2,FALSE), " (", VLOOKUP(CONCATENATE("P/T",LEFT(F97,LEN(F97)-7)),'Rooms and Types'!$A:$C,3,FALSE),")")</f>
        <v>TSS Office (4th Floor)</v>
      </c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26">
        <v>210.0</v>
      </c>
      <c r="B98" s="27" t="s">
        <v>245</v>
      </c>
      <c r="C98" s="38" t="s">
        <v>246</v>
      </c>
      <c r="D98" s="29">
        <v>1.0</v>
      </c>
      <c r="E98" s="30">
        <v>45357.0</v>
      </c>
      <c r="F98" s="31" t="s">
        <v>162</v>
      </c>
      <c r="G98" s="32" t="str">
        <f>VLOOKUP(F98,'Sub-Divisions'!A:$B,2,FALSE)</f>
        <v>Teaching Materials Drawer Unit || Drawer 1: Robotics Kit Motors, Sensors and Accessories</v>
      </c>
      <c r="H98" s="32" t="str">
        <f>VLOOKUP(LEFT(F98,LEN(F98)-3),'Storage Locations'!$A:$F,6,FALSE)</f>
        <v>Under Project Bench 4 (/412/104), next to Research Materials Drawer Unit, behind Jonathan &amp; Alejandro's Office Desks</v>
      </c>
      <c r="I98" s="33" t="str">
        <f>CONCATENATE(VLOOKUP(CONCATENATE("P/T",LEFT(F98,LEN(F98)-7)),'Rooms and Types'!$A:$B,2,FALSE), " (", VLOOKUP(CONCATENATE("P/T",LEFT(F98,LEN(F98)-7)),'Rooms and Types'!$A:$C,3,FALSE),")")</f>
        <v>TSS Office (4th Floor)</v>
      </c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26">
        <v>209.0</v>
      </c>
      <c r="B99" s="27" t="s">
        <v>247</v>
      </c>
      <c r="C99" s="38" t="s">
        <v>248</v>
      </c>
      <c r="D99" s="29">
        <v>10.0</v>
      </c>
      <c r="E99" s="30">
        <v>45357.0</v>
      </c>
      <c r="F99" s="31" t="s">
        <v>162</v>
      </c>
      <c r="G99" s="32" t="str">
        <f>VLOOKUP(F99,'Sub-Divisions'!A:$B,2,FALSE)</f>
        <v>Teaching Materials Drawer Unit || Drawer 1: Robotics Kit Motors, Sensors and Accessories</v>
      </c>
      <c r="H99" s="32" t="str">
        <f>VLOOKUP(LEFT(F99,LEN(F99)-3),'Storage Locations'!$A:$F,6,FALSE)</f>
        <v>Under Project Bench 4 (/412/104), next to Research Materials Drawer Unit, behind Jonathan &amp; Alejandro's Office Desks</v>
      </c>
      <c r="I99" s="33" t="str">
        <f>CONCATENATE(VLOOKUP(CONCATENATE("P/T",LEFT(F99,LEN(F99)-7)),'Rooms and Types'!$A:$B,2,FALSE), " (", VLOOKUP(CONCATENATE("P/T",LEFT(F99,LEN(F99)-7)),'Rooms and Types'!$A:$C,3,FALSE),")")</f>
        <v>TSS Office (4th Floor)</v>
      </c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26">
        <v>208.0</v>
      </c>
      <c r="B100" s="27" t="s">
        <v>249</v>
      </c>
      <c r="C100" s="37" t="s">
        <v>250</v>
      </c>
      <c r="D100" s="29" t="s">
        <v>251</v>
      </c>
      <c r="E100" s="30">
        <v>45357.0</v>
      </c>
      <c r="F100" s="31" t="s">
        <v>162</v>
      </c>
      <c r="G100" s="32" t="str">
        <f>VLOOKUP(F100,'Sub-Divisions'!A:$B,2,FALSE)</f>
        <v>Teaching Materials Drawer Unit || Drawer 1: Robotics Kit Motors, Sensors and Accessories</v>
      </c>
      <c r="H100" s="32" t="str">
        <f>VLOOKUP(LEFT(F100,LEN(F100)-3),'Storage Locations'!$A:$F,6,FALSE)</f>
        <v>Under Project Bench 4 (/412/104), next to Research Materials Drawer Unit, behind Jonathan &amp; Alejandro's Office Desks</v>
      </c>
      <c r="I100" s="33" t="str">
        <f>CONCATENATE(VLOOKUP(CONCATENATE("P/T",LEFT(F100,LEN(F100)-7)),'Rooms and Types'!$A:$B,2,FALSE), " (", VLOOKUP(CONCATENATE("P/T",LEFT(F100,LEN(F100)-7)),'Rooms and Types'!$A:$C,3,FALSE),")")</f>
        <v>TSS Office (4th Floor)</v>
      </c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26">
        <v>207.0</v>
      </c>
      <c r="B101" s="27" t="s">
        <v>252</v>
      </c>
      <c r="C101" s="37" t="s">
        <v>253</v>
      </c>
      <c r="D101" s="29">
        <v>1.0</v>
      </c>
      <c r="E101" s="30">
        <v>45349.0</v>
      </c>
      <c r="F101" s="31" t="s">
        <v>14</v>
      </c>
      <c r="G101" s="32" t="str">
        <f>VLOOKUP(F101,'Sub-Divisions'!A:$B,2,FALSE)</f>
        <v>Temporary Project Components Cupboard || Shelf 1</v>
      </c>
      <c r="H101" s="32" t="str">
        <f>VLOOKUP(LEFT(F101,LEN(F101)-3),'Storage Locations'!$A:$F,6,FALSE)</f>
        <v>Cupboard under robotics arena, next to Bench 14</v>
      </c>
      <c r="I101" s="33" t="str">
        <f>CONCATENATE(VLOOKUP(CONCATENATE("P/T",LEFT(F101,LEN(F101)-7)),'Rooms and Types'!$A:$B,2,FALSE), " (", VLOOKUP(CONCATENATE("P/T",LEFT(F101,LEN(F101)-7)),'Rooms and Types'!$A:$C,3,FALSE),")")</f>
        <v>Robotics Teaching Lab (4th Floor)</v>
      </c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26">
        <v>206.0</v>
      </c>
      <c r="B102" s="27" t="s">
        <v>254</v>
      </c>
      <c r="C102" s="37" t="s">
        <v>255</v>
      </c>
      <c r="D102" s="29">
        <v>30.0</v>
      </c>
      <c r="E102" s="30">
        <v>45344.0</v>
      </c>
      <c r="F102" s="31" t="s">
        <v>256</v>
      </c>
      <c r="G102" s="32" t="str">
        <f>VLOOKUP(F102,'Sub-Divisions'!A:$B,2,FALSE)</f>
        <v>Manufacturing Products Showcase Shelving Unit || Shelf 1</v>
      </c>
      <c r="H102" s="32" t="str">
        <f>VLOOKUP(LEFT(F102,LEN(F102)-3),'Storage Locations'!$A:$F,6,FALSE)</f>
        <v>In front of material store, between bench 20 and bench 24</v>
      </c>
      <c r="I102" s="33" t="str">
        <f>CONCATENATE(VLOOKUP(CONCATENATE("P/T",LEFT(F102,LEN(F102)-7)),'Rooms and Types'!$A:$B,2,FALSE), " (", VLOOKUP(CONCATENATE("P/T",LEFT(F102,LEN(F102)-7)),'Rooms and Types'!$A:$C,3,FALSE),")")</f>
        <v>Robotics Teaching Lab (4th Floor)</v>
      </c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26">
        <v>205.0</v>
      </c>
      <c r="B103" s="27" t="s">
        <v>257</v>
      </c>
      <c r="C103" s="37" t="s">
        <v>258</v>
      </c>
      <c r="D103" s="29">
        <v>1.0</v>
      </c>
      <c r="E103" s="30">
        <v>45344.0</v>
      </c>
      <c r="F103" s="31" t="s">
        <v>259</v>
      </c>
      <c r="G103" s="32" t="str">
        <f>VLOOKUP(F103,'Sub-Divisions'!A:$B,2,FALSE)</f>
        <v>Robot Arms Table Desk || Top: EVA Automata Robot Arms</v>
      </c>
      <c r="H103" s="32" t="str">
        <f>VLOOKUP(LEFT(F103,LEN(F103)-3),'Storage Locations'!$A:$F,6,FALSE)</f>
        <v>West Wall, behind the projector, next to the material store</v>
      </c>
      <c r="I103" s="33" t="str">
        <f>CONCATENATE(VLOOKUP(CONCATENATE("P/T",LEFT(F103,LEN(F103)-7)),'Rooms and Types'!$A:$B,2,FALSE), " (", VLOOKUP(CONCATENATE("P/T",LEFT(F103,LEN(F103)-7)),'Rooms and Types'!$A:$C,3,FALSE),")")</f>
        <v>Robotics Teaching Lab (4th Floor)</v>
      </c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26">
        <v>204.0</v>
      </c>
      <c r="B104" s="27" t="s">
        <v>260</v>
      </c>
      <c r="C104" s="39" t="s">
        <v>261</v>
      </c>
      <c r="D104" s="29">
        <v>8.0</v>
      </c>
      <c r="E104" s="30">
        <v>45344.0</v>
      </c>
      <c r="F104" s="31" t="s">
        <v>262</v>
      </c>
      <c r="G104" s="32" t="str">
        <f>VLOOKUP(F104,'Sub-Divisions'!A:$B,2,FALSE)</f>
        <v>Bench Cluster 17-24 Bench Cluster || Bench 17: Bench 17</v>
      </c>
      <c r="H104" s="32" t="str">
        <f>VLOOKUP(LEFT(F104,LEN(F104)-3),'Storage Locations'!$A:$F,6,FALSE)</f>
        <v>Benches 17-24</v>
      </c>
      <c r="I104" s="33" t="str">
        <f>CONCATENATE(VLOOKUP(CONCATENATE("P/T",LEFT(F104,LEN(F104)-7)),'Rooms and Types'!$A:$B,2,FALSE), " (", VLOOKUP(CONCATENATE("P/T",LEFT(F104,LEN(F104)-7)),'Rooms and Types'!$A:$C,3,FALSE),")")</f>
        <v>Robotics Teaching Lab (4th Floor)</v>
      </c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26">
        <v>203.0</v>
      </c>
      <c r="B105" s="27" t="s">
        <v>263</v>
      </c>
      <c r="C105" s="27" t="s">
        <v>264</v>
      </c>
      <c r="D105" s="29">
        <v>10.0</v>
      </c>
      <c r="E105" s="30">
        <v>45344.0</v>
      </c>
      <c r="F105" s="31" t="s">
        <v>265</v>
      </c>
      <c r="G105" s="32" t="str">
        <f>VLOOKUP(F105,'Sub-Divisions'!A:$B,2,FALSE)</f>
        <v>Mains Distribution Panels Cupboard || Shelf 1: Mains Wall Outlet Faceplates</v>
      </c>
      <c r="H105" s="32" t="str">
        <f>VLOOKUP(LEFT(F105,LEN(F105)-3),'Storage Locations'!$A:$F,6,FALSE)</f>
        <v>East Wall, under the window, next to Bench 17</v>
      </c>
      <c r="I105" s="33" t="str">
        <f>CONCATENATE(VLOOKUP(CONCATENATE("P/T",LEFT(F105,LEN(F105)-7)),'Rooms and Types'!$A:$B,2,FALSE), " (", VLOOKUP(CONCATENATE("P/T",LEFT(F105,LEN(F105)-7)),'Rooms and Types'!$A:$C,3,FALSE),")")</f>
        <v>Robotics Teaching Lab (4th Floor)</v>
      </c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26">
        <v>202.0</v>
      </c>
      <c r="B106" s="27" t="s">
        <v>266</v>
      </c>
      <c r="C106" s="27" t="s">
        <v>267</v>
      </c>
      <c r="D106" s="29" t="s">
        <v>268</v>
      </c>
      <c r="E106" s="30">
        <v>45344.0</v>
      </c>
      <c r="F106" s="31" t="s">
        <v>269</v>
      </c>
      <c r="G106" s="32" t="str">
        <f>VLOOKUP(F106,'Sub-Divisions'!A:$B,2,FALSE)</f>
        <v>Capacitor Organiser Cabinet || Organiser 1</v>
      </c>
      <c r="H106" s="32" t="str">
        <f>VLOOKUP(LEFT(F106,LEN(F106)-3),'Storage Locations'!$A:$F,6,FALSE)</f>
        <v>East Wall, on top of windowsill, next to Bench 13</v>
      </c>
      <c r="I106" s="33" t="str">
        <f>CONCATENATE(VLOOKUP(CONCATENATE("P/T",LEFT(F106,LEN(F106)-7)),'Rooms and Types'!$A:$B,2,FALSE), " (", VLOOKUP(CONCATENATE("P/T",LEFT(F106,LEN(F106)-7)),'Rooms and Types'!$A:$C,3,FALSE),")")</f>
        <v>Robotics Teaching Lab (4th Floor)</v>
      </c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26">
        <v>201.0</v>
      </c>
      <c r="B107" s="27" t="s">
        <v>270</v>
      </c>
      <c r="C107" s="27" t="s">
        <v>271</v>
      </c>
      <c r="D107" s="29" t="s">
        <v>268</v>
      </c>
      <c r="E107" s="30">
        <v>45344.0</v>
      </c>
      <c r="F107" s="31" t="s">
        <v>272</v>
      </c>
      <c r="G107" s="32" t="str">
        <f>VLOOKUP(F107,'Sub-Divisions'!A:$B,2,FALSE)</f>
        <v>Nut &amp; Bolt Organiser 2 Cabinet || Organiser 1</v>
      </c>
      <c r="H107" s="32" t="str">
        <f>VLOOKUP(LEFT(F107,LEN(F107)-3),'Storage Locations'!$A:$F,6,FALSE)</f>
        <v>East Wall, on top of windowsill, next to Bench 13</v>
      </c>
      <c r="I107" s="33" t="str">
        <f>CONCATENATE(VLOOKUP(CONCATENATE("P/T",LEFT(F107,LEN(F107)-7)),'Rooms and Types'!$A:$B,2,FALSE), " (", VLOOKUP(CONCATENATE("P/T",LEFT(F107,LEN(F107)-7)),'Rooms and Types'!$A:$C,3,FALSE),")")</f>
        <v>Robotics Teaching Lab (4th Floor)</v>
      </c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26">
        <v>200.0</v>
      </c>
      <c r="B108" s="27" t="s">
        <v>273</v>
      </c>
      <c r="C108" s="27" t="s">
        <v>274</v>
      </c>
      <c r="D108" s="29">
        <v>2.0</v>
      </c>
      <c r="E108" s="30">
        <v>45344.0</v>
      </c>
      <c r="F108" s="31" t="s">
        <v>275</v>
      </c>
      <c r="G108" s="32" t="str">
        <f>VLOOKUP(F108,'Sub-Divisions'!A:$B,2,FALSE)</f>
        <v>Mains Outlet Extensions Cupboard || Window Sill</v>
      </c>
      <c r="H108" s="32" t="str">
        <f>VLOOKUP(LEFT(F108,LEN(F108)-3),'Storage Locations'!$A:$F,6,FALSE)</f>
        <v>East Wall, under the window, next to Bench 13</v>
      </c>
      <c r="I108" s="33" t="str">
        <f>CONCATENATE(VLOOKUP(CONCATENATE("P/T",LEFT(F108,LEN(F108)-7)),'Rooms and Types'!$A:$B,2,FALSE), " (", VLOOKUP(CONCATENATE("P/T",LEFT(F108,LEN(F108)-7)),'Rooms and Types'!$A:$C,3,FALSE),")")</f>
        <v>Robotics Teaching Lab (4th Floor)</v>
      </c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26">
        <v>199.0</v>
      </c>
      <c r="B109" s="27" t="s">
        <v>276</v>
      </c>
      <c r="C109" s="27" t="s">
        <v>277</v>
      </c>
      <c r="D109" s="29" t="s">
        <v>73</v>
      </c>
      <c r="E109" s="30">
        <v>45344.0</v>
      </c>
      <c r="F109" s="31" t="s">
        <v>278</v>
      </c>
      <c r="G109" s="32" t="str">
        <f>VLOOKUP(F109,'Sub-Divisions'!A:$B,2,FALSE)</f>
        <v>Mains Outlet Extensions Cupboard || Shelf 1: Extension cables</v>
      </c>
      <c r="H109" s="32" t="str">
        <f>VLOOKUP(LEFT(F109,LEN(F109)-3),'Storage Locations'!$A:$F,6,FALSE)</f>
        <v>East Wall, under the window, next to Bench 13</v>
      </c>
      <c r="I109" s="33" t="str">
        <f>CONCATENATE(VLOOKUP(CONCATENATE("P/T",LEFT(F109,LEN(F109)-7)),'Rooms and Types'!$A:$B,2,FALSE), " (", VLOOKUP(CONCATENATE("P/T",LEFT(F109,LEN(F109)-7)),'Rooms and Types'!$A:$C,3,FALSE),")")</f>
        <v>Robotics Teaching Lab (4th Floor)</v>
      </c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26">
        <v>198.0</v>
      </c>
      <c r="B110" s="27" t="s">
        <v>279</v>
      </c>
      <c r="C110" s="27" t="s">
        <v>280</v>
      </c>
      <c r="D110" s="29">
        <v>1.0</v>
      </c>
      <c r="E110" s="30">
        <v>45344.0</v>
      </c>
      <c r="F110" s="31" t="s">
        <v>281</v>
      </c>
      <c r="G110" s="32" t="str">
        <f>VLOOKUP(F110,'Sub-Divisions'!A:$B,2,FALSE)</f>
        <v>West Wall Gap || Space 2: Spare Arena Vinyl and Ferroflex</v>
      </c>
      <c r="H110" s="32" t="str">
        <f>VLOOKUP(LEFT(F110,LEN(F110)-3),'Storage Locations'!$A:$F,6,FALSE)</f>
        <v>West Wall, behind the projector, next to west wall lockers (/410/207)</v>
      </c>
      <c r="I110" s="33" t="str">
        <f>CONCATENATE(VLOOKUP(CONCATENATE("P/T",LEFT(F110,LEN(F110)-7)),'Rooms and Types'!$A:$B,2,FALSE), " (", VLOOKUP(CONCATENATE("P/T",LEFT(F110,LEN(F110)-7)),'Rooms and Types'!$A:$C,3,FALSE),")")</f>
        <v>Robotics Teaching Lab (4th Floor)</v>
      </c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26">
        <v>197.0</v>
      </c>
      <c r="B111" s="27" t="s">
        <v>282</v>
      </c>
      <c r="C111" s="27" t="s">
        <v>283</v>
      </c>
      <c r="D111" s="29">
        <v>2.0</v>
      </c>
      <c r="E111" s="30">
        <v>45344.0</v>
      </c>
      <c r="F111" s="31" t="s">
        <v>281</v>
      </c>
      <c r="G111" s="32" t="str">
        <f>VLOOKUP(F111,'Sub-Divisions'!A:$B,2,FALSE)</f>
        <v>West Wall Gap || Space 2: Spare Arena Vinyl and Ferroflex</v>
      </c>
      <c r="H111" s="32" t="str">
        <f>VLOOKUP(LEFT(F111,LEN(F111)-3),'Storage Locations'!$A:$F,6,FALSE)</f>
        <v>West Wall, behind the projector, next to west wall lockers (/410/207)</v>
      </c>
      <c r="I111" s="33" t="str">
        <f>CONCATENATE(VLOOKUP(CONCATENATE("P/T",LEFT(F111,LEN(F111)-7)),'Rooms and Types'!$A:$B,2,FALSE), " (", VLOOKUP(CONCATENATE("P/T",LEFT(F111,LEN(F111)-7)),'Rooms and Types'!$A:$C,3,FALSE),")")</f>
        <v>Robotics Teaching Lab (4th Floor)</v>
      </c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26">
        <v>196.0</v>
      </c>
      <c r="B112" s="27" t="s">
        <v>284</v>
      </c>
      <c r="C112" s="27" t="s">
        <v>285</v>
      </c>
      <c r="D112" s="29">
        <v>1.0</v>
      </c>
      <c r="E112" s="30">
        <v>45344.0</v>
      </c>
      <c r="F112" s="31" t="s">
        <v>281</v>
      </c>
      <c r="G112" s="32" t="str">
        <f>VLOOKUP(F112,'Sub-Divisions'!A:$B,2,FALSE)</f>
        <v>West Wall Gap || Space 2: Spare Arena Vinyl and Ferroflex</v>
      </c>
      <c r="H112" s="32" t="str">
        <f>VLOOKUP(LEFT(F112,LEN(F112)-3),'Storage Locations'!$A:$F,6,FALSE)</f>
        <v>West Wall, behind the projector, next to west wall lockers (/410/207)</v>
      </c>
      <c r="I112" s="33" t="str">
        <f>CONCATENATE(VLOOKUP(CONCATENATE("P/T",LEFT(F112,LEN(F112)-7)),'Rooms and Types'!$A:$B,2,FALSE), " (", VLOOKUP(CONCATENATE("P/T",LEFT(F112,LEN(F112)-7)),'Rooms and Types'!$A:$C,3,FALSE),")")</f>
        <v>Robotics Teaching Lab (4th Floor)</v>
      </c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26">
        <v>195.0</v>
      </c>
      <c r="B113" s="27" t="s">
        <v>286</v>
      </c>
      <c r="C113" s="35" t="s">
        <v>287</v>
      </c>
      <c r="D113" s="29">
        <v>14.0</v>
      </c>
      <c r="E113" s="30">
        <v>45344.0</v>
      </c>
      <c r="F113" s="31" t="s">
        <v>288</v>
      </c>
      <c r="G113" s="32" t="str">
        <f>VLOOKUP(F113,'Sub-Divisions'!A:$B,2,FALSE)</f>
        <v>West Wall Lockers Locker Group || Top: RPRK &amp; RDaC kits + Empty Boxes</v>
      </c>
      <c r="H113" s="32" t="str">
        <f>VLOOKUP(LEFT(F113,LEN(F113)-3),'Storage Locations'!$A:$F,6,FALSE)</f>
        <v>West Wall, behind the projector</v>
      </c>
      <c r="I113" s="33" t="str">
        <f>CONCATENATE(VLOOKUP(CONCATENATE("P/T",LEFT(F113,LEN(F113)-7)),'Rooms and Types'!$A:$B,2,FALSE), " (", VLOOKUP(CONCATENATE("P/T",LEFT(F113,LEN(F113)-7)),'Rooms and Types'!$A:$C,3,FALSE),")")</f>
        <v>Robotics Teaching Lab (4th Floor)</v>
      </c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26">
        <v>194.0</v>
      </c>
      <c r="B114" s="27" t="s">
        <v>289</v>
      </c>
      <c r="C114" s="35" t="s">
        <v>290</v>
      </c>
      <c r="D114" s="29">
        <v>5.0</v>
      </c>
      <c r="E114" s="30">
        <v>45344.0</v>
      </c>
      <c r="F114" s="31" t="s">
        <v>288</v>
      </c>
      <c r="G114" s="32" t="str">
        <f>VLOOKUP(F114,'Sub-Divisions'!A:$B,2,FALSE)</f>
        <v>West Wall Lockers Locker Group || Top: RPRK &amp; RDaC kits + Empty Boxes</v>
      </c>
      <c r="H114" s="32" t="str">
        <f>VLOOKUP(LEFT(F114,LEN(F114)-3),'Storage Locations'!$A:$F,6,FALSE)</f>
        <v>West Wall, behind the projector</v>
      </c>
      <c r="I114" s="33" t="str">
        <f>CONCATENATE(VLOOKUP(CONCATENATE("P/T",LEFT(F114,LEN(F114)-7)),'Rooms and Types'!$A:$B,2,FALSE), " (", VLOOKUP(CONCATENATE("P/T",LEFT(F114,LEN(F114)-7)),'Rooms and Types'!$A:$C,3,FALSE),")")</f>
        <v>Robotics Teaching Lab (4th Floor)</v>
      </c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26">
        <v>193.0</v>
      </c>
      <c r="B115" s="27" t="s">
        <v>291</v>
      </c>
      <c r="C115" s="35" t="s">
        <v>292</v>
      </c>
      <c r="D115" s="29">
        <v>34.0</v>
      </c>
      <c r="E115" s="30">
        <v>45344.0</v>
      </c>
      <c r="F115" s="31" t="s">
        <v>288</v>
      </c>
      <c r="G115" s="32" t="str">
        <f>VLOOKUP(F115,'Sub-Divisions'!A:$B,2,FALSE)</f>
        <v>West Wall Lockers Locker Group || Top: RPRK &amp; RDaC kits + Empty Boxes</v>
      </c>
      <c r="H115" s="32" t="str">
        <f>VLOOKUP(LEFT(F115,LEN(F115)-3),'Storage Locations'!$A:$F,6,FALSE)</f>
        <v>West Wall, behind the projector</v>
      </c>
      <c r="I115" s="33" t="str">
        <f>CONCATENATE(VLOOKUP(CONCATENATE("P/T",LEFT(F115,LEN(F115)-7)),'Rooms and Types'!$A:$B,2,FALSE), " (", VLOOKUP(CONCATENATE("P/T",LEFT(F115,LEN(F115)-7)),'Rooms and Types'!$A:$C,3,FALSE),")")</f>
        <v>Robotics Teaching Lab (4th Floor)</v>
      </c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26">
        <v>192.0</v>
      </c>
      <c r="B116" s="27" t="s">
        <v>293</v>
      </c>
      <c r="C116" s="27" t="s">
        <v>294</v>
      </c>
      <c r="D116" s="29" t="s">
        <v>168</v>
      </c>
      <c r="E116" s="30">
        <v>45344.0</v>
      </c>
      <c r="F116" s="31" t="s">
        <v>295</v>
      </c>
      <c r="G116" s="32" t="str">
        <f>VLOOKUP(F116,'Sub-Divisions'!A:$B,2,FALSE)</f>
        <v>RPRK &amp; RDaC Project Spares Cupboard || Shelf 1: Robotics Kit Inventory and Spare Parts</v>
      </c>
      <c r="H116" s="32" t="str">
        <f>VLOOKUP(LEFT(F116,LEN(F116)-3),'Storage Locations'!$A:$F,6,FALSE)</f>
        <v>Cupboard under robotics arena, next to Temporary Project Components cupboard (/410/205)</v>
      </c>
      <c r="I116" s="33" t="str">
        <f>CONCATENATE(VLOOKUP(CONCATENATE("P/T",LEFT(F116,LEN(F116)-7)),'Rooms and Types'!$A:$B,2,FALSE), " (", VLOOKUP(CONCATENATE("P/T",LEFT(F116,LEN(F116)-7)),'Rooms and Types'!$A:$C,3,FALSE),")")</f>
        <v>Robotics Teaching Lab (4th Floor)</v>
      </c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26">
        <v>191.0</v>
      </c>
      <c r="B117" s="27" t="s">
        <v>296</v>
      </c>
      <c r="C117" s="27" t="s">
        <v>297</v>
      </c>
      <c r="D117" s="29" t="s">
        <v>298</v>
      </c>
      <c r="E117" s="30">
        <v>45344.0</v>
      </c>
      <c r="F117" s="31" t="s">
        <v>295</v>
      </c>
      <c r="G117" s="32" t="str">
        <f>VLOOKUP(F117,'Sub-Divisions'!A:$B,2,FALSE)</f>
        <v>RPRK &amp; RDaC Project Spares Cupboard || Shelf 1: Robotics Kit Inventory and Spare Parts</v>
      </c>
      <c r="H117" s="32" t="str">
        <f>VLOOKUP(LEFT(F117,LEN(F117)-3),'Storage Locations'!$A:$F,6,FALSE)</f>
        <v>Cupboard under robotics arena, next to Temporary Project Components cupboard (/410/205)</v>
      </c>
      <c r="I117" s="33" t="str">
        <f>CONCATENATE(VLOOKUP(CONCATENATE("P/T",LEFT(F117,LEN(F117)-7)),'Rooms and Types'!$A:$B,2,FALSE), " (", VLOOKUP(CONCATENATE("P/T",LEFT(F117,LEN(F117)-7)),'Rooms and Types'!$A:$C,3,FALSE),")")</f>
        <v>Robotics Teaching Lab (4th Floor)</v>
      </c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26">
        <v>190.0</v>
      </c>
      <c r="B118" s="27" t="s">
        <v>299</v>
      </c>
      <c r="C118" s="27" t="s">
        <v>300</v>
      </c>
      <c r="D118" s="29" t="s">
        <v>301</v>
      </c>
      <c r="E118" s="30">
        <v>45344.0</v>
      </c>
      <c r="F118" s="31" t="s">
        <v>295</v>
      </c>
      <c r="G118" s="32" t="str">
        <f>VLOOKUP(F118,'Sub-Divisions'!A:$B,2,FALSE)</f>
        <v>RPRK &amp; RDaC Project Spares Cupboard || Shelf 1: Robotics Kit Inventory and Spare Parts</v>
      </c>
      <c r="H118" s="32" t="str">
        <f>VLOOKUP(LEFT(F118,LEN(F118)-3),'Storage Locations'!$A:$F,6,FALSE)</f>
        <v>Cupboard under robotics arena, next to Temporary Project Components cupboard (/410/205)</v>
      </c>
      <c r="I118" s="33" t="str">
        <f>CONCATENATE(VLOOKUP(CONCATENATE("P/T",LEFT(F118,LEN(F118)-7)),'Rooms and Types'!$A:$B,2,FALSE), " (", VLOOKUP(CONCATENATE("P/T",LEFT(F118,LEN(F118)-7)),'Rooms and Types'!$A:$C,3,FALSE),")")</f>
        <v>Robotics Teaching Lab (4th Floor)</v>
      </c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26">
        <v>189.0</v>
      </c>
      <c r="B119" s="27" t="s">
        <v>302</v>
      </c>
      <c r="C119" s="27" t="s">
        <v>303</v>
      </c>
      <c r="D119" s="29" t="s">
        <v>304</v>
      </c>
      <c r="E119" s="30">
        <v>45344.0</v>
      </c>
      <c r="F119" s="31" t="s">
        <v>295</v>
      </c>
      <c r="G119" s="32" t="str">
        <f>VLOOKUP(F119,'Sub-Divisions'!A:$B,2,FALSE)</f>
        <v>RPRK &amp; RDaC Project Spares Cupboard || Shelf 1: Robotics Kit Inventory and Spare Parts</v>
      </c>
      <c r="H119" s="32" t="str">
        <f>VLOOKUP(LEFT(F119,LEN(F119)-3),'Storage Locations'!$A:$F,6,FALSE)</f>
        <v>Cupboard under robotics arena, next to Temporary Project Components cupboard (/410/205)</v>
      </c>
      <c r="I119" s="33" t="str">
        <f>CONCATENATE(VLOOKUP(CONCATENATE("P/T",LEFT(F119,LEN(F119)-7)),'Rooms and Types'!$A:$B,2,FALSE), " (", VLOOKUP(CONCATENATE("P/T",LEFT(F119,LEN(F119)-7)),'Rooms and Types'!$A:$C,3,FALSE),")")</f>
        <v>Robotics Teaching Lab (4th Floor)</v>
      </c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26">
        <v>188.0</v>
      </c>
      <c r="B120" s="27" t="s">
        <v>305</v>
      </c>
      <c r="C120" s="27" t="s">
        <v>306</v>
      </c>
      <c r="D120" s="29">
        <v>5.0</v>
      </c>
      <c r="E120" s="30">
        <v>45344.0</v>
      </c>
      <c r="F120" s="31" t="s">
        <v>295</v>
      </c>
      <c r="G120" s="32" t="str">
        <f>VLOOKUP(F120,'Sub-Divisions'!A:$B,2,FALSE)</f>
        <v>RPRK &amp; RDaC Project Spares Cupboard || Shelf 1: Robotics Kit Inventory and Spare Parts</v>
      </c>
      <c r="H120" s="32" t="str">
        <f>VLOOKUP(LEFT(F120,LEN(F120)-3),'Storage Locations'!$A:$F,6,FALSE)</f>
        <v>Cupboard under robotics arena, next to Temporary Project Components cupboard (/410/205)</v>
      </c>
      <c r="I120" s="33" t="str">
        <f>CONCATENATE(VLOOKUP(CONCATENATE("P/T",LEFT(F120,LEN(F120)-7)),'Rooms and Types'!$A:$B,2,FALSE), " (", VLOOKUP(CONCATENATE("P/T",LEFT(F120,LEN(F120)-7)),'Rooms and Types'!$A:$C,3,FALSE),")")</f>
        <v>Robotics Teaching Lab (4th Floor)</v>
      </c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26">
        <v>187.0</v>
      </c>
      <c r="B121" s="27" t="s">
        <v>307</v>
      </c>
      <c r="C121" s="27" t="s">
        <v>308</v>
      </c>
      <c r="D121" s="29">
        <v>7.0</v>
      </c>
      <c r="E121" s="30">
        <v>45344.0</v>
      </c>
      <c r="F121" s="31" t="s">
        <v>295</v>
      </c>
      <c r="G121" s="32" t="str">
        <f>VLOOKUP(F121,'Sub-Divisions'!A:$B,2,FALSE)</f>
        <v>RPRK &amp; RDaC Project Spares Cupboard || Shelf 1: Robotics Kit Inventory and Spare Parts</v>
      </c>
      <c r="H121" s="32" t="str">
        <f>VLOOKUP(LEFT(F121,LEN(F121)-3),'Storage Locations'!$A:$F,6,FALSE)</f>
        <v>Cupboard under robotics arena, next to Temporary Project Components cupboard (/410/205)</v>
      </c>
      <c r="I121" s="33" t="str">
        <f>CONCATENATE(VLOOKUP(CONCATENATE("P/T",LEFT(F121,LEN(F121)-7)),'Rooms and Types'!$A:$B,2,FALSE), " (", VLOOKUP(CONCATENATE("P/T",LEFT(F121,LEN(F121)-7)),'Rooms and Types'!$A:$C,3,FALSE),")")</f>
        <v>Robotics Teaching Lab (4th Floor)</v>
      </c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26">
        <v>186.0</v>
      </c>
      <c r="B122" s="27" t="s">
        <v>309</v>
      </c>
      <c r="C122" s="27" t="s">
        <v>310</v>
      </c>
      <c r="D122" s="29">
        <v>63.0</v>
      </c>
      <c r="E122" s="30">
        <v>45344.0</v>
      </c>
      <c r="F122" s="31" t="s">
        <v>295</v>
      </c>
      <c r="G122" s="32" t="str">
        <f>VLOOKUP(F122,'Sub-Divisions'!A:$B,2,FALSE)</f>
        <v>RPRK &amp; RDaC Project Spares Cupboard || Shelf 1: Robotics Kit Inventory and Spare Parts</v>
      </c>
      <c r="H122" s="32" t="str">
        <f>VLOOKUP(LEFT(F122,LEN(F122)-3),'Storage Locations'!$A:$F,6,FALSE)</f>
        <v>Cupboard under robotics arena, next to Temporary Project Components cupboard (/410/205)</v>
      </c>
      <c r="I122" s="33" t="str">
        <f>CONCATENATE(VLOOKUP(CONCATENATE("P/T",LEFT(F122,LEN(F122)-7)),'Rooms and Types'!$A:$B,2,FALSE), " (", VLOOKUP(CONCATENATE("P/T",LEFT(F122,LEN(F122)-7)),'Rooms and Types'!$A:$C,3,FALSE),")")</f>
        <v>Robotics Teaching Lab (4th Floor)</v>
      </c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26">
        <v>185.0</v>
      </c>
      <c r="B123" s="27" t="s">
        <v>311</v>
      </c>
      <c r="C123" s="27" t="s">
        <v>312</v>
      </c>
      <c r="D123" s="29">
        <v>30.0</v>
      </c>
      <c r="E123" s="30">
        <v>45344.0</v>
      </c>
      <c r="F123" s="31" t="s">
        <v>295</v>
      </c>
      <c r="G123" s="32" t="str">
        <f>VLOOKUP(F123,'Sub-Divisions'!A:$B,2,FALSE)</f>
        <v>RPRK &amp; RDaC Project Spares Cupboard || Shelf 1: Robotics Kit Inventory and Spare Parts</v>
      </c>
      <c r="H123" s="32" t="str">
        <f>VLOOKUP(LEFT(F123,LEN(F123)-3),'Storage Locations'!$A:$F,6,FALSE)</f>
        <v>Cupboard under robotics arena, next to Temporary Project Components cupboard (/410/205)</v>
      </c>
      <c r="I123" s="33" t="str">
        <f>CONCATENATE(VLOOKUP(CONCATENATE("P/T",LEFT(F123,LEN(F123)-7)),'Rooms and Types'!$A:$B,2,FALSE), " (", VLOOKUP(CONCATENATE("P/T",LEFT(F123,LEN(F123)-7)),'Rooms and Types'!$A:$C,3,FALSE),")")</f>
        <v>Robotics Teaching Lab (4th Floor)</v>
      </c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26">
        <v>180.0</v>
      </c>
      <c r="B124" s="27" t="s">
        <v>313</v>
      </c>
      <c r="C124" s="27" t="s">
        <v>314</v>
      </c>
      <c r="D124" s="29">
        <v>1000.0</v>
      </c>
      <c r="E124" s="30">
        <v>45344.0</v>
      </c>
      <c r="F124" s="31" t="s">
        <v>41</v>
      </c>
      <c r="G124" s="32" t="str">
        <f>VLOOKUP(F124,'Sub-Divisions'!A:$B,2,FALSE)</f>
        <v>Robotics Arena Parts &amp; Stationery Cupboard || Shelf 1: Webcams, Webcam Accesories &amp; Misc Stationery</v>
      </c>
      <c r="H124" s="32" t="str">
        <f>VLOOKUP(LEFT(F124,LEN(F124)-3),'Storage Locations'!$A:$F,6,FALSE)</f>
        <v>Cupboard under robotics arena, next to Lab Spares cupboard (/410/203)</v>
      </c>
      <c r="I124" s="33" t="str">
        <f>CONCATENATE(VLOOKUP(CONCATENATE("P/T",LEFT(F124,LEN(F124)-7)),'Rooms and Types'!$A:$B,2,FALSE), " (", VLOOKUP(CONCATENATE("P/T",LEFT(F124,LEN(F124)-7)),'Rooms and Types'!$A:$C,3,FALSE),")")</f>
        <v>Robotics Teaching Lab (4th Floor)</v>
      </c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26">
        <v>179.0</v>
      </c>
      <c r="B125" s="27" t="s">
        <v>315</v>
      </c>
      <c r="C125" s="27" t="s">
        <v>316</v>
      </c>
      <c r="D125" s="29">
        <v>12.0</v>
      </c>
      <c r="E125" s="30">
        <v>45344.0</v>
      </c>
      <c r="F125" s="31" t="s">
        <v>41</v>
      </c>
      <c r="G125" s="32" t="str">
        <f>VLOOKUP(F125,'Sub-Divisions'!A:$B,2,FALSE)</f>
        <v>Robotics Arena Parts &amp; Stationery Cupboard || Shelf 1: Webcams, Webcam Accesories &amp; Misc Stationery</v>
      </c>
      <c r="H125" s="32" t="str">
        <f>VLOOKUP(LEFT(F125,LEN(F125)-3),'Storage Locations'!$A:$F,6,FALSE)</f>
        <v>Cupboard under robotics arena, next to Lab Spares cupboard (/410/203)</v>
      </c>
      <c r="I125" s="33" t="str">
        <f>CONCATENATE(VLOOKUP(CONCATENATE("P/T",LEFT(F125,LEN(F125)-7)),'Rooms and Types'!$A:$B,2,FALSE), " (", VLOOKUP(CONCATENATE("P/T",LEFT(F125,LEN(F125)-7)),'Rooms and Types'!$A:$C,3,FALSE),")")</f>
        <v>Robotics Teaching Lab (4th Floor)</v>
      </c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26">
        <v>176.0</v>
      </c>
      <c r="B126" s="27" t="s">
        <v>317</v>
      </c>
      <c r="C126" s="35" t="s">
        <v>318</v>
      </c>
      <c r="D126" s="29">
        <v>1.0</v>
      </c>
      <c r="E126" s="30">
        <v>45344.0</v>
      </c>
      <c r="F126" s="31" t="s">
        <v>319</v>
      </c>
      <c r="G126" s="32" t="str">
        <f>VLOOKUP(F126,'Sub-Divisions'!A:$B,2,FALSE)</f>
        <v>Bench Tools &amp; Lab Spares Drawer Unit || Drawer 3: Measurement and Cutting Tools</v>
      </c>
      <c r="H126" s="32" t="str">
        <f>VLOOKUP(LEFT(F126,LEN(F126)-3),'Storage Locations'!$A:$F,6,FALSE)</f>
        <v>Drawer Unit under robotics arena, next to Bench 10</v>
      </c>
      <c r="I126" s="33" t="str">
        <f>CONCATENATE(VLOOKUP(CONCATENATE("P/T",LEFT(F126,LEN(F126)-7)),'Rooms and Types'!$A:$B,2,FALSE), " (", VLOOKUP(CONCATENATE("P/T",LEFT(F126,LEN(F126)-7)),'Rooms and Types'!$A:$C,3,FALSE),")")</f>
        <v>Robotics Teaching Lab (4th Floor)</v>
      </c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26">
        <v>175.0</v>
      </c>
      <c r="B127" s="27" t="s">
        <v>320</v>
      </c>
      <c r="C127" s="35" t="s">
        <v>321</v>
      </c>
      <c r="D127" s="29">
        <v>1.0</v>
      </c>
      <c r="E127" s="30">
        <v>45344.0</v>
      </c>
      <c r="F127" s="31" t="s">
        <v>319</v>
      </c>
      <c r="G127" s="32" t="str">
        <f>VLOOKUP(F127,'Sub-Divisions'!A:$B,2,FALSE)</f>
        <v>Bench Tools &amp; Lab Spares Drawer Unit || Drawer 3: Measurement and Cutting Tools</v>
      </c>
      <c r="H127" s="32" t="str">
        <f>VLOOKUP(LEFT(F127,LEN(F127)-3),'Storage Locations'!$A:$F,6,FALSE)</f>
        <v>Drawer Unit under robotics arena, next to Bench 10</v>
      </c>
      <c r="I127" s="33" t="str">
        <f>CONCATENATE(VLOOKUP(CONCATENATE("P/T",LEFT(F127,LEN(F127)-7)),'Rooms and Types'!$A:$B,2,FALSE), " (", VLOOKUP(CONCATENATE("P/T",LEFT(F127,LEN(F127)-7)),'Rooms and Types'!$A:$C,3,FALSE),")")</f>
        <v>Robotics Teaching Lab (4th Floor)</v>
      </c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26">
        <v>174.0</v>
      </c>
      <c r="B128" s="27" t="s">
        <v>322</v>
      </c>
      <c r="C128" s="35" t="s">
        <v>323</v>
      </c>
      <c r="D128" s="29">
        <v>1.0</v>
      </c>
      <c r="E128" s="30">
        <v>45344.0</v>
      </c>
      <c r="F128" s="31" t="s">
        <v>319</v>
      </c>
      <c r="G128" s="32" t="str">
        <f>VLOOKUP(F128,'Sub-Divisions'!A:$B,2,FALSE)</f>
        <v>Bench Tools &amp; Lab Spares Drawer Unit || Drawer 3: Measurement and Cutting Tools</v>
      </c>
      <c r="H128" s="32" t="str">
        <f>VLOOKUP(LEFT(F128,LEN(F128)-3),'Storage Locations'!$A:$F,6,FALSE)</f>
        <v>Drawer Unit under robotics arena, next to Bench 10</v>
      </c>
      <c r="I128" s="33" t="str">
        <f>CONCATENATE(VLOOKUP(CONCATENATE("P/T",LEFT(F128,LEN(F128)-7)),'Rooms and Types'!$A:$B,2,FALSE), " (", VLOOKUP(CONCATENATE("P/T",LEFT(F128,LEN(F128)-7)),'Rooms and Types'!$A:$C,3,FALSE),")")</f>
        <v>Robotics Teaching Lab (4th Floor)</v>
      </c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26">
        <v>173.0</v>
      </c>
      <c r="B129" s="27" t="s">
        <v>324</v>
      </c>
      <c r="C129" s="35" t="s">
        <v>325</v>
      </c>
      <c r="D129" s="29" t="s">
        <v>168</v>
      </c>
      <c r="E129" s="30">
        <v>45344.0</v>
      </c>
      <c r="F129" s="31" t="s">
        <v>319</v>
      </c>
      <c r="G129" s="32" t="str">
        <f>VLOOKUP(F129,'Sub-Divisions'!A:$B,2,FALSE)</f>
        <v>Bench Tools &amp; Lab Spares Drawer Unit || Drawer 3: Measurement and Cutting Tools</v>
      </c>
      <c r="H129" s="32" t="str">
        <f>VLOOKUP(LEFT(F129,LEN(F129)-3),'Storage Locations'!$A:$F,6,FALSE)</f>
        <v>Drawer Unit under robotics arena, next to Bench 10</v>
      </c>
      <c r="I129" s="33" t="str">
        <f>CONCATENATE(VLOOKUP(CONCATENATE("P/T",LEFT(F129,LEN(F129)-7)),'Rooms and Types'!$A:$B,2,FALSE), " (", VLOOKUP(CONCATENATE("P/T",LEFT(F129,LEN(F129)-7)),'Rooms and Types'!$A:$C,3,FALSE),")")</f>
        <v>Robotics Teaching Lab (4th Floor)</v>
      </c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26">
        <v>172.0</v>
      </c>
      <c r="B130" s="27" t="s">
        <v>326</v>
      </c>
      <c r="C130" s="35" t="s">
        <v>327</v>
      </c>
      <c r="D130" s="29">
        <v>15.0</v>
      </c>
      <c r="E130" s="30">
        <v>45344.0</v>
      </c>
      <c r="F130" s="31" t="s">
        <v>319</v>
      </c>
      <c r="G130" s="32" t="str">
        <f>VLOOKUP(F130,'Sub-Divisions'!A:$B,2,FALSE)</f>
        <v>Bench Tools &amp; Lab Spares Drawer Unit || Drawer 3: Measurement and Cutting Tools</v>
      </c>
      <c r="H130" s="32" t="str">
        <f>VLOOKUP(LEFT(F130,LEN(F130)-3),'Storage Locations'!$A:$F,6,FALSE)</f>
        <v>Drawer Unit under robotics arena, next to Bench 10</v>
      </c>
      <c r="I130" s="33" t="str">
        <f>CONCATENATE(VLOOKUP(CONCATENATE("P/T",LEFT(F130,LEN(F130)-7)),'Rooms and Types'!$A:$B,2,FALSE), " (", VLOOKUP(CONCATENATE("P/T",LEFT(F130,LEN(F130)-7)),'Rooms and Types'!$A:$C,3,FALSE),")")</f>
        <v>Robotics Teaching Lab (4th Floor)</v>
      </c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8.0" customHeight="1">
      <c r="A131" s="26">
        <v>171.0</v>
      </c>
      <c r="B131" s="27" t="s">
        <v>328</v>
      </c>
      <c r="C131" s="35" t="s">
        <v>329</v>
      </c>
      <c r="D131" s="29">
        <v>5.0</v>
      </c>
      <c r="E131" s="30">
        <v>45344.0</v>
      </c>
      <c r="F131" s="31" t="s">
        <v>319</v>
      </c>
      <c r="G131" s="32" t="str">
        <f>VLOOKUP(F131,'Sub-Divisions'!A:$B,2,FALSE)</f>
        <v>Bench Tools &amp; Lab Spares Drawer Unit || Drawer 3: Measurement and Cutting Tools</v>
      </c>
      <c r="H131" s="32" t="str">
        <f>VLOOKUP(LEFT(F131,LEN(F131)-3),'Storage Locations'!$A:$F,6,FALSE)</f>
        <v>Drawer Unit under robotics arena, next to Bench 10</v>
      </c>
      <c r="I131" s="33" t="str">
        <f>CONCATENATE(VLOOKUP(CONCATENATE("P/T",LEFT(F131,LEN(F131)-7)),'Rooms and Types'!$A:$B,2,FALSE), " (", VLOOKUP(CONCATENATE("P/T",LEFT(F131,LEN(F131)-7)),'Rooms and Types'!$A:$C,3,FALSE),")")</f>
        <v>Robotics Teaching Lab (4th Floor)</v>
      </c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8.0" customHeight="1">
      <c r="A132" s="26">
        <v>170.0</v>
      </c>
      <c r="B132" s="27" t="s">
        <v>330</v>
      </c>
      <c r="C132" s="35" t="s">
        <v>331</v>
      </c>
      <c r="D132" s="29" t="s">
        <v>73</v>
      </c>
      <c r="E132" s="30">
        <v>45344.0</v>
      </c>
      <c r="F132" s="31" t="s">
        <v>319</v>
      </c>
      <c r="G132" s="32" t="str">
        <f>VLOOKUP(F132,'Sub-Divisions'!A:$B,2,FALSE)</f>
        <v>Bench Tools &amp; Lab Spares Drawer Unit || Drawer 3: Measurement and Cutting Tools</v>
      </c>
      <c r="H132" s="32" t="str">
        <f>VLOOKUP(LEFT(F132,LEN(F132)-3),'Storage Locations'!$A:$F,6,FALSE)</f>
        <v>Drawer Unit under robotics arena, next to Bench 10</v>
      </c>
      <c r="I132" s="33" t="str">
        <f>CONCATENATE(VLOOKUP(CONCATENATE("P/T",LEFT(F132,LEN(F132)-7)),'Rooms and Types'!$A:$B,2,FALSE), " (", VLOOKUP(CONCATENATE("P/T",LEFT(F132,LEN(F132)-7)),'Rooms and Types'!$A:$C,3,FALSE),")")</f>
        <v>Robotics Teaching Lab (4th Floor)</v>
      </c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6">
        <v>169.0</v>
      </c>
      <c r="B133" s="27" t="s">
        <v>332</v>
      </c>
      <c r="C133" s="35" t="s">
        <v>333</v>
      </c>
      <c r="D133" s="29">
        <v>13.0</v>
      </c>
      <c r="E133" s="30">
        <v>45344.0</v>
      </c>
      <c r="F133" s="31" t="s">
        <v>319</v>
      </c>
      <c r="G133" s="32" t="str">
        <f>VLOOKUP(F133,'Sub-Divisions'!A:$B,2,FALSE)</f>
        <v>Bench Tools &amp; Lab Spares Drawer Unit || Drawer 3: Measurement and Cutting Tools</v>
      </c>
      <c r="H133" s="32" t="str">
        <f>VLOOKUP(LEFT(F133,LEN(F133)-3),'Storage Locations'!$A:$F,6,FALSE)</f>
        <v>Drawer Unit under robotics arena, next to Bench 10</v>
      </c>
      <c r="I133" s="33" t="str">
        <f>CONCATENATE(VLOOKUP(CONCATENATE("P/T",LEFT(F133,LEN(F133)-7)),'Rooms and Types'!$A:$B,2,FALSE), " (", VLOOKUP(CONCATENATE("P/T",LEFT(F133,LEN(F133)-7)),'Rooms and Types'!$A:$C,3,FALSE),")")</f>
        <v>Robotics Teaching Lab (4th Floor)</v>
      </c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6">
        <v>168.0</v>
      </c>
      <c r="B134" s="27" t="s">
        <v>334</v>
      </c>
      <c r="C134" s="35" t="s">
        <v>335</v>
      </c>
      <c r="D134" s="29">
        <v>13.0</v>
      </c>
      <c r="E134" s="30">
        <v>45344.0</v>
      </c>
      <c r="F134" s="31" t="s">
        <v>319</v>
      </c>
      <c r="G134" s="32" t="str">
        <f>VLOOKUP(F134,'Sub-Divisions'!A:$B,2,FALSE)</f>
        <v>Bench Tools &amp; Lab Spares Drawer Unit || Drawer 3: Measurement and Cutting Tools</v>
      </c>
      <c r="H134" s="32" t="str">
        <f>VLOOKUP(LEFT(F134,LEN(F134)-3),'Storage Locations'!$A:$F,6,FALSE)</f>
        <v>Drawer Unit under robotics arena, next to Bench 10</v>
      </c>
      <c r="I134" s="33" t="str">
        <f>CONCATENATE(VLOOKUP(CONCATENATE("P/T",LEFT(F134,LEN(F134)-7)),'Rooms and Types'!$A:$B,2,FALSE), " (", VLOOKUP(CONCATENATE("P/T",LEFT(F134,LEN(F134)-7)),'Rooms and Types'!$A:$C,3,FALSE),")")</f>
        <v>Robotics Teaching Lab (4th Floor)</v>
      </c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6">
        <v>167.0</v>
      </c>
      <c r="B135" s="27" t="s">
        <v>336</v>
      </c>
      <c r="C135" s="35" t="s">
        <v>337</v>
      </c>
      <c r="D135" s="29">
        <v>1.0</v>
      </c>
      <c r="E135" s="30">
        <v>45344.0</v>
      </c>
      <c r="F135" s="31" t="s">
        <v>338</v>
      </c>
      <c r="G135" s="32" t="str">
        <f>VLOOKUP(F135,'Sub-Divisions'!A:$B,2,FALSE)</f>
        <v>Bench Tools &amp; Lab Spares Drawer Unit || Drawer 2: 3D Printer Material Processing Accesories &amp; Spare Lab Bench Tools</v>
      </c>
      <c r="H135" s="32" t="str">
        <f>VLOOKUP(LEFT(F135,LEN(F135)-3),'Storage Locations'!$A:$F,6,FALSE)</f>
        <v>Drawer Unit under robotics arena, next to Bench 10</v>
      </c>
      <c r="I135" s="33" t="str">
        <f>CONCATENATE(VLOOKUP(CONCATENATE("P/T",LEFT(F135,LEN(F135)-7)),'Rooms and Types'!$A:$B,2,FALSE), " (", VLOOKUP(CONCATENATE("P/T",LEFT(F135,LEN(F135)-7)),'Rooms and Types'!$A:$C,3,FALSE),")")</f>
        <v>Robotics Teaching Lab (4th Floor)</v>
      </c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6">
        <v>166.0</v>
      </c>
      <c r="B136" s="27" t="s">
        <v>339</v>
      </c>
      <c r="C136" s="35" t="s">
        <v>340</v>
      </c>
      <c r="D136" s="29">
        <v>1.0</v>
      </c>
      <c r="E136" s="30">
        <v>45344.0</v>
      </c>
      <c r="F136" s="31" t="s">
        <v>338</v>
      </c>
      <c r="G136" s="32" t="str">
        <f>VLOOKUP(F136,'Sub-Divisions'!A:$B,2,FALSE)</f>
        <v>Bench Tools &amp; Lab Spares Drawer Unit || Drawer 2: 3D Printer Material Processing Accesories &amp; Spare Lab Bench Tools</v>
      </c>
      <c r="H136" s="32" t="str">
        <f>VLOOKUP(LEFT(F136,LEN(F136)-3),'Storage Locations'!$A:$F,6,FALSE)</f>
        <v>Drawer Unit under robotics arena, next to Bench 10</v>
      </c>
      <c r="I136" s="33" t="str">
        <f>CONCATENATE(VLOOKUP(CONCATENATE("P/T",LEFT(F136,LEN(F136)-7)),'Rooms and Types'!$A:$B,2,FALSE), " (", VLOOKUP(CONCATENATE("P/T",LEFT(F136,LEN(F136)-7)),'Rooms and Types'!$A:$C,3,FALSE),")")</f>
        <v>Robotics Teaching Lab (4th Floor)</v>
      </c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6">
        <v>165.0</v>
      </c>
      <c r="B137" s="27" t="s">
        <v>341</v>
      </c>
      <c r="C137" s="27" t="s">
        <v>342</v>
      </c>
      <c r="D137" s="29">
        <v>1.0</v>
      </c>
      <c r="E137" s="30">
        <v>45344.0</v>
      </c>
      <c r="F137" s="31" t="s">
        <v>338</v>
      </c>
      <c r="G137" s="32" t="str">
        <f>VLOOKUP(F137,'Sub-Divisions'!A:$B,2,FALSE)</f>
        <v>Bench Tools &amp; Lab Spares Drawer Unit || Drawer 2: 3D Printer Material Processing Accesories &amp; Spare Lab Bench Tools</v>
      </c>
      <c r="H137" s="32" t="str">
        <f>VLOOKUP(LEFT(F137,LEN(F137)-3),'Storage Locations'!$A:$F,6,FALSE)</f>
        <v>Drawer Unit under robotics arena, next to Bench 10</v>
      </c>
      <c r="I137" s="33" t="str">
        <f>CONCATENATE(VLOOKUP(CONCATENATE("P/T",LEFT(F137,LEN(F137)-7)),'Rooms and Types'!$A:$B,2,FALSE), " (", VLOOKUP(CONCATENATE("P/T",LEFT(F137,LEN(F137)-7)),'Rooms and Types'!$A:$C,3,FALSE),")")</f>
        <v>Robotics Teaching Lab (4th Floor)</v>
      </c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6">
        <v>164.0</v>
      </c>
      <c r="B138" s="27" t="s">
        <v>343</v>
      </c>
      <c r="C138" s="27" t="s">
        <v>344</v>
      </c>
      <c r="D138" s="29">
        <v>1.0</v>
      </c>
      <c r="E138" s="30">
        <v>45344.0</v>
      </c>
      <c r="F138" s="31" t="s">
        <v>338</v>
      </c>
      <c r="G138" s="32" t="str">
        <f>VLOOKUP(F138,'Sub-Divisions'!A:$B,2,FALSE)</f>
        <v>Bench Tools &amp; Lab Spares Drawer Unit || Drawer 2: 3D Printer Material Processing Accesories &amp; Spare Lab Bench Tools</v>
      </c>
      <c r="H138" s="32" t="str">
        <f>VLOOKUP(LEFT(F138,LEN(F138)-3),'Storage Locations'!$A:$F,6,FALSE)</f>
        <v>Drawer Unit under robotics arena, next to Bench 10</v>
      </c>
      <c r="I138" s="33" t="str">
        <f>CONCATENATE(VLOOKUP(CONCATENATE("P/T",LEFT(F138,LEN(F138)-7)),'Rooms and Types'!$A:$B,2,FALSE), " (", VLOOKUP(CONCATENATE("P/T",LEFT(F138,LEN(F138)-7)),'Rooms and Types'!$A:$C,3,FALSE),")")</f>
        <v>Robotics Teaching Lab (4th Floor)</v>
      </c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6">
        <v>163.0</v>
      </c>
      <c r="B139" s="27" t="s">
        <v>345</v>
      </c>
      <c r="C139" s="27" t="s">
        <v>346</v>
      </c>
      <c r="D139" s="29">
        <v>1.0</v>
      </c>
      <c r="E139" s="30">
        <v>45344.0</v>
      </c>
      <c r="F139" s="31" t="s">
        <v>338</v>
      </c>
      <c r="G139" s="32" t="str">
        <f>VLOOKUP(F139,'Sub-Divisions'!A:$B,2,FALSE)</f>
        <v>Bench Tools &amp; Lab Spares Drawer Unit || Drawer 2: 3D Printer Material Processing Accesories &amp; Spare Lab Bench Tools</v>
      </c>
      <c r="H139" s="32" t="str">
        <f>VLOOKUP(LEFT(F139,LEN(F139)-3),'Storage Locations'!$A:$F,6,FALSE)</f>
        <v>Drawer Unit under robotics arena, next to Bench 10</v>
      </c>
      <c r="I139" s="33" t="str">
        <f>CONCATENATE(VLOOKUP(CONCATENATE("P/T",LEFT(F139,LEN(F139)-7)),'Rooms and Types'!$A:$B,2,FALSE), " (", VLOOKUP(CONCATENATE("P/T",LEFT(F139,LEN(F139)-7)),'Rooms and Types'!$A:$C,3,FALSE),")")</f>
        <v>Robotics Teaching Lab (4th Floor)</v>
      </c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6">
        <v>162.0</v>
      </c>
      <c r="B140" s="27" t="s">
        <v>347</v>
      </c>
      <c r="C140" s="27" t="s">
        <v>348</v>
      </c>
      <c r="D140" s="29">
        <v>4.0</v>
      </c>
      <c r="E140" s="30">
        <v>45344.0</v>
      </c>
      <c r="F140" s="31" t="s">
        <v>338</v>
      </c>
      <c r="G140" s="32" t="str">
        <f>VLOOKUP(F140,'Sub-Divisions'!A:$B,2,FALSE)</f>
        <v>Bench Tools &amp; Lab Spares Drawer Unit || Drawer 2: 3D Printer Material Processing Accesories &amp; Spare Lab Bench Tools</v>
      </c>
      <c r="H140" s="32" t="str">
        <f>VLOOKUP(LEFT(F140,LEN(F140)-3),'Storage Locations'!$A:$F,6,FALSE)</f>
        <v>Drawer Unit under robotics arena, next to Bench 10</v>
      </c>
      <c r="I140" s="33" t="str">
        <f>CONCATENATE(VLOOKUP(CONCATENATE("P/T",LEFT(F140,LEN(F140)-7)),'Rooms and Types'!$A:$B,2,FALSE), " (", VLOOKUP(CONCATENATE("P/T",LEFT(F140,LEN(F140)-7)),'Rooms and Types'!$A:$C,3,FALSE),")")</f>
        <v>Robotics Teaching Lab (4th Floor)</v>
      </c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6">
        <v>161.0</v>
      </c>
      <c r="B141" s="27" t="s">
        <v>349</v>
      </c>
      <c r="C141" s="27" t="s">
        <v>350</v>
      </c>
      <c r="D141" s="29">
        <v>6.0</v>
      </c>
      <c r="E141" s="30">
        <v>45344.0</v>
      </c>
      <c r="F141" s="31" t="s">
        <v>338</v>
      </c>
      <c r="G141" s="32" t="str">
        <f>VLOOKUP(F141,'Sub-Divisions'!A:$B,2,FALSE)</f>
        <v>Bench Tools &amp; Lab Spares Drawer Unit || Drawer 2: 3D Printer Material Processing Accesories &amp; Spare Lab Bench Tools</v>
      </c>
      <c r="H141" s="32" t="str">
        <f>VLOOKUP(LEFT(F141,LEN(F141)-3),'Storage Locations'!$A:$F,6,FALSE)</f>
        <v>Drawer Unit under robotics arena, next to Bench 10</v>
      </c>
      <c r="I141" s="33" t="str">
        <f>CONCATENATE(VLOOKUP(CONCATENATE("P/T",LEFT(F141,LEN(F141)-7)),'Rooms and Types'!$A:$B,2,FALSE), " (", VLOOKUP(CONCATENATE("P/T",LEFT(F141,LEN(F141)-7)),'Rooms and Types'!$A:$C,3,FALSE),")")</f>
        <v>Robotics Teaching Lab (4th Floor)</v>
      </c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6">
        <v>160.0</v>
      </c>
      <c r="B142" s="27" t="s">
        <v>351</v>
      </c>
      <c r="C142" s="27" t="s">
        <v>352</v>
      </c>
      <c r="D142" s="29">
        <v>1.0</v>
      </c>
      <c r="E142" s="30">
        <v>45344.0</v>
      </c>
      <c r="F142" s="31" t="s">
        <v>338</v>
      </c>
      <c r="G142" s="32" t="str">
        <f>VLOOKUP(F142,'Sub-Divisions'!A:$B,2,FALSE)</f>
        <v>Bench Tools &amp; Lab Spares Drawer Unit || Drawer 2: 3D Printer Material Processing Accesories &amp; Spare Lab Bench Tools</v>
      </c>
      <c r="H142" s="32" t="str">
        <f>VLOOKUP(LEFT(F142,LEN(F142)-3),'Storage Locations'!$A:$F,6,FALSE)</f>
        <v>Drawer Unit under robotics arena, next to Bench 10</v>
      </c>
      <c r="I142" s="33" t="str">
        <f>CONCATENATE(VLOOKUP(CONCATENATE("P/T",LEFT(F142,LEN(F142)-7)),'Rooms and Types'!$A:$B,2,FALSE), " (", VLOOKUP(CONCATENATE("P/T",LEFT(F142,LEN(F142)-7)),'Rooms and Types'!$A:$C,3,FALSE),")")</f>
        <v>Robotics Teaching Lab (4th Floor)</v>
      </c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26">
        <v>159.0</v>
      </c>
      <c r="B143" s="27" t="s">
        <v>353</v>
      </c>
      <c r="C143" s="27" t="s">
        <v>354</v>
      </c>
      <c r="D143" s="29">
        <v>10.0</v>
      </c>
      <c r="E143" s="30">
        <v>45344.0</v>
      </c>
      <c r="F143" s="31" t="s">
        <v>338</v>
      </c>
      <c r="G143" s="32" t="str">
        <f>VLOOKUP(F143,'Sub-Divisions'!A:$B,2,FALSE)</f>
        <v>Bench Tools &amp; Lab Spares Drawer Unit || Drawer 2: 3D Printer Material Processing Accesories &amp; Spare Lab Bench Tools</v>
      </c>
      <c r="H143" s="32" t="str">
        <f>VLOOKUP(LEFT(F143,LEN(F143)-3),'Storage Locations'!$A:$F,6,FALSE)</f>
        <v>Drawer Unit under robotics arena, next to Bench 10</v>
      </c>
      <c r="I143" s="33" t="str">
        <f>CONCATENATE(VLOOKUP(CONCATENATE("P/T",LEFT(F143,LEN(F143)-7)),'Rooms and Types'!$A:$B,2,FALSE), " (", VLOOKUP(CONCATENATE("P/T",LEFT(F143,LEN(F143)-7)),'Rooms and Types'!$A:$C,3,FALSE),")")</f>
        <v>Robotics Teaching Lab (4th Floor)</v>
      </c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26">
        <v>158.0</v>
      </c>
      <c r="B144" s="27" t="s">
        <v>355</v>
      </c>
      <c r="C144" s="27" t="s">
        <v>356</v>
      </c>
      <c r="D144" s="29">
        <v>1.0</v>
      </c>
      <c r="E144" s="30">
        <v>45344.0</v>
      </c>
      <c r="F144" s="31" t="s">
        <v>338</v>
      </c>
      <c r="G144" s="32" t="str">
        <f>VLOOKUP(F144,'Sub-Divisions'!A:$B,2,FALSE)</f>
        <v>Bench Tools &amp; Lab Spares Drawer Unit || Drawer 2: 3D Printer Material Processing Accesories &amp; Spare Lab Bench Tools</v>
      </c>
      <c r="H144" s="32" t="str">
        <f>VLOOKUP(LEFT(F144,LEN(F144)-3),'Storage Locations'!$A:$F,6,FALSE)</f>
        <v>Drawer Unit under robotics arena, next to Bench 10</v>
      </c>
      <c r="I144" s="33" t="str">
        <f>CONCATENATE(VLOOKUP(CONCATENATE("P/T",LEFT(F144,LEN(F144)-7)),'Rooms and Types'!$A:$B,2,FALSE), " (", VLOOKUP(CONCATENATE("P/T",LEFT(F144,LEN(F144)-7)),'Rooms and Types'!$A:$C,3,FALSE),")")</f>
        <v>Robotics Teaching Lab (4th Floor)</v>
      </c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26">
        <v>157.0</v>
      </c>
      <c r="B145" s="27" t="s">
        <v>357</v>
      </c>
      <c r="C145" s="27" t="s">
        <v>358</v>
      </c>
      <c r="D145" s="29" t="s">
        <v>359</v>
      </c>
      <c r="E145" s="30">
        <v>45344.0</v>
      </c>
      <c r="F145" s="31" t="s">
        <v>338</v>
      </c>
      <c r="G145" s="32" t="str">
        <f>VLOOKUP(F145,'Sub-Divisions'!A:$B,2,FALSE)</f>
        <v>Bench Tools &amp; Lab Spares Drawer Unit || Drawer 2: 3D Printer Material Processing Accesories &amp; Spare Lab Bench Tools</v>
      </c>
      <c r="H145" s="32" t="str">
        <f>VLOOKUP(LEFT(F145,LEN(F145)-3),'Storage Locations'!$A:$F,6,FALSE)</f>
        <v>Drawer Unit under robotics arena, next to Bench 10</v>
      </c>
      <c r="I145" s="33" t="str">
        <f>CONCATENATE(VLOOKUP(CONCATENATE("P/T",LEFT(F145,LEN(F145)-7)),'Rooms and Types'!$A:$B,2,FALSE), " (", VLOOKUP(CONCATENATE("P/T",LEFT(F145,LEN(F145)-7)),'Rooms and Types'!$A:$C,3,FALSE),")")</f>
        <v>Robotics Teaching Lab (4th Floor)</v>
      </c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26">
        <v>156.0</v>
      </c>
      <c r="B146" s="27" t="s">
        <v>360</v>
      </c>
      <c r="C146" s="27" t="s">
        <v>361</v>
      </c>
      <c r="D146" s="29" t="s">
        <v>359</v>
      </c>
      <c r="E146" s="30">
        <v>45344.0</v>
      </c>
      <c r="F146" s="31" t="s">
        <v>338</v>
      </c>
      <c r="G146" s="32" t="str">
        <f>VLOOKUP(F146,'Sub-Divisions'!A:$B,2,FALSE)</f>
        <v>Bench Tools &amp; Lab Spares Drawer Unit || Drawer 2: 3D Printer Material Processing Accesories &amp; Spare Lab Bench Tools</v>
      </c>
      <c r="H146" s="32" t="str">
        <f>VLOOKUP(LEFT(F146,LEN(F146)-3),'Storage Locations'!$A:$F,6,FALSE)</f>
        <v>Drawer Unit under robotics arena, next to Bench 10</v>
      </c>
      <c r="I146" s="33" t="str">
        <f>CONCATENATE(VLOOKUP(CONCATENATE("P/T",LEFT(F146,LEN(F146)-7)),'Rooms and Types'!$A:$B,2,FALSE), " (", VLOOKUP(CONCATENATE("P/T",LEFT(F146,LEN(F146)-7)),'Rooms and Types'!$A:$C,3,FALSE),")")</f>
        <v>Robotics Teaching Lab (4th Floor)</v>
      </c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6">
        <v>155.0</v>
      </c>
      <c r="B147" s="27" t="s">
        <v>362</v>
      </c>
      <c r="C147" s="37" t="s">
        <v>363</v>
      </c>
      <c r="D147" s="29">
        <v>3.0</v>
      </c>
      <c r="E147" s="30">
        <v>45344.0</v>
      </c>
      <c r="F147" s="31" t="s">
        <v>338</v>
      </c>
      <c r="G147" s="32" t="str">
        <f>VLOOKUP(F147,'Sub-Divisions'!A:$B,2,FALSE)</f>
        <v>Bench Tools &amp; Lab Spares Drawer Unit || Drawer 2: 3D Printer Material Processing Accesories &amp; Spare Lab Bench Tools</v>
      </c>
      <c r="H147" s="32" t="str">
        <f>VLOOKUP(LEFT(F147,LEN(F147)-3),'Storage Locations'!$A:$F,6,FALSE)</f>
        <v>Drawer Unit under robotics arena, next to Bench 10</v>
      </c>
      <c r="I147" s="33" t="str">
        <f>CONCATENATE(VLOOKUP(CONCATENATE("P/T",LEFT(F147,LEN(F147)-7)),'Rooms and Types'!$A:$B,2,FALSE), " (", VLOOKUP(CONCATENATE("P/T",LEFT(F147,LEN(F147)-7)),'Rooms and Types'!$A:$C,3,FALSE),")")</f>
        <v>Robotics Teaching Lab (4th Floor)</v>
      </c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26">
        <v>154.0</v>
      </c>
      <c r="B148" s="27" t="s">
        <v>364</v>
      </c>
      <c r="C148" s="37" t="s">
        <v>365</v>
      </c>
      <c r="D148" s="29">
        <v>1.0</v>
      </c>
      <c r="E148" s="30">
        <v>45344.0</v>
      </c>
      <c r="F148" s="31" t="s">
        <v>366</v>
      </c>
      <c r="G148" s="32" t="str">
        <f>VLOOKUP(F148,'Sub-Divisions'!A:$B,2,FALSE)</f>
        <v>Bench Tools &amp; Lab Spares Drawer Unit || Drawer 1: Spare Lab Bench Tools</v>
      </c>
      <c r="H148" s="32" t="str">
        <f>VLOOKUP(LEFT(F148,LEN(F148)-3),'Storage Locations'!$A:$F,6,FALSE)</f>
        <v>Drawer Unit under robotics arena, next to Bench 10</v>
      </c>
      <c r="I148" s="33" t="str">
        <f>CONCATENATE(VLOOKUP(CONCATENATE("P/T",LEFT(F148,LEN(F148)-7)),'Rooms and Types'!$A:$B,2,FALSE), " (", VLOOKUP(CONCATENATE("P/T",LEFT(F148,LEN(F148)-7)),'Rooms and Types'!$A:$C,3,FALSE),")")</f>
        <v>Robotics Teaching Lab (4th Floor)</v>
      </c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6">
        <v>153.0</v>
      </c>
      <c r="B149" s="27" t="s">
        <v>367</v>
      </c>
      <c r="C149" s="37" t="s">
        <v>368</v>
      </c>
      <c r="D149" s="29">
        <v>2.0</v>
      </c>
      <c r="E149" s="30">
        <v>45344.0</v>
      </c>
      <c r="F149" s="31" t="s">
        <v>366</v>
      </c>
      <c r="G149" s="32" t="str">
        <f>VLOOKUP(F149,'Sub-Divisions'!A:$B,2,FALSE)</f>
        <v>Bench Tools &amp; Lab Spares Drawer Unit || Drawer 1: Spare Lab Bench Tools</v>
      </c>
      <c r="H149" s="32" t="str">
        <f>VLOOKUP(LEFT(F149,LEN(F149)-3),'Storage Locations'!$A:$F,6,FALSE)</f>
        <v>Drawer Unit under robotics arena, next to Bench 10</v>
      </c>
      <c r="I149" s="33" t="str">
        <f>CONCATENATE(VLOOKUP(CONCATENATE("P/T",LEFT(F149,LEN(F149)-7)),'Rooms and Types'!$A:$B,2,FALSE), " (", VLOOKUP(CONCATENATE("P/T",LEFT(F149,LEN(F149)-7)),'Rooms and Types'!$A:$C,3,FALSE),")")</f>
        <v>Robotics Teaching Lab (4th Floor)</v>
      </c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6">
        <v>152.0</v>
      </c>
      <c r="B150" s="27" t="s">
        <v>369</v>
      </c>
      <c r="C150" s="37" t="s">
        <v>370</v>
      </c>
      <c r="D150" s="29">
        <v>1.0</v>
      </c>
      <c r="E150" s="30">
        <v>45344.0</v>
      </c>
      <c r="F150" s="31" t="s">
        <v>366</v>
      </c>
      <c r="G150" s="32" t="str">
        <f>VLOOKUP(F150,'Sub-Divisions'!A:$B,2,FALSE)</f>
        <v>Bench Tools &amp; Lab Spares Drawer Unit || Drawer 1: Spare Lab Bench Tools</v>
      </c>
      <c r="H150" s="32" t="str">
        <f>VLOOKUP(LEFT(F150,LEN(F150)-3),'Storage Locations'!$A:$F,6,FALSE)</f>
        <v>Drawer Unit under robotics arena, next to Bench 10</v>
      </c>
      <c r="I150" s="33" t="str">
        <f>CONCATENATE(VLOOKUP(CONCATENATE("P/T",LEFT(F150,LEN(F150)-7)),'Rooms and Types'!$A:$B,2,FALSE), " (", VLOOKUP(CONCATENATE("P/T",LEFT(F150,LEN(F150)-7)),'Rooms and Types'!$A:$C,3,FALSE),")")</f>
        <v>Robotics Teaching Lab (4th Floor)</v>
      </c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6">
        <v>151.0</v>
      </c>
      <c r="B151" s="27" t="s">
        <v>371</v>
      </c>
      <c r="C151" s="37" t="s">
        <v>372</v>
      </c>
      <c r="D151" s="29">
        <v>1.0</v>
      </c>
      <c r="E151" s="30">
        <v>45344.0</v>
      </c>
      <c r="F151" s="31" t="s">
        <v>366</v>
      </c>
      <c r="G151" s="32" t="str">
        <f>VLOOKUP(F151,'Sub-Divisions'!A:$B,2,FALSE)</f>
        <v>Bench Tools &amp; Lab Spares Drawer Unit || Drawer 1: Spare Lab Bench Tools</v>
      </c>
      <c r="H151" s="32" t="str">
        <f>VLOOKUP(LEFT(F151,LEN(F151)-3),'Storage Locations'!$A:$F,6,FALSE)</f>
        <v>Drawer Unit under robotics arena, next to Bench 10</v>
      </c>
      <c r="I151" s="33" t="str">
        <f>CONCATENATE(VLOOKUP(CONCATENATE("P/T",LEFT(F151,LEN(F151)-7)),'Rooms and Types'!$A:$B,2,FALSE), " (", VLOOKUP(CONCATENATE("P/T",LEFT(F151,LEN(F151)-7)),'Rooms and Types'!$A:$C,3,FALSE),")")</f>
        <v>Robotics Teaching Lab (4th Floor)</v>
      </c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26">
        <v>150.0</v>
      </c>
      <c r="B152" s="27" t="s">
        <v>373</v>
      </c>
      <c r="C152" s="37" t="s">
        <v>374</v>
      </c>
      <c r="D152" s="29">
        <v>3.0</v>
      </c>
      <c r="E152" s="30">
        <v>45344.0</v>
      </c>
      <c r="F152" s="31" t="s">
        <v>366</v>
      </c>
      <c r="G152" s="32" t="str">
        <f>VLOOKUP(F152,'Sub-Divisions'!A:$B,2,FALSE)</f>
        <v>Bench Tools &amp; Lab Spares Drawer Unit || Drawer 1: Spare Lab Bench Tools</v>
      </c>
      <c r="H152" s="32" t="str">
        <f>VLOOKUP(LEFT(F152,LEN(F152)-3),'Storage Locations'!$A:$F,6,FALSE)</f>
        <v>Drawer Unit under robotics arena, next to Bench 10</v>
      </c>
      <c r="I152" s="33" t="str">
        <f>CONCATENATE(VLOOKUP(CONCATENATE("P/T",LEFT(F152,LEN(F152)-7)),'Rooms and Types'!$A:$B,2,FALSE), " (", VLOOKUP(CONCATENATE("P/T",LEFT(F152,LEN(F152)-7)),'Rooms and Types'!$A:$C,3,FALSE),")")</f>
        <v>Robotics Teaching Lab (4th Floor)</v>
      </c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26">
        <v>149.0</v>
      </c>
      <c r="B153" s="27" t="s">
        <v>375</v>
      </c>
      <c r="C153" s="37" t="s">
        <v>376</v>
      </c>
      <c r="D153" s="29">
        <v>2.0</v>
      </c>
      <c r="E153" s="30">
        <v>45344.0</v>
      </c>
      <c r="F153" s="31" t="s">
        <v>366</v>
      </c>
      <c r="G153" s="32" t="str">
        <f>VLOOKUP(F153,'Sub-Divisions'!A:$B,2,FALSE)</f>
        <v>Bench Tools &amp; Lab Spares Drawer Unit || Drawer 1: Spare Lab Bench Tools</v>
      </c>
      <c r="H153" s="32" t="str">
        <f>VLOOKUP(LEFT(F153,LEN(F153)-3),'Storage Locations'!$A:$F,6,FALSE)</f>
        <v>Drawer Unit under robotics arena, next to Bench 10</v>
      </c>
      <c r="I153" s="33" t="str">
        <f>CONCATENATE(VLOOKUP(CONCATENATE("P/T",LEFT(F153,LEN(F153)-7)),'Rooms and Types'!$A:$B,2,FALSE), " (", VLOOKUP(CONCATENATE("P/T",LEFT(F153,LEN(F153)-7)),'Rooms and Types'!$A:$C,3,FALSE),")")</f>
        <v>Robotics Teaching Lab (4th Floor)</v>
      </c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26">
        <v>148.0</v>
      </c>
      <c r="B154" s="27" t="s">
        <v>377</v>
      </c>
      <c r="C154" s="37" t="s">
        <v>378</v>
      </c>
      <c r="D154" s="29">
        <v>13.0</v>
      </c>
      <c r="E154" s="30">
        <v>45344.0</v>
      </c>
      <c r="F154" s="31" t="s">
        <v>366</v>
      </c>
      <c r="G154" s="32" t="str">
        <f>VLOOKUP(F154,'Sub-Divisions'!A:$B,2,FALSE)</f>
        <v>Bench Tools &amp; Lab Spares Drawer Unit || Drawer 1: Spare Lab Bench Tools</v>
      </c>
      <c r="H154" s="32" t="str">
        <f>VLOOKUP(LEFT(F154,LEN(F154)-3),'Storage Locations'!$A:$F,6,FALSE)</f>
        <v>Drawer Unit under robotics arena, next to Bench 10</v>
      </c>
      <c r="I154" s="33" t="str">
        <f>CONCATENATE(VLOOKUP(CONCATENATE("P/T",LEFT(F154,LEN(F154)-7)),'Rooms and Types'!$A:$B,2,FALSE), " (", VLOOKUP(CONCATENATE("P/T",LEFT(F154,LEN(F154)-7)),'Rooms and Types'!$A:$C,3,FALSE),")")</f>
        <v>Robotics Teaching Lab (4th Floor)</v>
      </c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26">
        <v>147.0</v>
      </c>
      <c r="B155" s="27" t="s">
        <v>379</v>
      </c>
      <c r="C155" s="37" t="s">
        <v>380</v>
      </c>
      <c r="D155" s="29">
        <v>1.0</v>
      </c>
      <c r="E155" s="30">
        <v>45344.0</v>
      </c>
      <c r="F155" s="31" t="s">
        <v>366</v>
      </c>
      <c r="G155" s="32" t="str">
        <f>VLOOKUP(F155,'Sub-Divisions'!A:$B,2,FALSE)</f>
        <v>Bench Tools &amp; Lab Spares Drawer Unit || Drawer 1: Spare Lab Bench Tools</v>
      </c>
      <c r="H155" s="32" t="str">
        <f>VLOOKUP(LEFT(F155,LEN(F155)-3),'Storage Locations'!$A:$F,6,FALSE)</f>
        <v>Drawer Unit under robotics arena, next to Bench 10</v>
      </c>
      <c r="I155" s="33" t="str">
        <f>CONCATENATE(VLOOKUP(CONCATENATE("P/T",LEFT(F155,LEN(F155)-7)),'Rooms and Types'!$A:$B,2,FALSE), " (", VLOOKUP(CONCATENATE("P/T",LEFT(F155,LEN(F155)-7)),'Rooms and Types'!$A:$C,3,FALSE),")")</f>
        <v>Robotics Teaching Lab (4th Floor)</v>
      </c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26">
        <v>146.0</v>
      </c>
      <c r="B156" s="27" t="s">
        <v>381</v>
      </c>
      <c r="C156" s="37" t="s">
        <v>382</v>
      </c>
      <c r="D156" s="29">
        <v>2.0</v>
      </c>
      <c r="E156" s="30">
        <v>45344.0</v>
      </c>
      <c r="F156" s="31" t="s">
        <v>366</v>
      </c>
      <c r="G156" s="32" t="str">
        <f>VLOOKUP(F156,'Sub-Divisions'!A:$B,2,FALSE)</f>
        <v>Bench Tools &amp; Lab Spares Drawer Unit || Drawer 1: Spare Lab Bench Tools</v>
      </c>
      <c r="H156" s="32" t="str">
        <f>VLOOKUP(LEFT(F156,LEN(F156)-3),'Storage Locations'!$A:$F,6,FALSE)</f>
        <v>Drawer Unit under robotics arena, next to Bench 10</v>
      </c>
      <c r="I156" s="33" t="str">
        <f>CONCATENATE(VLOOKUP(CONCATENATE("P/T",LEFT(F156,LEN(F156)-7)),'Rooms and Types'!$A:$B,2,FALSE), " (", VLOOKUP(CONCATENATE("P/T",LEFT(F156,LEN(F156)-7)),'Rooms and Types'!$A:$C,3,FALSE),")")</f>
        <v>Robotics Teaching Lab (4th Floor)</v>
      </c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26">
        <v>145.0</v>
      </c>
      <c r="B157" s="27" t="s">
        <v>383</v>
      </c>
      <c r="C157" s="37" t="s">
        <v>384</v>
      </c>
      <c r="D157" s="29">
        <v>2.0</v>
      </c>
      <c r="E157" s="30">
        <v>45344.0</v>
      </c>
      <c r="F157" s="31" t="s">
        <v>366</v>
      </c>
      <c r="G157" s="32" t="str">
        <f>VLOOKUP(F157,'Sub-Divisions'!A:$B,2,FALSE)</f>
        <v>Bench Tools &amp; Lab Spares Drawer Unit || Drawer 1: Spare Lab Bench Tools</v>
      </c>
      <c r="H157" s="32" t="str">
        <f>VLOOKUP(LEFT(F157,LEN(F157)-3),'Storage Locations'!$A:$F,6,FALSE)</f>
        <v>Drawer Unit under robotics arena, next to Bench 10</v>
      </c>
      <c r="I157" s="33" t="str">
        <f>CONCATENATE(VLOOKUP(CONCATENATE("P/T",LEFT(F157,LEN(F157)-7)),'Rooms and Types'!$A:$B,2,FALSE), " (", VLOOKUP(CONCATENATE("P/T",LEFT(F157,LEN(F157)-7)),'Rooms and Types'!$A:$C,3,FALSE),")")</f>
        <v>Robotics Teaching Lab (4th Floor)</v>
      </c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26">
        <v>144.0</v>
      </c>
      <c r="B158" s="27" t="s">
        <v>385</v>
      </c>
      <c r="C158" s="37" t="s">
        <v>386</v>
      </c>
      <c r="D158" s="29">
        <v>2.0</v>
      </c>
      <c r="E158" s="30">
        <v>45344.0</v>
      </c>
      <c r="F158" s="31" t="s">
        <v>366</v>
      </c>
      <c r="G158" s="32" t="str">
        <f>VLOOKUP(F158,'Sub-Divisions'!A:$B,2,FALSE)</f>
        <v>Bench Tools &amp; Lab Spares Drawer Unit || Drawer 1: Spare Lab Bench Tools</v>
      </c>
      <c r="H158" s="32" t="str">
        <f>VLOOKUP(LEFT(F158,LEN(F158)-3),'Storage Locations'!$A:$F,6,FALSE)</f>
        <v>Drawer Unit under robotics arena, next to Bench 10</v>
      </c>
      <c r="I158" s="33" t="str">
        <f>CONCATENATE(VLOOKUP(CONCATENATE("P/T",LEFT(F158,LEN(F158)-7)),'Rooms and Types'!$A:$B,2,FALSE), " (", VLOOKUP(CONCATENATE("P/T",LEFT(F158,LEN(F158)-7)),'Rooms and Types'!$A:$C,3,FALSE),")")</f>
        <v>Robotics Teaching Lab (4th Floor)</v>
      </c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26">
        <v>143.0</v>
      </c>
      <c r="B159" s="27" t="s">
        <v>387</v>
      </c>
      <c r="C159" s="37" t="s">
        <v>388</v>
      </c>
      <c r="D159" s="29">
        <v>5.0</v>
      </c>
      <c r="E159" s="30">
        <v>45344.0</v>
      </c>
      <c r="F159" s="31" t="s">
        <v>366</v>
      </c>
      <c r="G159" s="32" t="str">
        <f>VLOOKUP(F159,'Sub-Divisions'!A:$B,2,FALSE)</f>
        <v>Bench Tools &amp; Lab Spares Drawer Unit || Drawer 1: Spare Lab Bench Tools</v>
      </c>
      <c r="H159" s="32" t="str">
        <f>VLOOKUP(LEFT(F159,LEN(F159)-3),'Storage Locations'!$A:$F,6,FALSE)</f>
        <v>Drawer Unit under robotics arena, next to Bench 10</v>
      </c>
      <c r="I159" s="33" t="str">
        <f>CONCATENATE(VLOOKUP(CONCATENATE("P/T",LEFT(F159,LEN(F159)-7)),'Rooms and Types'!$A:$B,2,FALSE), " (", VLOOKUP(CONCATENATE("P/T",LEFT(F159,LEN(F159)-7)),'Rooms and Types'!$A:$C,3,FALSE),")")</f>
        <v>Robotics Teaching Lab (4th Floor)</v>
      </c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6">
        <v>142.0</v>
      </c>
      <c r="B160" s="27" t="s">
        <v>389</v>
      </c>
      <c r="C160" s="37" t="s">
        <v>390</v>
      </c>
      <c r="D160" s="29" t="s">
        <v>52</v>
      </c>
      <c r="E160" s="30">
        <v>45344.0</v>
      </c>
      <c r="F160" s="31" t="s">
        <v>366</v>
      </c>
      <c r="G160" s="32" t="str">
        <f>VLOOKUP(F160,'Sub-Divisions'!A:$B,2,FALSE)</f>
        <v>Bench Tools &amp; Lab Spares Drawer Unit || Drawer 1: Spare Lab Bench Tools</v>
      </c>
      <c r="H160" s="32" t="str">
        <f>VLOOKUP(LEFT(F160,LEN(F160)-3),'Storage Locations'!$A:$F,6,FALSE)</f>
        <v>Drawer Unit under robotics arena, next to Bench 10</v>
      </c>
      <c r="I160" s="33" t="str">
        <f>CONCATENATE(VLOOKUP(CONCATENATE("P/T",LEFT(F160,LEN(F160)-7)),'Rooms and Types'!$A:$B,2,FALSE), " (", VLOOKUP(CONCATENATE("P/T",LEFT(F160,LEN(F160)-7)),'Rooms and Types'!$A:$C,3,FALSE),")")</f>
        <v>Robotics Teaching Lab (4th Floor)</v>
      </c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6">
        <v>141.0</v>
      </c>
      <c r="B161" s="27" t="s">
        <v>391</v>
      </c>
      <c r="C161" s="37" t="s">
        <v>392</v>
      </c>
      <c r="D161" s="29" t="s">
        <v>73</v>
      </c>
      <c r="E161" s="30">
        <v>45344.0</v>
      </c>
      <c r="F161" s="31" t="s">
        <v>366</v>
      </c>
      <c r="G161" s="32" t="str">
        <f>VLOOKUP(F161,'Sub-Divisions'!A:$B,2,FALSE)</f>
        <v>Bench Tools &amp; Lab Spares Drawer Unit || Drawer 1: Spare Lab Bench Tools</v>
      </c>
      <c r="H161" s="32" t="str">
        <f>VLOOKUP(LEFT(F161,LEN(F161)-3),'Storage Locations'!$A:$F,6,FALSE)</f>
        <v>Drawer Unit under robotics arena, next to Bench 10</v>
      </c>
      <c r="I161" s="33" t="str">
        <f>CONCATENATE(VLOOKUP(CONCATENATE("P/T",LEFT(F161,LEN(F161)-7)),'Rooms and Types'!$A:$B,2,FALSE), " (", VLOOKUP(CONCATENATE("P/T",LEFT(F161,LEN(F161)-7)),'Rooms and Types'!$A:$C,3,FALSE),")")</f>
        <v>Robotics Teaching Lab (4th Floor)</v>
      </c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6">
        <v>140.0</v>
      </c>
      <c r="B162" s="27" t="s">
        <v>260</v>
      </c>
      <c r="C162" s="39" t="s">
        <v>261</v>
      </c>
      <c r="D162" s="29">
        <v>4.0</v>
      </c>
      <c r="E162" s="30">
        <v>45344.0</v>
      </c>
      <c r="F162" s="31" t="s">
        <v>393</v>
      </c>
      <c r="G162" s="32" t="str">
        <f>VLOOKUP(F162,'Sub-Divisions'!A:$B,2,FALSE)</f>
        <v>Bench Cluster 9,10,13,14 Bench Cluster || Bench 9: Bench 9</v>
      </c>
      <c r="H162" s="32" t="str">
        <f>VLOOKUP(LEFT(F162,LEN(F162)-3),'Storage Locations'!$A:$F,6,FALSE)</f>
        <v>Benches 9, 10, 13 &amp; 14</v>
      </c>
      <c r="I162" s="33" t="str">
        <f>CONCATENATE(VLOOKUP(CONCATENATE("P/T",LEFT(F162,LEN(F162)-7)),'Rooms and Types'!$A:$B,2,FALSE), " (", VLOOKUP(CONCATENATE("P/T",LEFT(F162,LEN(F162)-7)),'Rooms and Types'!$A:$C,3,FALSE),")")</f>
        <v>Robotics Teaching Lab (4th Floor)</v>
      </c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6">
        <v>139.0</v>
      </c>
      <c r="B163" s="27" t="s">
        <v>394</v>
      </c>
      <c r="C163" s="27" t="s">
        <v>395</v>
      </c>
      <c r="D163" s="29">
        <v>1.0</v>
      </c>
      <c r="E163" s="30">
        <v>45344.0</v>
      </c>
      <c r="F163" s="31" t="s">
        <v>396</v>
      </c>
      <c r="G163" s="32" t="str">
        <f>VLOOKUP(F163,'Sub-Divisions'!A:$B,2,FALSE)</f>
        <v>Ribbon Cable Cupboard || Shelf 1: Ribbon Cable and Copper Wire Spools</v>
      </c>
      <c r="H163" s="32" t="str">
        <f>VLOOKUP(LEFT(F163,LEN(F163)-3),'Storage Locations'!$A:$F,6,FALSE)</f>
        <v>East Wall, under the window, next to Bench 9</v>
      </c>
      <c r="I163" s="33" t="str">
        <f>CONCATENATE(VLOOKUP(CONCATENATE("P/T",LEFT(F163,LEN(F163)-7)),'Rooms and Types'!$A:$B,2,FALSE), " (", VLOOKUP(CONCATENATE("P/T",LEFT(F163,LEN(F163)-7)),'Rooms and Types'!$A:$C,3,FALSE),")")</f>
        <v>Robotics Teaching Lab (4th Floor)</v>
      </c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6">
        <v>138.0</v>
      </c>
      <c r="B164" s="27" t="s">
        <v>397</v>
      </c>
      <c r="C164" s="27" t="s">
        <v>398</v>
      </c>
      <c r="D164" s="29">
        <v>3.0</v>
      </c>
      <c r="E164" s="30">
        <v>45344.0</v>
      </c>
      <c r="F164" s="31" t="s">
        <v>396</v>
      </c>
      <c r="G164" s="32" t="str">
        <f>VLOOKUP(F164,'Sub-Divisions'!A:$B,2,FALSE)</f>
        <v>Ribbon Cable Cupboard || Shelf 1: Ribbon Cable and Copper Wire Spools</v>
      </c>
      <c r="H164" s="32" t="str">
        <f>VLOOKUP(LEFT(F164,LEN(F164)-3),'Storage Locations'!$A:$F,6,FALSE)</f>
        <v>East Wall, under the window, next to Bench 9</v>
      </c>
      <c r="I164" s="33" t="str">
        <f>CONCATENATE(VLOOKUP(CONCATENATE("P/T",LEFT(F164,LEN(F164)-7)),'Rooms and Types'!$A:$B,2,FALSE), " (", VLOOKUP(CONCATENATE("P/T",LEFT(F164,LEN(F164)-7)),'Rooms and Types'!$A:$C,3,FALSE),")")</f>
        <v>Robotics Teaching Lab (4th Floor)</v>
      </c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6">
        <v>137.0</v>
      </c>
      <c r="B165" s="27" t="s">
        <v>399</v>
      </c>
      <c r="C165" s="27" t="s">
        <v>400</v>
      </c>
      <c r="D165" s="29">
        <v>1.0</v>
      </c>
      <c r="E165" s="30">
        <v>45344.0</v>
      </c>
      <c r="F165" s="31" t="s">
        <v>396</v>
      </c>
      <c r="G165" s="32" t="str">
        <f>VLOOKUP(F165,'Sub-Divisions'!A:$B,2,FALSE)</f>
        <v>Ribbon Cable Cupboard || Shelf 1: Ribbon Cable and Copper Wire Spools</v>
      </c>
      <c r="H165" s="32" t="str">
        <f>VLOOKUP(LEFT(F165,LEN(F165)-3),'Storage Locations'!$A:$F,6,FALSE)</f>
        <v>East Wall, under the window, next to Bench 9</v>
      </c>
      <c r="I165" s="33" t="str">
        <f>CONCATENATE(VLOOKUP(CONCATENATE("P/T",LEFT(F165,LEN(F165)-7)),'Rooms and Types'!$A:$B,2,FALSE), " (", VLOOKUP(CONCATENATE("P/T",LEFT(F165,LEN(F165)-7)),'Rooms and Types'!$A:$C,3,FALSE),")")</f>
        <v>Robotics Teaching Lab (4th Floor)</v>
      </c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6">
        <v>136.0</v>
      </c>
      <c r="B166" s="27" t="s">
        <v>401</v>
      </c>
      <c r="C166" s="27" t="s">
        <v>402</v>
      </c>
      <c r="D166" s="29">
        <v>1.0</v>
      </c>
      <c r="E166" s="30">
        <v>45344.0</v>
      </c>
      <c r="F166" s="31" t="s">
        <v>396</v>
      </c>
      <c r="G166" s="32" t="str">
        <f>VLOOKUP(F166,'Sub-Divisions'!A:$B,2,FALSE)</f>
        <v>Ribbon Cable Cupboard || Shelf 1: Ribbon Cable and Copper Wire Spools</v>
      </c>
      <c r="H166" s="32" t="str">
        <f>VLOOKUP(LEFT(F166,LEN(F166)-3),'Storage Locations'!$A:$F,6,FALSE)</f>
        <v>East Wall, under the window, next to Bench 9</v>
      </c>
      <c r="I166" s="33" t="str">
        <f>CONCATENATE(VLOOKUP(CONCATENATE("P/T",LEFT(F166,LEN(F166)-7)),'Rooms and Types'!$A:$B,2,FALSE), " (", VLOOKUP(CONCATENATE("P/T",LEFT(F166,LEN(F166)-7)),'Rooms and Types'!$A:$C,3,FALSE),")")</f>
        <v>Robotics Teaching Lab (4th Floor)</v>
      </c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26">
        <v>135.0</v>
      </c>
      <c r="B167" s="27" t="s">
        <v>403</v>
      </c>
      <c r="C167" s="27" t="s">
        <v>404</v>
      </c>
      <c r="D167" s="29">
        <v>1.0</v>
      </c>
      <c r="E167" s="30">
        <v>45344.0</v>
      </c>
      <c r="F167" s="31" t="s">
        <v>396</v>
      </c>
      <c r="G167" s="32" t="str">
        <f>VLOOKUP(F167,'Sub-Divisions'!A:$B,2,FALSE)</f>
        <v>Ribbon Cable Cupboard || Shelf 1: Ribbon Cable and Copper Wire Spools</v>
      </c>
      <c r="H167" s="32" t="str">
        <f>VLOOKUP(LEFT(F167,LEN(F167)-3),'Storage Locations'!$A:$F,6,FALSE)</f>
        <v>East Wall, under the window, next to Bench 9</v>
      </c>
      <c r="I167" s="33" t="str">
        <f>CONCATENATE(VLOOKUP(CONCATENATE("P/T",LEFT(F167,LEN(F167)-7)),'Rooms and Types'!$A:$B,2,FALSE), " (", VLOOKUP(CONCATENATE("P/T",LEFT(F167,LEN(F167)-7)),'Rooms and Types'!$A:$C,3,FALSE),")")</f>
        <v>Robotics Teaching Lab (4th Floor)</v>
      </c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26">
        <v>134.0</v>
      </c>
      <c r="B168" s="27" t="s">
        <v>405</v>
      </c>
      <c r="C168" s="27" t="s">
        <v>406</v>
      </c>
      <c r="D168" s="29">
        <v>1.0</v>
      </c>
      <c r="E168" s="30">
        <v>45344.0</v>
      </c>
      <c r="F168" s="31" t="s">
        <v>396</v>
      </c>
      <c r="G168" s="32" t="str">
        <f>VLOOKUP(F168,'Sub-Divisions'!A:$B,2,FALSE)</f>
        <v>Ribbon Cable Cupboard || Shelf 1: Ribbon Cable and Copper Wire Spools</v>
      </c>
      <c r="H168" s="32" t="str">
        <f>VLOOKUP(LEFT(F168,LEN(F168)-3),'Storage Locations'!$A:$F,6,FALSE)</f>
        <v>East Wall, under the window, next to Bench 9</v>
      </c>
      <c r="I168" s="33" t="str">
        <f>CONCATENATE(VLOOKUP(CONCATENATE("P/T",LEFT(F168,LEN(F168)-7)),'Rooms and Types'!$A:$B,2,FALSE), " (", VLOOKUP(CONCATENATE("P/T",LEFT(F168,LEN(F168)-7)),'Rooms and Types'!$A:$C,3,FALSE),")")</f>
        <v>Robotics Teaching Lab (4th Floor)</v>
      </c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26">
        <v>133.0</v>
      </c>
      <c r="B169" s="27" t="s">
        <v>407</v>
      </c>
      <c r="C169" s="27" t="s">
        <v>408</v>
      </c>
      <c r="D169" s="29">
        <v>1.0</v>
      </c>
      <c r="E169" s="30">
        <v>45344.0</v>
      </c>
      <c r="F169" s="31" t="s">
        <v>396</v>
      </c>
      <c r="G169" s="32" t="str">
        <f>VLOOKUP(F169,'Sub-Divisions'!A:$B,2,FALSE)</f>
        <v>Ribbon Cable Cupboard || Shelf 1: Ribbon Cable and Copper Wire Spools</v>
      </c>
      <c r="H169" s="32" t="str">
        <f>VLOOKUP(LEFT(F169,LEN(F169)-3),'Storage Locations'!$A:$F,6,FALSE)</f>
        <v>East Wall, under the window, next to Bench 9</v>
      </c>
      <c r="I169" s="33" t="str">
        <f>CONCATENATE(VLOOKUP(CONCATENATE("P/T",LEFT(F169,LEN(F169)-7)),'Rooms and Types'!$A:$B,2,FALSE), " (", VLOOKUP(CONCATENATE("P/T",LEFT(F169,LEN(F169)-7)),'Rooms and Types'!$A:$C,3,FALSE),")")</f>
        <v>Robotics Teaching Lab (4th Floor)</v>
      </c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26">
        <v>132.0</v>
      </c>
      <c r="B170" s="27" t="s">
        <v>409</v>
      </c>
      <c r="C170" s="27" t="s">
        <v>410</v>
      </c>
      <c r="D170" s="29" t="s">
        <v>268</v>
      </c>
      <c r="E170" s="30">
        <v>45343.0</v>
      </c>
      <c r="F170" s="31" t="s">
        <v>411</v>
      </c>
      <c r="G170" s="32" t="str">
        <f>VLOOKUP(F170,'Sub-Divisions'!A:$B,2,FALSE)</f>
        <v>Resistor Organiser 2 Cabinet || Organiser 1</v>
      </c>
      <c r="H170" s="32" t="str">
        <f>VLOOKUP(LEFT(F170,LEN(F170)-3),'Storage Locations'!$A:$F,6,FALSE)</f>
        <v>East Wall, on top of windowsill, next to Bench 5</v>
      </c>
      <c r="I170" s="33" t="str">
        <f>CONCATENATE(VLOOKUP(CONCATENATE("P/T",LEFT(F170,LEN(F170)-7)),'Rooms and Types'!$A:$B,2,FALSE), " (", VLOOKUP(CONCATENATE("P/T",LEFT(F170,LEN(F170)-7)),'Rooms and Types'!$A:$C,3,FALSE),")")</f>
        <v>Robotics Teaching Lab (4th Floor)</v>
      </c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26">
        <v>131.0</v>
      </c>
      <c r="B171" s="27" t="s">
        <v>409</v>
      </c>
      <c r="C171" s="27" t="s">
        <v>412</v>
      </c>
      <c r="D171" s="29" t="s">
        <v>268</v>
      </c>
      <c r="E171" s="30">
        <v>45343.0</v>
      </c>
      <c r="F171" s="31" t="s">
        <v>413</v>
      </c>
      <c r="G171" s="32" t="str">
        <f>VLOOKUP(F171,'Sub-Divisions'!A:$B,2,FALSE)</f>
        <v>Resistor Organiser 1 Cabinet || Organiser 1</v>
      </c>
      <c r="H171" s="32" t="str">
        <f>VLOOKUP(LEFT(F171,LEN(F171)-3),'Storage Locations'!$A:$F,6,FALSE)</f>
        <v>East Wall, on top of windowsill, next to Bench 5</v>
      </c>
      <c r="I171" s="33" t="str">
        <f>CONCATENATE(VLOOKUP(CONCATENATE("P/T",LEFT(F171,LEN(F171)-7)),'Rooms and Types'!$A:$B,2,FALSE), " (", VLOOKUP(CONCATENATE("P/T",LEFT(F171,LEN(F171)-7)),'Rooms and Types'!$A:$C,3,FALSE),")")</f>
        <v>Robotics Teaching Lab (4th Floor)</v>
      </c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26">
        <v>130.0</v>
      </c>
      <c r="B172" s="27" t="s">
        <v>270</v>
      </c>
      <c r="C172" s="27" t="s">
        <v>271</v>
      </c>
      <c r="D172" s="29" t="s">
        <v>268</v>
      </c>
      <c r="E172" s="30">
        <v>45343.0</v>
      </c>
      <c r="F172" s="31" t="s">
        <v>414</v>
      </c>
      <c r="G172" s="32" t="str">
        <f>VLOOKUP(F172,'Sub-Divisions'!A:$B,2,FALSE)</f>
        <v>Nut &amp; Bolt Organiser 1 Cabinet || Organiser 1</v>
      </c>
      <c r="H172" s="32" t="str">
        <f>VLOOKUP(LEFT(F172,LEN(F172)-3),'Storage Locations'!$A:$F,6,FALSE)</f>
        <v>East Wall, on top of windowsill, next to Bench 5</v>
      </c>
      <c r="I172" s="33" t="str">
        <f>CONCATENATE(VLOOKUP(CONCATENATE("P/T",LEFT(F172,LEN(F172)-7)),'Rooms and Types'!$A:$B,2,FALSE), " (", VLOOKUP(CONCATENATE("P/T",LEFT(F172,LEN(F172)-7)),'Rooms and Types'!$A:$C,3,FALSE),")")</f>
        <v>Robotics Teaching Lab (4th Floor)</v>
      </c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26">
        <v>129.0</v>
      </c>
      <c r="B173" s="27" t="s">
        <v>415</v>
      </c>
      <c r="C173" s="27" t="s">
        <v>416</v>
      </c>
      <c r="D173" s="29">
        <v>5.0</v>
      </c>
      <c r="E173" s="30">
        <v>45343.0</v>
      </c>
      <c r="F173" s="31" t="s">
        <v>417</v>
      </c>
      <c r="G173" s="32" t="str">
        <f>VLOOKUP(F173,'Sub-Divisions'!A:$B,2,FALSE)</f>
        <v>Project Enclosures and Boxes Cupboard || Shelf 1: Misc Boxes and Enclosures</v>
      </c>
      <c r="H173" s="32" t="str">
        <f>VLOOKUP(LEFT(F173,LEN(F173)-3),'Storage Locations'!$A:$F,6,FALSE)</f>
        <v>East Wall, under the window, next to Bench 5</v>
      </c>
      <c r="I173" s="33" t="str">
        <f>CONCATENATE(VLOOKUP(CONCATENATE("P/T",LEFT(F173,LEN(F173)-7)),'Rooms and Types'!$A:$B,2,FALSE), " (", VLOOKUP(CONCATENATE("P/T",LEFT(F173,LEN(F173)-7)),'Rooms and Types'!$A:$C,3,FALSE),")")</f>
        <v>Robotics Teaching Lab (4th Floor)</v>
      </c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26">
        <v>128.0</v>
      </c>
      <c r="B174" s="27" t="s">
        <v>418</v>
      </c>
      <c r="C174" s="27" t="s">
        <v>419</v>
      </c>
      <c r="D174" s="29">
        <v>1.0</v>
      </c>
      <c r="E174" s="30">
        <v>45343.0</v>
      </c>
      <c r="F174" s="31" t="s">
        <v>417</v>
      </c>
      <c r="G174" s="32" t="str">
        <f>VLOOKUP(F174,'Sub-Divisions'!A:$B,2,FALSE)</f>
        <v>Project Enclosures and Boxes Cupboard || Shelf 1: Misc Boxes and Enclosures</v>
      </c>
      <c r="H174" s="32" t="str">
        <f>VLOOKUP(LEFT(F174,LEN(F174)-3),'Storage Locations'!$A:$F,6,FALSE)</f>
        <v>East Wall, under the window, next to Bench 5</v>
      </c>
      <c r="I174" s="33" t="str">
        <f>CONCATENATE(VLOOKUP(CONCATENATE("P/T",LEFT(F174,LEN(F174)-7)),'Rooms and Types'!$A:$B,2,FALSE), " (", VLOOKUP(CONCATENATE("P/T",LEFT(F174,LEN(F174)-7)),'Rooms and Types'!$A:$C,3,FALSE),")")</f>
        <v>Robotics Teaching Lab (4th Floor)</v>
      </c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26">
        <v>127.0</v>
      </c>
      <c r="B175" s="27" t="s">
        <v>420</v>
      </c>
      <c r="C175" s="27" t="s">
        <v>421</v>
      </c>
      <c r="D175" s="29">
        <v>2.0</v>
      </c>
      <c r="E175" s="30">
        <v>45343.0</v>
      </c>
      <c r="F175" s="31" t="s">
        <v>417</v>
      </c>
      <c r="G175" s="32" t="str">
        <f>VLOOKUP(F175,'Sub-Divisions'!A:$B,2,FALSE)</f>
        <v>Project Enclosures and Boxes Cupboard || Shelf 1: Misc Boxes and Enclosures</v>
      </c>
      <c r="H175" s="32" t="str">
        <f>VLOOKUP(LEFT(F175,LEN(F175)-3),'Storage Locations'!$A:$F,6,FALSE)</f>
        <v>East Wall, under the window, next to Bench 5</v>
      </c>
      <c r="I175" s="33" t="str">
        <f>CONCATENATE(VLOOKUP(CONCATENATE("P/T",LEFT(F175,LEN(F175)-7)),'Rooms and Types'!$A:$B,2,FALSE), " (", VLOOKUP(CONCATENATE("P/T",LEFT(F175,LEN(F175)-7)),'Rooms and Types'!$A:$C,3,FALSE),")")</f>
        <v>Robotics Teaching Lab (4th Floor)</v>
      </c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26">
        <v>126.0</v>
      </c>
      <c r="B176" s="27" t="s">
        <v>422</v>
      </c>
      <c r="C176" s="27" t="s">
        <v>423</v>
      </c>
      <c r="D176" s="29">
        <v>17.0</v>
      </c>
      <c r="E176" s="30">
        <v>45343.0</v>
      </c>
      <c r="F176" s="31" t="s">
        <v>417</v>
      </c>
      <c r="G176" s="32" t="str">
        <f>VLOOKUP(F176,'Sub-Divisions'!A:$B,2,FALSE)</f>
        <v>Project Enclosures and Boxes Cupboard || Shelf 1: Misc Boxes and Enclosures</v>
      </c>
      <c r="H176" s="32" t="str">
        <f>VLOOKUP(LEFT(F176,LEN(F176)-3),'Storage Locations'!$A:$F,6,FALSE)</f>
        <v>East Wall, under the window, next to Bench 5</v>
      </c>
      <c r="I176" s="33" t="str">
        <f>CONCATENATE(VLOOKUP(CONCATENATE("P/T",LEFT(F176,LEN(F176)-7)),'Rooms and Types'!$A:$B,2,FALSE), " (", VLOOKUP(CONCATENATE("P/T",LEFT(F176,LEN(F176)-7)),'Rooms and Types'!$A:$C,3,FALSE),")")</f>
        <v>Robotics Teaching Lab (4th Floor)</v>
      </c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22.5" customHeight="1">
      <c r="A177" s="26">
        <v>125.0</v>
      </c>
      <c r="B177" s="27" t="s">
        <v>424</v>
      </c>
      <c r="C177" s="37" t="s">
        <v>425</v>
      </c>
      <c r="D177" s="29">
        <v>1.0</v>
      </c>
      <c r="E177" s="30">
        <v>45343.0</v>
      </c>
      <c r="F177" s="31" t="s">
        <v>426</v>
      </c>
      <c r="G177" s="32" t="str">
        <f>VLOOKUP(F177,'Sub-Divisions'!A:$B,2,FALSE)</f>
        <v>Projector PC Desk || Top</v>
      </c>
      <c r="H177" s="32" t="str">
        <f>VLOOKUP(LEFT(F177,LEN(F177)-3),'Storage Locations'!$A:$F,6,FALSE)</f>
        <v>Desk with PC used for projector, next to front door</v>
      </c>
      <c r="I177" s="33" t="str">
        <f>CONCATENATE(VLOOKUP(CONCATENATE("P/T",LEFT(F177,LEN(F177)-7)),'Rooms and Types'!$A:$B,2,FALSE), " (", VLOOKUP(CONCATENATE("P/T",LEFT(F177,LEN(F177)-7)),'Rooms and Types'!$A:$C,3,FALSE),")")</f>
        <v>Robotics Teaching Lab (4th Floor)</v>
      </c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22.5" customHeight="1">
      <c r="A178" s="26">
        <v>124.0</v>
      </c>
      <c r="B178" s="27" t="s">
        <v>260</v>
      </c>
      <c r="C178" s="39" t="s">
        <v>261</v>
      </c>
      <c r="D178" s="29">
        <v>8.0</v>
      </c>
      <c r="E178" s="30">
        <v>45343.0</v>
      </c>
      <c r="F178" s="31" t="s">
        <v>427</v>
      </c>
      <c r="G178" s="32" t="str">
        <f>VLOOKUP(F178,'Sub-Divisions'!A:$B,2,FALSE)</f>
        <v>Bench Cluster 1-8 Bench Cluster || Bench 1: Bench 1</v>
      </c>
      <c r="H178" s="32" t="str">
        <f>VLOOKUP(LEFT(F178,LEN(F178)-3),'Storage Locations'!$A:$F,6,FALSE)</f>
        <v>Benches 1-8</v>
      </c>
      <c r="I178" s="33" t="str">
        <f>CONCATENATE(VLOOKUP(CONCATENATE("P/T",LEFT(F178,LEN(F178)-7)),'Rooms and Types'!$A:$B,2,FALSE), " (", VLOOKUP(CONCATENATE("P/T",LEFT(F178,LEN(F178)-7)),'Rooms and Types'!$A:$C,3,FALSE),")")</f>
        <v>Robotics Teaching Lab (4th Floor)</v>
      </c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26">
        <v>123.0</v>
      </c>
      <c r="B179" s="27" t="s">
        <v>428</v>
      </c>
      <c r="C179" s="40" t="s">
        <v>429</v>
      </c>
      <c r="D179" s="29" t="s">
        <v>52</v>
      </c>
      <c r="E179" s="30">
        <v>45343.0</v>
      </c>
      <c r="F179" s="31" t="s">
        <v>430</v>
      </c>
      <c r="G179" s="32" t="str">
        <f>VLOOKUP(F179,'Sub-Divisions'!A:$B,2,FALSE)</f>
        <v>Power Adaptors Cupboard || Shelf 1: Untested/Failed AC &amp; DC Power Adaptors</v>
      </c>
      <c r="H179" s="32" t="str">
        <f>VLOOKUP(LEFT(F179,LEN(F179)-3),'Storage Locations'!$A:$F,6,FALSE)</f>
        <v>East wall, under the window, next to Bench 1</v>
      </c>
      <c r="I179" s="33" t="str">
        <f>CONCATENATE(VLOOKUP(CONCATENATE("P/T",LEFT(F179,LEN(F179)-7)),'Rooms and Types'!$A:$B,2,FALSE), " (", VLOOKUP(CONCATENATE("P/T",LEFT(F179,LEN(F179)-7)),'Rooms and Types'!$A:$C,3,FALSE),")")</f>
        <v>Robotics Teaching Lab (4th Floor)</v>
      </c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26">
        <v>122.0</v>
      </c>
      <c r="B180" s="27" t="s">
        <v>431</v>
      </c>
      <c r="C180" s="40" t="s">
        <v>432</v>
      </c>
      <c r="D180" s="29">
        <v>2.0</v>
      </c>
      <c r="E180" s="30">
        <v>45342.0</v>
      </c>
      <c r="F180" s="31" t="s">
        <v>433</v>
      </c>
      <c r="G180" s="32" t="str">
        <f>VLOOKUP(F180,'Sub-Divisions'!A:$B,2,FALSE)</f>
        <v>Southeast Corner Cupboard || Window Sill: Old Structural Project Components</v>
      </c>
      <c r="H180" s="32" t="str">
        <f>VLOOKUP(LEFT(F180,LEN(F180)-3),'Storage Locations'!$A:$F,6,FALSE)</f>
        <v>Southeast corner, east wall &amp; south wall, under the window, next to Robotics Staff cupboard (/410/001)</v>
      </c>
      <c r="I180" s="33" t="str">
        <f>CONCATENATE(VLOOKUP(CONCATENATE("P/T",LEFT(F180,LEN(F180)-7)),'Rooms and Types'!$A:$B,2,FALSE), " (", VLOOKUP(CONCATENATE("P/T",LEFT(F180,LEN(F180)-7)),'Rooms and Types'!$A:$C,3,FALSE),")")</f>
        <v>Robotics Teaching Lab (4th Floor)</v>
      </c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26">
        <v>121.0</v>
      </c>
      <c r="B181" s="27" t="s">
        <v>434</v>
      </c>
      <c r="C181" s="40" t="s">
        <v>435</v>
      </c>
      <c r="D181" s="29">
        <v>6.0</v>
      </c>
      <c r="E181" s="30">
        <v>45342.0</v>
      </c>
      <c r="F181" s="31" t="s">
        <v>433</v>
      </c>
      <c r="G181" s="32" t="str">
        <f>VLOOKUP(F181,'Sub-Divisions'!A:$B,2,FALSE)</f>
        <v>Southeast Corner Cupboard || Window Sill: Old Structural Project Components</v>
      </c>
      <c r="H181" s="32" t="str">
        <f>VLOOKUP(LEFT(F181,LEN(F181)-3),'Storage Locations'!$A:$F,6,FALSE)</f>
        <v>Southeast corner, east wall &amp; south wall, under the window, next to Robotics Staff cupboard (/410/001)</v>
      </c>
      <c r="I181" s="33" t="str">
        <f>CONCATENATE(VLOOKUP(CONCATENATE("P/T",LEFT(F181,LEN(F181)-7)),'Rooms and Types'!$A:$B,2,FALSE), " (", VLOOKUP(CONCATENATE("P/T",LEFT(F181,LEN(F181)-7)),'Rooms and Types'!$A:$C,3,FALSE),")")</f>
        <v>Robotics Teaching Lab (4th Floor)</v>
      </c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6">
        <v>120.0</v>
      </c>
      <c r="B182" s="27" t="s">
        <v>436</v>
      </c>
      <c r="C182" s="40" t="s">
        <v>437</v>
      </c>
      <c r="D182" s="29" t="s">
        <v>438</v>
      </c>
      <c r="E182" s="30">
        <v>45342.0</v>
      </c>
      <c r="F182" s="31" t="s">
        <v>439</v>
      </c>
      <c r="G182" s="32" t="str">
        <f>VLOOKUP(F182,'Sub-Divisions'!A:$B,2,FALSE)</f>
        <v>Southeast Corner Cupboard || Shelf 1: Old/Failed Chargers &amp; AC Adaptors</v>
      </c>
      <c r="H182" s="32" t="str">
        <f>VLOOKUP(LEFT(F182,LEN(F182)-3),'Storage Locations'!$A:$F,6,FALSE)</f>
        <v>Southeast corner, east wall &amp; south wall, under the window, next to Robotics Staff cupboard (/410/001)</v>
      </c>
      <c r="I182" s="33" t="str">
        <f>CONCATENATE(VLOOKUP(CONCATENATE("P/T",LEFT(F182,LEN(F182)-7)),'Rooms and Types'!$A:$B,2,FALSE), " (", VLOOKUP(CONCATENATE("P/T",LEFT(F182,LEN(F182)-7)),'Rooms and Types'!$A:$C,3,FALSE),")")</f>
        <v>Robotics Teaching Lab (4th Floor)</v>
      </c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26">
        <v>119.0</v>
      </c>
      <c r="B183" s="27" t="s">
        <v>440</v>
      </c>
      <c r="C183" s="40" t="s">
        <v>441</v>
      </c>
      <c r="D183" s="29">
        <v>2.0</v>
      </c>
      <c r="E183" s="30">
        <v>45342.0</v>
      </c>
      <c r="F183" s="31" t="s">
        <v>442</v>
      </c>
      <c r="G183" s="32" t="str">
        <f>VLOOKUP(F183,'Sub-Divisions'!A:$B,2,FALSE)</f>
        <v>Entrance Gap || Space: Project Partitions &amp; Structures</v>
      </c>
      <c r="H183" s="32" t="str">
        <f>VLOOKUP(LEFT(F183,LEN(F183)-3),'Storage Locations'!$A:$F,6,FALSE)</f>
        <v>South &amp; west wall, next to the front door</v>
      </c>
      <c r="I183" s="33" t="str">
        <f>CONCATENATE(VLOOKUP(CONCATENATE("P/T",LEFT(F183,LEN(F183)-7)),'Rooms and Types'!$A:$B,2,FALSE), " (", VLOOKUP(CONCATENATE("P/T",LEFT(F183,LEN(F183)-7)),'Rooms and Types'!$A:$C,3,FALSE),")")</f>
        <v>Robotics Teaching Lab (4th Floor)</v>
      </c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26">
        <v>118.0</v>
      </c>
      <c r="B184" s="27" t="s">
        <v>443</v>
      </c>
      <c r="C184" s="40" t="s">
        <v>444</v>
      </c>
      <c r="D184" s="29">
        <v>1.0</v>
      </c>
      <c r="E184" s="30">
        <v>45342.0</v>
      </c>
      <c r="F184" s="31" t="s">
        <v>442</v>
      </c>
      <c r="G184" s="32" t="str">
        <f>VLOOKUP(F184,'Sub-Divisions'!A:$B,2,FALSE)</f>
        <v>Entrance Gap || Space: Project Partitions &amp; Structures</v>
      </c>
      <c r="H184" s="32" t="str">
        <f>VLOOKUP(LEFT(F184,LEN(F184)-3),'Storage Locations'!$A:$F,6,FALSE)</f>
        <v>South &amp; west wall, next to the front door</v>
      </c>
      <c r="I184" s="33" t="str">
        <f>CONCATENATE(VLOOKUP(CONCATENATE("P/T",LEFT(F184,LEN(F184)-7)),'Rooms and Types'!$A:$B,2,FALSE), " (", VLOOKUP(CONCATENATE("P/T",LEFT(F184,LEN(F184)-7)),'Rooms and Types'!$A:$C,3,FALSE),")")</f>
        <v>Robotics Teaching Lab (4th Floor)</v>
      </c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26">
        <v>117.0</v>
      </c>
      <c r="B185" s="27" t="s">
        <v>445</v>
      </c>
      <c r="C185" s="40" t="s">
        <v>446</v>
      </c>
      <c r="D185" s="29">
        <v>8.0</v>
      </c>
      <c r="E185" s="30">
        <v>45342.0</v>
      </c>
      <c r="F185" s="31" t="s">
        <v>447</v>
      </c>
      <c r="G185" s="32" t="str">
        <f>VLOOKUP(F185,'Sub-Divisions'!A:$B,2,FALSE)</f>
        <v>PSU &amp; BNC Cables Hanger Set || Hanger 11: M BNC to Dual Crocodile Clip</v>
      </c>
      <c r="H185" s="32" t="str">
        <f>VLOOKUP(LEFT(F185,LEN(F185)-3),'Storage Locations'!$A:$F,6,FALSE)</f>
        <v>South wall, next to south wall lockers (/410/005)</v>
      </c>
      <c r="I185" s="33" t="str">
        <f>CONCATENATE(VLOOKUP(CONCATENATE("P/T",LEFT(F185,LEN(F185)-7)),'Rooms and Types'!$A:$B,2,FALSE), " (", VLOOKUP(CONCATENATE("P/T",LEFT(F185,LEN(F185)-7)),'Rooms and Types'!$A:$C,3,FALSE),")")</f>
        <v>Robotics Teaching Lab (4th Floor)</v>
      </c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26">
        <v>116.0</v>
      </c>
      <c r="B186" s="41" t="s">
        <v>448</v>
      </c>
      <c r="C186" s="42" t="s">
        <v>449</v>
      </c>
      <c r="D186" s="43">
        <v>12.0</v>
      </c>
      <c r="E186" s="30">
        <v>45342.0</v>
      </c>
      <c r="F186" s="31" t="s">
        <v>450</v>
      </c>
      <c r="G186" s="32" t="str">
        <f>VLOOKUP(F186,'Sub-Divisions'!A:$B,2,FALSE)</f>
        <v>PSU &amp; BNC Cables Hanger Set || Hanger 10: M BNC to Dual Banana Connector</v>
      </c>
      <c r="H186" s="32" t="str">
        <f>VLOOKUP(LEFT(F186,LEN(F186)-3),'Storage Locations'!$A:$F,6,FALSE)</f>
        <v>South wall, next to south wall lockers (/410/005)</v>
      </c>
      <c r="I186" s="33" t="str">
        <f>CONCATENATE(VLOOKUP(CONCATENATE("P/T",LEFT(F186,LEN(F186)-7)),'Rooms and Types'!$A:$B,2,FALSE), " (", VLOOKUP(CONCATENATE("P/T",LEFT(F186,LEN(F186)-7)),'Rooms and Types'!$A:$C,3,FALSE),")")</f>
        <v>Robotics Teaching Lab (4th Floor)</v>
      </c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26">
        <v>115.0</v>
      </c>
      <c r="B187" s="34" t="s">
        <v>448</v>
      </c>
      <c r="C187" s="35" t="s">
        <v>449</v>
      </c>
      <c r="D187" s="36">
        <v>12.0</v>
      </c>
      <c r="E187" s="30">
        <v>45342.0</v>
      </c>
      <c r="F187" s="31" t="s">
        <v>451</v>
      </c>
      <c r="G187" s="32" t="str">
        <f>VLOOKUP(F187,'Sub-Divisions'!A:$B,2,FALSE)</f>
        <v>PSU &amp; BNC Cables Hanger Set || Hanger 9: M BNC to Dual Banana Connector</v>
      </c>
      <c r="H187" s="32" t="str">
        <f>VLOOKUP(LEFT(F187,LEN(F187)-3),'Storage Locations'!$A:$F,6,FALSE)</f>
        <v>South wall, next to south wall lockers (/410/005)</v>
      </c>
      <c r="I187" s="33" t="str">
        <f>CONCATENATE(VLOOKUP(CONCATENATE("P/T",LEFT(F187,LEN(F187)-7)),'Rooms and Types'!$A:$B,2,FALSE), " (", VLOOKUP(CONCATENATE("P/T",LEFT(F187,LEN(F187)-7)),'Rooms and Types'!$A:$C,3,FALSE),")")</f>
        <v>Robotics Teaching Lab (4th Floor)</v>
      </c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26">
        <v>114.0</v>
      </c>
      <c r="B188" s="34" t="s">
        <v>448</v>
      </c>
      <c r="C188" s="35" t="s">
        <v>449</v>
      </c>
      <c r="D188" s="36">
        <v>13.0</v>
      </c>
      <c r="E188" s="30">
        <v>45342.0</v>
      </c>
      <c r="F188" s="31" t="s">
        <v>452</v>
      </c>
      <c r="G188" s="32" t="str">
        <f>VLOOKUP(F188,'Sub-Divisions'!A:$B,2,FALSE)</f>
        <v>PSU &amp; BNC Cables Hanger Set || Hanger 8: M BNC to Dual Banana Connector</v>
      </c>
      <c r="H188" s="32" t="str">
        <f>VLOOKUP(LEFT(F188,LEN(F188)-3),'Storage Locations'!$A:$F,6,FALSE)</f>
        <v>South wall, next to south wall lockers (/410/005)</v>
      </c>
      <c r="I188" s="33" t="str">
        <f>CONCATENATE(VLOOKUP(CONCATENATE("P/T",LEFT(F188,LEN(F188)-7)),'Rooms and Types'!$A:$B,2,FALSE), " (", VLOOKUP(CONCATENATE("P/T",LEFT(F188,LEN(F188)-7)),'Rooms and Types'!$A:$C,3,FALSE),")")</f>
        <v>Robotics Teaching Lab (4th Floor)</v>
      </c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26">
        <v>113.0</v>
      </c>
      <c r="B189" s="34" t="s">
        <v>448</v>
      </c>
      <c r="C189" s="35" t="s">
        <v>449</v>
      </c>
      <c r="D189" s="36">
        <v>12.0</v>
      </c>
      <c r="E189" s="30">
        <v>45342.0</v>
      </c>
      <c r="F189" s="31" t="s">
        <v>453</v>
      </c>
      <c r="G189" s="32" t="str">
        <f>VLOOKUP(F189,'Sub-Divisions'!A:$B,2,FALSE)</f>
        <v>PSU &amp; BNC Cables Hanger Set || Hanger 7: M BNC to Dual Banana Connector</v>
      </c>
      <c r="H189" s="32" t="str">
        <f>VLOOKUP(LEFT(F189,LEN(F189)-3),'Storage Locations'!$A:$F,6,FALSE)</f>
        <v>South wall, next to south wall lockers (/410/005)</v>
      </c>
      <c r="I189" s="33" t="str">
        <f>CONCATENATE(VLOOKUP(CONCATENATE("P/T",LEFT(F189,LEN(F189)-7)),'Rooms and Types'!$A:$B,2,FALSE), " (", VLOOKUP(CONCATENATE("P/T",LEFT(F189,LEN(F189)-7)),'Rooms and Types'!$A:$C,3,FALSE),")")</f>
        <v>Robotics Teaching Lab (4th Floor)</v>
      </c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26">
        <v>112.0</v>
      </c>
      <c r="B190" s="34" t="s">
        <v>454</v>
      </c>
      <c r="C190" s="35" t="s">
        <v>455</v>
      </c>
      <c r="D190" s="36">
        <v>4.0</v>
      </c>
      <c r="E190" s="30">
        <v>45342.0</v>
      </c>
      <c r="F190" s="31" t="s">
        <v>456</v>
      </c>
      <c r="G190" s="32" t="str">
        <f>VLOOKUP(F190,'Sub-Divisions'!A:$B,2,FALSE)</f>
        <v>PSU &amp; BNC Cables Hanger Set || Hanger 6: M-M Bulkhead BNC Connector Cable</v>
      </c>
      <c r="H190" s="32" t="str">
        <f>VLOOKUP(LEFT(F190,LEN(F190)-3),'Storage Locations'!$A:$F,6,FALSE)</f>
        <v>South wall, next to south wall lockers (/410/005)</v>
      </c>
      <c r="I190" s="33" t="str">
        <f>CONCATENATE(VLOOKUP(CONCATENATE("P/T",LEFT(F190,LEN(F190)-7)),'Rooms and Types'!$A:$B,2,FALSE), " (", VLOOKUP(CONCATENATE("P/T",LEFT(F190,LEN(F190)-7)),'Rooms and Types'!$A:$C,3,FALSE),")")</f>
        <v>Robotics Teaching Lab (4th Floor)</v>
      </c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26">
        <v>111.0</v>
      </c>
      <c r="B191" s="34" t="s">
        <v>457</v>
      </c>
      <c r="C191" s="35" t="s">
        <v>458</v>
      </c>
      <c r="D191" s="36">
        <v>12.0</v>
      </c>
      <c r="E191" s="30">
        <v>45342.0</v>
      </c>
      <c r="F191" s="31" t="s">
        <v>459</v>
      </c>
      <c r="G191" s="32" t="str">
        <f>VLOOKUP(F191,'Sub-Divisions'!A:$B,2,FALSE)</f>
        <v>PSU &amp; BNC Cables Hanger Set || Hanger 5: M-M BNC Connector Cable</v>
      </c>
      <c r="H191" s="32" t="str">
        <f>VLOOKUP(LEFT(F191,LEN(F191)-3),'Storage Locations'!$A:$F,6,FALSE)</f>
        <v>South wall, next to south wall lockers (/410/005)</v>
      </c>
      <c r="I191" s="33" t="str">
        <f>CONCATENATE(VLOOKUP(CONCATENATE("P/T",LEFT(F191,LEN(F191)-7)),'Rooms and Types'!$A:$B,2,FALSE), " (", VLOOKUP(CONCATENATE("P/T",LEFT(F191,LEN(F191)-7)),'Rooms and Types'!$A:$C,3,FALSE),")")</f>
        <v>Robotics Teaching Lab (4th Floor)</v>
      </c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26">
        <v>110.0</v>
      </c>
      <c r="B192" s="34" t="s">
        <v>457</v>
      </c>
      <c r="C192" s="35" t="s">
        <v>458</v>
      </c>
      <c r="D192" s="36">
        <v>13.0</v>
      </c>
      <c r="E192" s="30">
        <v>45342.0</v>
      </c>
      <c r="F192" s="31" t="s">
        <v>460</v>
      </c>
      <c r="G192" s="32" t="str">
        <f>VLOOKUP(F192,'Sub-Divisions'!A:$B,2,FALSE)</f>
        <v>PSU &amp; BNC Cables Hanger Set || Hanger 4: M-M BNC Connector Cable</v>
      </c>
      <c r="H192" s="32" t="str">
        <f>VLOOKUP(LEFT(F192,LEN(F192)-3),'Storage Locations'!$A:$F,6,FALSE)</f>
        <v>South wall, next to south wall lockers (/410/005)</v>
      </c>
      <c r="I192" s="33" t="str">
        <f>CONCATENATE(VLOOKUP(CONCATENATE("P/T",LEFT(F192,LEN(F192)-7)),'Rooms and Types'!$A:$B,2,FALSE), " (", VLOOKUP(CONCATENATE("P/T",LEFT(F192,LEN(F192)-7)),'Rooms and Types'!$A:$C,3,FALSE),")")</f>
        <v>Robotics Teaching Lab (4th Floor)</v>
      </c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26">
        <v>108.0</v>
      </c>
      <c r="B193" s="34" t="s">
        <v>339</v>
      </c>
      <c r="C193" s="35" t="s">
        <v>340</v>
      </c>
      <c r="D193" s="36">
        <v>1.0</v>
      </c>
      <c r="E193" s="30">
        <v>45342.0</v>
      </c>
      <c r="F193" s="31" t="s">
        <v>461</v>
      </c>
      <c r="G193" s="32" t="str">
        <f>VLOOKUP(F193,'Sub-Divisions'!A:$B,2,FALSE)</f>
        <v>PSU &amp; BNC Cables Hanger Set || Hanger 2: USB Type A to USB Type B</v>
      </c>
      <c r="H193" s="32" t="str">
        <f>VLOOKUP(LEFT(F193,LEN(F193)-3),'Storage Locations'!$A:$F,6,FALSE)</f>
        <v>South wall, next to south wall lockers (/410/005)</v>
      </c>
      <c r="I193" s="33" t="str">
        <f>CONCATENATE(VLOOKUP(CONCATENATE("P/T",LEFT(F193,LEN(F193)-7)),'Rooms and Types'!$A:$B,2,FALSE), " (", VLOOKUP(CONCATENATE("P/T",LEFT(F193,LEN(F193)-7)),'Rooms and Types'!$A:$C,3,FALSE),")")</f>
        <v>Robotics Teaching Lab (4th Floor)</v>
      </c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26">
        <v>107.0</v>
      </c>
      <c r="B194" s="34" t="s">
        <v>462</v>
      </c>
      <c r="C194" s="35" t="s">
        <v>463</v>
      </c>
      <c r="D194" s="36">
        <v>2.0</v>
      </c>
      <c r="E194" s="30">
        <v>45342.0</v>
      </c>
      <c r="F194" s="31" t="s">
        <v>464</v>
      </c>
      <c r="G194" s="32" t="str">
        <f>VLOOKUP(F194,'Sub-Divisions'!A:$B,2,FALSE)</f>
        <v>PSU &amp; BNC Cables Hanger Set || Hanger 1: F-M USB Type A</v>
      </c>
      <c r="H194" s="32" t="str">
        <f>VLOOKUP(LEFT(F194,LEN(F194)-3),'Storage Locations'!$A:$F,6,FALSE)</f>
        <v>South wall, next to south wall lockers (/410/005)</v>
      </c>
      <c r="I194" s="33" t="str">
        <f>CONCATENATE(VLOOKUP(CONCATENATE("P/T",LEFT(F194,LEN(F194)-7)),'Rooms and Types'!$A:$B,2,FALSE), " (", VLOOKUP(CONCATENATE("P/T",LEFT(F194,LEN(F194)-7)),'Rooms and Types'!$A:$C,3,FALSE),")")</f>
        <v>Robotics Teaching Lab (4th Floor)</v>
      </c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26">
        <v>106.0</v>
      </c>
      <c r="B195" s="34" t="s">
        <v>465</v>
      </c>
      <c r="C195" s="35" t="s">
        <v>466</v>
      </c>
      <c r="D195" s="36">
        <v>2.0</v>
      </c>
      <c r="E195" s="30">
        <v>45342.0</v>
      </c>
      <c r="F195" s="31" t="s">
        <v>467</v>
      </c>
      <c r="G195" s="32" t="str">
        <f>VLOOKUP(F195,'Sub-Divisions'!A:$B,2,FALSE)</f>
        <v>South Wall Lockers Locker Group || Top 2: Robot Racecourse Assembly Parts</v>
      </c>
      <c r="H195" s="32" t="str">
        <f>VLOOKUP(LEFT(F195,LEN(F195)-3),'Storage Locations'!$A:$F,6,FALSE)</f>
        <v>South wall, in between the 3D Printer Materials cupboard (/410/003) and the cable hangers (/410/006)</v>
      </c>
      <c r="I195" s="33" t="str">
        <f>CONCATENATE(VLOOKUP(CONCATENATE("P/T",LEFT(F195,LEN(F195)-7)),'Rooms and Types'!$A:$B,2,FALSE), " (", VLOOKUP(CONCATENATE("P/T",LEFT(F195,LEN(F195)-7)),'Rooms and Types'!$A:$C,3,FALSE),")")</f>
        <v>Robotics Teaching Lab (4th Floor)</v>
      </c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26">
        <v>105.0</v>
      </c>
      <c r="B196" s="34" t="s">
        <v>468</v>
      </c>
      <c r="C196" s="35" t="s">
        <v>469</v>
      </c>
      <c r="D196" s="36">
        <v>26.0</v>
      </c>
      <c r="E196" s="30">
        <v>45342.0</v>
      </c>
      <c r="F196" s="31" t="s">
        <v>467</v>
      </c>
      <c r="G196" s="32" t="str">
        <f>VLOOKUP(F196,'Sub-Divisions'!A:$B,2,FALSE)</f>
        <v>South Wall Lockers Locker Group || Top 2: Robot Racecourse Assembly Parts</v>
      </c>
      <c r="H196" s="32" t="str">
        <f>VLOOKUP(LEFT(F196,LEN(F196)-3),'Storage Locations'!$A:$F,6,FALSE)</f>
        <v>South wall, in between the 3D Printer Materials cupboard (/410/003) and the cable hangers (/410/006)</v>
      </c>
      <c r="I196" s="33" t="str">
        <f>CONCATENATE(VLOOKUP(CONCATENATE("P/T",LEFT(F196,LEN(F196)-7)),'Rooms and Types'!$A:$B,2,FALSE), " (", VLOOKUP(CONCATENATE("P/T",LEFT(F196,LEN(F196)-7)),'Rooms and Types'!$A:$C,3,FALSE),")")</f>
        <v>Robotics Teaching Lab (4th Floor)</v>
      </c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26">
        <v>104.0</v>
      </c>
      <c r="B197" s="34" t="s">
        <v>470</v>
      </c>
      <c r="C197" s="35" t="s">
        <v>471</v>
      </c>
      <c r="D197" s="36">
        <v>12.0</v>
      </c>
      <c r="E197" s="30">
        <v>45342.0</v>
      </c>
      <c r="F197" s="31" t="s">
        <v>467</v>
      </c>
      <c r="G197" s="32" t="str">
        <f>VLOOKUP(F197,'Sub-Divisions'!A:$B,2,FALSE)</f>
        <v>South Wall Lockers Locker Group || Top 2: Robot Racecourse Assembly Parts</v>
      </c>
      <c r="H197" s="32" t="str">
        <f>VLOOKUP(LEFT(F197,LEN(F197)-3),'Storage Locations'!$A:$F,6,FALSE)</f>
        <v>South wall, in between the 3D Printer Materials cupboard (/410/003) and the cable hangers (/410/006)</v>
      </c>
      <c r="I197" s="33" t="str">
        <f>CONCATENATE(VLOOKUP(CONCATENATE("P/T",LEFT(F197,LEN(F197)-7)),'Rooms and Types'!$A:$B,2,FALSE), " (", VLOOKUP(CONCATENATE("P/T",LEFT(F197,LEN(F197)-7)),'Rooms and Types'!$A:$C,3,FALSE),")")</f>
        <v>Robotics Teaching Lab (4th Floor)</v>
      </c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26">
        <v>103.0</v>
      </c>
      <c r="B198" s="34" t="s">
        <v>472</v>
      </c>
      <c r="C198" s="35" t="s">
        <v>473</v>
      </c>
      <c r="D198" s="36">
        <v>1.0</v>
      </c>
      <c r="E198" s="30">
        <v>45342.0</v>
      </c>
      <c r="F198" s="31" t="s">
        <v>474</v>
      </c>
      <c r="G198" s="32" t="str">
        <f>VLOOKUP(F198,'Sub-Divisions'!A:$B,2,FALSE)</f>
        <v>South Wall Lockers Locker Group || Top 1: Wiring &amp; Soldering Supplies</v>
      </c>
      <c r="H198" s="32" t="str">
        <f>VLOOKUP(LEFT(F198,LEN(F198)-3),'Storage Locations'!$A:$F,6,FALSE)</f>
        <v>South wall, in between the 3D Printer Materials cupboard (/410/003) and the cable hangers (/410/006)</v>
      </c>
      <c r="I198" s="33" t="str">
        <f>CONCATENATE(VLOOKUP(CONCATENATE("P/T",LEFT(F198,LEN(F198)-7)),'Rooms and Types'!$A:$B,2,FALSE), " (", VLOOKUP(CONCATENATE("P/T",LEFT(F198,LEN(F198)-7)),'Rooms and Types'!$A:$C,3,FALSE),")")</f>
        <v>Robotics Teaching Lab (4th Floor)</v>
      </c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26">
        <v>102.0</v>
      </c>
      <c r="B199" s="34" t="s">
        <v>475</v>
      </c>
      <c r="C199" s="35" t="s">
        <v>476</v>
      </c>
      <c r="D199" s="36">
        <v>1.0</v>
      </c>
      <c r="E199" s="30">
        <v>45342.0</v>
      </c>
      <c r="F199" s="31" t="s">
        <v>474</v>
      </c>
      <c r="G199" s="32" t="str">
        <f>VLOOKUP(F199,'Sub-Divisions'!A:$B,2,FALSE)</f>
        <v>South Wall Lockers Locker Group || Top 1: Wiring &amp; Soldering Supplies</v>
      </c>
      <c r="H199" s="32" t="str">
        <f>VLOOKUP(LEFT(F199,LEN(F199)-3),'Storage Locations'!$A:$F,6,FALSE)</f>
        <v>South wall, in between the 3D Printer Materials cupboard (/410/003) and the cable hangers (/410/006)</v>
      </c>
      <c r="I199" s="33" t="str">
        <f>CONCATENATE(VLOOKUP(CONCATENATE("P/T",LEFT(F199,LEN(F199)-7)),'Rooms and Types'!$A:$B,2,FALSE), " (", VLOOKUP(CONCATENATE("P/T",LEFT(F199,LEN(F199)-7)),'Rooms and Types'!$A:$C,3,FALSE),")")</f>
        <v>Robotics Teaching Lab (4th Floor)</v>
      </c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26">
        <v>101.0</v>
      </c>
      <c r="B200" s="34" t="s">
        <v>477</v>
      </c>
      <c r="C200" s="35" t="s">
        <v>478</v>
      </c>
      <c r="D200" s="36">
        <v>1.0</v>
      </c>
      <c r="E200" s="30">
        <v>45342.0</v>
      </c>
      <c r="F200" s="31" t="s">
        <v>474</v>
      </c>
      <c r="G200" s="32" t="str">
        <f>VLOOKUP(F200,'Sub-Divisions'!A:$B,2,FALSE)</f>
        <v>South Wall Lockers Locker Group || Top 1: Wiring &amp; Soldering Supplies</v>
      </c>
      <c r="H200" s="32" t="str">
        <f>VLOOKUP(LEFT(F200,LEN(F200)-3),'Storage Locations'!$A:$F,6,FALSE)</f>
        <v>South wall, in between the 3D Printer Materials cupboard (/410/003) and the cable hangers (/410/006)</v>
      </c>
      <c r="I200" s="33" t="str">
        <f>CONCATENATE(VLOOKUP(CONCATENATE("P/T",LEFT(F200,LEN(F200)-7)),'Rooms and Types'!$A:$B,2,FALSE), " (", VLOOKUP(CONCATENATE("P/T",LEFT(F200,LEN(F200)-7)),'Rooms and Types'!$A:$C,3,FALSE),")")</f>
        <v>Robotics Teaching Lab (4th Floor)</v>
      </c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26">
        <v>100.0</v>
      </c>
      <c r="B201" s="34" t="s">
        <v>479</v>
      </c>
      <c r="C201" s="35" t="s">
        <v>480</v>
      </c>
      <c r="D201" s="36">
        <v>1.0</v>
      </c>
      <c r="E201" s="30">
        <v>45342.0</v>
      </c>
      <c r="F201" s="31" t="s">
        <v>474</v>
      </c>
      <c r="G201" s="32" t="str">
        <f>VLOOKUP(F201,'Sub-Divisions'!A:$B,2,FALSE)</f>
        <v>South Wall Lockers Locker Group || Top 1: Wiring &amp; Soldering Supplies</v>
      </c>
      <c r="H201" s="32" t="str">
        <f>VLOOKUP(LEFT(F201,LEN(F201)-3),'Storage Locations'!$A:$F,6,FALSE)</f>
        <v>South wall, in between the 3D Printer Materials cupboard (/410/003) and the cable hangers (/410/006)</v>
      </c>
      <c r="I201" s="33" t="str">
        <f>CONCATENATE(VLOOKUP(CONCATENATE("P/T",LEFT(F201,LEN(F201)-7)),'Rooms and Types'!$A:$B,2,FALSE), " (", VLOOKUP(CONCATENATE("P/T",LEFT(F201,LEN(F201)-7)),'Rooms and Types'!$A:$C,3,FALSE),")")</f>
        <v>Robotics Teaching Lab (4th Floor)</v>
      </c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26">
        <v>99.0</v>
      </c>
      <c r="B202" s="34" t="s">
        <v>481</v>
      </c>
      <c r="C202" s="35" t="s">
        <v>482</v>
      </c>
      <c r="D202" s="36">
        <v>6.0</v>
      </c>
      <c r="E202" s="30">
        <v>45342.0</v>
      </c>
      <c r="F202" s="31" t="s">
        <v>474</v>
      </c>
      <c r="G202" s="32" t="str">
        <f>VLOOKUP(F202,'Sub-Divisions'!A:$B,2,FALSE)</f>
        <v>South Wall Lockers Locker Group || Top 1: Wiring &amp; Soldering Supplies</v>
      </c>
      <c r="H202" s="32" t="str">
        <f>VLOOKUP(LEFT(F202,LEN(F202)-3),'Storage Locations'!$A:$F,6,FALSE)</f>
        <v>South wall, in between the 3D Printer Materials cupboard (/410/003) and the cable hangers (/410/006)</v>
      </c>
      <c r="I202" s="33" t="str">
        <f>CONCATENATE(VLOOKUP(CONCATENATE("P/T",LEFT(F202,LEN(F202)-7)),'Rooms and Types'!$A:$B,2,FALSE), " (", VLOOKUP(CONCATENATE("P/T",LEFT(F202,LEN(F202)-7)),'Rooms and Types'!$A:$C,3,FALSE),")")</f>
        <v>Robotics Teaching Lab (4th Floor)</v>
      </c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26">
        <v>98.0</v>
      </c>
      <c r="B203" s="34" t="s">
        <v>483</v>
      </c>
      <c r="C203" s="35" t="s">
        <v>484</v>
      </c>
      <c r="D203" s="36">
        <v>1.0</v>
      </c>
      <c r="E203" s="30">
        <v>45342.0</v>
      </c>
      <c r="F203" s="31" t="s">
        <v>485</v>
      </c>
      <c r="G203" s="32" t="str">
        <f>VLOOKUP(F203,'Sub-Divisions'!A:$B,2,FALSE)</f>
        <v>South Wall Gap || Space: Large Dot Displays</v>
      </c>
      <c r="H203" s="32" t="str">
        <f>VLOOKUP(LEFT(F203,LEN(F203)-3),'Storage Locations'!$A:$F,6,FALSE)</f>
        <v>South wall, next to 3D Printer Materials cupboard (/410/003), in between the cupboard and the lockers (/410/005)</v>
      </c>
      <c r="I203" s="33" t="str">
        <f>CONCATENATE(VLOOKUP(CONCATENATE("P/T",LEFT(F203,LEN(F203)-7)),'Rooms and Types'!$A:$B,2,FALSE), " (", VLOOKUP(CONCATENATE("P/T",LEFT(F203,LEN(F203)-7)),'Rooms and Types'!$A:$C,3,FALSE),")")</f>
        <v>Robotics Teaching Lab (4th Floor)</v>
      </c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26">
        <v>97.0</v>
      </c>
      <c r="B204" s="34" t="s">
        <v>291</v>
      </c>
      <c r="C204" s="35" t="s">
        <v>292</v>
      </c>
      <c r="D204" s="36">
        <v>7.0</v>
      </c>
      <c r="E204" s="30">
        <v>45342.0</v>
      </c>
      <c r="F204" s="31" t="s">
        <v>486</v>
      </c>
      <c r="G204" s="32" t="str">
        <f>VLOOKUP(F204,'Sub-Divisions'!A:$B,2,FALSE)</f>
        <v>3D Printer Materials Cupboard || Top: Assorted PLA</v>
      </c>
      <c r="H204" s="32" t="str">
        <f>VLOOKUP(LEFT(F204,LEN(F204)-3),'Storage Locations'!$A:$F,6,FALSE)</f>
        <v>South wall, next to Robotics Consumables cupboard (/410/002)</v>
      </c>
      <c r="I204" s="33" t="str">
        <f>CONCATENATE(VLOOKUP(CONCATENATE("P/T",LEFT(F204,LEN(F204)-7)),'Rooms and Types'!$A:$B,2,FALSE), " (", VLOOKUP(CONCATENATE("P/T",LEFT(F204,LEN(F204)-7)),'Rooms and Types'!$A:$C,3,FALSE),")")</f>
        <v>Robotics Teaching Lab (4th Floor)</v>
      </c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26">
        <v>96.0</v>
      </c>
      <c r="B205" s="34" t="s">
        <v>487</v>
      </c>
      <c r="C205" s="35" t="s">
        <v>488</v>
      </c>
      <c r="D205" s="36">
        <v>1.0</v>
      </c>
      <c r="E205" s="30">
        <v>45338.0</v>
      </c>
      <c r="F205" s="31" t="s">
        <v>486</v>
      </c>
      <c r="G205" s="32" t="str">
        <f>VLOOKUP(F205,'Sub-Divisions'!A:$B,2,FALSE)</f>
        <v>3D Printer Materials Cupboard || Top: Assorted PLA</v>
      </c>
      <c r="H205" s="32" t="str">
        <f>VLOOKUP(LEFT(F205,LEN(F205)-3),'Storage Locations'!$A:$F,6,FALSE)</f>
        <v>South wall, next to Robotics Consumables cupboard (/410/002)</v>
      </c>
      <c r="I205" s="33" t="str">
        <f>CONCATENATE(VLOOKUP(CONCATENATE("P/T",LEFT(F205,LEN(F205)-7)),'Rooms and Types'!$A:$B,2,FALSE), " (", VLOOKUP(CONCATENATE("P/T",LEFT(F205,LEN(F205)-7)),'Rooms and Types'!$A:$C,3,FALSE),")")</f>
        <v>Robotics Teaching Lab (4th Floor)</v>
      </c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26">
        <v>95.0</v>
      </c>
      <c r="B206" s="34" t="s">
        <v>489</v>
      </c>
      <c r="C206" s="35" t="s">
        <v>490</v>
      </c>
      <c r="D206" s="36">
        <v>1.0</v>
      </c>
      <c r="E206" s="30">
        <v>45338.0</v>
      </c>
      <c r="F206" s="31" t="s">
        <v>486</v>
      </c>
      <c r="G206" s="32" t="str">
        <f>VLOOKUP(F206,'Sub-Divisions'!A:$B,2,FALSE)</f>
        <v>3D Printer Materials Cupboard || Top: Assorted PLA</v>
      </c>
      <c r="H206" s="32" t="str">
        <f>VLOOKUP(LEFT(F206,LEN(F206)-3),'Storage Locations'!$A:$F,6,FALSE)</f>
        <v>South wall, next to Robotics Consumables cupboard (/410/002)</v>
      </c>
      <c r="I206" s="33" t="str">
        <f>CONCATENATE(VLOOKUP(CONCATENATE("P/T",LEFT(F206,LEN(F206)-7)),'Rooms and Types'!$A:$B,2,FALSE), " (", VLOOKUP(CONCATENATE("P/T",LEFT(F206,LEN(F206)-7)),'Rooms and Types'!$A:$C,3,FALSE),")")</f>
        <v>Robotics Teaching Lab (4th Floor)</v>
      </c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26">
        <v>94.0</v>
      </c>
      <c r="B207" s="34" t="s">
        <v>491</v>
      </c>
      <c r="C207" s="35" t="s">
        <v>492</v>
      </c>
      <c r="D207" s="36">
        <v>2.0</v>
      </c>
      <c r="E207" s="30">
        <v>45338.0</v>
      </c>
      <c r="F207" s="31" t="s">
        <v>486</v>
      </c>
      <c r="G207" s="32" t="str">
        <f>VLOOKUP(F207,'Sub-Divisions'!A:$B,2,FALSE)</f>
        <v>3D Printer Materials Cupboard || Top: Assorted PLA</v>
      </c>
      <c r="H207" s="32" t="str">
        <f>VLOOKUP(LEFT(F207,LEN(F207)-3),'Storage Locations'!$A:$F,6,FALSE)</f>
        <v>South wall, next to Robotics Consumables cupboard (/410/002)</v>
      </c>
      <c r="I207" s="33" t="str">
        <f>CONCATENATE(VLOOKUP(CONCATENATE("P/T",LEFT(F207,LEN(F207)-7)),'Rooms and Types'!$A:$B,2,FALSE), " (", VLOOKUP(CONCATENATE("P/T",LEFT(F207,LEN(F207)-7)),'Rooms and Types'!$A:$C,3,FALSE),")")</f>
        <v>Robotics Teaching Lab (4th Floor)</v>
      </c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26">
        <v>93.0</v>
      </c>
      <c r="B208" s="34" t="s">
        <v>493</v>
      </c>
      <c r="C208" s="35" t="s">
        <v>494</v>
      </c>
      <c r="D208" s="36">
        <v>1.0</v>
      </c>
      <c r="E208" s="30">
        <v>45338.0</v>
      </c>
      <c r="F208" s="31" t="s">
        <v>495</v>
      </c>
      <c r="G208" s="32" t="str">
        <f>VLOOKUP(F208,'Sub-Divisions'!A:$B,2,FALSE)</f>
        <v>3D Printer Materials Cupboard || Shelf 5: ABS/Monochrome ASA</v>
      </c>
      <c r="H208" s="32" t="str">
        <f>VLOOKUP(LEFT(F208,LEN(F208)-3),'Storage Locations'!$A:$F,6,FALSE)</f>
        <v>South wall, next to Robotics Consumables cupboard (/410/002)</v>
      </c>
      <c r="I208" s="33" t="str">
        <f>CONCATENATE(VLOOKUP(CONCATENATE("P/T",LEFT(F208,LEN(F208)-7)),'Rooms and Types'!$A:$B,2,FALSE), " (", VLOOKUP(CONCATENATE("P/T",LEFT(F208,LEN(F208)-7)),'Rooms and Types'!$A:$C,3,FALSE),")")</f>
        <v>Robotics Teaching Lab (4th Floor)</v>
      </c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26">
        <v>92.0</v>
      </c>
      <c r="B209" s="34" t="s">
        <v>496</v>
      </c>
      <c r="C209" s="35" t="s">
        <v>497</v>
      </c>
      <c r="D209" s="36">
        <v>1.0</v>
      </c>
      <c r="E209" s="30">
        <v>45338.0</v>
      </c>
      <c r="F209" s="31" t="s">
        <v>495</v>
      </c>
      <c r="G209" s="32" t="str">
        <f>VLOOKUP(F209,'Sub-Divisions'!A:$B,2,FALSE)</f>
        <v>3D Printer Materials Cupboard || Shelf 5: ABS/Monochrome ASA</v>
      </c>
      <c r="H209" s="32" t="str">
        <f>VLOOKUP(LEFT(F209,LEN(F209)-3),'Storage Locations'!$A:$F,6,FALSE)</f>
        <v>South wall, next to Robotics Consumables cupboard (/410/002)</v>
      </c>
      <c r="I209" s="33" t="str">
        <f>CONCATENATE(VLOOKUP(CONCATENATE("P/T",LEFT(F209,LEN(F209)-7)),'Rooms and Types'!$A:$B,2,FALSE), " (", VLOOKUP(CONCATENATE("P/T",LEFT(F209,LEN(F209)-7)),'Rooms and Types'!$A:$C,3,FALSE),")")</f>
        <v>Robotics Teaching Lab (4th Floor)</v>
      </c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26">
        <v>91.0</v>
      </c>
      <c r="B210" s="34" t="s">
        <v>498</v>
      </c>
      <c r="C210" s="35" t="s">
        <v>499</v>
      </c>
      <c r="D210" s="36">
        <v>2.0</v>
      </c>
      <c r="E210" s="30">
        <v>45338.0</v>
      </c>
      <c r="F210" s="31" t="s">
        <v>495</v>
      </c>
      <c r="G210" s="32" t="str">
        <f>VLOOKUP(F210,'Sub-Divisions'!A:$B,2,FALSE)</f>
        <v>3D Printer Materials Cupboard || Shelf 5: ABS/Monochrome ASA</v>
      </c>
      <c r="H210" s="32" t="str">
        <f>VLOOKUP(LEFT(F210,LEN(F210)-3),'Storage Locations'!$A:$F,6,FALSE)</f>
        <v>South wall, next to Robotics Consumables cupboard (/410/002)</v>
      </c>
      <c r="I210" s="33" t="str">
        <f>CONCATENATE(VLOOKUP(CONCATENATE("P/T",LEFT(F210,LEN(F210)-7)),'Rooms and Types'!$A:$B,2,FALSE), " (", VLOOKUP(CONCATENATE("P/T",LEFT(F210,LEN(F210)-7)),'Rooms and Types'!$A:$C,3,FALSE),")")</f>
        <v>Robotics Teaching Lab (4th Floor)</v>
      </c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26">
        <v>90.0</v>
      </c>
      <c r="B211" s="34" t="s">
        <v>500</v>
      </c>
      <c r="C211" s="35" t="s">
        <v>501</v>
      </c>
      <c r="D211" s="36">
        <v>2.0</v>
      </c>
      <c r="E211" s="30">
        <v>45338.0</v>
      </c>
      <c r="F211" s="31" t="s">
        <v>502</v>
      </c>
      <c r="G211" s="32" t="str">
        <f>VLOOKUP(F211,'Sub-Divisions'!A:$B,2,FALSE)</f>
        <v>3D Printer Materials Cupboard || Shelf 4: Blue ASA</v>
      </c>
      <c r="H211" s="32" t="str">
        <f>VLOOKUP(LEFT(F211,LEN(F211)-3),'Storage Locations'!$A:$F,6,FALSE)</f>
        <v>South wall, next to Robotics Consumables cupboard (/410/002)</v>
      </c>
      <c r="I211" s="33" t="str">
        <f>CONCATENATE(VLOOKUP(CONCATENATE("P/T",LEFT(F211,LEN(F211)-7)),'Rooms and Types'!$A:$B,2,FALSE), " (", VLOOKUP(CONCATENATE("P/T",LEFT(F211,LEN(F211)-7)),'Rooms and Types'!$A:$C,3,FALSE),")")</f>
        <v>Robotics Teaching Lab (4th Floor)</v>
      </c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26">
        <v>89.0</v>
      </c>
      <c r="B212" s="34" t="s">
        <v>503</v>
      </c>
      <c r="C212" s="35" t="s">
        <v>504</v>
      </c>
      <c r="D212" s="36">
        <v>1.0</v>
      </c>
      <c r="E212" s="30">
        <v>45338.0</v>
      </c>
      <c r="F212" s="31" t="s">
        <v>505</v>
      </c>
      <c r="G212" s="32" t="str">
        <f>VLOOKUP(F212,'Sub-Divisions'!A:$B,2,FALSE)</f>
        <v>3D Printer Materials Cupboard || Shelf 3: Assorted Colour ASA</v>
      </c>
      <c r="H212" s="32" t="str">
        <f>VLOOKUP(LEFT(F212,LEN(F212)-3),'Storage Locations'!$A:$F,6,FALSE)</f>
        <v>South wall, next to Robotics Consumables cupboard (/410/002)</v>
      </c>
      <c r="I212" s="33" t="str">
        <f>CONCATENATE(VLOOKUP(CONCATENATE("P/T",LEFT(F212,LEN(F212)-7)),'Rooms and Types'!$A:$B,2,FALSE), " (", VLOOKUP(CONCATENATE("P/T",LEFT(F212,LEN(F212)-7)),'Rooms and Types'!$A:$C,3,FALSE),")")</f>
        <v>Robotics Teaching Lab (4th Floor)</v>
      </c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26">
        <v>88.0</v>
      </c>
      <c r="B213" s="34" t="s">
        <v>506</v>
      </c>
      <c r="C213" s="35" t="s">
        <v>507</v>
      </c>
      <c r="D213" s="36">
        <v>3.0</v>
      </c>
      <c r="E213" s="30">
        <v>45338.0</v>
      </c>
      <c r="F213" s="31" t="s">
        <v>505</v>
      </c>
      <c r="G213" s="32" t="str">
        <f>VLOOKUP(F213,'Sub-Divisions'!A:$B,2,FALSE)</f>
        <v>3D Printer Materials Cupboard || Shelf 3: Assorted Colour ASA</v>
      </c>
      <c r="H213" s="32" t="str">
        <f>VLOOKUP(LEFT(F213,LEN(F213)-3),'Storage Locations'!$A:$F,6,FALSE)</f>
        <v>South wall, next to Robotics Consumables cupboard (/410/002)</v>
      </c>
      <c r="I213" s="33" t="str">
        <f>CONCATENATE(VLOOKUP(CONCATENATE("P/T",LEFT(F213,LEN(F213)-7)),'Rooms and Types'!$A:$B,2,FALSE), " (", VLOOKUP(CONCATENATE("P/T",LEFT(F213,LEN(F213)-7)),'Rooms and Types'!$A:$C,3,FALSE),")")</f>
        <v>Robotics Teaching Lab (4th Floor)</v>
      </c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26">
        <v>87.0</v>
      </c>
      <c r="B214" s="34" t="s">
        <v>508</v>
      </c>
      <c r="C214" s="35" t="s">
        <v>509</v>
      </c>
      <c r="D214" s="36" t="s">
        <v>510</v>
      </c>
      <c r="E214" s="30">
        <v>45338.0</v>
      </c>
      <c r="F214" s="31" t="s">
        <v>511</v>
      </c>
      <c r="G214" s="32" t="str">
        <f>VLOOKUP(F214,'Sub-Divisions'!A:$B,2,FALSE)</f>
        <v>3D Printer Materials Cupboard || Shelf 2: QSR Support / Travs / Heads</v>
      </c>
      <c r="H214" s="32" t="str">
        <f>VLOOKUP(LEFT(F214,LEN(F214)-3),'Storage Locations'!$A:$F,6,FALSE)</f>
        <v>South wall, next to Robotics Consumables cupboard (/410/002)</v>
      </c>
      <c r="I214" s="33" t="str">
        <f>CONCATENATE(VLOOKUP(CONCATENATE("P/T",LEFT(F214,LEN(F214)-7)),'Rooms and Types'!$A:$B,2,FALSE), " (", VLOOKUP(CONCATENATE("P/T",LEFT(F214,LEN(F214)-7)),'Rooms and Types'!$A:$C,3,FALSE),")")</f>
        <v>Robotics Teaching Lab (4th Floor)</v>
      </c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26">
        <v>86.0</v>
      </c>
      <c r="B215" s="34" t="s">
        <v>512</v>
      </c>
      <c r="C215" s="35" t="s">
        <v>513</v>
      </c>
      <c r="D215" s="36">
        <v>1.0</v>
      </c>
      <c r="E215" s="30">
        <v>45338.0</v>
      </c>
      <c r="F215" s="31" t="s">
        <v>511</v>
      </c>
      <c r="G215" s="32" t="str">
        <f>VLOOKUP(F215,'Sub-Divisions'!A:$B,2,FALSE)</f>
        <v>3D Printer Materials Cupboard || Shelf 2: QSR Support / Travs / Heads</v>
      </c>
      <c r="H215" s="32" t="str">
        <f>VLOOKUP(LEFT(F215,LEN(F215)-3),'Storage Locations'!$A:$F,6,FALSE)</f>
        <v>South wall, next to Robotics Consumables cupboard (/410/002)</v>
      </c>
      <c r="I215" s="33" t="str">
        <f>CONCATENATE(VLOOKUP(CONCATENATE("P/T",LEFT(F215,LEN(F215)-7)),'Rooms and Types'!$A:$B,2,FALSE), " (", VLOOKUP(CONCATENATE("P/T",LEFT(F215,LEN(F215)-7)),'Rooms and Types'!$A:$C,3,FALSE),")")</f>
        <v>Robotics Teaching Lab (4th Floor)</v>
      </c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26">
        <v>85.0</v>
      </c>
      <c r="B216" s="34" t="s">
        <v>514</v>
      </c>
      <c r="C216" s="35" t="s">
        <v>515</v>
      </c>
      <c r="D216" s="36">
        <v>2.0</v>
      </c>
      <c r="E216" s="30">
        <v>45338.0</v>
      </c>
      <c r="F216" s="31" t="s">
        <v>511</v>
      </c>
      <c r="G216" s="32" t="str">
        <f>VLOOKUP(F216,'Sub-Divisions'!A:$B,2,FALSE)</f>
        <v>3D Printer Materials Cupboard || Shelf 2: QSR Support / Travs / Heads</v>
      </c>
      <c r="H216" s="32" t="str">
        <f>VLOOKUP(LEFT(F216,LEN(F216)-3),'Storage Locations'!$A:$F,6,FALSE)</f>
        <v>South wall, next to Robotics Consumables cupboard (/410/002)</v>
      </c>
      <c r="I216" s="33" t="str">
        <f>CONCATENATE(VLOOKUP(CONCATENATE("P/T",LEFT(F216,LEN(F216)-7)),'Rooms and Types'!$A:$B,2,FALSE), " (", VLOOKUP(CONCATENATE("P/T",LEFT(F216,LEN(F216)-7)),'Rooms and Types'!$A:$C,3,FALSE),")")</f>
        <v>Robotics Teaching Lab (4th Floor)</v>
      </c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26">
        <v>84.0</v>
      </c>
      <c r="B217" s="34" t="s">
        <v>516</v>
      </c>
      <c r="C217" s="35" t="s">
        <v>517</v>
      </c>
      <c r="D217" s="36">
        <v>2.0</v>
      </c>
      <c r="E217" s="30">
        <v>45338.0</v>
      </c>
      <c r="F217" s="31" t="s">
        <v>518</v>
      </c>
      <c r="G217" s="32" t="str">
        <f>VLOOKUP(F217,'Sub-Divisions'!A:$B,2,FALSE)</f>
        <v>3D Printer Materials Cupboard || Shelf 1: Exotic Materials</v>
      </c>
      <c r="H217" s="32" t="str">
        <f>VLOOKUP(LEFT(F217,LEN(F217)-3),'Storage Locations'!$A:$F,6,FALSE)</f>
        <v>South wall, next to Robotics Consumables cupboard (/410/002)</v>
      </c>
      <c r="I217" s="33" t="str">
        <f>CONCATENATE(VLOOKUP(CONCATENATE("P/T",LEFT(F217,LEN(F217)-7)),'Rooms and Types'!$A:$B,2,FALSE), " (", VLOOKUP(CONCATENATE("P/T",LEFT(F217,LEN(F217)-7)),'Rooms and Types'!$A:$C,3,FALSE),")")</f>
        <v>Robotics Teaching Lab (4th Floor)</v>
      </c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26">
        <v>83.0</v>
      </c>
      <c r="B218" s="34" t="s">
        <v>519</v>
      </c>
      <c r="C218" s="35" t="s">
        <v>520</v>
      </c>
      <c r="D218" s="36">
        <v>2.0</v>
      </c>
      <c r="E218" s="30">
        <v>45338.0</v>
      </c>
      <c r="F218" s="31" t="s">
        <v>518</v>
      </c>
      <c r="G218" s="32" t="str">
        <f>VLOOKUP(F218,'Sub-Divisions'!A:$B,2,FALSE)</f>
        <v>3D Printer Materials Cupboard || Shelf 1: Exotic Materials</v>
      </c>
      <c r="H218" s="32" t="str">
        <f>VLOOKUP(LEFT(F218,LEN(F218)-3),'Storage Locations'!$A:$F,6,FALSE)</f>
        <v>South wall, next to Robotics Consumables cupboard (/410/002)</v>
      </c>
      <c r="I218" s="33" t="str">
        <f>CONCATENATE(VLOOKUP(CONCATENATE("P/T",LEFT(F218,LEN(F218)-7)),'Rooms and Types'!$A:$B,2,FALSE), " (", VLOOKUP(CONCATENATE("P/T",LEFT(F218,LEN(F218)-7)),'Rooms and Types'!$A:$C,3,FALSE),")")</f>
        <v>Robotics Teaching Lab (4th Floor)</v>
      </c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26">
        <v>82.0</v>
      </c>
      <c r="B219" s="34" t="s">
        <v>521</v>
      </c>
      <c r="C219" s="35" t="s">
        <v>522</v>
      </c>
      <c r="D219" s="36">
        <v>9.0</v>
      </c>
      <c r="E219" s="30">
        <v>45338.0</v>
      </c>
      <c r="F219" s="31" t="s">
        <v>523</v>
      </c>
      <c r="G219" s="32" t="str">
        <f>VLOOKUP(F219,'Sub-Divisions'!A:$B,2,FALSE)</f>
        <v>Robotics Consumables Cupboard || Top: Assorted PLA</v>
      </c>
      <c r="H219" s="32" t="str">
        <f>VLOOKUP(LEFT(F219,LEN(F219)-3),'Storage Locations'!$A:$F,6,FALSE)</f>
        <v>South wall, next to Robotics Staff cupboard (/410/001)</v>
      </c>
      <c r="I219" s="33" t="str">
        <f>CONCATENATE(VLOOKUP(CONCATENATE("P/T",LEFT(F219,LEN(F219)-7)),'Rooms and Types'!$A:$B,2,FALSE), " (", VLOOKUP(CONCATENATE("P/T",LEFT(F219,LEN(F219)-7)),'Rooms and Types'!$A:$C,3,FALSE),")")</f>
        <v>Robotics Teaching Lab (4th Floor)</v>
      </c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26">
        <v>79.0</v>
      </c>
      <c r="B220" s="34" t="s">
        <v>524</v>
      </c>
      <c r="C220" s="35" t="s">
        <v>525</v>
      </c>
      <c r="D220" s="36" t="s">
        <v>168</v>
      </c>
      <c r="E220" s="30">
        <v>45338.0</v>
      </c>
      <c r="F220" s="31" t="s">
        <v>53</v>
      </c>
      <c r="G220" s="32" t="str">
        <f>VLOOKUP(F220,'Sub-Divisions'!A:$B,2,FALSE)</f>
        <v>Robotics Consumables Cupboard || Shelf 5: Jumpers &amp; Cables</v>
      </c>
      <c r="H220" s="32" t="str">
        <f>VLOOKUP(LEFT(F220,LEN(F220)-3),'Storage Locations'!$A:$F,6,FALSE)</f>
        <v>South wall, next to Robotics Staff cupboard (/410/001)</v>
      </c>
      <c r="I220" s="33" t="str">
        <f>CONCATENATE(VLOOKUP(CONCATENATE("P/T",LEFT(F220,LEN(F220)-7)),'Rooms and Types'!$A:$B,2,FALSE), " (", VLOOKUP(CONCATENATE("P/T",LEFT(F220,LEN(F220)-7)),'Rooms and Types'!$A:$C,3,FALSE),")")</f>
        <v>Robotics Teaching Lab (4th Floor)</v>
      </c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26">
        <v>71.0</v>
      </c>
      <c r="B221" s="34" t="s">
        <v>526</v>
      </c>
      <c r="C221" s="35" t="s">
        <v>527</v>
      </c>
      <c r="D221" s="36">
        <v>4.0</v>
      </c>
      <c r="E221" s="30">
        <v>45338.0</v>
      </c>
      <c r="F221" s="31" t="s">
        <v>70</v>
      </c>
      <c r="G221" s="32" t="str">
        <f>VLOOKUP(F221,'Sub-Divisions'!A:$B,2,FALSE)</f>
        <v>Robotics Consumables Cupboard || Shelf 4: Electrical Components &amp; Sensors</v>
      </c>
      <c r="H221" s="32" t="str">
        <f>VLOOKUP(LEFT(F221,LEN(F221)-3),'Storage Locations'!$A:$F,6,FALSE)</f>
        <v>South wall, next to Robotics Staff cupboard (/410/001)</v>
      </c>
      <c r="I221" s="33" t="str">
        <f>CONCATENATE(VLOOKUP(CONCATENATE("P/T",LEFT(F221,LEN(F221)-7)),'Rooms and Types'!$A:$B,2,FALSE), " (", VLOOKUP(CONCATENATE("P/T",LEFT(F221,LEN(F221)-7)),'Rooms and Types'!$A:$C,3,FALSE),")")</f>
        <v>Robotics Teaching Lab (4th Floor)</v>
      </c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26">
        <v>70.0</v>
      </c>
      <c r="B222" s="34" t="s">
        <v>528</v>
      </c>
      <c r="C222" s="35" t="s">
        <v>529</v>
      </c>
      <c r="D222" s="36">
        <v>3.0</v>
      </c>
      <c r="E222" s="30">
        <v>45338.0</v>
      </c>
      <c r="F222" s="31" t="s">
        <v>70</v>
      </c>
      <c r="G222" s="32" t="str">
        <f>VLOOKUP(F222,'Sub-Divisions'!A:$B,2,FALSE)</f>
        <v>Robotics Consumables Cupboard || Shelf 4: Electrical Components &amp; Sensors</v>
      </c>
      <c r="H222" s="32" t="str">
        <f>VLOOKUP(LEFT(F222,LEN(F222)-3),'Storage Locations'!$A:$F,6,FALSE)</f>
        <v>South wall, next to Robotics Staff cupboard (/410/001)</v>
      </c>
      <c r="I222" s="33" t="str">
        <f>CONCATENATE(VLOOKUP(CONCATENATE("P/T",LEFT(F222,LEN(F222)-7)),'Rooms and Types'!$A:$B,2,FALSE), " (", VLOOKUP(CONCATENATE("P/T",LEFT(F222,LEN(F222)-7)),'Rooms and Types'!$A:$C,3,FALSE),")")</f>
        <v>Robotics Teaching Lab (4th Floor)</v>
      </c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26">
        <v>69.0</v>
      </c>
      <c r="B223" s="34" t="s">
        <v>530</v>
      </c>
      <c r="C223" s="35" t="s">
        <v>531</v>
      </c>
      <c r="D223" s="36" t="s">
        <v>95</v>
      </c>
      <c r="E223" s="30">
        <v>45338.0</v>
      </c>
      <c r="F223" s="31" t="s">
        <v>70</v>
      </c>
      <c r="G223" s="32" t="str">
        <f>VLOOKUP(F223,'Sub-Divisions'!A:$B,2,FALSE)</f>
        <v>Robotics Consumables Cupboard || Shelf 4: Electrical Components &amp; Sensors</v>
      </c>
      <c r="H223" s="32" t="str">
        <f>VLOOKUP(LEFT(F223,LEN(F223)-3),'Storage Locations'!$A:$F,6,FALSE)</f>
        <v>South wall, next to Robotics Staff cupboard (/410/001)</v>
      </c>
      <c r="I223" s="33" t="str">
        <f>CONCATENATE(VLOOKUP(CONCATENATE("P/T",LEFT(F223,LEN(F223)-7)),'Rooms and Types'!$A:$B,2,FALSE), " (", VLOOKUP(CONCATENATE("P/T",LEFT(F223,LEN(F223)-7)),'Rooms and Types'!$A:$C,3,FALSE),")")</f>
        <v>Robotics Teaching Lab (4th Floor)</v>
      </c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26">
        <v>67.0</v>
      </c>
      <c r="B224" s="34" t="s">
        <v>532</v>
      </c>
      <c r="C224" s="35" t="s">
        <v>533</v>
      </c>
      <c r="D224" s="36" t="s">
        <v>534</v>
      </c>
      <c r="E224" s="30">
        <v>45337.0</v>
      </c>
      <c r="F224" s="31" t="s">
        <v>70</v>
      </c>
      <c r="G224" s="32" t="str">
        <f>VLOOKUP(F224,'Sub-Divisions'!A:$B,2,FALSE)</f>
        <v>Robotics Consumables Cupboard || Shelf 4: Electrical Components &amp; Sensors</v>
      </c>
      <c r="H224" s="32" t="str">
        <f>VLOOKUP(LEFT(F224,LEN(F224)-3),'Storage Locations'!$A:$F,6,FALSE)</f>
        <v>South wall, next to Robotics Staff cupboard (/410/001)</v>
      </c>
      <c r="I224" s="33" t="str">
        <f>CONCATENATE(VLOOKUP(CONCATENATE("P/T",LEFT(F224,LEN(F224)-7)),'Rooms and Types'!$A:$B,2,FALSE), " (", VLOOKUP(CONCATENATE("P/T",LEFT(F224,LEN(F224)-7)),'Rooms and Types'!$A:$C,3,FALSE),")")</f>
        <v>Robotics Teaching Lab (4th Floor)</v>
      </c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26">
        <v>66.0</v>
      </c>
      <c r="B225" s="34" t="s">
        <v>535</v>
      </c>
      <c r="C225" s="35" t="s">
        <v>536</v>
      </c>
      <c r="D225" s="36">
        <v>8.0</v>
      </c>
      <c r="E225" s="30">
        <v>45337.0</v>
      </c>
      <c r="F225" s="31" t="s">
        <v>70</v>
      </c>
      <c r="G225" s="32" t="str">
        <f>VLOOKUP(F225,'Sub-Divisions'!A:$B,2,FALSE)</f>
        <v>Robotics Consumables Cupboard || Shelf 4: Electrical Components &amp; Sensors</v>
      </c>
      <c r="H225" s="32" t="str">
        <f>VLOOKUP(LEFT(F225,LEN(F225)-3),'Storage Locations'!$A:$F,6,FALSE)</f>
        <v>South wall, next to Robotics Staff cupboard (/410/001)</v>
      </c>
      <c r="I225" s="33" t="str">
        <f>CONCATENATE(VLOOKUP(CONCATENATE("P/T",LEFT(F225,LEN(F225)-7)),'Rooms and Types'!$A:$B,2,FALSE), " (", VLOOKUP(CONCATENATE("P/T",LEFT(F225,LEN(F225)-7)),'Rooms and Types'!$A:$C,3,FALSE),")")</f>
        <v>Robotics Teaching Lab (4th Floor)</v>
      </c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26">
        <v>59.0</v>
      </c>
      <c r="B226" s="34" t="s">
        <v>537</v>
      </c>
      <c r="C226" s="35" t="s">
        <v>538</v>
      </c>
      <c r="D226" s="36" t="s">
        <v>539</v>
      </c>
      <c r="E226" s="30">
        <v>45337.0</v>
      </c>
      <c r="F226" s="31" t="s">
        <v>89</v>
      </c>
      <c r="G226" s="32" t="str">
        <f>VLOOKUP(F226,'Sub-Divisions'!A:$B,2,FALSE)</f>
        <v>Robotics Consumables Cupboard || Shelf 3: Mechanical Components &amp; Actuators</v>
      </c>
      <c r="H226" s="32" t="str">
        <f>VLOOKUP(LEFT(F226,LEN(F226)-3),'Storage Locations'!$A:$F,6,FALSE)</f>
        <v>South wall, next to Robotics Staff cupboard (/410/001)</v>
      </c>
      <c r="I226" s="33" t="str">
        <f>CONCATENATE(VLOOKUP(CONCATENATE("P/T",LEFT(F226,LEN(F226)-7)),'Rooms and Types'!$A:$B,2,FALSE), " (", VLOOKUP(CONCATENATE("P/T",LEFT(F226,LEN(F226)-7)),'Rooms and Types'!$A:$C,3,FALSE),")")</f>
        <v>Robotics Teaching Lab (4th Floor)</v>
      </c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26">
        <v>46.0</v>
      </c>
      <c r="B227" s="34" t="s">
        <v>540</v>
      </c>
      <c r="C227" s="35" t="s">
        <v>541</v>
      </c>
      <c r="D227" s="36">
        <v>23.0</v>
      </c>
      <c r="E227" s="30">
        <v>45337.0</v>
      </c>
      <c r="F227" s="31" t="s">
        <v>172</v>
      </c>
      <c r="G227" s="32" t="str">
        <f>VLOOKUP(F227,'Sub-Divisions'!A:$B,2,FALSE)</f>
        <v>Robotics Consumables Cupboard || Shelf 2: IT Supplies</v>
      </c>
      <c r="H227" s="32" t="str">
        <f>VLOOKUP(LEFT(F227,LEN(F227)-3),'Storage Locations'!$A:$F,6,FALSE)</f>
        <v>South wall, next to Robotics Staff cupboard (/410/001)</v>
      </c>
      <c r="I227" s="33" t="str">
        <f>CONCATENATE(VLOOKUP(CONCATENATE("P/T",LEFT(F227,LEN(F227)-7)),'Rooms and Types'!$A:$B,2,FALSE), " (", VLOOKUP(CONCATENATE("P/T",LEFT(F227,LEN(F227)-7)),'Rooms and Types'!$A:$C,3,FALSE),")")</f>
        <v>Robotics Teaching Lab (4th Floor)</v>
      </c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26">
        <v>62.0</v>
      </c>
      <c r="B228" s="34" t="s">
        <v>542</v>
      </c>
      <c r="C228" s="35" t="s">
        <v>543</v>
      </c>
      <c r="D228" s="36">
        <v>2.0</v>
      </c>
      <c r="E228" s="30">
        <v>45337.0</v>
      </c>
      <c r="F228" s="31" t="s">
        <v>110</v>
      </c>
      <c r="G228" s="32" t="str">
        <f>VLOOKUP(F228,'Sub-Divisions'!A:$B,2,FALSE)</f>
        <v>Robotics Consumables Cupboard || Shelf 1: Miscellaneous Items</v>
      </c>
      <c r="H228" s="32" t="str">
        <f>VLOOKUP(LEFT(F228,LEN(F228)-3),'Storage Locations'!$A:$F,6,FALSE)</f>
        <v>South wall, next to Robotics Staff cupboard (/410/001)</v>
      </c>
      <c r="I228" s="33" t="str">
        <f>CONCATENATE(VLOOKUP(CONCATENATE("P/T",LEFT(F228,LEN(F228)-7)),'Rooms and Types'!$A:$B,2,FALSE), " (", VLOOKUP(CONCATENATE("P/T",LEFT(F228,LEN(F228)-7)),'Rooms and Types'!$A:$C,3,FALSE),")")</f>
        <v>Robotics Teaching Lab (4th Floor)</v>
      </c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26">
        <v>49.0</v>
      </c>
      <c r="B229" s="34" t="s">
        <v>544</v>
      </c>
      <c r="C229" s="35" t="s">
        <v>545</v>
      </c>
      <c r="D229" s="36">
        <v>1.0</v>
      </c>
      <c r="E229" s="30">
        <v>45337.0</v>
      </c>
      <c r="F229" s="31" t="s">
        <v>110</v>
      </c>
      <c r="G229" s="32" t="str">
        <f>VLOOKUP(F229,'Sub-Divisions'!A:$B,2,FALSE)</f>
        <v>Robotics Consumables Cupboard || Shelf 1: Miscellaneous Items</v>
      </c>
      <c r="H229" s="32" t="str">
        <f>VLOOKUP(LEFT(F229,LEN(F229)-3),'Storage Locations'!$A:$F,6,FALSE)</f>
        <v>South wall, next to Robotics Staff cupboard (/410/001)</v>
      </c>
      <c r="I229" s="33" t="str">
        <f>CONCATENATE(VLOOKUP(CONCATENATE("P/T",LEFT(F229,LEN(F229)-7)),'Rooms and Types'!$A:$B,2,FALSE), " (", VLOOKUP(CONCATENATE("P/T",LEFT(F229,LEN(F229)-7)),'Rooms and Types'!$A:$C,3,FALSE),")")</f>
        <v>Robotics Teaching Lab (4th Floor)</v>
      </c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26">
        <v>42.0</v>
      </c>
      <c r="B230" s="34" t="s">
        <v>521</v>
      </c>
      <c r="C230" s="35" t="s">
        <v>522</v>
      </c>
      <c r="D230" s="36">
        <v>9.0</v>
      </c>
      <c r="E230" s="30">
        <v>45337.0</v>
      </c>
      <c r="F230" s="31" t="s">
        <v>546</v>
      </c>
      <c r="G230" s="32" t="str">
        <f>VLOOKUP(F230,'Sub-Divisions'!A:$B,2,FALSE)</f>
        <v>Robotics Staff Cupboard || Top: Assorted PLA</v>
      </c>
      <c r="H230" s="32" t="str">
        <f>VLOOKUP(LEFT(F230,LEN(F230)-3),'Storage Locations'!$A:$F,6,FALSE)</f>
        <v>South wall, next to east windows</v>
      </c>
      <c r="I230" s="33" t="str">
        <f>CONCATENATE(VLOOKUP(CONCATENATE("P/T",LEFT(F230,LEN(F230)-7)),'Rooms and Types'!$A:$B,2,FALSE), " (", VLOOKUP(CONCATENATE("P/T",LEFT(F230,LEN(F230)-7)),'Rooms and Types'!$A:$C,3,FALSE),")")</f>
        <v>Robotics Teaching Lab (4th Floor)</v>
      </c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26">
        <v>41.0</v>
      </c>
      <c r="B231" s="34" t="s">
        <v>547</v>
      </c>
      <c r="C231" s="35" t="s">
        <v>548</v>
      </c>
      <c r="D231" s="36">
        <v>4.0</v>
      </c>
      <c r="E231" s="30">
        <v>45337.0</v>
      </c>
      <c r="F231" s="31" t="s">
        <v>549</v>
      </c>
      <c r="G231" s="32" t="str">
        <f>VLOOKUP(F231,'Sub-Divisions'!A:$B,2,FALSE)</f>
        <v>Robotics Staff Cupboard || Shelf 5: Drone Equipment</v>
      </c>
      <c r="H231" s="32" t="str">
        <f>VLOOKUP(LEFT(F231,LEN(F231)-3),'Storage Locations'!$A:$F,6,FALSE)</f>
        <v>South wall, next to east windows</v>
      </c>
      <c r="I231" s="33" t="str">
        <f>CONCATENATE(VLOOKUP(CONCATENATE("P/T",LEFT(F231,LEN(F231)-7)),'Rooms and Types'!$A:$B,2,FALSE), " (", VLOOKUP(CONCATENATE("P/T",LEFT(F231,LEN(F231)-7)),'Rooms and Types'!$A:$C,3,FALSE),")")</f>
        <v>Robotics Teaching Lab (4th Floor)</v>
      </c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26">
        <v>40.0</v>
      </c>
      <c r="B232" s="34" t="s">
        <v>550</v>
      </c>
      <c r="C232" s="35" t="s">
        <v>551</v>
      </c>
      <c r="D232" s="36">
        <v>10.0</v>
      </c>
      <c r="E232" s="30">
        <v>45337.0</v>
      </c>
      <c r="F232" s="31" t="s">
        <v>549</v>
      </c>
      <c r="G232" s="32" t="str">
        <f>VLOOKUP(F232,'Sub-Divisions'!A:$B,2,FALSE)</f>
        <v>Robotics Staff Cupboard || Shelf 5: Drone Equipment</v>
      </c>
      <c r="H232" s="32" t="str">
        <f>VLOOKUP(LEFT(F232,LEN(F232)-3),'Storage Locations'!$A:$F,6,FALSE)</f>
        <v>South wall, next to east windows</v>
      </c>
      <c r="I232" s="33" t="str">
        <f>CONCATENATE(VLOOKUP(CONCATENATE("P/T",LEFT(F232,LEN(F232)-7)),'Rooms and Types'!$A:$B,2,FALSE), " (", VLOOKUP(CONCATENATE("P/T",LEFT(F232,LEN(F232)-7)),'Rooms and Types'!$A:$C,3,FALSE),")")</f>
        <v>Robotics Teaching Lab (4th Floor)</v>
      </c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26">
        <v>39.0</v>
      </c>
      <c r="B233" s="34" t="s">
        <v>552</v>
      </c>
      <c r="C233" s="35" t="s">
        <v>553</v>
      </c>
      <c r="D233" s="36">
        <v>10.0</v>
      </c>
      <c r="E233" s="30">
        <v>45337.0</v>
      </c>
      <c r="F233" s="31" t="s">
        <v>549</v>
      </c>
      <c r="G233" s="32" t="str">
        <f>VLOOKUP(F233,'Sub-Divisions'!A:$B,2,FALSE)</f>
        <v>Robotics Staff Cupboard || Shelf 5: Drone Equipment</v>
      </c>
      <c r="H233" s="32" t="str">
        <f>VLOOKUP(LEFT(F233,LEN(F233)-3),'Storage Locations'!$A:$F,6,FALSE)</f>
        <v>South wall, next to east windows</v>
      </c>
      <c r="I233" s="33" t="str">
        <f>CONCATENATE(VLOOKUP(CONCATENATE("P/T",LEFT(F233,LEN(F233)-7)),'Rooms and Types'!$A:$B,2,FALSE), " (", VLOOKUP(CONCATENATE("P/T",LEFT(F233,LEN(F233)-7)),'Rooms and Types'!$A:$C,3,FALSE),")")</f>
        <v>Robotics Teaching Lab (4th Floor)</v>
      </c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26">
        <v>38.0</v>
      </c>
      <c r="B234" s="34" t="s">
        <v>554</v>
      </c>
      <c r="C234" s="35" t="s">
        <v>555</v>
      </c>
      <c r="D234" s="36" t="s">
        <v>556</v>
      </c>
      <c r="E234" s="30">
        <v>45337.0</v>
      </c>
      <c r="F234" s="31" t="s">
        <v>549</v>
      </c>
      <c r="G234" s="32" t="str">
        <f>VLOOKUP(F234,'Sub-Divisions'!A:$B,2,FALSE)</f>
        <v>Robotics Staff Cupboard || Shelf 5: Drone Equipment</v>
      </c>
      <c r="H234" s="32" t="str">
        <f>VLOOKUP(LEFT(F234,LEN(F234)-3),'Storage Locations'!$A:$F,6,FALSE)</f>
        <v>South wall, next to east windows</v>
      </c>
      <c r="I234" s="33" t="str">
        <f>CONCATENATE(VLOOKUP(CONCATENATE("P/T",LEFT(F234,LEN(F234)-7)),'Rooms and Types'!$A:$B,2,FALSE), " (", VLOOKUP(CONCATENATE("P/T",LEFT(F234,LEN(F234)-7)),'Rooms and Types'!$A:$C,3,FALSE),")")</f>
        <v>Robotics Teaching Lab (4th Floor)</v>
      </c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26">
        <v>37.0</v>
      </c>
      <c r="B235" s="34" t="s">
        <v>557</v>
      </c>
      <c r="C235" s="35" t="s">
        <v>558</v>
      </c>
      <c r="D235" s="36" t="s">
        <v>559</v>
      </c>
      <c r="E235" s="30">
        <v>45337.0</v>
      </c>
      <c r="F235" s="31" t="s">
        <v>549</v>
      </c>
      <c r="G235" s="32" t="str">
        <f>VLOOKUP(F235,'Sub-Divisions'!A:$B,2,FALSE)</f>
        <v>Robotics Staff Cupboard || Shelf 5: Drone Equipment</v>
      </c>
      <c r="H235" s="32" t="str">
        <f>VLOOKUP(LEFT(F235,LEN(F235)-3),'Storage Locations'!$A:$F,6,FALSE)</f>
        <v>South wall, next to east windows</v>
      </c>
      <c r="I235" s="33" t="str">
        <f>CONCATENATE(VLOOKUP(CONCATENATE("P/T",LEFT(F235,LEN(F235)-7)),'Rooms and Types'!$A:$B,2,FALSE), " (", VLOOKUP(CONCATENATE("P/T",LEFT(F235,LEN(F235)-7)),'Rooms and Types'!$A:$C,3,FALSE),")")</f>
        <v>Robotics Teaching Lab (4th Floor)</v>
      </c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26">
        <v>36.0</v>
      </c>
      <c r="B236" s="34" t="s">
        <v>560</v>
      </c>
      <c r="C236" s="35" t="s">
        <v>561</v>
      </c>
      <c r="D236" s="36" t="s">
        <v>562</v>
      </c>
      <c r="E236" s="30">
        <v>45337.0</v>
      </c>
      <c r="F236" s="31" t="s">
        <v>125</v>
      </c>
      <c r="G236" s="32" t="str">
        <f>VLOOKUP(F236,'Sub-Divisions'!A:$B,2,FALSE)</f>
        <v>Robotics Staff Cupboard || Shelf 4: Miscellaneous Items</v>
      </c>
      <c r="H236" s="32" t="str">
        <f>VLOOKUP(LEFT(F236,LEN(F236)-3),'Storage Locations'!$A:$F,6,FALSE)</f>
        <v>South wall, next to east windows</v>
      </c>
      <c r="I236" s="33" t="str">
        <f>CONCATENATE(VLOOKUP(CONCATENATE("P/T",LEFT(F236,LEN(F236)-7)),'Rooms and Types'!$A:$B,2,FALSE), " (", VLOOKUP(CONCATENATE("P/T",LEFT(F236,LEN(F236)-7)),'Rooms and Types'!$A:$C,3,FALSE),")")</f>
        <v>Robotics Teaching Lab (4th Floor)</v>
      </c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26">
        <v>35.0</v>
      </c>
      <c r="B237" s="34" t="s">
        <v>563</v>
      </c>
      <c r="C237" s="35" t="s">
        <v>564</v>
      </c>
      <c r="D237" s="36" t="s">
        <v>565</v>
      </c>
      <c r="E237" s="30">
        <v>45336.0</v>
      </c>
      <c r="F237" s="31" t="s">
        <v>125</v>
      </c>
      <c r="G237" s="32" t="str">
        <f>VLOOKUP(F237,'Sub-Divisions'!A:$B,2,FALSE)</f>
        <v>Robotics Staff Cupboard || Shelf 4: Miscellaneous Items</v>
      </c>
      <c r="H237" s="32" t="str">
        <f>VLOOKUP(LEFT(F237,LEN(F237)-3),'Storage Locations'!$A:$F,6,FALSE)</f>
        <v>South wall, next to east windows</v>
      </c>
      <c r="I237" s="33" t="str">
        <f>CONCATENATE(VLOOKUP(CONCATENATE("P/T",LEFT(F237,LEN(F237)-7)),'Rooms and Types'!$A:$B,2,FALSE), " (", VLOOKUP(CONCATENATE("P/T",LEFT(F237,LEN(F237)-7)),'Rooms and Types'!$A:$C,3,FALSE),")")</f>
        <v>Robotics Teaching Lab (4th Floor)</v>
      </c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26">
        <v>34.0</v>
      </c>
      <c r="B238" s="34" t="s">
        <v>566</v>
      </c>
      <c r="C238" s="35" t="s">
        <v>567</v>
      </c>
      <c r="D238" s="36" t="s">
        <v>568</v>
      </c>
      <c r="E238" s="30">
        <v>45336.0</v>
      </c>
      <c r="F238" s="31" t="s">
        <v>125</v>
      </c>
      <c r="G238" s="32" t="str">
        <f>VLOOKUP(F238,'Sub-Divisions'!A:$B,2,FALSE)</f>
        <v>Robotics Staff Cupboard || Shelf 4: Miscellaneous Items</v>
      </c>
      <c r="H238" s="32" t="str">
        <f>VLOOKUP(LEFT(F238,LEN(F238)-3),'Storage Locations'!$A:$F,6,FALSE)</f>
        <v>South wall, next to east windows</v>
      </c>
      <c r="I238" s="33" t="str">
        <f>CONCATENATE(VLOOKUP(CONCATENATE("P/T",LEFT(F238,LEN(F238)-7)),'Rooms and Types'!$A:$B,2,FALSE), " (", VLOOKUP(CONCATENATE("P/T",LEFT(F238,LEN(F238)-7)),'Rooms and Types'!$A:$C,3,FALSE),")")</f>
        <v>Robotics Teaching Lab (4th Floor)</v>
      </c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26">
        <v>33.0</v>
      </c>
      <c r="B239" s="34" t="s">
        <v>569</v>
      </c>
      <c r="C239" s="35" t="s">
        <v>570</v>
      </c>
      <c r="D239" s="36">
        <v>18.0</v>
      </c>
      <c r="E239" s="30">
        <v>45336.0</v>
      </c>
      <c r="F239" s="31" t="s">
        <v>125</v>
      </c>
      <c r="G239" s="32" t="str">
        <f>VLOOKUP(F239,'Sub-Divisions'!A:$B,2,FALSE)</f>
        <v>Robotics Staff Cupboard || Shelf 4: Miscellaneous Items</v>
      </c>
      <c r="H239" s="32" t="str">
        <f>VLOOKUP(LEFT(F239,LEN(F239)-3),'Storage Locations'!$A:$F,6,FALSE)</f>
        <v>South wall, next to east windows</v>
      </c>
      <c r="I239" s="33" t="str">
        <f>CONCATENATE(VLOOKUP(CONCATENATE("P/T",LEFT(F239,LEN(F239)-7)),'Rooms and Types'!$A:$B,2,FALSE), " (", VLOOKUP(CONCATENATE("P/T",LEFT(F239,LEN(F239)-7)),'Rooms and Types'!$A:$C,3,FALSE),")")</f>
        <v>Robotics Teaching Lab (4th Floor)</v>
      </c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26">
        <v>32.0</v>
      </c>
      <c r="B240" s="34" t="s">
        <v>571</v>
      </c>
      <c r="C240" s="35" t="s">
        <v>572</v>
      </c>
      <c r="D240" s="36" t="s">
        <v>268</v>
      </c>
      <c r="E240" s="30">
        <v>45336.0</v>
      </c>
      <c r="F240" s="31" t="s">
        <v>125</v>
      </c>
      <c r="G240" s="32" t="str">
        <f>VLOOKUP(F240,'Sub-Divisions'!A:$B,2,FALSE)</f>
        <v>Robotics Staff Cupboard || Shelf 4: Miscellaneous Items</v>
      </c>
      <c r="H240" s="32" t="str">
        <f>VLOOKUP(LEFT(F240,LEN(F240)-3),'Storage Locations'!$A:$F,6,FALSE)</f>
        <v>South wall, next to east windows</v>
      </c>
      <c r="I240" s="33" t="str">
        <f>CONCATENATE(VLOOKUP(CONCATENATE("P/T",LEFT(F240,LEN(F240)-7)),'Rooms and Types'!$A:$B,2,FALSE), " (", VLOOKUP(CONCATENATE("P/T",LEFT(F240,LEN(F240)-7)),'Rooms and Types'!$A:$C,3,FALSE),")")</f>
        <v>Robotics Teaching Lab (4th Floor)</v>
      </c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26">
        <v>31.0</v>
      </c>
      <c r="B241" s="34" t="s">
        <v>116</v>
      </c>
      <c r="C241" s="35" t="s">
        <v>573</v>
      </c>
      <c r="D241" s="36">
        <v>1.0</v>
      </c>
      <c r="E241" s="30">
        <v>45336.0</v>
      </c>
      <c r="F241" s="31" t="s">
        <v>125</v>
      </c>
      <c r="G241" s="32" t="str">
        <f>VLOOKUP(F241,'Sub-Divisions'!A:$B,2,FALSE)</f>
        <v>Robotics Staff Cupboard || Shelf 4: Miscellaneous Items</v>
      </c>
      <c r="H241" s="32" t="str">
        <f>VLOOKUP(LEFT(F241,LEN(F241)-3),'Storage Locations'!$A:$F,6,FALSE)</f>
        <v>South wall, next to east windows</v>
      </c>
      <c r="I241" s="33" t="str">
        <f>CONCATENATE(VLOOKUP(CONCATENATE("P/T",LEFT(F241,LEN(F241)-7)),'Rooms and Types'!$A:$B,2,FALSE), " (", VLOOKUP(CONCATENATE("P/T",LEFT(F241,LEN(F241)-7)),'Rooms and Types'!$A:$C,3,FALSE),")")</f>
        <v>Robotics Teaching Lab (4th Floor)</v>
      </c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26">
        <v>30.0</v>
      </c>
      <c r="B242" s="34" t="s">
        <v>574</v>
      </c>
      <c r="C242" s="35" t="s">
        <v>575</v>
      </c>
      <c r="D242" s="36" t="s">
        <v>576</v>
      </c>
      <c r="E242" s="30">
        <v>45336.0</v>
      </c>
      <c r="F242" s="31" t="s">
        <v>125</v>
      </c>
      <c r="G242" s="32" t="str">
        <f>VLOOKUP(F242,'Sub-Divisions'!A:$B,2,FALSE)</f>
        <v>Robotics Staff Cupboard || Shelf 4: Miscellaneous Items</v>
      </c>
      <c r="H242" s="32" t="str">
        <f>VLOOKUP(LEFT(F242,LEN(F242)-3),'Storage Locations'!$A:$F,6,FALSE)</f>
        <v>South wall, next to east windows</v>
      </c>
      <c r="I242" s="33" t="str">
        <f>CONCATENATE(VLOOKUP(CONCATENATE("P/T",LEFT(F242,LEN(F242)-7)),'Rooms and Types'!$A:$B,2,FALSE), " (", VLOOKUP(CONCATENATE("P/T",LEFT(F242,LEN(F242)-7)),'Rooms and Types'!$A:$C,3,FALSE),")")</f>
        <v>Robotics Teaching Lab (4th Floor)</v>
      </c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26">
        <v>28.0</v>
      </c>
      <c r="B243" s="34" t="s">
        <v>577</v>
      </c>
      <c r="C243" s="35" t="s">
        <v>578</v>
      </c>
      <c r="D243" s="36" t="s">
        <v>579</v>
      </c>
      <c r="E243" s="30">
        <v>45336.0</v>
      </c>
      <c r="F243" s="31" t="s">
        <v>125</v>
      </c>
      <c r="G243" s="32" t="str">
        <f>VLOOKUP(F243,'Sub-Divisions'!A:$B,2,FALSE)</f>
        <v>Robotics Staff Cupboard || Shelf 4: Miscellaneous Items</v>
      </c>
      <c r="H243" s="32" t="str">
        <f>VLOOKUP(LEFT(F243,LEN(F243)-3),'Storage Locations'!$A:$F,6,FALSE)</f>
        <v>South wall, next to east windows</v>
      </c>
      <c r="I243" s="33" t="str">
        <f>CONCATENATE(VLOOKUP(CONCATENATE("P/T",LEFT(F243,LEN(F243)-7)),'Rooms and Types'!$A:$B,2,FALSE), " (", VLOOKUP(CONCATENATE("P/T",LEFT(F243,LEN(F243)-7)),'Rooms and Types'!$A:$C,3,FALSE),")")</f>
        <v>Robotics Teaching Lab (4th Floor)</v>
      </c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26">
        <v>27.0</v>
      </c>
      <c r="B244" s="34" t="s">
        <v>580</v>
      </c>
      <c r="C244" s="35" t="s">
        <v>581</v>
      </c>
      <c r="D244" s="36">
        <v>8.0</v>
      </c>
      <c r="E244" s="30">
        <v>45336.0</v>
      </c>
      <c r="F244" s="31" t="s">
        <v>125</v>
      </c>
      <c r="G244" s="32" t="str">
        <f>VLOOKUP(F244,'Sub-Divisions'!A:$B,2,FALSE)</f>
        <v>Robotics Staff Cupboard || Shelf 4: Miscellaneous Items</v>
      </c>
      <c r="H244" s="32" t="str">
        <f>VLOOKUP(LEFT(F244,LEN(F244)-3),'Storage Locations'!$A:$F,6,FALSE)</f>
        <v>South wall, next to east windows</v>
      </c>
      <c r="I244" s="33" t="str">
        <f>CONCATENATE(VLOOKUP(CONCATENATE("P/T",LEFT(F244,LEN(F244)-7)),'Rooms and Types'!$A:$B,2,FALSE), " (", VLOOKUP(CONCATENATE("P/T",LEFT(F244,LEN(F244)-7)),'Rooms and Types'!$A:$C,3,FALSE),")")</f>
        <v>Robotics Teaching Lab (4th Floor)</v>
      </c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26">
        <v>26.0</v>
      </c>
      <c r="B245" s="34" t="s">
        <v>582</v>
      </c>
      <c r="C245" s="35" t="s">
        <v>583</v>
      </c>
      <c r="D245" s="36" t="s">
        <v>584</v>
      </c>
      <c r="E245" s="30">
        <v>45336.0</v>
      </c>
      <c r="F245" s="31" t="s">
        <v>125</v>
      </c>
      <c r="G245" s="32" t="str">
        <f>VLOOKUP(F245,'Sub-Divisions'!A:$B,2,FALSE)</f>
        <v>Robotics Staff Cupboard || Shelf 4: Miscellaneous Items</v>
      </c>
      <c r="H245" s="32" t="str">
        <f>VLOOKUP(LEFT(F245,LEN(F245)-3),'Storage Locations'!$A:$F,6,FALSE)</f>
        <v>South wall, next to east windows</v>
      </c>
      <c r="I245" s="33" t="str">
        <f>CONCATENATE(VLOOKUP(CONCATENATE("P/T",LEFT(F245,LEN(F245)-7)),'Rooms and Types'!$A:$B,2,FALSE), " (", VLOOKUP(CONCATENATE("P/T",LEFT(F245,LEN(F245)-7)),'Rooms and Types'!$A:$C,3,FALSE),")")</f>
        <v>Robotics Teaching Lab (4th Floor)</v>
      </c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26">
        <v>22.0</v>
      </c>
      <c r="B246" s="34" t="s">
        <v>585</v>
      </c>
      <c r="C246" s="35" t="s">
        <v>586</v>
      </c>
      <c r="D246" s="36" t="s">
        <v>52</v>
      </c>
      <c r="E246" s="30">
        <v>45335.0</v>
      </c>
      <c r="F246" s="31" t="s">
        <v>133</v>
      </c>
      <c r="G246" s="32" t="str">
        <f>VLOOKUP(F246,'Sub-Divisions'!A:$B,2,FALSE)</f>
        <v>Robotics Staff Cupboard || Shelf 3: Robotics Kits</v>
      </c>
      <c r="H246" s="32" t="str">
        <f>VLOOKUP(LEFT(F246,LEN(F246)-3),'Storage Locations'!$A:$F,6,FALSE)</f>
        <v>South wall, next to east windows</v>
      </c>
      <c r="I246" s="33" t="str">
        <f>CONCATENATE(VLOOKUP(CONCATENATE("P/T",LEFT(F246,LEN(F246)-7)),'Rooms and Types'!$A:$B,2,FALSE), " (", VLOOKUP(CONCATENATE("P/T",LEFT(F246,LEN(F246)-7)),'Rooms and Types'!$A:$C,3,FALSE),")")</f>
        <v>Robotics Teaching Lab (4th Floor)</v>
      </c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26">
        <v>20.0</v>
      </c>
      <c r="B247" s="34" t="s">
        <v>587</v>
      </c>
      <c r="C247" s="35" t="s">
        <v>588</v>
      </c>
      <c r="D247" s="36" t="s">
        <v>589</v>
      </c>
      <c r="E247" s="30">
        <v>45335.0</v>
      </c>
      <c r="F247" s="31" t="s">
        <v>133</v>
      </c>
      <c r="G247" s="32" t="str">
        <f>VLOOKUP(F247,'Sub-Divisions'!A:$B,2,FALSE)</f>
        <v>Robotics Staff Cupboard || Shelf 3: Robotics Kits</v>
      </c>
      <c r="H247" s="32" t="str">
        <f>VLOOKUP(LEFT(F247,LEN(F247)-3),'Storage Locations'!$A:$F,6,FALSE)</f>
        <v>South wall, next to east windows</v>
      </c>
      <c r="I247" s="33" t="str">
        <f>CONCATENATE(VLOOKUP(CONCATENATE("P/T",LEFT(F247,LEN(F247)-7)),'Rooms and Types'!$A:$B,2,FALSE), " (", VLOOKUP(CONCATENATE("P/T",LEFT(F247,LEN(F247)-7)),'Rooms and Types'!$A:$C,3,FALSE),")")</f>
        <v>Robotics Teaching Lab (4th Floor)</v>
      </c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26">
        <v>19.0</v>
      </c>
      <c r="B248" s="34" t="s">
        <v>590</v>
      </c>
      <c r="C248" s="35" t="s">
        <v>591</v>
      </c>
      <c r="D248" s="36" t="s">
        <v>592</v>
      </c>
      <c r="E248" s="30">
        <v>45335.0</v>
      </c>
      <c r="F248" s="31" t="s">
        <v>133</v>
      </c>
      <c r="G248" s="32" t="str">
        <f>VLOOKUP(F248,'Sub-Divisions'!A:$B,2,FALSE)</f>
        <v>Robotics Staff Cupboard || Shelf 3: Robotics Kits</v>
      </c>
      <c r="H248" s="32" t="str">
        <f>VLOOKUP(LEFT(F248,LEN(F248)-3),'Storage Locations'!$A:$F,6,FALSE)</f>
        <v>South wall, next to east windows</v>
      </c>
      <c r="I248" s="33" t="str">
        <f>CONCATENATE(VLOOKUP(CONCATENATE("P/T",LEFT(F248,LEN(F248)-7)),'Rooms and Types'!$A:$B,2,FALSE), " (", VLOOKUP(CONCATENATE("P/T",LEFT(F248,LEN(F248)-7)),'Rooms and Types'!$A:$C,3,FALSE),")")</f>
        <v>Robotics Teaching Lab (4th Floor)</v>
      </c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26">
        <v>18.0</v>
      </c>
      <c r="B249" s="34" t="s">
        <v>593</v>
      </c>
      <c r="C249" s="35" t="s">
        <v>594</v>
      </c>
      <c r="D249" s="36" t="s">
        <v>168</v>
      </c>
      <c r="E249" s="30">
        <v>45335.0</v>
      </c>
      <c r="F249" s="31" t="s">
        <v>133</v>
      </c>
      <c r="G249" s="32" t="str">
        <f>VLOOKUP(F249,'Sub-Divisions'!A:$B,2,FALSE)</f>
        <v>Robotics Staff Cupboard || Shelf 3: Robotics Kits</v>
      </c>
      <c r="H249" s="32" t="str">
        <f>VLOOKUP(LEFT(F249,LEN(F249)-3),'Storage Locations'!$A:$F,6,FALSE)</f>
        <v>South wall, next to east windows</v>
      </c>
      <c r="I249" s="33" t="str">
        <f>CONCATENATE(VLOOKUP(CONCATENATE("P/T",LEFT(F249,LEN(F249)-7)),'Rooms and Types'!$A:$B,2,FALSE), " (", VLOOKUP(CONCATENATE("P/T",LEFT(F249,LEN(F249)-7)),'Rooms and Types'!$A:$C,3,FALSE),")")</f>
        <v>Robotics Teaching Lab (4th Floor)</v>
      </c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26">
        <v>17.0</v>
      </c>
      <c r="B250" s="34" t="s">
        <v>595</v>
      </c>
      <c r="C250" s="35" t="s">
        <v>596</v>
      </c>
      <c r="D250" s="36" t="s">
        <v>597</v>
      </c>
      <c r="E250" s="30">
        <v>45335.0</v>
      </c>
      <c r="F250" s="31" t="s">
        <v>133</v>
      </c>
      <c r="G250" s="32" t="str">
        <f>VLOOKUP(F250,'Sub-Divisions'!A:$B,2,FALSE)</f>
        <v>Robotics Staff Cupboard || Shelf 3: Robotics Kits</v>
      </c>
      <c r="H250" s="32" t="str">
        <f>VLOOKUP(LEFT(F250,LEN(F250)-3),'Storage Locations'!$A:$F,6,FALSE)</f>
        <v>South wall, next to east windows</v>
      </c>
      <c r="I250" s="33" t="str">
        <f>CONCATENATE(VLOOKUP(CONCATENATE("P/T",LEFT(F250,LEN(F250)-7)),'Rooms and Types'!$A:$B,2,FALSE), " (", VLOOKUP(CONCATENATE("P/T",LEFT(F250,LEN(F250)-7)),'Rooms and Types'!$A:$C,3,FALSE),")")</f>
        <v>Robotics Teaching Lab (4th Floor)</v>
      </c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26">
        <v>16.0</v>
      </c>
      <c r="B251" s="34" t="s">
        <v>598</v>
      </c>
      <c r="C251" s="35" t="s">
        <v>599</v>
      </c>
      <c r="D251" s="36" t="s">
        <v>232</v>
      </c>
      <c r="E251" s="30">
        <v>45335.0</v>
      </c>
      <c r="F251" s="31" t="s">
        <v>133</v>
      </c>
      <c r="G251" s="32" t="str">
        <f>VLOOKUP(F251,'Sub-Divisions'!A:$B,2,FALSE)</f>
        <v>Robotics Staff Cupboard || Shelf 3: Robotics Kits</v>
      </c>
      <c r="H251" s="32" t="str">
        <f>VLOOKUP(LEFT(F251,LEN(F251)-3),'Storage Locations'!$A:$F,6,FALSE)</f>
        <v>South wall, next to east windows</v>
      </c>
      <c r="I251" s="33" t="str">
        <f>CONCATENATE(VLOOKUP(CONCATENATE("P/T",LEFT(F251,LEN(F251)-7)),'Rooms and Types'!$A:$B,2,FALSE), " (", VLOOKUP(CONCATENATE("P/T",LEFT(F251,LEN(F251)-7)),'Rooms and Types'!$A:$C,3,FALSE),")")</f>
        <v>Robotics Teaching Lab (4th Floor)</v>
      </c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26">
        <v>15.0</v>
      </c>
      <c r="B252" s="34" t="s">
        <v>600</v>
      </c>
      <c r="C252" s="35" t="s">
        <v>601</v>
      </c>
      <c r="D252" s="36" t="s">
        <v>602</v>
      </c>
      <c r="E252" s="30">
        <v>45335.0</v>
      </c>
      <c r="F252" s="31" t="s">
        <v>133</v>
      </c>
      <c r="G252" s="32" t="str">
        <f>VLOOKUP(F252,'Sub-Divisions'!A:$B,2,FALSE)</f>
        <v>Robotics Staff Cupboard || Shelf 3: Robotics Kits</v>
      </c>
      <c r="H252" s="32" t="str">
        <f>VLOOKUP(LEFT(F252,LEN(F252)-3),'Storage Locations'!$A:$F,6,FALSE)</f>
        <v>South wall, next to east windows</v>
      </c>
      <c r="I252" s="33" t="str">
        <f>CONCATENATE(VLOOKUP(CONCATENATE("P/T",LEFT(F252,LEN(F252)-7)),'Rooms and Types'!$A:$B,2,FALSE), " (", VLOOKUP(CONCATENATE("P/T",LEFT(F252,LEN(F252)-7)),'Rooms and Types'!$A:$C,3,FALSE),")")</f>
        <v>Robotics Teaching Lab (4th Floor)</v>
      </c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26">
        <v>14.0</v>
      </c>
      <c r="B253" s="34" t="s">
        <v>603</v>
      </c>
      <c r="C253" s="35" t="s">
        <v>604</v>
      </c>
      <c r="D253" s="36" t="s">
        <v>605</v>
      </c>
      <c r="E253" s="30">
        <v>45335.0</v>
      </c>
      <c r="F253" s="31" t="s">
        <v>133</v>
      </c>
      <c r="G253" s="32" t="str">
        <f>VLOOKUP(F253,'Sub-Divisions'!A:$B,2,FALSE)</f>
        <v>Robotics Staff Cupboard || Shelf 3: Robotics Kits</v>
      </c>
      <c r="H253" s="32" t="str">
        <f>VLOOKUP(LEFT(F253,LEN(F253)-3),'Storage Locations'!$A:$F,6,FALSE)</f>
        <v>South wall, next to east windows</v>
      </c>
      <c r="I253" s="33" t="str">
        <f>CONCATENATE(VLOOKUP(CONCATENATE("P/T",LEFT(F253,LEN(F253)-7)),'Rooms and Types'!$A:$B,2,FALSE), " (", VLOOKUP(CONCATENATE("P/T",LEFT(F253,LEN(F253)-7)),'Rooms and Types'!$A:$C,3,FALSE),")")</f>
        <v>Robotics Teaching Lab (4th Floor)</v>
      </c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26">
        <v>13.0</v>
      </c>
      <c r="B254" s="34" t="s">
        <v>606</v>
      </c>
      <c r="C254" s="35" t="s">
        <v>607</v>
      </c>
      <c r="D254" s="36">
        <v>30.0</v>
      </c>
      <c r="E254" s="30">
        <v>45335.0</v>
      </c>
      <c r="F254" s="31" t="s">
        <v>139</v>
      </c>
      <c r="G254" s="32" t="str">
        <f>VLOOKUP(F254,'Sub-Divisions'!A:$B,2,FALSE)</f>
        <v>Robotics Staff Cupboard || Shelf 2: Robotics Projects</v>
      </c>
      <c r="H254" s="32" t="str">
        <f>VLOOKUP(LEFT(F254,LEN(F254)-3),'Storage Locations'!$A:$F,6,FALSE)</f>
        <v>South wall, next to east windows</v>
      </c>
      <c r="I254" s="33" t="str">
        <f>CONCATENATE(VLOOKUP(CONCATENATE("P/T",LEFT(F254,LEN(F254)-7)),'Rooms and Types'!$A:$B,2,FALSE), " (", VLOOKUP(CONCATENATE("P/T",LEFT(F254,LEN(F254)-7)),'Rooms and Types'!$A:$C,3,FALSE),")")</f>
        <v>Robotics Teaching Lab (4th Floor)</v>
      </c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26">
        <v>12.0</v>
      </c>
      <c r="B255" s="34" t="s">
        <v>608</v>
      </c>
      <c r="C255" s="35" t="s">
        <v>609</v>
      </c>
      <c r="D255" s="36">
        <v>10.0</v>
      </c>
      <c r="E255" s="30">
        <v>45335.0</v>
      </c>
      <c r="F255" s="31" t="s">
        <v>139</v>
      </c>
      <c r="G255" s="32" t="str">
        <f>VLOOKUP(F255,'Sub-Divisions'!A:$B,2,FALSE)</f>
        <v>Robotics Staff Cupboard || Shelf 2: Robotics Projects</v>
      </c>
      <c r="H255" s="32" t="str">
        <f>VLOOKUP(LEFT(F255,LEN(F255)-3),'Storage Locations'!$A:$F,6,FALSE)</f>
        <v>South wall, next to east windows</v>
      </c>
      <c r="I255" s="33" t="str">
        <f>CONCATENATE(VLOOKUP(CONCATENATE("P/T",LEFT(F255,LEN(F255)-7)),'Rooms and Types'!$A:$B,2,FALSE), " (", VLOOKUP(CONCATENATE("P/T",LEFT(F255,LEN(F255)-7)),'Rooms and Types'!$A:$C,3,FALSE),")")</f>
        <v>Robotics Teaching Lab (4th Floor)</v>
      </c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26">
        <v>9.0</v>
      </c>
      <c r="B256" s="34" t="s">
        <v>610</v>
      </c>
      <c r="C256" s="35" t="s">
        <v>611</v>
      </c>
      <c r="D256" s="36">
        <v>1.0</v>
      </c>
      <c r="E256" s="30">
        <v>45335.0</v>
      </c>
      <c r="F256" s="31" t="s">
        <v>139</v>
      </c>
      <c r="G256" s="32" t="str">
        <f>VLOOKUP(F256,'Sub-Divisions'!A:$B,2,FALSE)</f>
        <v>Robotics Staff Cupboard || Shelf 2: Robotics Projects</v>
      </c>
      <c r="H256" s="32" t="str">
        <f>VLOOKUP(LEFT(F256,LEN(F256)-3),'Storage Locations'!$A:$F,6,FALSE)</f>
        <v>South wall, next to east windows</v>
      </c>
      <c r="I256" s="33" t="str">
        <f>CONCATENATE(VLOOKUP(CONCATENATE("P/T",LEFT(F256,LEN(F256)-7)),'Rooms and Types'!$A:$B,2,FALSE), " (", VLOOKUP(CONCATENATE("P/T",LEFT(F256,LEN(F256)-7)),'Rooms and Types'!$A:$C,3,FALSE),")")</f>
        <v>Robotics Teaching Lab (4th Floor)</v>
      </c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26">
        <v>8.0</v>
      </c>
      <c r="B257" s="34" t="s">
        <v>612</v>
      </c>
      <c r="C257" s="35" t="s">
        <v>613</v>
      </c>
      <c r="D257" s="36">
        <v>1.0</v>
      </c>
      <c r="E257" s="30">
        <v>45335.0</v>
      </c>
      <c r="F257" s="31" t="s">
        <v>139</v>
      </c>
      <c r="G257" s="32" t="str">
        <f>VLOOKUP(F257,'Sub-Divisions'!A:$B,2,FALSE)</f>
        <v>Robotics Staff Cupboard || Shelf 2: Robotics Projects</v>
      </c>
      <c r="H257" s="32" t="str">
        <f>VLOOKUP(LEFT(F257,LEN(F257)-3),'Storage Locations'!$A:$F,6,FALSE)</f>
        <v>South wall, next to east windows</v>
      </c>
      <c r="I257" s="33" t="str">
        <f>CONCATENATE(VLOOKUP(CONCATENATE("P/T",LEFT(F257,LEN(F257)-7)),'Rooms and Types'!$A:$B,2,FALSE), " (", VLOOKUP(CONCATENATE("P/T",LEFT(F257,LEN(F257)-7)),'Rooms and Types'!$A:$C,3,FALSE),")")</f>
        <v>Robotics Teaching Lab (4th Floor)</v>
      </c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26">
        <v>7.0</v>
      </c>
      <c r="B258" s="34" t="s">
        <v>614</v>
      </c>
      <c r="C258" s="44" t="s">
        <v>615</v>
      </c>
      <c r="D258" s="36" t="s">
        <v>232</v>
      </c>
      <c r="E258" s="30">
        <v>45330.0</v>
      </c>
      <c r="F258" s="31" t="s">
        <v>145</v>
      </c>
      <c r="G258" s="32" t="str">
        <f>VLOOKUP(F258,'Sub-Divisions'!A:$B,2,FALSE)</f>
        <v>Robotics Staff Cupboard || Shelf 1: Power Supplies, Batteries &amp; Cables</v>
      </c>
      <c r="H258" s="32" t="str">
        <f>VLOOKUP(LEFT(F258,LEN(F258)-3),'Storage Locations'!$A:$F,6,FALSE)</f>
        <v>South wall, next to east windows</v>
      </c>
      <c r="I258" s="33" t="str">
        <f>CONCATENATE(VLOOKUP(CONCATENATE("P/T",LEFT(F258,LEN(F258)-7)),'Rooms and Types'!$A:$B,2,FALSE), " (", VLOOKUP(CONCATENATE("P/T",LEFT(F258,LEN(F258)-7)),'Rooms and Types'!$A:$C,3,FALSE),")")</f>
        <v>Robotics Teaching Lab (4th Floor)</v>
      </c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26">
        <v>6.0</v>
      </c>
      <c r="B259" s="34" t="s">
        <v>616</v>
      </c>
      <c r="C259" s="35" t="s">
        <v>617</v>
      </c>
      <c r="D259" s="36" t="s">
        <v>73</v>
      </c>
      <c r="E259" s="30">
        <v>45330.0</v>
      </c>
      <c r="F259" s="31" t="s">
        <v>145</v>
      </c>
      <c r="G259" s="32" t="str">
        <f>VLOOKUP(F259,'Sub-Divisions'!A:$B,2,FALSE)</f>
        <v>Robotics Staff Cupboard || Shelf 1: Power Supplies, Batteries &amp; Cables</v>
      </c>
      <c r="H259" s="32" t="str">
        <f>VLOOKUP(LEFT(F259,LEN(F259)-3),'Storage Locations'!$A:$F,6,FALSE)</f>
        <v>South wall, next to east windows</v>
      </c>
      <c r="I259" s="33" t="str">
        <f>CONCATENATE(VLOOKUP(CONCATENATE("P/T",LEFT(F259,LEN(F259)-7)),'Rooms and Types'!$A:$B,2,FALSE), " (", VLOOKUP(CONCATENATE("P/T",LEFT(F259,LEN(F259)-7)),'Rooms and Types'!$A:$C,3,FALSE),")")</f>
        <v>Robotics Teaching Lab (4th Floor)</v>
      </c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26">
        <v>4.0</v>
      </c>
      <c r="B260" s="34" t="s">
        <v>618</v>
      </c>
      <c r="C260" s="35" t="s">
        <v>619</v>
      </c>
      <c r="D260" s="36" t="s">
        <v>620</v>
      </c>
      <c r="E260" s="30">
        <v>45330.0</v>
      </c>
      <c r="F260" s="31" t="s">
        <v>145</v>
      </c>
      <c r="G260" s="32" t="str">
        <f>VLOOKUP(F260,'Sub-Divisions'!A:$B,2,FALSE)</f>
        <v>Robotics Staff Cupboard || Shelf 1: Power Supplies, Batteries &amp; Cables</v>
      </c>
      <c r="H260" s="32" t="str">
        <f>VLOOKUP(LEFT(F260,LEN(F260)-3),'Storage Locations'!$A:$F,6,FALSE)</f>
        <v>South wall, next to east windows</v>
      </c>
      <c r="I260" s="33" t="str">
        <f>CONCATENATE(VLOOKUP(CONCATENATE("P/T",LEFT(F260,LEN(F260)-7)),'Rooms and Types'!$A:$B,2,FALSE), " (", VLOOKUP(CONCATENATE("P/T",LEFT(F260,LEN(F260)-7)),'Rooms and Types'!$A:$C,3,FALSE),")")</f>
        <v>Robotics Teaching Lab (4th Floor)</v>
      </c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26">
        <v>2.0</v>
      </c>
      <c r="B261" s="34" t="s">
        <v>621</v>
      </c>
      <c r="C261" s="35" t="s">
        <v>622</v>
      </c>
      <c r="D261" s="36">
        <v>3.0</v>
      </c>
      <c r="E261" s="30">
        <v>45330.0</v>
      </c>
      <c r="F261" s="31" t="s">
        <v>145</v>
      </c>
      <c r="G261" s="32" t="str">
        <f>VLOOKUP(F261,'Sub-Divisions'!A:$B,2,FALSE)</f>
        <v>Robotics Staff Cupboard || Shelf 1: Power Supplies, Batteries &amp; Cables</v>
      </c>
      <c r="H261" s="32" t="str">
        <f>VLOOKUP(LEFT(F261,LEN(F261)-3),'Storage Locations'!$A:$F,6,FALSE)</f>
        <v>South wall, next to east windows</v>
      </c>
      <c r="I261" s="33" t="str">
        <f>CONCATENATE(VLOOKUP(CONCATENATE("P/T",LEFT(F261,LEN(F261)-7)),'Rooms and Types'!$A:$B,2,FALSE), " (", VLOOKUP(CONCATENATE("P/T",LEFT(F261,LEN(F261)-7)),'Rooms and Types'!$A:$C,3,FALSE),")")</f>
        <v>Robotics Teaching Lab (4th Floor)</v>
      </c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26">
        <v>1.0</v>
      </c>
      <c r="B262" s="34" t="s">
        <v>623</v>
      </c>
      <c r="C262" s="35" t="s">
        <v>624</v>
      </c>
      <c r="D262" s="36" t="s">
        <v>232</v>
      </c>
      <c r="E262" s="30">
        <v>45330.0</v>
      </c>
      <c r="F262" s="31" t="s">
        <v>145</v>
      </c>
      <c r="G262" s="32" t="str">
        <f>VLOOKUP(F262,'Sub-Divisions'!A:$B,2,FALSE)</f>
        <v>Robotics Staff Cupboard || Shelf 1: Power Supplies, Batteries &amp; Cables</v>
      </c>
      <c r="H262" s="32" t="str">
        <f>VLOOKUP(LEFT(F262,LEN(F262)-3),'Storage Locations'!$A:$F,6,FALSE)</f>
        <v>South wall, next to east windows</v>
      </c>
      <c r="I262" s="33" t="str">
        <f>CONCATENATE(VLOOKUP(CONCATENATE("P/T",LEFT(F262,LEN(F262)-7)),'Rooms and Types'!$A:$B,2,FALSE), " (", VLOOKUP(CONCATENATE("P/T",LEFT(F262,LEN(F262)-7)),'Rooms and Types'!$A:$C,3,FALSE),")")</f>
        <v>Robotics Teaching Lab (4th Floor)</v>
      </c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26"/>
      <c r="B263" s="45"/>
      <c r="C263" s="32"/>
      <c r="D263" s="46"/>
      <c r="E263" s="46"/>
      <c r="F263" s="47"/>
      <c r="G263" s="32"/>
      <c r="H263" s="32"/>
      <c r="I263" s="33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25"/>
      <c r="B264" s="45"/>
      <c r="C264" s="32"/>
      <c r="D264" s="46"/>
      <c r="E264" s="46"/>
      <c r="F264" s="47"/>
      <c r="G264" s="32"/>
      <c r="H264" s="32"/>
      <c r="I264" s="33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25"/>
      <c r="B265" s="45"/>
      <c r="C265" s="32"/>
      <c r="D265" s="46"/>
      <c r="E265" s="46"/>
      <c r="F265" s="47"/>
      <c r="G265" s="32"/>
      <c r="H265" s="32"/>
      <c r="I265" s="33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25"/>
      <c r="B266" s="45"/>
      <c r="C266" s="32"/>
      <c r="D266" s="46"/>
      <c r="E266" s="46"/>
      <c r="F266" s="47"/>
      <c r="G266" s="32"/>
      <c r="H266" s="32"/>
      <c r="I266" s="33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25"/>
      <c r="B267" s="45"/>
      <c r="C267" s="32"/>
      <c r="D267" s="46"/>
      <c r="E267" s="46"/>
      <c r="F267" s="47"/>
      <c r="G267" s="32"/>
      <c r="H267" s="32"/>
      <c r="I267" s="33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25"/>
      <c r="B268" s="45"/>
      <c r="C268" s="32"/>
      <c r="D268" s="46"/>
      <c r="E268" s="46"/>
      <c r="F268" s="47"/>
      <c r="G268" s="32"/>
      <c r="H268" s="32"/>
      <c r="I268" s="33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25"/>
      <c r="B269" s="45"/>
      <c r="C269" s="32"/>
      <c r="D269" s="46"/>
      <c r="E269" s="46"/>
      <c r="F269" s="47"/>
      <c r="G269" s="32"/>
      <c r="H269" s="32"/>
      <c r="I269" s="33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25"/>
      <c r="B270" s="45"/>
      <c r="C270" s="32"/>
      <c r="D270" s="46"/>
      <c r="E270" s="46"/>
      <c r="F270" s="47"/>
      <c r="G270" s="32"/>
      <c r="H270" s="32"/>
      <c r="I270" s="33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25"/>
      <c r="B271" s="45"/>
      <c r="C271" s="32"/>
      <c r="D271" s="46"/>
      <c r="E271" s="46"/>
      <c r="F271" s="47"/>
      <c r="G271" s="32"/>
      <c r="H271" s="32"/>
      <c r="I271" s="33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25"/>
      <c r="B272" s="45"/>
      <c r="C272" s="32"/>
      <c r="D272" s="46"/>
      <c r="E272" s="46"/>
      <c r="F272" s="47"/>
      <c r="G272" s="32"/>
      <c r="H272" s="32"/>
      <c r="I272" s="33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25"/>
      <c r="B273" s="45"/>
      <c r="C273" s="32"/>
      <c r="D273" s="46"/>
      <c r="E273" s="46"/>
      <c r="F273" s="47"/>
      <c r="G273" s="32"/>
      <c r="H273" s="32"/>
      <c r="I273" s="33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25"/>
      <c r="B274" s="45"/>
      <c r="C274" s="32"/>
      <c r="D274" s="46"/>
      <c r="E274" s="46"/>
      <c r="F274" s="47"/>
      <c r="G274" s="32"/>
      <c r="H274" s="32"/>
      <c r="I274" s="33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25"/>
      <c r="B275" s="45"/>
      <c r="C275" s="32"/>
      <c r="D275" s="46"/>
      <c r="E275" s="46"/>
      <c r="F275" s="47"/>
      <c r="G275" s="32"/>
      <c r="H275" s="32"/>
      <c r="I275" s="33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25"/>
      <c r="B276" s="45"/>
      <c r="C276" s="32"/>
      <c r="D276" s="46"/>
      <c r="E276" s="46"/>
      <c r="F276" s="47"/>
      <c r="G276" s="32"/>
      <c r="H276" s="32"/>
      <c r="I276" s="33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25"/>
      <c r="B277" s="45"/>
      <c r="C277" s="32"/>
      <c r="D277" s="46"/>
      <c r="E277" s="46"/>
      <c r="F277" s="47"/>
      <c r="G277" s="32"/>
      <c r="H277" s="32"/>
      <c r="I277" s="33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25"/>
      <c r="B278" s="45"/>
      <c r="C278" s="32"/>
      <c r="D278" s="46"/>
      <c r="E278" s="46"/>
      <c r="F278" s="47"/>
      <c r="G278" s="32"/>
      <c r="H278" s="32"/>
      <c r="I278" s="33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25"/>
      <c r="B279" s="45"/>
      <c r="C279" s="32"/>
      <c r="D279" s="46"/>
      <c r="E279" s="46"/>
      <c r="F279" s="47"/>
      <c r="G279" s="32"/>
      <c r="H279" s="32"/>
      <c r="I279" s="33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25"/>
      <c r="B280" s="45"/>
      <c r="C280" s="32"/>
      <c r="D280" s="46"/>
      <c r="E280" s="46"/>
      <c r="F280" s="47"/>
      <c r="G280" s="32"/>
      <c r="H280" s="32"/>
      <c r="I280" s="33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25"/>
      <c r="B281" s="45"/>
      <c r="C281" s="32"/>
      <c r="D281" s="46"/>
      <c r="E281" s="46"/>
      <c r="F281" s="47"/>
      <c r="G281" s="32"/>
      <c r="H281" s="32"/>
      <c r="I281" s="33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25"/>
      <c r="B282" s="45"/>
      <c r="C282" s="32"/>
      <c r="D282" s="46"/>
      <c r="E282" s="46"/>
      <c r="F282" s="47"/>
      <c r="G282" s="32"/>
      <c r="H282" s="32"/>
      <c r="I282" s="33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25"/>
      <c r="B283" s="45"/>
      <c r="C283" s="32"/>
      <c r="D283" s="46"/>
      <c r="E283" s="46"/>
      <c r="F283" s="47"/>
      <c r="G283" s="32"/>
      <c r="H283" s="32"/>
      <c r="I283" s="33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25"/>
      <c r="B284" s="45"/>
      <c r="C284" s="32"/>
      <c r="D284" s="46"/>
      <c r="E284" s="46"/>
      <c r="F284" s="47"/>
      <c r="G284" s="32"/>
      <c r="H284" s="32"/>
      <c r="I284" s="33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25"/>
      <c r="B285" s="45"/>
      <c r="C285" s="32"/>
      <c r="D285" s="46"/>
      <c r="E285" s="46"/>
      <c r="F285" s="47"/>
      <c r="G285" s="32"/>
      <c r="H285" s="32"/>
      <c r="I285" s="33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25"/>
      <c r="B286" s="45"/>
      <c r="C286" s="32"/>
      <c r="D286" s="46"/>
      <c r="E286" s="46"/>
      <c r="F286" s="47"/>
      <c r="G286" s="32"/>
      <c r="H286" s="32"/>
      <c r="I286" s="33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25"/>
      <c r="B287" s="45"/>
      <c r="C287" s="32"/>
      <c r="D287" s="46"/>
      <c r="E287" s="46"/>
      <c r="F287" s="47"/>
      <c r="G287" s="32"/>
      <c r="H287" s="32"/>
      <c r="I287" s="33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25"/>
      <c r="B288" s="45"/>
      <c r="C288" s="32"/>
      <c r="D288" s="46"/>
      <c r="E288" s="46"/>
      <c r="F288" s="47"/>
      <c r="G288" s="32"/>
      <c r="H288" s="32"/>
      <c r="I288" s="33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25"/>
      <c r="B289" s="45"/>
      <c r="C289" s="32"/>
      <c r="D289" s="46"/>
      <c r="E289" s="46"/>
      <c r="F289" s="47"/>
      <c r="G289" s="32"/>
      <c r="H289" s="32"/>
      <c r="I289" s="33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25"/>
      <c r="B290" s="45"/>
      <c r="C290" s="32"/>
      <c r="D290" s="46"/>
      <c r="E290" s="46"/>
      <c r="F290" s="47"/>
      <c r="G290" s="32"/>
      <c r="H290" s="32"/>
      <c r="I290" s="33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25"/>
      <c r="B291" s="45"/>
      <c r="C291" s="32"/>
      <c r="D291" s="46"/>
      <c r="E291" s="46"/>
      <c r="F291" s="47"/>
      <c r="G291" s="32"/>
      <c r="H291" s="32"/>
      <c r="I291" s="33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25"/>
      <c r="B292" s="45"/>
      <c r="C292" s="32"/>
      <c r="D292" s="46"/>
      <c r="E292" s="46"/>
      <c r="F292" s="47"/>
      <c r="G292" s="32"/>
      <c r="H292" s="32"/>
      <c r="I292" s="33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25"/>
      <c r="B293" s="45"/>
      <c r="C293" s="32"/>
      <c r="D293" s="46"/>
      <c r="E293" s="46"/>
      <c r="F293" s="47"/>
      <c r="G293" s="32"/>
      <c r="H293" s="32"/>
      <c r="I293" s="33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25"/>
      <c r="B294" s="45"/>
      <c r="C294" s="32"/>
      <c r="D294" s="46"/>
      <c r="E294" s="46"/>
      <c r="F294" s="47"/>
      <c r="G294" s="32"/>
      <c r="H294" s="32"/>
      <c r="I294" s="33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25"/>
      <c r="B295" s="45"/>
      <c r="C295" s="32"/>
      <c r="D295" s="46"/>
      <c r="E295" s="46"/>
      <c r="F295" s="47"/>
      <c r="G295" s="32"/>
      <c r="H295" s="32"/>
      <c r="I295" s="33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25"/>
      <c r="B296" s="45"/>
      <c r="C296" s="32"/>
      <c r="D296" s="46"/>
      <c r="E296" s="46"/>
      <c r="F296" s="47"/>
      <c r="G296" s="32"/>
      <c r="H296" s="32"/>
      <c r="I296" s="33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25"/>
      <c r="B297" s="45"/>
      <c r="C297" s="32"/>
      <c r="D297" s="46"/>
      <c r="E297" s="46"/>
      <c r="F297" s="47"/>
      <c r="G297" s="32"/>
      <c r="H297" s="32"/>
      <c r="I297" s="33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25"/>
      <c r="B298" s="45"/>
      <c r="C298" s="32"/>
      <c r="D298" s="46"/>
      <c r="E298" s="46"/>
      <c r="F298" s="47"/>
      <c r="G298" s="32"/>
      <c r="H298" s="32"/>
      <c r="I298" s="33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25"/>
      <c r="B299" s="45"/>
      <c r="C299" s="32"/>
      <c r="D299" s="46"/>
      <c r="E299" s="46"/>
      <c r="F299" s="47"/>
      <c r="G299" s="32"/>
      <c r="H299" s="32"/>
      <c r="I299" s="33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25"/>
      <c r="B300" s="45"/>
      <c r="C300" s="32"/>
      <c r="D300" s="46"/>
      <c r="E300" s="46"/>
      <c r="F300" s="47"/>
      <c r="G300" s="32"/>
      <c r="H300" s="32"/>
      <c r="I300" s="33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25"/>
      <c r="B301" s="45"/>
      <c r="C301" s="32"/>
      <c r="D301" s="46"/>
      <c r="E301" s="46"/>
      <c r="F301" s="47"/>
      <c r="G301" s="32"/>
      <c r="H301" s="32"/>
      <c r="I301" s="33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25"/>
      <c r="B302" s="45"/>
      <c r="C302" s="32"/>
      <c r="D302" s="46"/>
      <c r="E302" s="46"/>
      <c r="F302" s="47"/>
      <c r="G302" s="32"/>
      <c r="H302" s="32"/>
      <c r="I302" s="33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25"/>
      <c r="B303" s="45"/>
      <c r="C303" s="32"/>
      <c r="D303" s="46"/>
      <c r="E303" s="46"/>
      <c r="F303" s="47"/>
      <c r="G303" s="32"/>
      <c r="H303" s="32"/>
      <c r="I303" s="33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25"/>
      <c r="B304" s="45"/>
      <c r="C304" s="32"/>
      <c r="D304" s="46"/>
      <c r="E304" s="46"/>
      <c r="F304" s="47"/>
      <c r="G304" s="32"/>
      <c r="H304" s="32"/>
      <c r="I304" s="33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25"/>
      <c r="B305" s="45"/>
      <c r="C305" s="32"/>
      <c r="D305" s="46"/>
      <c r="E305" s="46"/>
      <c r="F305" s="47"/>
      <c r="G305" s="32"/>
      <c r="H305" s="32"/>
      <c r="I305" s="33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25"/>
      <c r="B306" s="45"/>
      <c r="C306" s="32"/>
      <c r="D306" s="46"/>
      <c r="E306" s="46"/>
      <c r="F306" s="47"/>
      <c r="G306" s="32"/>
      <c r="H306" s="32"/>
      <c r="I306" s="33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25"/>
      <c r="B307" s="45"/>
      <c r="C307" s="32"/>
      <c r="D307" s="46"/>
      <c r="E307" s="46"/>
      <c r="F307" s="47"/>
      <c r="G307" s="32"/>
      <c r="H307" s="32"/>
      <c r="I307" s="33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25"/>
      <c r="B308" s="45"/>
      <c r="C308" s="32"/>
      <c r="D308" s="46"/>
      <c r="E308" s="46"/>
      <c r="F308" s="47"/>
      <c r="G308" s="32"/>
      <c r="H308" s="32"/>
      <c r="I308" s="33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25"/>
      <c r="B309" s="45"/>
      <c r="C309" s="32"/>
      <c r="D309" s="46"/>
      <c r="E309" s="46"/>
      <c r="F309" s="47"/>
      <c r="G309" s="32"/>
      <c r="H309" s="32"/>
      <c r="I309" s="33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25"/>
      <c r="B310" s="45"/>
      <c r="C310" s="32"/>
      <c r="D310" s="46"/>
      <c r="E310" s="46"/>
      <c r="F310" s="47"/>
      <c r="G310" s="32"/>
      <c r="H310" s="32"/>
      <c r="I310" s="33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25"/>
      <c r="B311" s="45"/>
      <c r="C311" s="32"/>
      <c r="D311" s="46"/>
      <c r="E311" s="46"/>
      <c r="F311" s="47"/>
      <c r="G311" s="32"/>
      <c r="H311" s="32"/>
      <c r="I311" s="33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25"/>
      <c r="B312" s="45"/>
      <c r="C312" s="32"/>
      <c r="D312" s="46"/>
      <c r="E312" s="46"/>
      <c r="F312" s="47"/>
      <c r="G312" s="32"/>
      <c r="H312" s="32"/>
      <c r="I312" s="33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25"/>
      <c r="B313" s="45"/>
      <c r="C313" s="32"/>
      <c r="D313" s="46"/>
      <c r="E313" s="46"/>
      <c r="F313" s="47"/>
      <c r="G313" s="32"/>
      <c r="H313" s="32"/>
      <c r="I313" s="33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25"/>
      <c r="B314" s="45"/>
      <c r="C314" s="32"/>
      <c r="D314" s="46"/>
      <c r="E314" s="46"/>
      <c r="F314" s="47"/>
      <c r="G314" s="32"/>
      <c r="H314" s="32"/>
      <c r="I314" s="33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25"/>
      <c r="B315" s="45"/>
      <c r="C315" s="32"/>
      <c r="D315" s="46"/>
      <c r="E315" s="46"/>
      <c r="F315" s="47"/>
      <c r="G315" s="32"/>
      <c r="H315" s="32"/>
      <c r="I315" s="33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25"/>
      <c r="B316" s="45"/>
      <c r="C316" s="32"/>
      <c r="D316" s="46"/>
      <c r="E316" s="46"/>
      <c r="F316" s="47"/>
      <c r="G316" s="32"/>
      <c r="H316" s="32"/>
      <c r="I316" s="33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25"/>
      <c r="B317" s="45"/>
      <c r="C317" s="32"/>
      <c r="D317" s="46"/>
      <c r="E317" s="46"/>
      <c r="F317" s="47"/>
      <c r="G317" s="32"/>
      <c r="H317" s="32"/>
      <c r="I317" s="33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25"/>
      <c r="B318" s="45"/>
      <c r="C318" s="32"/>
      <c r="D318" s="46"/>
      <c r="E318" s="46"/>
      <c r="F318" s="47"/>
      <c r="G318" s="32"/>
      <c r="H318" s="32"/>
      <c r="I318" s="33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25"/>
      <c r="B319" s="45"/>
      <c r="C319" s="32"/>
      <c r="D319" s="46"/>
      <c r="E319" s="46"/>
      <c r="F319" s="47"/>
      <c r="G319" s="32"/>
      <c r="H319" s="32"/>
      <c r="I319" s="33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25"/>
      <c r="B320" s="45"/>
      <c r="C320" s="32"/>
      <c r="D320" s="46"/>
      <c r="E320" s="46"/>
      <c r="F320" s="47"/>
      <c r="G320" s="32"/>
      <c r="H320" s="32"/>
      <c r="I320" s="33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25"/>
      <c r="B321" s="45"/>
      <c r="C321" s="32"/>
      <c r="D321" s="46"/>
      <c r="E321" s="46"/>
      <c r="F321" s="47"/>
      <c r="G321" s="32"/>
      <c r="H321" s="32"/>
      <c r="I321" s="33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25"/>
      <c r="B322" s="45"/>
      <c r="C322" s="32"/>
      <c r="D322" s="46"/>
      <c r="E322" s="46"/>
      <c r="F322" s="47"/>
      <c r="G322" s="32"/>
      <c r="H322" s="32"/>
      <c r="I322" s="33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25"/>
      <c r="B323" s="45"/>
      <c r="C323" s="32"/>
      <c r="D323" s="46"/>
      <c r="E323" s="46"/>
      <c r="F323" s="47"/>
      <c r="G323" s="32"/>
      <c r="H323" s="32"/>
      <c r="I323" s="33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25"/>
      <c r="B324" s="45"/>
      <c r="C324" s="32"/>
      <c r="D324" s="46"/>
      <c r="E324" s="46"/>
      <c r="F324" s="47"/>
      <c r="G324" s="32"/>
      <c r="H324" s="32"/>
      <c r="I324" s="33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25"/>
      <c r="B325" s="45"/>
      <c r="C325" s="32"/>
      <c r="D325" s="46"/>
      <c r="E325" s="46"/>
      <c r="F325" s="47"/>
      <c r="G325" s="32"/>
      <c r="H325" s="32"/>
      <c r="I325" s="33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25"/>
      <c r="B326" s="45"/>
      <c r="C326" s="32"/>
      <c r="D326" s="46"/>
      <c r="E326" s="46"/>
      <c r="F326" s="47"/>
      <c r="G326" s="32"/>
      <c r="H326" s="32"/>
      <c r="I326" s="33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25"/>
      <c r="B327" s="45"/>
      <c r="C327" s="32"/>
      <c r="D327" s="46"/>
      <c r="E327" s="46"/>
      <c r="F327" s="47"/>
      <c r="G327" s="32"/>
      <c r="H327" s="32"/>
      <c r="I327" s="33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25"/>
      <c r="B328" s="45"/>
      <c r="C328" s="32"/>
      <c r="D328" s="46"/>
      <c r="E328" s="46"/>
      <c r="F328" s="47"/>
      <c r="G328" s="32"/>
      <c r="H328" s="32"/>
      <c r="I328" s="33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25"/>
      <c r="B329" s="45"/>
      <c r="C329" s="32"/>
      <c r="D329" s="46"/>
      <c r="E329" s="46"/>
      <c r="F329" s="47"/>
      <c r="G329" s="32"/>
      <c r="H329" s="32"/>
      <c r="I329" s="33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25"/>
      <c r="B330" s="45"/>
      <c r="C330" s="32"/>
      <c r="D330" s="46"/>
      <c r="E330" s="46"/>
      <c r="F330" s="47"/>
      <c r="G330" s="32"/>
      <c r="H330" s="32"/>
      <c r="I330" s="33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25"/>
      <c r="B331" s="45"/>
      <c r="C331" s="32"/>
      <c r="D331" s="46"/>
      <c r="E331" s="46"/>
      <c r="F331" s="47"/>
      <c r="G331" s="32"/>
      <c r="H331" s="32"/>
      <c r="I331" s="33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25"/>
      <c r="B332" s="45"/>
      <c r="C332" s="32"/>
      <c r="D332" s="46"/>
      <c r="E332" s="46"/>
      <c r="F332" s="47"/>
      <c r="G332" s="32"/>
      <c r="H332" s="32"/>
      <c r="I332" s="33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25"/>
      <c r="B333" s="45"/>
      <c r="C333" s="32"/>
      <c r="D333" s="46"/>
      <c r="E333" s="46"/>
      <c r="F333" s="47"/>
      <c r="G333" s="32"/>
      <c r="H333" s="32"/>
      <c r="I333" s="33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25"/>
      <c r="B334" s="45"/>
      <c r="C334" s="32"/>
      <c r="D334" s="46"/>
      <c r="E334" s="46"/>
      <c r="F334" s="47"/>
      <c r="G334" s="32"/>
      <c r="H334" s="32"/>
      <c r="I334" s="33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25"/>
      <c r="B335" s="45"/>
      <c r="C335" s="32"/>
      <c r="D335" s="46"/>
      <c r="E335" s="46"/>
      <c r="F335" s="47"/>
      <c r="G335" s="32"/>
      <c r="H335" s="32"/>
      <c r="I335" s="33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25"/>
      <c r="B336" s="45"/>
      <c r="C336" s="32"/>
      <c r="D336" s="46"/>
      <c r="E336" s="46"/>
      <c r="F336" s="47"/>
      <c r="G336" s="32"/>
      <c r="H336" s="32"/>
      <c r="I336" s="33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25"/>
      <c r="B337" s="45"/>
      <c r="C337" s="32"/>
      <c r="D337" s="46"/>
      <c r="E337" s="46"/>
      <c r="F337" s="47"/>
      <c r="G337" s="32"/>
      <c r="H337" s="32"/>
      <c r="I337" s="33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25"/>
      <c r="B338" s="45"/>
      <c r="C338" s="32"/>
      <c r="D338" s="46"/>
      <c r="E338" s="46"/>
      <c r="F338" s="47"/>
      <c r="G338" s="32"/>
      <c r="H338" s="32"/>
      <c r="I338" s="33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25"/>
      <c r="B339" s="45"/>
      <c r="C339" s="32"/>
      <c r="D339" s="46"/>
      <c r="E339" s="46"/>
      <c r="F339" s="47"/>
      <c r="G339" s="32"/>
      <c r="H339" s="32"/>
      <c r="I339" s="33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25"/>
      <c r="B340" s="45"/>
      <c r="C340" s="32"/>
      <c r="D340" s="46"/>
      <c r="E340" s="46"/>
      <c r="F340" s="47"/>
      <c r="G340" s="32"/>
      <c r="H340" s="32"/>
      <c r="I340" s="33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25"/>
      <c r="B341" s="45"/>
      <c r="C341" s="32"/>
      <c r="D341" s="46"/>
      <c r="E341" s="46"/>
      <c r="F341" s="47"/>
      <c r="G341" s="32"/>
      <c r="H341" s="32"/>
      <c r="I341" s="33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25"/>
      <c r="B342" s="45"/>
      <c r="C342" s="32"/>
      <c r="D342" s="46"/>
      <c r="E342" s="46"/>
      <c r="F342" s="47"/>
      <c r="G342" s="32"/>
      <c r="H342" s="32"/>
      <c r="I342" s="33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25"/>
      <c r="B343" s="45"/>
      <c r="C343" s="32"/>
      <c r="D343" s="46"/>
      <c r="E343" s="46"/>
      <c r="F343" s="47"/>
      <c r="G343" s="32"/>
      <c r="H343" s="32"/>
      <c r="I343" s="33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25"/>
      <c r="B344" s="45"/>
      <c r="C344" s="32"/>
      <c r="D344" s="46"/>
      <c r="E344" s="46"/>
      <c r="F344" s="47"/>
      <c r="G344" s="32"/>
      <c r="H344" s="32"/>
      <c r="I344" s="33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25"/>
      <c r="B345" s="45"/>
      <c r="C345" s="32"/>
      <c r="D345" s="46"/>
      <c r="E345" s="46"/>
      <c r="F345" s="47"/>
      <c r="G345" s="32"/>
      <c r="H345" s="32"/>
      <c r="I345" s="33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25"/>
      <c r="B346" s="45"/>
      <c r="C346" s="32"/>
      <c r="D346" s="46"/>
      <c r="E346" s="46"/>
      <c r="F346" s="47"/>
      <c r="G346" s="32"/>
      <c r="H346" s="32"/>
      <c r="I346" s="33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25"/>
      <c r="B347" s="45"/>
      <c r="C347" s="32"/>
      <c r="D347" s="46"/>
      <c r="E347" s="46"/>
      <c r="F347" s="47"/>
      <c r="G347" s="32"/>
      <c r="H347" s="32"/>
      <c r="I347" s="33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25"/>
      <c r="B348" s="45"/>
      <c r="C348" s="32"/>
      <c r="D348" s="46"/>
      <c r="E348" s="46"/>
      <c r="F348" s="47"/>
      <c r="G348" s="32"/>
      <c r="H348" s="32"/>
      <c r="I348" s="33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25"/>
      <c r="B349" s="45"/>
      <c r="C349" s="32"/>
      <c r="D349" s="46"/>
      <c r="E349" s="46"/>
      <c r="F349" s="47"/>
      <c r="G349" s="32"/>
      <c r="H349" s="32"/>
      <c r="I349" s="33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25"/>
      <c r="B350" s="45"/>
      <c r="C350" s="32"/>
      <c r="D350" s="46"/>
      <c r="E350" s="46"/>
      <c r="F350" s="47"/>
      <c r="G350" s="32"/>
      <c r="H350" s="32"/>
      <c r="I350" s="33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25"/>
      <c r="B351" s="45"/>
      <c r="C351" s="32"/>
      <c r="D351" s="46"/>
      <c r="E351" s="46"/>
      <c r="F351" s="47"/>
      <c r="G351" s="32"/>
      <c r="H351" s="32"/>
      <c r="I351" s="33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25"/>
      <c r="B352" s="45"/>
      <c r="C352" s="32"/>
      <c r="D352" s="46"/>
      <c r="E352" s="46"/>
      <c r="F352" s="47"/>
      <c r="G352" s="32"/>
      <c r="H352" s="32"/>
      <c r="I352" s="33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25"/>
      <c r="B353" s="45"/>
      <c r="C353" s="32"/>
      <c r="D353" s="46"/>
      <c r="E353" s="46"/>
      <c r="F353" s="47"/>
      <c r="G353" s="32"/>
      <c r="H353" s="32"/>
      <c r="I353" s="33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25"/>
      <c r="B354" s="45"/>
      <c r="C354" s="32"/>
      <c r="D354" s="46"/>
      <c r="E354" s="46"/>
      <c r="F354" s="47"/>
      <c r="G354" s="32"/>
      <c r="H354" s="32"/>
      <c r="I354" s="33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25"/>
      <c r="B355" s="45"/>
      <c r="C355" s="32"/>
      <c r="D355" s="46"/>
      <c r="E355" s="46"/>
      <c r="F355" s="47"/>
      <c r="G355" s="32"/>
      <c r="H355" s="32"/>
      <c r="I355" s="33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25"/>
      <c r="B356" s="45"/>
      <c r="C356" s="32"/>
      <c r="D356" s="46"/>
      <c r="E356" s="46"/>
      <c r="F356" s="47"/>
      <c r="G356" s="32"/>
      <c r="H356" s="32"/>
      <c r="I356" s="33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25"/>
      <c r="B357" s="45"/>
      <c r="C357" s="32"/>
      <c r="D357" s="46"/>
      <c r="E357" s="46"/>
      <c r="F357" s="47"/>
      <c r="G357" s="32"/>
      <c r="H357" s="32"/>
      <c r="I357" s="33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25"/>
      <c r="B358" s="45"/>
      <c r="C358" s="32"/>
      <c r="D358" s="46"/>
      <c r="E358" s="46"/>
      <c r="F358" s="47"/>
      <c r="G358" s="32"/>
      <c r="H358" s="32"/>
      <c r="I358" s="33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25"/>
      <c r="B359" s="45"/>
      <c r="C359" s="32"/>
      <c r="D359" s="46"/>
      <c r="E359" s="46"/>
      <c r="F359" s="47"/>
      <c r="G359" s="32"/>
      <c r="H359" s="32"/>
      <c r="I359" s="33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25"/>
      <c r="B360" s="45"/>
      <c r="C360" s="32"/>
      <c r="D360" s="46"/>
      <c r="E360" s="46"/>
      <c r="F360" s="47"/>
      <c r="G360" s="32"/>
      <c r="H360" s="32"/>
      <c r="I360" s="33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25"/>
      <c r="B361" s="45"/>
      <c r="C361" s="32"/>
      <c r="D361" s="46"/>
      <c r="E361" s="46"/>
      <c r="F361" s="47"/>
      <c r="G361" s="32"/>
      <c r="H361" s="32"/>
      <c r="I361" s="33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25"/>
      <c r="B362" s="45"/>
      <c r="C362" s="32"/>
      <c r="D362" s="46"/>
      <c r="E362" s="46"/>
      <c r="F362" s="47"/>
      <c r="G362" s="32"/>
      <c r="H362" s="32"/>
      <c r="I362" s="33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25"/>
      <c r="B363" s="45"/>
      <c r="C363" s="32"/>
      <c r="D363" s="46"/>
      <c r="E363" s="46"/>
      <c r="F363" s="47"/>
      <c r="G363" s="32"/>
      <c r="H363" s="32"/>
      <c r="I363" s="33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25"/>
      <c r="B364" s="45"/>
      <c r="C364" s="32"/>
      <c r="D364" s="46"/>
      <c r="E364" s="46"/>
      <c r="F364" s="47"/>
      <c r="G364" s="32"/>
      <c r="H364" s="32"/>
      <c r="I364" s="33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25"/>
      <c r="B365" s="45"/>
      <c r="C365" s="32"/>
      <c r="D365" s="46"/>
      <c r="E365" s="46"/>
      <c r="F365" s="47"/>
      <c r="G365" s="32"/>
      <c r="H365" s="32"/>
      <c r="I365" s="33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25"/>
      <c r="B366" s="45"/>
      <c r="C366" s="32"/>
      <c r="D366" s="46"/>
      <c r="E366" s="46"/>
      <c r="F366" s="47"/>
      <c r="G366" s="32"/>
      <c r="H366" s="32"/>
      <c r="I366" s="33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25"/>
      <c r="B367" s="45"/>
      <c r="C367" s="32"/>
      <c r="D367" s="46"/>
      <c r="E367" s="46"/>
      <c r="F367" s="47"/>
      <c r="G367" s="32"/>
      <c r="H367" s="32"/>
      <c r="I367" s="33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25"/>
      <c r="B368" s="45"/>
      <c r="C368" s="32"/>
      <c r="D368" s="46"/>
      <c r="E368" s="46"/>
      <c r="F368" s="47"/>
      <c r="G368" s="32"/>
      <c r="H368" s="32"/>
      <c r="I368" s="33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25"/>
      <c r="B369" s="45"/>
      <c r="C369" s="32"/>
      <c r="D369" s="46"/>
      <c r="E369" s="46"/>
      <c r="F369" s="47"/>
      <c r="G369" s="32"/>
      <c r="H369" s="32"/>
      <c r="I369" s="33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25"/>
      <c r="B370" s="45"/>
      <c r="C370" s="32"/>
      <c r="D370" s="46"/>
      <c r="E370" s="46"/>
      <c r="F370" s="47"/>
      <c r="G370" s="32"/>
      <c r="H370" s="32"/>
      <c r="I370" s="33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25"/>
      <c r="B371" s="45"/>
      <c r="C371" s="32"/>
      <c r="D371" s="46"/>
      <c r="E371" s="46"/>
      <c r="F371" s="47"/>
      <c r="G371" s="32"/>
      <c r="H371" s="32"/>
      <c r="I371" s="33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25"/>
      <c r="B372" s="45"/>
      <c r="C372" s="32"/>
      <c r="D372" s="46"/>
      <c r="E372" s="46"/>
      <c r="F372" s="47"/>
      <c r="G372" s="32"/>
      <c r="H372" s="32"/>
      <c r="I372" s="33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25"/>
      <c r="B373" s="45"/>
      <c r="C373" s="32"/>
      <c r="D373" s="46"/>
      <c r="E373" s="46"/>
      <c r="F373" s="47"/>
      <c r="G373" s="32"/>
      <c r="H373" s="32"/>
      <c r="I373" s="33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25"/>
      <c r="B374" s="45"/>
      <c r="C374" s="32"/>
      <c r="D374" s="46"/>
      <c r="E374" s="46"/>
      <c r="F374" s="47"/>
      <c r="G374" s="32"/>
      <c r="H374" s="32"/>
      <c r="I374" s="33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25"/>
      <c r="B375" s="45"/>
      <c r="C375" s="32"/>
      <c r="D375" s="46"/>
      <c r="E375" s="46"/>
      <c r="F375" s="47"/>
      <c r="G375" s="32"/>
      <c r="H375" s="32"/>
      <c r="I375" s="33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25"/>
      <c r="B376" s="45"/>
      <c r="C376" s="32"/>
      <c r="D376" s="46"/>
      <c r="E376" s="46"/>
      <c r="F376" s="47"/>
      <c r="G376" s="32"/>
      <c r="H376" s="32"/>
      <c r="I376" s="33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25"/>
      <c r="B377" s="45"/>
      <c r="C377" s="32"/>
      <c r="D377" s="46"/>
      <c r="E377" s="46"/>
      <c r="F377" s="47"/>
      <c r="G377" s="32"/>
      <c r="H377" s="32"/>
      <c r="I377" s="33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25"/>
      <c r="B378" s="45"/>
      <c r="C378" s="32"/>
      <c r="D378" s="46"/>
      <c r="E378" s="46"/>
      <c r="F378" s="47"/>
      <c r="G378" s="32"/>
      <c r="H378" s="32"/>
      <c r="I378" s="33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25"/>
      <c r="B379" s="45"/>
      <c r="C379" s="32"/>
      <c r="D379" s="46"/>
      <c r="E379" s="46"/>
      <c r="F379" s="47"/>
      <c r="G379" s="32"/>
      <c r="H379" s="32"/>
      <c r="I379" s="33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25"/>
      <c r="B380" s="45"/>
      <c r="C380" s="32"/>
      <c r="D380" s="46"/>
      <c r="E380" s="46"/>
      <c r="F380" s="47"/>
      <c r="G380" s="32"/>
      <c r="H380" s="32"/>
      <c r="I380" s="33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25"/>
      <c r="B381" s="45"/>
      <c r="C381" s="32"/>
      <c r="D381" s="46"/>
      <c r="E381" s="46"/>
      <c r="F381" s="47"/>
      <c r="G381" s="32"/>
      <c r="H381" s="32"/>
      <c r="I381" s="33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25"/>
      <c r="B382" s="45"/>
      <c r="C382" s="32"/>
      <c r="D382" s="46"/>
      <c r="E382" s="46"/>
      <c r="F382" s="47"/>
      <c r="G382" s="32"/>
      <c r="H382" s="32"/>
      <c r="I382" s="33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25"/>
      <c r="B383" s="45"/>
      <c r="C383" s="32"/>
      <c r="D383" s="46"/>
      <c r="E383" s="46"/>
      <c r="F383" s="47"/>
      <c r="G383" s="32"/>
      <c r="H383" s="32"/>
      <c r="I383" s="33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25"/>
      <c r="B384" s="45"/>
      <c r="C384" s="32"/>
      <c r="D384" s="46"/>
      <c r="E384" s="46"/>
      <c r="F384" s="47"/>
      <c r="G384" s="32"/>
      <c r="H384" s="32"/>
      <c r="I384" s="33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25"/>
      <c r="B385" s="45"/>
      <c r="C385" s="32"/>
      <c r="D385" s="46"/>
      <c r="E385" s="46"/>
      <c r="F385" s="47"/>
      <c r="G385" s="32"/>
      <c r="H385" s="32"/>
      <c r="I385" s="33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25"/>
      <c r="B386" s="45"/>
      <c r="C386" s="32"/>
      <c r="D386" s="46"/>
      <c r="E386" s="46"/>
      <c r="F386" s="47"/>
      <c r="G386" s="32"/>
      <c r="H386" s="32"/>
      <c r="I386" s="33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25"/>
      <c r="B387" s="45"/>
      <c r="C387" s="32"/>
      <c r="D387" s="46"/>
      <c r="E387" s="46"/>
      <c r="F387" s="47"/>
      <c r="G387" s="32"/>
      <c r="H387" s="32"/>
      <c r="I387" s="33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25"/>
      <c r="B388" s="45"/>
      <c r="C388" s="32"/>
      <c r="D388" s="46"/>
      <c r="E388" s="46"/>
      <c r="F388" s="47"/>
      <c r="G388" s="32"/>
      <c r="H388" s="32"/>
      <c r="I388" s="33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25"/>
      <c r="B389" s="45"/>
      <c r="C389" s="32"/>
      <c r="D389" s="46"/>
      <c r="E389" s="46"/>
      <c r="F389" s="47"/>
      <c r="G389" s="32"/>
      <c r="H389" s="32"/>
      <c r="I389" s="33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25"/>
      <c r="B390" s="45"/>
      <c r="C390" s="32"/>
      <c r="D390" s="46"/>
      <c r="E390" s="46"/>
      <c r="F390" s="47"/>
      <c r="G390" s="32"/>
      <c r="H390" s="32"/>
      <c r="I390" s="33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25"/>
      <c r="B391" s="45"/>
      <c r="C391" s="32"/>
      <c r="D391" s="46"/>
      <c r="E391" s="46"/>
      <c r="F391" s="47"/>
      <c r="G391" s="32"/>
      <c r="H391" s="32"/>
      <c r="I391" s="33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25"/>
      <c r="B392" s="45"/>
      <c r="C392" s="32"/>
      <c r="D392" s="46"/>
      <c r="E392" s="46"/>
      <c r="F392" s="47"/>
      <c r="G392" s="32"/>
      <c r="H392" s="32"/>
      <c r="I392" s="33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25"/>
      <c r="B393" s="45"/>
      <c r="C393" s="32"/>
      <c r="D393" s="46"/>
      <c r="E393" s="46"/>
      <c r="F393" s="47"/>
      <c r="G393" s="32"/>
      <c r="H393" s="32"/>
      <c r="I393" s="33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25"/>
      <c r="B394" s="45"/>
      <c r="C394" s="32"/>
      <c r="D394" s="46"/>
      <c r="E394" s="46"/>
      <c r="F394" s="47"/>
      <c r="G394" s="32"/>
      <c r="H394" s="32"/>
      <c r="I394" s="33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25"/>
      <c r="B395" s="45"/>
      <c r="C395" s="32"/>
      <c r="D395" s="46"/>
      <c r="E395" s="46"/>
      <c r="F395" s="47"/>
      <c r="G395" s="32"/>
      <c r="H395" s="32"/>
      <c r="I395" s="33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25"/>
      <c r="B396" s="45"/>
      <c r="C396" s="32"/>
      <c r="D396" s="46"/>
      <c r="E396" s="46"/>
      <c r="F396" s="47"/>
      <c r="G396" s="32"/>
      <c r="H396" s="32"/>
      <c r="I396" s="33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25"/>
      <c r="B397" s="45"/>
      <c r="C397" s="32"/>
      <c r="D397" s="46"/>
      <c r="E397" s="46"/>
      <c r="F397" s="47"/>
      <c r="G397" s="32"/>
      <c r="H397" s="32"/>
      <c r="I397" s="33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25"/>
      <c r="B398" s="45"/>
      <c r="C398" s="32"/>
      <c r="D398" s="46"/>
      <c r="E398" s="46"/>
      <c r="F398" s="47"/>
      <c r="G398" s="32"/>
      <c r="H398" s="32"/>
      <c r="I398" s="33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25"/>
      <c r="B399" s="45"/>
      <c r="C399" s="32"/>
      <c r="D399" s="46"/>
      <c r="E399" s="46"/>
      <c r="F399" s="47"/>
      <c r="G399" s="32"/>
      <c r="H399" s="32"/>
      <c r="I399" s="33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25"/>
      <c r="B400" s="45"/>
      <c r="C400" s="32"/>
      <c r="D400" s="46"/>
      <c r="E400" s="46"/>
      <c r="F400" s="47"/>
      <c r="G400" s="32"/>
      <c r="H400" s="32"/>
      <c r="I400" s="33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25"/>
      <c r="B401" s="45"/>
      <c r="C401" s="32"/>
      <c r="D401" s="46"/>
      <c r="E401" s="46"/>
      <c r="F401" s="47"/>
      <c r="G401" s="32"/>
      <c r="H401" s="32"/>
      <c r="I401" s="33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25"/>
      <c r="B402" s="45"/>
      <c r="C402" s="32"/>
      <c r="D402" s="46"/>
      <c r="E402" s="46"/>
      <c r="F402" s="47"/>
      <c r="G402" s="32"/>
      <c r="H402" s="32"/>
      <c r="I402" s="33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25"/>
      <c r="B403" s="45"/>
      <c r="C403" s="32"/>
      <c r="D403" s="46"/>
      <c r="E403" s="46"/>
      <c r="F403" s="47"/>
      <c r="G403" s="32"/>
      <c r="H403" s="32"/>
      <c r="I403" s="33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25"/>
      <c r="B404" s="45"/>
      <c r="C404" s="32"/>
      <c r="D404" s="46"/>
      <c r="E404" s="46"/>
      <c r="F404" s="47"/>
      <c r="G404" s="32"/>
      <c r="H404" s="32"/>
      <c r="I404" s="33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25"/>
      <c r="B405" s="45"/>
      <c r="C405" s="32"/>
      <c r="D405" s="46"/>
      <c r="E405" s="46"/>
      <c r="F405" s="47"/>
      <c r="G405" s="32"/>
      <c r="H405" s="32"/>
      <c r="I405" s="33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25"/>
      <c r="B406" s="45"/>
      <c r="C406" s="32"/>
      <c r="D406" s="46"/>
      <c r="E406" s="46"/>
      <c r="F406" s="47"/>
      <c r="G406" s="32"/>
      <c r="H406" s="32"/>
      <c r="I406" s="33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25"/>
      <c r="B407" s="45"/>
      <c r="C407" s="32"/>
      <c r="D407" s="46"/>
      <c r="E407" s="46"/>
      <c r="F407" s="47"/>
      <c r="G407" s="32"/>
      <c r="H407" s="32"/>
      <c r="I407" s="33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25"/>
      <c r="B408" s="45"/>
      <c r="C408" s="32"/>
      <c r="D408" s="46"/>
      <c r="E408" s="46"/>
      <c r="F408" s="47"/>
      <c r="G408" s="32"/>
      <c r="H408" s="32"/>
      <c r="I408" s="33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25"/>
      <c r="B409" s="45"/>
      <c r="C409" s="32"/>
      <c r="D409" s="46"/>
      <c r="E409" s="46"/>
      <c r="F409" s="47"/>
      <c r="G409" s="32"/>
      <c r="H409" s="32"/>
      <c r="I409" s="33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25"/>
      <c r="B410" s="45"/>
      <c r="C410" s="32"/>
      <c r="D410" s="46"/>
      <c r="E410" s="46"/>
      <c r="F410" s="47"/>
      <c r="G410" s="32"/>
      <c r="H410" s="32"/>
      <c r="I410" s="33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25"/>
      <c r="B411" s="45"/>
      <c r="C411" s="32"/>
      <c r="D411" s="46"/>
      <c r="E411" s="46"/>
      <c r="F411" s="47"/>
      <c r="G411" s="32"/>
      <c r="H411" s="32"/>
      <c r="I411" s="33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25"/>
      <c r="B412" s="45"/>
      <c r="C412" s="32"/>
      <c r="D412" s="46"/>
      <c r="E412" s="46"/>
      <c r="F412" s="47"/>
      <c r="G412" s="32"/>
      <c r="H412" s="32"/>
      <c r="I412" s="33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25"/>
      <c r="B413" s="45"/>
      <c r="C413" s="32"/>
      <c r="D413" s="46"/>
      <c r="E413" s="46"/>
      <c r="F413" s="47"/>
      <c r="G413" s="32"/>
      <c r="H413" s="32"/>
      <c r="I413" s="33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25"/>
      <c r="B414" s="45"/>
      <c r="C414" s="32"/>
      <c r="D414" s="46"/>
      <c r="E414" s="46"/>
      <c r="F414" s="47"/>
      <c r="G414" s="32"/>
      <c r="H414" s="32"/>
      <c r="I414" s="33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25"/>
      <c r="B415" s="45"/>
      <c r="C415" s="32"/>
      <c r="D415" s="46"/>
      <c r="E415" s="46"/>
      <c r="F415" s="47"/>
      <c r="G415" s="32"/>
      <c r="H415" s="32"/>
      <c r="I415" s="33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25"/>
      <c r="B416" s="45"/>
      <c r="C416" s="32"/>
      <c r="D416" s="46"/>
      <c r="E416" s="46"/>
      <c r="F416" s="47"/>
      <c r="G416" s="32"/>
      <c r="H416" s="32"/>
      <c r="I416" s="33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25"/>
      <c r="B417" s="45"/>
      <c r="C417" s="32"/>
      <c r="D417" s="46"/>
      <c r="E417" s="46"/>
      <c r="F417" s="47"/>
      <c r="G417" s="32"/>
      <c r="H417" s="32"/>
      <c r="I417" s="33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25"/>
      <c r="B418" s="45"/>
      <c r="C418" s="32"/>
      <c r="D418" s="46"/>
      <c r="E418" s="46"/>
      <c r="F418" s="47"/>
      <c r="G418" s="32"/>
      <c r="H418" s="32"/>
      <c r="I418" s="33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25"/>
      <c r="B419" s="45"/>
      <c r="C419" s="32"/>
      <c r="D419" s="46"/>
      <c r="E419" s="46"/>
      <c r="F419" s="47"/>
      <c r="G419" s="32"/>
      <c r="H419" s="32"/>
      <c r="I419" s="33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25"/>
      <c r="B420" s="45"/>
      <c r="C420" s="32"/>
      <c r="D420" s="46"/>
      <c r="E420" s="46"/>
      <c r="F420" s="47"/>
      <c r="G420" s="32"/>
      <c r="H420" s="32"/>
      <c r="I420" s="33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25"/>
      <c r="B421" s="45"/>
      <c r="C421" s="32"/>
      <c r="D421" s="46"/>
      <c r="E421" s="46"/>
      <c r="F421" s="47"/>
      <c r="G421" s="32"/>
      <c r="H421" s="32"/>
      <c r="I421" s="33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25"/>
      <c r="B422" s="45"/>
      <c r="C422" s="32"/>
      <c r="D422" s="46"/>
      <c r="E422" s="46"/>
      <c r="F422" s="47"/>
      <c r="G422" s="32"/>
      <c r="H422" s="32"/>
      <c r="I422" s="33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25"/>
      <c r="B423" s="45"/>
      <c r="C423" s="32"/>
      <c r="D423" s="46"/>
      <c r="E423" s="46"/>
      <c r="F423" s="47"/>
      <c r="G423" s="32"/>
      <c r="H423" s="32"/>
      <c r="I423" s="33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25"/>
      <c r="B424" s="45"/>
      <c r="C424" s="32"/>
      <c r="D424" s="46"/>
      <c r="E424" s="46"/>
      <c r="F424" s="47"/>
      <c r="G424" s="32"/>
      <c r="H424" s="32"/>
      <c r="I424" s="33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25"/>
      <c r="B425" s="45"/>
      <c r="C425" s="32"/>
      <c r="D425" s="46"/>
      <c r="E425" s="46"/>
      <c r="F425" s="47"/>
      <c r="G425" s="32"/>
      <c r="H425" s="32"/>
      <c r="I425" s="33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25"/>
      <c r="B426" s="45"/>
      <c r="C426" s="32"/>
      <c r="D426" s="46"/>
      <c r="E426" s="46"/>
      <c r="F426" s="47"/>
      <c r="G426" s="32"/>
      <c r="H426" s="32"/>
      <c r="I426" s="33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25"/>
      <c r="B427" s="45"/>
      <c r="C427" s="32"/>
      <c r="D427" s="46"/>
      <c r="E427" s="46"/>
      <c r="F427" s="47"/>
      <c r="G427" s="32"/>
      <c r="H427" s="32"/>
      <c r="I427" s="33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25"/>
      <c r="B428" s="45"/>
      <c r="C428" s="32"/>
      <c r="D428" s="46"/>
      <c r="E428" s="46"/>
      <c r="F428" s="47"/>
      <c r="G428" s="32"/>
      <c r="H428" s="32"/>
      <c r="I428" s="33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25"/>
      <c r="B429" s="45"/>
      <c r="C429" s="32"/>
      <c r="D429" s="46"/>
      <c r="E429" s="46"/>
      <c r="F429" s="47"/>
      <c r="G429" s="32"/>
      <c r="H429" s="32"/>
      <c r="I429" s="33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25"/>
      <c r="B430" s="45"/>
      <c r="C430" s="32"/>
      <c r="D430" s="46"/>
      <c r="E430" s="46"/>
      <c r="F430" s="47"/>
      <c r="G430" s="32"/>
      <c r="H430" s="32"/>
      <c r="I430" s="33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25"/>
      <c r="B431" s="45"/>
      <c r="C431" s="32"/>
      <c r="D431" s="46"/>
      <c r="E431" s="46"/>
      <c r="F431" s="47"/>
      <c r="G431" s="32"/>
      <c r="H431" s="32"/>
      <c r="I431" s="33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25"/>
      <c r="B432" s="45"/>
      <c r="C432" s="32"/>
      <c r="D432" s="46"/>
      <c r="E432" s="46"/>
      <c r="F432" s="47"/>
      <c r="G432" s="32"/>
      <c r="H432" s="32"/>
      <c r="I432" s="33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25"/>
      <c r="B433" s="45"/>
      <c r="C433" s="32"/>
      <c r="D433" s="46"/>
      <c r="E433" s="46"/>
      <c r="F433" s="47"/>
      <c r="G433" s="32"/>
      <c r="H433" s="32"/>
      <c r="I433" s="33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25"/>
      <c r="B434" s="45"/>
      <c r="C434" s="32"/>
      <c r="D434" s="46"/>
      <c r="E434" s="46"/>
      <c r="F434" s="47"/>
      <c r="G434" s="32"/>
      <c r="H434" s="32"/>
      <c r="I434" s="33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25"/>
      <c r="B435" s="45"/>
      <c r="C435" s="32"/>
      <c r="D435" s="46"/>
      <c r="E435" s="46"/>
      <c r="F435" s="47"/>
      <c r="G435" s="32"/>
      <c r="H435" s="32"/>
      <c r="I435" s="33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25"/>
      <c r="B436" s="45"/>
      <c r="C436" s="32"/>
      <c r="D436" s="46"/>
      <c r="E436" s="46"/>
      <c r="F436" s="47"/>
      <c r="G436" s="32"/>
      <c r="H436" s="32"/>
      <c r="I436" s="33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25"/>
      <c r="B437" s="45"/>
      <c r="C437" s="32"/>
      <c r="D437" s="46"/>
      <c r="E437" s="46"/>
      <c r="F437" s="47"/>
      <c r="G437" s="32"/>
      <c r="H437" s="32"/>
      <c r="I437" s="33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25"/>
      <c r="B438" s="45"/>
      <c r="C438" s="32"/>
      <c r="D438" s="46"/>
      <c r="E438" s="46"/>
      <c r="F438" s="47"/>
      <c r="G438" s="32"/>
      <c r="H438" s="32"/>
      <c r="I438" s="33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25"/>
      <c r="B439" s="45"/>
      <c r="C439" s="32"/>
      <c r="D439" s="46"/>
      <c r="E439" s="46"/>
      <c r="F439" s="47"/>
      <c r="G439" s="32"/>
      <c r="H439" s="32"/>
      <c r="I439" s="33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25"/>
      <c r="B440" s="45"/>
      <c r="C440" s="32"/>
      <c r="D440" s="46"/>
      <c r="E440" s="46"/>
      <c r="F440" s="47"/>
      <c r="G440" s="32"/>
      <c r="H440" s="32"/>
      <c r="I440" s="33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25"/>
      <c r="B441" s="45"/>
      <c r="C441" s="32"/>
      <c r="D441" s="46"/>
      <c r="E441" s="46"/>
      <c r="F441" s="47"/>
      <c r="G441" s="32"/>
      <c r="H441" s="32"/>
      <c r="I441" s="33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25"/>
      <c r="B442" s="45"/>
      <c r="C442" s="32"/>
      <c r="D442" s="46"/>
      <c r="E442" s="46"/>
      <c r="F442" s="47"/>
      <c r="G442" s="32"/>
      <c r="H442" s="32"/>
      <c r="I442" s="33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25"/>
      <c r="B443" s="45"/>
      <c r="C443" s="32"/>
      <c r="D443" s="46"/>
      <c r="E443" s="46"/>
      <c r="F443" s="47"/>
      <c r="G443" s="32"/>
      <c r="H443" s="32"/>
      <c r="I443" s="33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25"/>
      <c r="B444" s="45"/>
      <c r="C444" s="32"/>
      <c r="D444" s="46"/>
      <c r="E444" s="46"/>
      <c r="F444" s="47"/>
      <c r="G444" s="32"/>
      <c r="H444" s="32"/>
      <c r="I444" s="33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25"/>
      <c r="B445" s="45"/>
      <c r="C445" s="32"/>
      <c r="D445" s="46"/>
      <c r="E445" s="46"/>
      <c r="F445" s="47"/>
      <c r="G445" s="32"/>
      <c r="H445" s="32"/>
      <c r="I445" s="33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25"/>
      <c r="B446" s="45"/>
      <c r="C446" s="32"/>
      <c r="D446" s="46"/>
      <c r="E446" s="46"/>
      <c r="F446" s="47"/>
      <c r="G446" s="32"/>
      <c r="H446" s="32"/>
      <c r="I446" s="33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25"/>
      <c r="B447" s="45"/>
      <c r="C447" s="32"/>
      <c r="D447" s="46"/>
      <c r="E447" s="46"/>
      <c r="F447" s="47"/>
      <c r="G447" s="32"/>
      <c r="H447" s="32"/>
      <c r="I447" s="33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25"/>
      <c r="B448" s="45"/>
      <c r="C448" s="32"/>
      <c r="D448" s="46"/>
      <c r="E448" s="46"/>
      <c r="F448" s="47"/>
      <c r="G448" s="32"/>
      <c r="H448" s="32"/>
      <c r="I448" s="33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25"/>
      <c r="B449" s="45"/>
      <c r="C449" s="32"/>
      <c r="D449" s="46"/>
      <c r="E449" s="46"/>
      <c r="F449" s="47"/>
      <c r="G449" s="32"/>
      <c r="H449" s="32"/>
      <c r="I449" s="33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25"/>
      <c r="B450" s="45"/>
      <c r="C450" s="32"/>
      <c r="D450" s="46"/>
      <c r="E450" s="46"/>
      <c r="F450" s="47"/>
      <c r="G450" s="32"/>
      <c r="H450" s="32"/>
      <c r="I450" s="33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25"/>
      <c r="B451" s="45"/>
      <c r="C451" s="32"/>
      <c r="D451" s="46"/>
      <c r="E451" s="46"/>
      <c r="F451" s="47"/>
      <c r="G451" s="32"/>
      <c r="H451" s="32"/>
      <c r="I451" s="33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25"/>
      <c r="B452" s="45"/>
      <c r="C452" s="32"/>
      <c r="D452" s="46"/>
      <c r="E452" s="46"/>
      <c r="F452" s="47"/>
      <c r="G452" s="32"/>
      <c r="H452" s="32"/>
      <c r="I452" s="33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25"/>
      <c r="B453" s="45"/>
      <c r="C453" s="32"/>
      <c r="D453" s="46"/>
      <c r="E453" s="46"/>
      <c r="F453" s="47"/>
      <c r="G453" s="32"/>
      <c r="H453" s="32"/>
      <c r="I453" s="33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25"/>
      <c r="B454" s="45"/>
      <c r="C454" s="32"/>
      <c r="D454" s="46"/>
      <c r="E454" s="46"/>
      <c r="F454" s="47"/>
      <c r="G454" s="32"/>
      <c r="H454" s="32"/>
      <c r="I454" s="33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25"/>
      <c r="B455" s="45"/>
      <c r="C455" s="32"/>
      <c r="D455" s="46"/>
      <c r="E455" s="46"/>
      <c r="F455" s="47"/>
      <c r="G455" s="32"/>
      <c r="H455" s="32"/>
      <c r="I455" s="33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25"/>
      <c r="B456" s="45"/>
      <c r="C456" s="32"/>
      <c r="D456" s="46"/>
      <c r="E456" s="46"/>
      <c r="F456" s="47"/>
      <c r="G456" s="32"/>
      <c r="H456" s="32"/>
      <c r="I456" s="33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25"/>
      <c r="B457" s="45"/>
      <c r="C457" s="32"/>
      <c r="D457" s="46"/>
      <c r="E457" s="46"/>
      <c r="F457" s="47"/>
      <c r="G457" s="32"/>
      <c r="H457" s="32"/>
      <c r="I457" s="33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25"/>
      <c r="B458" s="45"/>
      <c r="C458" s="32"/>
      <c r="D458" s="46"/>
      <c r="E458" s="46"/>
      <c r="F458" s="47"/>
      <c r="G458" s="32"/>
      <c r="H458" s="32"/>
      <c r="I458" s="33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25"/>
      <c r="B459" s="45"/>
      <c r="C459" s="32"/>
      <c r="D459" s="46"/>
      <c r="E459" s="46"/>
      <c r="F459" s="47"/>
      <c r="G459" s="32"/>
      <c r="H459" s="32"/>
      <c r="I459" s="33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25"/>
      <c r="B460" s="45"/>
      <c r="C460" s="32"/>
      <c r="D460" s="46"/>
      <c r="E460" s="46"/>
      <c r="F460" s="47"/>
      <c r="G460" s="32"/>
      <c r="H460" s="32"/>
      <c r="I460" s="33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25"/>
      <c r="B461" s="45"/>
      <c r="C461" s="32"/>
      <c r="D461" s="46"/>
      <c r="E461" s="46"/>
      <c r="F461" s="47"/>
      <c r="G461" s="32"/>
      <c r="H461" s="32"/>
      <c r="I461" s="33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25"/>
      <c r="B462" s="45"/>
      <c r="C462" s="32"/>
      <c r="D462" s="46"/>
      <c r="E462" s="46"/>
      <c r="F462" s="47"/>
      <c r="G462" s="32"/>
      <c r="H462" s="32"/>
      <c r="I462" s="33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25"/>
      <c r="B463" s="45"/>
      <c r="C463" s="32"/>
      <c r="D463" s="46"/>
      <c r="E463" s="46"/>
      <c r="F463" s="47"/>
      <c r="G463" s="32"/>
      <c r="H463" s="32"/>
      <c r="I463" s="33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25"/>
      <c r="B464" s="45"/>
      <c r="C464" s="32"/>
      <c r="D464" s="46"/>
      <c r="E464" s="46"/>
      <c r="F464" s="47"/>
      <c r="G464" s="32"/>
      <c r="H464" s="32"/>
      <c r="I464" s="33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25"/>
      <c r="B465" s="45"/>
      <c r="C465" s="32"/>
      <c r="D465" s="46"/>
      <c r="E465" s="46"/>
      <c r="F465" s="47"/>
      <c r="G465" s="32"/>
      <c r="H465" s="32"/>
      <c r="I465" s="33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25"/>
      <c r="B466" s="45"/>
      <c r="C466" s="32"/>
      <c r="D466" s="46"/>
      <c r="E466" s="46"/>
      <c r="F466" s="47"/>
      <c r="G466" s="32"/>
      <c r="H466" s="32"/>
      <c r="I466" s="33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25"/>
      <c r="B467" s="45"/>
      <c r="C467" s="32"/>
      <c r="D467" s="46"/>
      <c r="E467" s="46"/>
      <c r="F467" s="47"/>
      <c r="G467" s="32"/>
      <c r="H467" s="32"/>
      <c r="I467" s="33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25"/>
      <c r="B468" s="45"/>
      <c r="C468" s="32"/>
      <c r="D468" s="46"/>
      <c r="E468" s="46"/>
      <c r="F468" s="47"/>
      <c r="G468" s="32"/>
      <c r="H468" s="32"/>
      <c r="I468" s="33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25"/>
      <c r="B469" s="45"/>
      <c r="C469" s="32"/>
      <c r="D469" s="46"/>
      <c r="E469" s="46"/>
      <c r="F469" s="47"/>
      <c r="G469" s="32"/>
      <c r="H469" s="32"/>
      <c r="I469" s="33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25"/>
      <c r="B470" s="45"/>
      <c r="C470" s="32"/>
      <c r="D470" s="46"/>
      <c r="E470" s="46"/>
      <c r="F470" s="47"/>
      <c r="G470" s="32"/>
      <c r="H470" s="32"/>
      <c r="I470" s="33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25"/>
      <c r="B471" s="45"/>
      <c r="C471" s="32"/>
      <c r="D471" s="46"/>
      <c r="E471" s="46"/>
      <c r="F471" s="47"/>
      <c r="G471" s="32"/>
      <c r="H471" s="32"/>
      <c r="I471" s="33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25"/>
      <c r="B472" s="45"/>
      <c r="C472" s="32"/>
      <c r="D472" s="46"/>
      <c r="E472" s="46"/>
      <c r="F472" s="47"/>
      <c r="G472" s="32"/>
      <c r="H472" s="32"/>
      <c r="I472" s="33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25"/>
      <c r="B473" s="45"/>
      <c r="C473" s="32"/>
      <c r="D473" s="46"/>
      <c r="E473" s="46"/>
      <c r="F473" s="47"/>
      <c r="G473" s="32"/>
      <c r="H473" s="32"/>
      <c r="I473" s="33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25"/>
      <c r="B474" s="45"/>
      <c r="C474" s="32"/>
      <c r="D474" s="46"/>
      <c r="E474" s="46"/>
      <c r="F474" s="47"/>
      <c r="G474" s="32"/>
      <c r="H474" s="32"/>
      <c r="I474" s="33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25"/>
      <c r="B475" s="45"/>
      <c r="C475" s="32"/>
      <c r="D475" s="46"/>
      <c r="E475" s="46"/>
      <c r="F475" s="47"/>
      <c r="G475" s="32"/>
      <c r="H475" s="32"/>
      <c r="I475" s="33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25"/>
      <c r="B476" s="45"/>
      <c r="C476" s="32"/>
      <c r="D476" s="46"/>
      <c r="E476" s="46"/>
      <c r="F476" s="47"/>
      <c r="G476" s="32"/>
      <c r="H476" s="32"/>
      <c r="I476" s="33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25"/>
      <c r="B477" s="45"/>
      <c r="C477" s="32"/>
      <c r="D477" s="46"/>
      <c r="E477" s="46"/>
      <c r="F477" s="47"/>
      <c r="G477" s="32"/>
      <c r="H477" s="32"/>
      <c r="I477" s="33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25"/>
      <c r="B478" s="45"/>
      <c r="C478" s="32"/>
      <c r="D478" s="46"/>
      <c r="E478" s="46"/>
      <c r="F478" s="47"/>
      <c r="G478" s="32"/>
      <c r="H478" s="32"/>
      <c r="I478" s="33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25"/>
      <c r="B479" s="45"/>
      <c r="C479" s="32"/>
      <c r="D479" s="46"/>
      <c r="E479" s="46"/>
      <c r="F479" s="47"/>
      <c r="G479" s="32"/>
      <c r="H479" s="32"/>
      <c r="I479" s="33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25"/>
      <c r="B480" s="45"/>
      <c r="C480" s="32"/>
      <c r="D480" s="46"/>
      <c r="E480" s="46"/>
      <c r="F480" s="47"/>
      <c r="G480" s="32"/>
      <c r="H480" s="32"/>
      <c r="I480" s="33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25"/>
      <c r="B481" s="45"/>
      <c r="C481" s="32"/>
      <c r="D481" s="46"/>
      <c r="E481" s="46"/>
      <c r="F481" s="47"/>
      <c r="G481" s="32"/>
      <c r="H481" s="32"/>
      <c r="I481" s="33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25"/>
      <c r="B482" s="45"/>
      <c r="C482" s="32"/>
      <c r="D482" s="46"/>
      <c r="E482" s="46"/>
      <c r="F482" s="47"/>
      <c r="G482" s="32"/>
      <c r="H482" s="32"/>
      <c r="I482" s="33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25"/>
      <c r="B483" s="45"/>
      <c r="C483" s="32"/>
      <c r="D483" s="46"/>
      <c r="E483" s="46"/>
      <c r="F483" s="47"/>
      <c r="G483" s="32"/>
      <c r="H483" s="32"/>
      <c r="I483" s="33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25"/>
      <c r="B484" s="45"/>
      <c r="C484" s="32"/>
      <c r="D484" s="46"/>
      <c r="E484" s="46"/>
      <c r="F484" s="47"/>
      <c r="G484" s="32"/>
      <c r="H484" s="32"/>
      <c r="I484" s="33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25"/>
      <c r="B485" s="45"/>
      <c r="C485" s="32"/>
      <c r="D485" s="46"/>
      <c r="E485" s="46"/>
      <c r="F485" s="47"/>
      <c r="G485" s="32"/>
      <c r="H485" s="32"/>
      <c r="I485" s="33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25"/>
      <c r="B486" s="45"/>
      <c r="C486" s="32"/>
      <c r="D486" s="46"/>
      <c r="E486" s="46"/>
      <c r="F486" s="47"/>
      <c r="G486" s="32"/>
      <c r="H486" s="32"/>
      <c r="I486" s="33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25"/>
      <c r="B487" s="45"/>
      <c r="C487" s="32"/>
      <c r="D487" s="46"/>
      <c r="E487" s="46"/>
      <c r="F487" s="47"/>
      <c r="G487" s="32"/>
      <c r="H487" s="32"/>
      <c r="I487" s="33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25"/>
      <c r="B488" s="45"/>
      <c r="C488" s="32"/>
      <c r="D488" s="46"/>
      <c r="E488" s="46"/>
      <c r="F488" s="47"/>
      <c r="G488" s="32"/>
      <c r="H488" s="32"/>
      <c r="I488" s="33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25"/>
      <c r="B489" s="45"/>
      <c r="C489" s="32"/>
      <c r="D489" s="46"/>
      <c r="E489" s="46"/>
      <c r="F489" s="47"/>
      <c r="G489" s="32"/>
      <c r="H489" s="32"/>
      <c r="I489" s="33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25"/>
      <c r="B490" s="45"/>
      <c r="C490" s="32"/>
      <c r="D490" s="46"/>
      <c r="E490" s="46"/>
      <c r="F490" s="47"/>
      <c r="G490" s="32"/>
      <c r="H490" s="32"/>
      <c r="I490" s="33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25"/>
      <c r="B491" s="45"/>
      <c r="C491" s="32"/>
      <c r="D491" s="46"/>
      <c r="E491" s="46"/>
      <c r="F491" s="47"/>
      <c r="G491" s="32"/>
      <c r="H491" s="32"/>
      <c r="I491" s="33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25"/>
      <c r="B492" s="45"/>
      <c r="C492" s="32"/>
      <c r="D492" s="46"/>
      <c r="E492" s="46"/>
      <c r="F492" s="47"/>
      <c r="G492" s="32"/>
      <c r="H492" s="32"/>
      <c r="I492" s="33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25"/>
      <c r="B493" s="45"/>
      <c r="C493" s="32"/>
      <c r="D493" s="46"/>
      <c r="E493" s="46"/>
      <c r="F493" s="47"/>
      <c r="G493" s="32"/>
      <c r="H493" s="32"/>
      <c r="I493" s="33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25"/>
      <c r="B494" s="45"/>
      <c r="C494" s="32"/>
      <c r="D494" s="46"/>
      <c r="E494" s="46"/>
      <c r="F494" s="47"/>
      <c r="G494" s="32"/>
      <c r="H494" s="32"/>
      <c r="I494" s="33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25"/>
      <c r="B495" s="45"/>
      <c r="C495" s="32"/>
      <c r="D495" s="46"/>
      <c r="E495" s="46"/>
      <c r="F495" s="47"/>
      <c r="G495" s="32"/>
      <c r="H495" s="32"/>
      <c r="I495" s="33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25"/>
      <c r="B496" s="45"/>
      <c r="C496" s="32"/>
      <c r="D496" s="46"/>
      <c r="E496" s="46"/>
      <c r="F496" s="47"/>
      <c r="G496" s="32"/>
      <c r="H496" s="32"/>
      <c r="I496" s="33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25"/>
      <c r="B497" s="45"/>
      <c r="C497" s="32"/>
      <c r="D497" s="46"/>
      <c r="E497" s="46"/>
      <c r="F497" s="47"/>
      <c r="G497" s="32"/>
      <c r="H497" s="32"/>
      <c r="I497" s="33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25"/>
      <c r="B498" s="45"/>
      <c r="C498" s="32"/>
      <c r="D498" s="46"/>
      <c r="E498" s="46"/>
      <c r="F498" s="47"/>
      <c r="G498" s="32"/>
      <c r="H498" s="32"/>
      <c r="I498" s="33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25"/>
      <c r="B499" s="45"/>
      <c r="C499" s="32"/>
      <c r="D499" s="46"/>
      <c r="E499" s="46"/>
      <c r="F499" s="47"/>
      <c r="G499" s="32"/>
      <c r="H499" s="32"/>
      <c r="I499" s="33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25"/>
      <c r="B500" s="45"/>
      <c r="C500" s="32"/>
      <c r="D500" s="46"/>
      <c r="E500" s="46"/>
      <c r="F500" s="47"/>
      <c r="G500" s="32"/>
      <c r="H500" s="32"/>
      <c r="I500" s="33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25"/>
      <c r="B501" s="45"/>
      <c r="C501" s="32"/>
      <c r="D501" s="46"/>
      <c r="E501" s="46"/>
      <c r="F501" s="47"/>
      <c r="G501" s="32"/>
      <c r="H501" s="32"/>
      <c r="I501" s="33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25"/>
      <c r="B502" s="45"/>
      <c r="C502" s="32"/>
      <c r="D502" s="46"/>
      <c r="E502" s="46"/>
      <c r="F502" s="47"/>
      <c r="G502" s="32"/>
      <c r="H502" s="32"/>
      <c r="I502" s="33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25"/>
      <c r="B503" s="45"/>
      <c r="C503" s="32"/>
      <c r="D503" s="46"/>
      <c r="E503" s="46"/>
      <c r="F503" s="47"/>
      <c r="G503" s="32"/>
      <c r="H503" s="32"/>
      <c r="I503" s="33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25"/>
      <c r="B504" s="45"/>
      <c r="C504" s="32"/>
      <c r="D504" s="46"/>
      <c r="E504" s="46"/>
      <c r="F504" s="47"/>
      <c r="G504" s="32"/>
      <c r="H504" s="32"/>
      <c r="I504" s="33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25"/>
      <c r="B505" s="45"/>
      <c r="C505" s="32"/>
      <c r="D505" s="46"/>
      <c r="E505" s="46"/>
      <c r="F505" s="47"/>
      <c r="G505" s="32"/>
      <c r="H505" s="32"/>
      <c r="I505" s="33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25"/>
      <c r="B506" s="45"/>
      <c r="C506" s="32"/>
      <c r="D506" s="46"/>
      <c r="E506" s="46"/>
      <c r="F506" s="47"/>
      <c r="G506" s="32"/>
      <c r="H506" s="32"/>
      <c r="I506" s="33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25"/>
      <c r="B507" s="45"/>
      <c r="C507" s="32"/>
      <c r="D507" s="46"/>
      <c r="E507" s="46"/>
      <c r="F507" s="47"/>
      <c r="G507" s="32"/>
      <c r="H507" s="32"/>
      <c r="I507" s="33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25"/>
      <c r="B508" s="45"/>
      <c r="C508" s="32"/>
      <c r="D508" s="46"/>
      <c r="E508" s="46"/>
      <c r="F508" s="47"/>
      <c r="G508" s="32"/>
      <c r="H508" s="32"/>
      <c r="I508" s="33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25"/>
      <c r="B509" s="45"/>
      <c r="C509" s="32"/>
      <c r="D509" s="46"/>
      <c r="E509" s="46"/>
      <c r="F509" s="47"/>
      <c r="G509" s="32"/>
      <c r="H509" s="32"/>
      <c r="I509" s="33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25"/>
      <c r="B510" s="45"/>
      <c r="C510" s="32"/>
      <c r="D510" s="46"/>
      <c r="E510" s="46"/>
      <c r="F510" s="47"/>
      <c r="G510" s="32"/>
      <c r="H510" s="32"/>
      <c r="I510" s="33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25"/>
      <c r="B511" s="45"/>
      <c r="C511" s="32"/>
      <c r="D511" s="46"/>
      <c r="E511" s="46"/>
      <c r="F511" s="47"/>
      <c r="G511" s="32"/>
      <c r="H511" s="32"/>
      <c r="I511" s="33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25"/>
      <c r="B512" s="45"/>
      <c r="C512" s="32"/>
      <c r="D512" s="46"/>
      <c r="E512" s="46"/>
      <c r="F512" s="47"/>
      <c r="G512" s="32"/>
      <c r="H512" s="32"/>
      <c r="I512" s="33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25"/>
      <c r="B513" s="45"/>
      <c r="C513" s="32"/>
      <c r="D513" s="46"/>
      <c r="E513" s="46"/>
      <c r="F513" s="47"/>
      <c r="G513" s="32"/>
      <c r="H513" s="32"/>
      <c r="I513" s="33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25"/>
      <c r="B514" s="45"/>
      <c r="C514" s="32"/>
      <c r="D514" s="46"/>
      <c r="E514" s="46"/>
      <c r="F514" s="47"/>
      <c r="G514" s="32"/>
      <c r="H514" s="32"/>
      <c r="I514" s="33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25"/>
      <c r="B515" s="45"/>
      <c r="C515" s="32"/>
      <c r="D515" s="46"/>
      <c r="E515" s="46"/>
      <c r="F515" s="47"/>
      <c r="G515" s="32"/>
      <c r="H515" s="32"/>
      <c r="I515" s="33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25"/>
      <c r="B516" s="45"/>
      <c r="C516" s="32"/>
      <c r="D516" s="46"/>
      <c r="E516" s="46"/>
      <c r="F516" s="47"/>
      <c r="G516" s="32"/>
      <c r="H516" s="32"/>
      <c r="I516" s="33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25"/>
      <c r="B517" s="45"/>
      <c r="C517" s="32"/>
      <c r="D517" s="46"/>
      <c r="E517" s="46"/>
      <c r="F517" s="47"/>
      <c r="G517" s="32"/>
      <c r="H517" s="32"/>
      <c r="I517" s="33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25"/>
      <c r="B518" s="45"/>
      <c r="C518" s="32"/>
      <c r="D518" s="46"/>
      <c r="E518" s="46"/>
      <c r="F518" s="47"/>
      <c r="G518" s="32"/>
      <c r="H518" s="32"/>
      <c r="I518" s="33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25"/>
      <c r="B519" s="45"/>
      <c r="C519" s="32"/>
      <c r="D519" s="46"/>
      <c r="E519" s="46"/>
      <c r="F519" s="47"/>
      <c r="G519" s="32"/>
      <c r="H519" s="32"/>
      <c r="I519" s="33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25"/>
      <c r="B520" s="45"/>
      <c r="C520" s="32"/>
      <c r="D520" s="46"/>
      <c r="E520" s="46"/>
      <c r="F520" s="47"/>
      <c r="G520" s="32"/>
      <c r="H520" s="32"/>
      <c r="I520" s="33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25"/>
      <c r="B521" s="45"/>
      <c r="C521" s="32"/>
      <c r="D521" s="46"/>
      <c r="E521" s="46"/>
      <c r="F521" s="47"/>
      <c r="G521" s="32"/>
      <c r="H521" s="32"/>
      <c r="I521" s="33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25"/>
      <c r="B522" s="45"/>
      <c r="C522" s="32"/>
      <c r="D522" s="46"/>
      <c r="E522" s="46"/>
      <c r="F522" s="47"/>
      <c r="G522" s="32"/>
      <c r="H522" s="32"/>
      <c r="I522" s="33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25"/>
      <c r="B523" s="45"/>
      <c r="C523" s="32"/>
      <c r="D523" s="46"/>
      <c r="E523" s="46"/>
      <c r="F523" s="47"/>
      <c r="G523" s="32"/>
      <c r="H523" s="32"/>
      <c r="I523" s="33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25"/>
      <c r="B524" s="45"/>
      <c r="C524" s="32"/>
      <c r="D524" s="46"/>
      <c r="E524" s="46"/>
      <c r="F524" s="47"/>
      <c r="G524" s="32"/>
      <c r="H524" s="32"/>
      <c r="I524" s="33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25"/>
      <c r="B525" s="45"/>
      <c r="C525" s="32"/>
      <c r="D525" s="46"/>
      <c r="E525" s="46"/>
      <c r="F525" s="47"/>
      <c r="G525" s="32"/>
      <c r="H525" s="32"/>
      <c r="I525" s="33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25"/>
      <c r="B526" s="45"/>
      <c r="C526" s="32"/>
      <c r="D526" s="46"/>
      <c r="E526" s="46"/>
      <c r="F526" s="47"/>
      <c r="G526" s="32"/>
      <c r="H526" s="32"/>
      <c r="I526" s="33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25"/>
      <c r="B527" s="45"/>
      <c r="C527" s="32"/>
      <c r="D527" s="46"/>
      <c r="E527" s="46"/>
      <c r="F527" s="47"/>
      <c r="G527" s="32"/>
      <c r="H527" s="32"/>
      <c r="I527" s="33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25"/>
      <c r="B528" s="45"/>
      <c r="C528" s="32"/>
      <c r="D528" s="46"/>
      <c r="E528" s="46"/>
      <c r="F528" s="47"/>
      <c r="G528" s="32"/>
      <c r="H528" s="32"/>
      <c r="I528" s="33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25"/>
      <c r="B529" s="45"/>
      <c r="C529" s="32"/>
      <c r="D529" s="46"/>
      <c r="E529" s="46"/>
      <c r="F529" s="47"/>
      <c r="G529" s="32"/>
      <c r="H529" s="32"/>
      <c r="I529" s="33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25"/>
      <c r="B530" s="45"/>
      <c r="C530" s="32"/>
      <c r="D530" s="46"/>
      <c r="E530" s="46"/>
      <c r="F530" s="47"/>
      <c r="G530" s="32"/>
      <c r="H530" s="32"/>
      <c r="I530" s="33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25"/>
      <c r="B531" s="45"/>
      <c r="C531" s="32"/>
      <c r="D531" s="46"/>
      <c r="E531" s="46"/>
      <c r="F531" s="47"/>
      <c r="G531" s="32"/>
      <c r="H531" s="32"/>
      <c r="I531" s="33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25"/>
      <c r="B532" s="45"/>
      <c r="C532" s="32"/>
      <c r="D532" s="46"/>
      <c r="E532" s="46"/>
      <c r="F532" s="47"/>
      <c r="G532" s="32"/>
      <c r="H532" s="32"/>
      <c r="I532" s="33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25"/>
      <c r="B533" s="45"/>
      <c r="C533" s="32"/>
      <c r="D533" s="46"/>
      <c r="E533" s="46"/>
      <c r="F533" s="47"/>
      <c r="G533" s="32"/>
      <c r="H533" s="32"/>
      <c r="I533" s="33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25"/>
      <c r="B534" s="45"/>
      <c r="C534" s="32"/>
      <c r="D534" s="46"/>
      <c r="E534" s="46"/>
      <c r="F534" s="47"/>
      <c r="G534" s="32"/>
      <c r="H534" s="32"/>
      <c r="I534" s="33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25"/>
      <c r="B535" s="45"/>
      <c r="C535" s="32"/>
      <c r="D535" s="46"/>
      <c r="E535" s="46"/>
      <c r="F535" s="47"/>
      <c r="G535" s="32"/>
      <c r="H535" s="32"/>
      <c r="I535" s="33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25"/>
      <c r="B536" s="45"/>
      <c r="C536" s="32"/>
      <c r="D536" s="46"/>
      <c r="E536" s="46"/>
      <c r="F536" s="47"/>
      <c r="G536" s="32"/>
      <c r="H536" s="32"/>
      <c r="I536" s="33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25"/>
      <c r="B537" s="45"/>
      <c r="C537" s="32"/>
      <c r="D537" s="46"/>
      <c r="E537" s="46"/>
      <c r="F537" s="47"/>
      <c r="G537" s="32"/>
      <c r="H537" s="32"/>
      <c r="I537" s="33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25"/>
      <c r="B538" s="45"/>
      <c r="C538" s="32"/>
      <c r="D538" s="46"/>
      <c r="E538" s="46"/>
      <c r="F538" s="47"/>
      <c r="G538" s="32"/>
      <c r="H538" s="32"/>
      <c r="I538" s="33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25"/>
      <c r="B539" s="45"/>
      <c r="C539" s="32"/>
      <c r="D539" s="46"/>
      <c r="E539" s="46"/>
      <c r="F539" s="47"/>
      <c r="G539" s="32"/>
      <c r="H539" s="32"/>
      <c r="I539" s="33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25"/>
      <c r="B540" s="45"/>
      <c r="C540" s="32"/>
      <c r="D540" s="46"/>
      <c r="E540" s="46"/>
      <c r="F540" s="47"/>
      <c r="G540" s="32"/>
      <c r="H540" s="32"/>
      <c r="I540" s="33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25"/>
      <c r="B541" s="45"/>
      <c r="C541" s="32"/>
      <c r="D541" s="46"/>
      <c r="E541" s="46"/>
      <c r="F541" s="47"/>
      <c r="G541" s="32"/>
      <c r="H541" s="32"/>
      <c r="I541" s="33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25"/>
      <c r="B542" s="45"/>
      <c r="C542" s="32"/>
      <c r="D542" s="46"/>
      <c r="E542" s="46"/>
      <c r="F542" s="47"/>
      <c r="G542" s="32"/>
      <c r="H542" s="32"/>
      <c r="I542" s="33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25"/>
      <c r="B543" s="45"/>
      <c r="C543" s="32"/>
      <c r="D543" s="46"/>
      <c r="E543" s="46"/>
      <c r="F543" s="47"/>
      <c r="G543" s="32"/>
      <c r="H543" s="32"/>
      <c r="I543" s="33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25"/>
      <c r="B544" s="45"/>
      <c r="C544" s="32"/>
      <c r="D544" s="46"/>
      <c r="E544" s="46"/>
      <c r="F544" s="47"/>
      <c r="G544" s="32"/>
      <c r="H544" s="32"/>
      <c r="I544" s="33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25"/>
      <c r="B545" s="45"/>
      <c r="C545" s="32"/>
      <c r="D545" s="46"/>
      <c r="E545" s="46"/>
      <c r="F545" s="47"/>
      <c r="G545" s="32"/>
      <c r="H545" s="32"/>
      <c r="I545" s="33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25"/>
      <c r="B546" s="45"/>
      <c r="C546" s="32"/>
      <c r="D546" s="46"/>
      <c r="E546" s="46"/>
      <c r="F546" s="47"/>
      <c r="G546" s="32"/>
      <c r="H546" s="32"/>
      <c r="I546" s="33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25"/>
      <c r="B547" s="45"/>
      <c r="C547" s="32"/>
      <c r="D547" s="46"/>
      <c r="E547" s="46"/>
      <c r="F547" s="47"/>
      <c r="G547" s="32"/>
      <c r="H547" s="32"/>
      <c r="I547" s="33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25"/>
      <c r="B548" s="45"/>
      <c r="C548" s="32"/>
      <c r="D548" s="46"/>
      <c r="E548" s="46"/>
      <c r="F548" s="47"/>
      <c r="G548" s="32"/>
      <c r="H548" s="32"/>
      <c r="I548" s="33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25"/>
      <c r="B549" s="45"/>
      <c r="C549" s="32"/>
      <c r="D549" s="46"/>
      <c r="E549" s="46"/>
      <c r="F549" s="47"/>
      <c r="G549" s="32"/>
      <c r="H549" s="32"/>
      <c r="I549" s="33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25"/>
      <c r="B550" s="45"/>
      <c r="C550" s="32"/>
      <c r="D550" s="46"/>
      <c r="E550" s="46"/>
      <c r="F550" s="47"/>
      <c r="G550" s="32"/>
      <c r="H550" s="32"/>
      <c r="I550" s="33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25"/>
      <c r="B551" s="45"/>
      <c r="C551" s="32"/>
      <c r="D551" s="46"/>
      <c r="E551" s="46"/>
      <c r="F551" s="47"/>
      <c r="G551" s="32"/>
      <c r="H551" s="32"/>
      <c r="I551" s="33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25"/>
      <c r="B552" s="45"/>
      <c r="C552" s="32"/>
      <c r="D552" s="46"/>
      <c r="E552" s="46"/>
      <c r="F552" s="47"/>
      <c r="G552" s="32"/>
      <c r="H552" s="32"/>
      <c r="I552" s="33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25"/>
      <c r="B553" s="45"/>
      <c r="C553" s="32"/>
      <c r="D553" s="46"/>
      <c r="E553" s="46"/>
      <c r="F553" s="47"/>
      <c r="G553" s="32"/>
      <c r="H553" s="32"/>
      <c r="I553" s="33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25"/>
      <c r="B554" s="45"/>
      <c r="C554" s="32"/>
      <c r="D554" s="46"/>
      <c r="E554" s="46"/>
      <c r="F554" s="47"/>
      <c r="G554" s="32"/>
      <c r="H554" s="32"/>
      <c r="I554" s="33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25"/>
      <c r="B555" s="45"/>
      <c r="C555" s="32"/>
      <c r="D555" s="46"/>
      <c r="E555" s="46"/>
      <c r="F555" s="47"/>
      <c r="G555" s="32"/>
      <c r="H555" s="32"/>
      <c r="I555" s="33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25"/>
      <c r="B556" s="45"/>
      <c r="C556" s="32"/>
      <c r="D556" s="46"/>
      <c r="E556" s="46"/>
      <c r="F556" s="47"/>
      <c r="G556" s="32"/>
      <c r="H556" s="32"/>
      <c r="I556" s="33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25"/>
      <c r="B557" s="45"/>
      <c r="C557" s="32"/>
      <c r="D557" s="46"/>
      <c r="E557" s="46"/>
      <c r="F557" s="47"/>
      <c r="G557" s="32"/>
      <c r="H557" s="32"/>
      <c r="I557" s="33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25"/>
      <c r="B558" s="45"/>
      <c r="C558" s="32"/>
      <c r="D558" s="46"/>
      <c r="E558" s="46"/>
      <c r="F558" s="47"/>
      <c r="G558" s="32"/>
      <c r="H558" s="32"/>
      <c r="I558" s="33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25"/>
      <c r="B559" s="45"/>
      <c r="C559" s="32"/>
      <c r="D559" s="46"/>
      <c r="E559" s="46"/>
      <c r="F559" s="47"/>
      <c r="G559" s="32"/>
      <c r="H559" s="32"/>
      <c r="I559" s="33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25"/>
      <c r="B560" s="45"/>
      <c r="C560" s="32"/>
      <c r="D560" s="46"/>
      <c r="E560" s="46"/>
      <c r="F560" s="47"/>
      <c r="G560" s="32"/>
      <c r="H560" s="32"/>
      <c r="I560" s="33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25"/>
      <c r="B561" s="45"/>
      <c r="C561" s="32"/>
      <c r="D561" s="46"/>
      <c r="E561" s="46"/>
      <c r="F561" s="47"/>
      <c r="G561" s="32"/>
      <c r="H561" s="32"/>
      <c r="I561" s="33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25"/>
      <c r="B562" s="45"/>
      <c r="C562" s="32"/>
      <c r="D562" s="46"/>
      <c r="E562" s="46"/>
      <c r="F562" s="47"/>
      <c r="G562" s="32"/>
      <c r="H562" s="32"/>
      <c r="I562" s="33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25"/>
      <c r="B563" s="45"/>
      <c r="C563" s="32"/>
      <c r="D563" s="46"/>
      <c r="E563" s="46"/>
      <c r="F563" s="47"/>
      <c r="G563" s="32"/>
      <c r="H563" s="32"/>
      <c r="I563" s="33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25"/>
      <c r="B564" s="45"/>
      <c r="C564" s="32"/>
      <c r="D564" s="46"/>
      <c r="E564" s="46"/>
      <c r="F564" s="47"/>
      <c r="G564" s="32"/>
      <c r="H564" s="32"/>
      <c r="I564" s="33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25"/>
      <c r="B565" s="45"/>
      <c r="C565" s="32"/>
      <c r="D565" s="46"/>
      <c r="E565" s="46"/>
      <c r="F565" s="47"/>
      <c r="G565" s="32"/>
      <c r="H565" s="32"/>
      <c r="I565" s="33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25"/>
      <c r="B566" s="45"/>
      <c r="C566" s="32"/>
      <c r="D566" s="46"/>
      <c r="E566" s="46"/>
      <c r="F566" s="47"/>
      <c r="G566" s="32"/>
      <c r="H566" s="32"/>
      <c r="I566" s="33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25"/>
      <c r="B567" s="45"/>
      <c r="C567" s="32"/>
      <c r="D567" s="46"/>
      <c r="E567" s="46"/>
      <c r="F567" s="47"/>
      <c r="G567" s="32"/>
      <c r="H567" s="32"/>
      <c r="I567" s="33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25"/>
      <c r="B568" s="45"/>
      <c r="C568" s="32"/>
      <c r="D568" s="46"/>
      <c r="E568" s="46"/>
      <c r="F568" s="47"/>
      <c r="G568" s="32"/>
      <c r="H568" s="32"/>
      <c r="I568" s="33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25"/>
      <c r="B569" s="45"/>
      <c r="C569" s="32"/>
      <c r="D569" s="46"/>
      <c r="E569" s="46"/>
      <c r="F569" s="47"/>
      <c r="G569" s="32"/>
      <c r="H569" s="32"/>
      <c r="I569" s="33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25"/>
      <c r="B570" s="45"/>
      <c r="C570" s="32"/>
      <c r="D570" s="46"/>
      <c r="E570" s="46"/>
      <c r="F570" s="47"/>
      <c r="G570" s="32"/>
      <c r="H570" s="32"/>
      <c r="I570" s="33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25"/>
      <c r="B571" s="45"/>
      <c r="C571" s="32"/>
      <c r="D571" s="46"/>
      <c r="E571" s="46"/>
      <c r="F571" s="47"/>
      <c r="G571" s="32"/>
      <c r="H571" s="32"/>
      <c r="I571" s="33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25"/>
      <c r="B572" s="45"/>
      <c r="C572" s="32"/>
      <c r="D572" s="46"/>
      <c r="E572" s="46"/>
      <c r="F572" s="47"/>
      <c r="G572" s="32"/>
      <c r="H572" s="32"/>
      <c r="I572" s="33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25"/>
      <c r="B573" s="45"/>
      <c r="C573" s="32"/>
      <c r="D573" s="46"/>
      <c r="E573" s="46"/>
      <c r="F573" s="47"/>
      <c r="G573" s="32"/>
      <c r="H573" s="32"/>
      <c r="I573" s="33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25"/>
      <c r="B574" s="45"/>
      <c r="C574" s="32"/>
      <c r="D574" s="46"/>
      <c r="E574" s="46"/>
      <c r="F574" s="47"/>
      <c r="G574" s="32"/>
      <c r="H574" s="32"/>
      <c r="I574" s="33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25"/>
      <c r="B575" s="45"/>
      <c r="C575" s="32"/>
      <c r="D575" s="46"/>
      <c r="E575" s="46"/>
      <c r="F575" s="47"/>
      <c r="G575" s="32"/>
      <c r="H575" s="32"/>
      <c r="I575" s="33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25"/>
      <c r="B576" s="45"/>
      <c r="C576" s="32"/>
      <c r="D576" s="46"/>
      <c r="E576" s="46"/>
      <c r="F576" s="47"/>
      <c r="G576" s="32"/>
      <c r="H576" s="32"/>
      <c r="I576" s="33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25"/>
      <c r="B577" s="45"/>
      <c r="C577" s="32"/>
      <c r="D577" s="46"/>
      <c r="E577" s="46"/>
      <c r="F577" s="47"/>
      <c r="G577" s="32"/>
      <c r="H577" s="32"/>
      <c r="I577" s="33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25"/>
      <c r="B578" s="45"/>
      <c r="C578" s="32"/>
      <c r="D578" s="46"/>
      <c r="E578" s="46"/>
      <c r="F578" s="47"/>
      <c r="G578" s="32"/>
      <c r="H578" s="32"/>
      <c r="I578" s="33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25"/>
      <c r="B579" s="45"/>
      <c r="C579" s="32"/>
      <c r="D579" s="46"/>
      <c r="E579" s="46"/>
      <c r="F579" s="47"/>
      <c r="G579" s="32"/>
      <c r="H579" s="32"/>
      <c r="I579" s="33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25"/>
      <c r="B580" s="45"/>
      <c r="C580" s="32"/>
      <c r="D580" s="46"/>
      <c r="E580" s="46"/>
      <c r="F580" s="47"/>
      <c r="G580" s="32"/>
      <c r="H580" s="32"/>
      <c r="I580" s="33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25"/>
      <c r="B581" s="45"/>
      <c r="C581" s="32"/>
      <c r="D581" s="46"/>
      <c r="E581" s="46"/>
      <c r="F581" s="47"/>
      <c r="G581" s="32"/>
      <c r="H581" s="32"/>
      <c r="I581" s="33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25"/>
      <c r="B582" s="45"/>
      <c r="C582" s="32"/>
      <c r="D582" s="46"/>
      <c r="E582" s="46"/>
      <c r="F582" s="47"/>
      <c r="G582" s="32"/>
      <c r="H582" s="32"/>
      <c r="I582" s="33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25"/>
      <c r="B583" s="45"/>
      <c r="C583" s="32"/>
      <c r="D583" s="46"/>
      <c r="E583" s="46"/>
      <c r="F583" s="47"/>
      <c r="G583" s="32"/>
      <c r="H583" s="32"/>
      <c r="I583" s="33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25"/>
      <c r="B584" s="45"/>
      <c r="C584" s="32"/>
      <c r="D584" s="46"/>
      <c r="E584" s="46"/>
      <c r="F584" s="47"/>
      <c r="G584" s="32"/>
      <c r="H584" s="32"/>
      <c r="I584" s="33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25"/>
      <c r="B585" s="45"/>
      <c r="C585" s="32"/>
      <c r="D585" s="46"/>
      <c r="E585" s="46"/>
      <c r="F585" s="47"/>
      <c r="G585" s="32"/>
      <c r="H585" s="32"/>
      <c r="I585" s="33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25"/>
      <c r="B586" s="45"/>
      <c r="C586" s="32"/>
      <c r="D586" s="46"/>
      <c r="E586" s="46"/>
      <c r="F586" s="47"/>
      <c r="G586" s="32"/>
      <c r="H586" s="32"/>
      <c r="I586" s="33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25"/>
      <c r="B587" s="45"/>
      <c r="C587" s="32"/>
      <c r="D587" s="46"/>
      <c r="E587" s="46"/>
      <c r="F587" s="47"/>
      <c r="G587" s="32"/>
      <c r="H587" s="32"/>
      <c r="I587" s="33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25"/>
      <c r="B588" s="45"/>
      <c r="C588" s="32"/>
      <c r="D588" s="46"/>
      <c r="E588" s="46"/>
      <c r="F588" s="47"/>
      <c r="G588" s="32"/>
      <c r="H588" s="32"/>
      <c r="I588" s="33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25"/>
      <c r="B589" s="45"/>
      <c r="C589" s="32"/>
      <c r="D589" s="46"/>
      <c r="E589" s="46"/>
      <c r="F589" s="47"/>
      <c r="G589" s="32"/>
      <c r="H589" s="32"/>
      <c r="I589" s="33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25"/>
      <c r="B590" s="45"/>
      <c r="C590" s="32"/>
      <c r="D590" s="46"/>
      <c r="E590" s="46"/>
      <c r="F590" s="47"/>
      <c r="G590" s="32"/>
      <c r="H590" s="32"/>
      <c r="I590" s="33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25"/>
      <c r="B591" s="45"/>
      <c r="C591" s="32"/>
      <c r="D591" s="46"/>
      <c r="E591" s="46"/>
      <c r="F591" s="47"/>
      <c r="G591" s="32"/>
      <c r="H591" s="32"/>
      <c r="I591" s="33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25"/>
      <c r="B592" s="45"/>
      <c r="C592" s="32"/>
      <c r="D592" s="46"/>
      <c r="E592" s="46"/>
      <c r="F592" s="47"/>
      <c r="G592" s="32"/>
      <c r="H592" s="32"/>
      <c r="I592" s="33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25"/>
      <c r="B593" s="45"/>
      <c r="C593" s="32"/>
      <c r="D593" s="46"/>
      <c r="E593" s="46"/>
      <c r="F593" s="47"/>
      <c r="G593" s="32"/>
      <c r="H593" s="32"/>
      <c r="I593" s="33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25"/>
      <c r="B594" s="45"/>
      <c r="C594" s="32"/>
      <c r="D594" s="46"/>
      <c r="E594" s="46"/>
      <c r="F594" s="47"/>
      <c r="G594" s="32"/>
      <c r="H594" s="32"/>
      <c r="I594" s="33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25"/>
      <c r="B595" s="45"/>
      <c r="C595" s="32"/>
      <c r="D595" s="46"/>
      <c r="E595" s="46"/>
      <c r="F595" s="47"/>
      <c r="G595" s="32"/>
      <c r="H595" s="32"/>
      <c r="I595" s="33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25"/>
      <c r="B596" s="45"/>
      <c r="C596" s="32"/>
      <c r="D596" s="46"/>
      <c r="E596" s="46"/>
      <c r="F596" s="47"/>
      <c r="G596" s="32"/>
      <c r="H596" s="32"/>
      <c r="I596" s="33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25"/>
      <c r="B597" s="45"/>
      <c r="C597" s="32"/>
      <c r="D597" s="46"/>
      <c r="E597" s="46"/>
      <c r="F597" s="47"/>
      <c r="G597" s="32"/>
      <c r="H597" s="32"/>
      <c r="I597" s="33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25"/>
      <c r="B598" s="45"/>
      <c r="C598" s="32"/>
      <c r="D598" s="46"/>
      <c r="E598" s="46"/>
      <c r="F598" s="47"/>
      <c r="G598" s="32"/>
      <c r="H598" s="32"/>
      <c r="I598" s="33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25"/>
      <c r="B599" s="45"/>
      <c r="C599" s="32"/>
      <c r="D599" s="46"/>
      <c r="E599" s="46"/>
      <c r="F599" s="47"/>
      <c r="G599" s="32"/>
      <c r="H599" s="32"/>
      <c r="I599" s="33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25"/>
      <c r="B600" s="45"/>
      <c r="C600" s="32"/>
      <c r="D600" s="46"/>
      <c r="E600" s="46"/>
      <c r="F600" s="47"/>
      <c r="G600" s="32"/>
      <c r="H600" s="32"/>
      <c r="I600" s="33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25"/>
      <c r="B601" s="45"/>
      <c r="C601" s="32"/>
      <c r="D601" s="46"/>
      <c r="E601" s="46"/>
      <c r="F601" s="47"/>
      <c r="G601" s="32"/>
      <c r="H601" s="32"/>
      <c r="I601" s="33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25"/>
      <c r="B602" s="45"/>
      <c r="C602" s="32"/>
      <c r="D602" s="46"/>
      <c r="E602" s="46"/>
      <c r="F602" s="47"/>
      <c r="G602" s="32"/>
      <c r="H602" s="32"/>
      <c r="I602" s="33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25"/>
      <c r="B603" s="45"/>
      <c r="C603" s="32"/>
      <c r="D603" s="46"/>
      <c r="E603" s="46"/>
      <c r="F603" s="47"/>
      <c r="G603" s="32"/>
      <c r="H603" s="32"/>
      <c r="I603" s="33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25"/>
      <c r="B604" s="45"/>
      <c r="C604" s="32"/>
      <c r="D604" s="46"/>
      <c r="E604" s="46"/>
      <c r="F604" s="47"/>
      <c r="G604" s="32"/>
      <c r="H604" s="32"/>
      <c r="I604" s="33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25"/>
      <c r="B605" s="45"/>
      <c r="C605" s="32"/>
      <c r="D605" s="46"/>
      <c r="E605" s="46"/>
      <c r="F605" s="47"/>
      <c r="G605" s="32"/>
      <c r="H605" s="32"/>
      <c r="I605" s="33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25"/>
      <c r="B606" s="45"/>
      <c r="C606" s="32"/>
      <c r="D606" s="46"/>
      <c r="E606" s="46"/>
      <c r="F606" s="47"/>
      <c r="G606" s="32"/>
      <c r="H606" s="32"/>
      <c r="I606" s="33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25"/>
      <c r="B607" s="45"/>
      <c r="C607" s="32"/>
      <c r="D607" s="46"/>
      <c r="E607" s="46"/>
      <c r="F607" s="47"/>
      <c r="G607" s="32"/>
      <c r="H607" s="32"/>
      <c r="I607" s="33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25"/>
      <c r="B608" s="45"/>
      <c r="C608" s="32"/>
      <c r="D608" s="46"/>
      <c r="E608" s="46"/>
      <c r="F608" s="47"/>
      <c r="G608" s="32"/>
      <c r="H608" s="32"/>
      <c r="I608" s="33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25"/>
      <c r="B609" s="45"/>
      <c r="C609" s="32"/>
      <c r="D609" s="46"/>
      <c r="E609" s="46"/>
      <c r="F609" s="47"/>
      <c r="G609" s="32"/>
      <c r="H609" s="32"/>
      <c r="I609" s="33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25"/>
      <c r="B610" s="45"/>
      <c r="C610" s="32"/>
      <c r="D610" s="46"/>
      <c r="E610" s="46"/>
      <c r="F610" s="47"/>
      <c r="G610" s="32"/>
      <c r="H610" s="32"/>
      <c r="I610" s="33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25"/>
      <c r="B611" s="45"/>
      <c r="C611" s="32"/>
      <c r="D611" s="46"/>
      <c r="E611" s="46"/>
      <c r="F611" s="47"/>
      <c r="G611" s="32"/>
      <c r="H611" s="32"/>
      <c r="I611" s="33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25"/>
      <c r="B612" s="45"/>
      <c r="C612" s="32"/>
      <c r="D612" s="46"/>
      <c r="E612" s="46"/>
      <c r="F612" s="47"/>
      <c r="G612" s="32"/>
      <c r="H612" s="32"/>
      <c r="I612" s="33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25"/>
      <c r="B613" s="45"/>
      <c r="C613" s="32"/>
      <c r="D613" s="46"/>
      <c r="E613" s="46"/>
      <c r="F613" s="47"/>
      <c r="G613" s="32"/>
      <c r="H613" s="32"/>
      <c r="I613" s="33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25"/>
      <c r="B614" s="45"/>
      <c r="C614" s="32"/>
      <c r="D614" s="46"/>
      <c r="E614" s="46"/>
      <c r="F614" s="47"/>
      <c r="G614" s="32"/>
      <c r="H614" s="32"/>
      <c r="I614" s="33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25"/>
      <c r="B615" s="45"/>
      <c r="C615" s="32"/>
      <c r="D615" s="46"/>
      <c r="E615" s="46"/>
      <c r="F615" s="47"/>
      <c r="G615" s="32"/>
      <c r="H615" s="32"/>
      <c r="I615" s="33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25"/>
      <c r="B616" s="45"/>
      <c r="C616" s="32"/>
      <c r="D616" s="46"/>
      <c r="E616" s="46"/>
      <c r="F616" s="47"/>
      <c r="G616" s="32"/>
      <c r="H616" s="32"/>
      <c r="I616" s="33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25"/>
      <c r="B617" s="45"/>
      <c r="C617" s="32"/>
      <c r="D617" s="46"/>
      <c r="E617" s="46"/>
      <c r="F617" s="47"/>
      <c r="G617" s="32"/>
      <c r="H617" s="32"/>
      <c r="I617" s="33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25"/>
      <c r="B618" s="45"/>
      <c r="C618" s="32"/>
      <c r="D618" s="46"/>
      <c r="E618" s="46"/>
      <c r="F618" s="47"/>
      <c r="G618" s="32"/>
      <c r="H618" s="32"/>
      <c r="I618" s="33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25"/>
      <c r="B619" s="45"/>
      <c r="C619" s="32"/>
      <c r="D619" s="46"/>
      <c r="E619" s="46"/>
      <c r="F619" s="47"/>
      <c r="G619" s="32"/>
      <c r="H619" s="32"/>
      <c r="I619" s="33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25"/>
      <c r="B620" s="45"/>
      <c r="C620" s="32"/>
      <c r="D620" s="46"/>
      <c r="E620" s="46"/>
      <c r="F620" s="47"/>
      <c r="G620" s="32"/>
      <c r="H620" s="32"/>
      <c r="I620" s="33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25"/>
      <c r="B621" s="45"/>
      <c r="C621" s="32"/>
      <c r="D621" s="46"/>
      <c r="E621" s="46"/>
      <c r="F621" s="47"/>
      <c r="G621" s="32"/>
      <c r="H621" s="32"/>
      <c r="I621" s="33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25"/>
      <c r="B622" s="45"/>
      <c r="C622" s="32"/>
      <c r="D622" s="46"/>
      <c r="E622" s="46"/>
      <c r="F622" s="47"/>
      <c r="G622" s="32"/>
      <c r="H622" s="32"/>
      <c r="I622" s="33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25"/>
      <c r="B623" s="45"/>
      <c r="C623" s="32"/>
      <c r="D623" s="46"/>
      <c r="E623" s="46"/>
      <c r="F623" s="47"/>
      <c r="G623" s="32"/>
      <c r="H623" s="32"/>
      <c r="I623" s="33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25"/>
      <c r="B624" s="45"/>
      <c r="C624" s="32"/>
      <c r="D624" s="46"/>
      <c r="E624" s="46"/>
      <c r="F624" s="47"/>
      <c r="G624" s="32"/>
      <c r="H624" s="32"/>
      <c r="I624" s="33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25"/>
      <c r="B625" s="45"/>
      <c r="C625" s="32"/>
      <c r="D625" s="46"/>
      <c r="E625" s="46"/>
      <c r="F625" s="47"/>
      <c r="G625" s="32"/>
      <c r="H625" s="32"/>
      <c r="I625" s="33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25"/>
      <c r="B626" s="45"/>
      <c r="C626" s="32"/>
      <c r="D626" s="46"/>
      <c r="E626" s="46"/>
      <c r="F626" s="47"/>
      <c r="G626" s="32"/>
      <c r="H626" s="32"/>
      <c r="I626" s="33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25"/>
      <c r="B627" s="45"/>
      <c r="C627" s="32"/>
      <c r="D627" s="46"/>
      <c r="E627" s="46"/>
      <c r="F627" s="47"/>
      <c r="G627" s="32"/>
      <c r="H627" s="32"/>
      <c r="I627" s="33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25"/>
      <c r="B628" s="45"/>
      <c r="C628" s="32"/>
      <c r="D628" s="46"/>
      <c r="E628" s="46"/>
      <c r="F628" s="47"/>
      <c r="G628" s="32"/>
      <c r="H628" s="32"/>
      <c r="I628" s="33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25"/>
      <c r="B629" s="45"/>
      <c r="C629" s="32"/>
      <c r="D629" s="46"/>
      <c r="E629" s="46"/>
      <c r="F629" s="47"/>
      <c r="G629" s="32"/>
      <c r="H629" s="32"/>
      <c r="I629" s="33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25"/>
      <c r="B630" s="45"/>
      <c r="C630" s="32"/>
      <c r="D630" s="46"/>
      <c r="E630" s="46"/>
      <c r="F630" s="47"/>
      <c r="G630" s="32"/>
      <c r="H630" s="32"/>
      <c r="I630" s="33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25"/>
      <c r="B631" s="45"/>
      <c r="C631" s="32"/>
      <c r="D631" s="46"/>
      <c r="E631" s="46"/>
      <c r="F631" s="47"/>
      <c r="G631" s="32"/>
      <c r="H631" s="32"/>
      <c r="I631" s="33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25"/>
      <c r="B632" s="45"/>
      <c r="C632" s="32"/>
      <c r="D632" s="46"/>
      <c r="E632" s="46"/>
      <c r="F632" s="47"/>
      <c r="G632" s="32"/>
      <c r="H632" s="32"/>
      <c r="I632" s="33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25"/>
      <c r="B633" s="45"/>
      <c r="C633" s="32"/>
      <c r="D633" s="46"/>
      <c r="E633" s="46"/>
      <c r="F633" s="47"/>
      <c r="G633" s="32"/>
      <c r="H633" s="32"/>
      <c r="I633" s="33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25"/>
      <c r="B634" s="45"/>
      <c r="C634" s="32"/>
      <c r="D634" s="46"/>
      <c r="E634" s="46"/>
      <c r="F634" s="47"/>
      <c r="G634" s="32"/>
      <c r="H634" s="32"/>
      <c r="I634" s="33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25"/>
      <c r="B635" s="45"/>
      <c r="C635" s="32"/>
      <c r="D635" s="46"/>
      <c r="E635" s="46"/>
      <c r="F635" s="47"/>
      <c r="G635" s="32"/>
      <c r="H635" s="32"/>
      <c r="I635" s="33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25"/>
      <c r="B636" s="45"/>
      <c r="C636" s="32"/>
      <c r="D636" s="46"/>
      <c r="E636" s="46"/>
      <c r="F636" s="47"/>
      <c r="G636" s="32"/>
      <c r="H636" s="32"/>
      <c r="I636" s="33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25"/>
      <c r="B637" s="45"/>
      <c r="C637" s="32"/>
      <c r="D637" s="46"/>
      <c r="E637" s="46"/>
      <c r="F637" s="47"/>
      <c r="G637" s="32"/>
      <c r="H637" s="32"/>
      <c r="I637" s="33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25"/>
      <c r="B638" s="45"/>
      <c r="C638" s="32"/>
      <c r="D638" s="46"/>
      <c r="E638" s="46"/>
      <c r="F638" s="47"/>
      <c r="G638" s="32"/>
      <c r="H638" s="32"/>
      <c r="I638" s="33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25"/>
      <c r="B639" s="45"/>
      <c r="C639" s="32"/>
      <c r="D639" s="46"/>
      <c r="E639" s="46"/>
      <c r="F639" s="47"/>
      <c r="G639" s="32"/>
      <c r="H639" s="32"/>
      <c r="I639" s="33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25"/>
      <c r="B640" s="45"/>
      <c r="C640" s="32"/>
      <c r="D640" s="46"/>
      <c r="E640" s="46"/>
      <c r="F640" s="47"/>
      <c r="G640" s="32"/>
      <c r="H640" s="32"/>
      <c r="I640" s="33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25"/>
      <c r="B641" s="45"/>
      <c r="C641" s="32"/>
      <c r="D641" s="46"/>
      <c r="E641" s="46"/>
      <c r="F641" s="47"/>
      <c r="G641" s="32"/>
      <c r="H641" s="32"/>
      <c r="I641" s="33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25"/>
      <c r="B642" s="45"/>
      <c r="C642" s="32"/>
      <c r="D642" s="46"/>
      <c r="E642" s="46"/>
      <c r="F642" s="47"/>
      <c r="G642" s="32"/>
      <c r="H642" s="32"/>
      <c r="I642" s="33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25"/>
      <c r="B643" s="45"/>
      <c r="C643" s="32"/>
      <c r="D643" s="46"/>
      <c r="E643" s="46"/>
      <c r="F643" s="47"/>
      <c r="G643" s="32"/>
      <c r="H643" s="32"/>
      <c r="I643" s="33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25"/>
      <c r="B644" s="45"/>
      <c r="C644" s="32"/>
      <c r="D644" s="46"/>
      <c r="E644" s="46"/>
      <c r="F644" s="47"/>
      <c r="G644" s="32"/>
      <c r="H644" s="32"/>
      <c r="I644" s="33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25"/>
      <c r="B645" s="45"/>
      <c r="C645" s="32"/>
      <c r="D645" s="46"/>
      <c r="E645" s="46"/>
      <c r="F645" s="47"/>
      <c r="G645" s="32"/>
      <c r="H645" s="32"/>
      <c r="I645" s="33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25"/>
      <c r="B646" s="45"/>
      <c r="C646" s="32"/>
      <c r="D646" s="46"/>
      <c r="E646" s="46"/>
      <c r="F646" s="47"/>
      <c r="G646" s="32"/>
      <c r="H646" s="32"/>
      <c r="I646" s="33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25"/>
      <c r="B647" s="45"/>
      <c r="C647" s="32"/>
      <c r="D647" s="46"/>
      <c r="E647" s="46"/>
      <c r="F647" s="47"/>
      <c r="G647" s="32"/>
      <c r="H647" s="32"/>
      <c r="I647" s="33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25"/>
      <c r="B648" s="45"/>
      <c r="C648" s="32"/>
      <c r="D648" s="46"/>
      <c r="E648" s="46"/>
      <c r="F648" s="47"/>
      <c r="G648" s="32"/>
      <c r="H648" s="32"/>
      <c r="I648" s="33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25"/>
      <c r="B649" s="45"/>
      <c r="C649" s="32"/>
      <c r="D649" s="46"/>
      <c r="E649" s="46"/>
      <c r="F649" s="47"/>
      <c r="G649" s="32"/>
      <c r="H649" s="32"/>
      <c r="I649" s="33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25"/>
      <c r="B650" s="45"/>
      <c r="C650" s="32"/>
      <c r="D650" s="46"/>
      <c r="E650" s="46"/>
      <c r="F650" s="47"/>
      <c r="G650" s="32"/>
      <c r="H650" s="32"/>
      <c r="I650" s="33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25"/>
      <c r="B651" s="45"/>
      <c r="C651" s="32"/>
      <c r="D651" s="46"/>
      <c r="E651" s="46"/>
      <c r="F651" s="47"/>
      <c r="G651" s="32"/>
      <c r="H651" s="32"/>
      <c r="I651" s="33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25"/>
      <c r="B652" s="45"/>
      <c r="C652" s="32"/>
      <c r="D652" s="46"/>
      <c r="E652" s="46"/>
      <c r="F652" s="47"/>
      <c r="G652" s="32"/>
      <c r="H652" s="32"/>
      <c r="I652" s="33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25"/>
      <c r="B653" s="45"/>
      <c r="C653" s="32"/>
      <c r="D653" s="46"/>
      <c r="E653" s="46"/>
      <c r="F653" s="47"/>
      <c r="G653" s="32"/>
      <c r="H653" s="32"/>
      <c r="I653" s="33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25"/>
      <c r="B654" s="45"/>
      <c r="C654" s="32"/>
      <c r="D654" s="46"/>
      <c r="E654" s="46"/>
      <c r="F654" s="47"/>
      <c r="G654" s="32"/>
      <c r="H654" s="32"/>
      <c r="I654" s="33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25"/>
      <c r="B655" s="45"/>
      <c r="C655" s="32"/>
      <c r="D655" s="46"/>
      <c r="E655" s="46"/>
      <c r="F655" s="47"/>
      <c r="G655" s="32"/>
      <c r="H655" s="32"/>
      <c r="I655" s="33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25"/>
      <c r="B656" s="45"/>
      <c r="C656" s="32"/>
      <c r="D656" s="46"/>
      <c r="E656" s="46"/>
      <c r="F656" s="47"/>
      <c r="G656" s="32"/>
      <c r="H656" s="32"/>
      <c r="I656" s="33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25"/>
      <c r="B657" s="45"/>
      <c r="C657" s="32"/>
      <c r="D657" s="46"/>
      <c r="E657" s="46"/>
      <c r="F657" s="47"/>
      <c r="G657" s="32"/>
      <c r="H657" s="32"/>
      <c r="I657" s="33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25"/>
      <c r="B658" s="45"/>
      <c r="C658" s="32"/>
      <c r="D658" s="46"/>
      <c r="E658" s="46"/>
      <c r="F658" s="47"/>
      <c r="G658" s="32"/>
      <c r="H658" s="32"/>
      <c r="I658" s="33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25"/>
      <c r="B659" s="45"/>
      <c r="C659" s="32"/>
      <c r="D659" s="46"/>
      <c r="E659" s="46"/>
      <c r="F659" s="47"/>
      <c r="G659" s="32"/>
      <c r="H659" s="32"/>
      <c r="I659" s="33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25"/>
      <c r="B660" s="45"/>
      <c r="C660" s="32"/>
      <c r="D660" s="46"/>
      <c r="E660" s="46"/>
      <c r="F660" s="47"/>
      <c r="G660" s="32"/>
      <c r="H660" s="32"/>
      <c r="I660" s="33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25"/>
      <c r="B661" s="45"/>
      <c r="C661" s="32"/>
      <c r="D661" s="46"/>
      <c r="E661" s="46"/>
      <c r="F661" s="47"/>
      <c r="G661" s="32"/>
      <c r="H661" s="32"/>
      <c r="I661" s="33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25"/>
      <c r="B662" s="45"/>
      <c r="C662" s="32"/>
      <c r="D662" s="46"/>
      <c r="E662" s="46"/>
      <c r="F662" s="47"/>
      <c r="G662" s="32"/>
      <c r="H662" s="32"/>
      <c r="I662" s="33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25"/>
      <c r="B663" s="45"/>
      <c r="C663" s="32"/>
      <c r="D663" s="46"/>
      <c r="E663" s="46"/>
      <c r="F663" s="47"/>
      <c r="G663" s="32"/>
      <c r="H663" s="32"/>
      <c r="I663" s="33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25"/>
      <c r="B664" s="45"/>
      <c r="C664" s="32"/>
      <c r="D664" s="46"/>
      <c r="E664" s="46"/>
      <c r="F664" s="47"/>
      <c r="G664" s="32"/>
      <c r="H664" s="32"/>
      <c r="I664" s="33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25"/>
      <c r="B665" s="45"/>
      <c r="C665" s="32"/>
      <c r="D665" s="46"/>
      <c r="E665" s="46"/>
      <c r="F665" s="47"/>
      <c r="G665" s="32"/>
      <c r="H665" s="32"/>
      <c r="I665" s="33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25"/>
      <c r="B666" s="45"/>
      <c r="C666" s="32"/>
      <c r="D666" s="46"/>
      <c r="E666" s="46"/>
      <c r="F666" s="47"/>
      <c r="G666" s="32"/>
      <c r="H666" s="32"/>
      <c r="I666" s="33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25"/>
      <c r="B667" s="45"/>
      <c r="C667" s="32"/>
      <c r="D667" s="46"/>
      <c r="E667" s="46"/>
      <c r="F667" s="47"/>
      <c r="G667" s="32"/>
      <c r="H667" s="32"/>
      <c r="I667" s="33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25"/>
      <c r="B668" s="45"/>
      <c r="C668" s="32"/>
      <c r="D668" s="46"/>
      <c r="E668" s="46"/>
      <c r="F668" s="47"/>
      <c r="G668" s="32"/>
      <c r="H668" s="32"/>
      <c r="I668" s="33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25"/>
      <c r="B669" s="45"/>
      <c r="C669" s="32"/>
      <c r="D669" s="46"/>
      <c r="E669" s="46"/>
      <c r="F669" s="47"/>
      <c r="G669" s="32"/>
      <c r="H669" s="32"/>
      <c r="I669" s="33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25"/>
      <c r="B670" s="45"/>
      <c r="C670" s="32"/>
      <c r="D670" s="46"/>
      <c r="E670" s="46"/>
      <c r="F670" s="47"/>
      <c r="G670" s="32"/>
      <c r="H670" s="32"/>
      <c r="I670" s="33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25"/>
      <c r="B671" s="45"/>
      <c r="C671" s="32"/>
      <c r="D671" s="46"/>
      <c r="E671" s="46"/>
      <c r="F671" s="47"/>
      <c r="G671" s="32"/>
      <c r="H671" s="32"/>
      <c r="I671" s="33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25"/>
      <c r="B672" s="45"/>
      <c r="C672" s="32"/>
      <c r="D672" s="46"/>
      <c r="E672" s="46"/>
      <c r="F672" s="47"/>
      <c r="G672" s="32"/>
      <c r="H672" s="32"/>
      <c r="I672" s="33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25"/>
      <c r="B673" s="45"/>
      <c r="C673" s="32"/>
      <c r="D673" s="46"/>
      <c r="E673" s="46"/>
      <c r="F673" s="47"/>
      <c r="G673" s="32"/>
      <c r="H673" s="32"/>
      <c r="I673" s="33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25"/>
      <c r="B674" s="45"/>
      <c r="C674" s="32"/>
      <c r="D674" s="46"/>
      <c r="E674" s="46"/>
      <c r="F674" s="47"/>
      <c r="G674" s="32"/>
      <c r="H674" s="32"/>
      <c r="I674" s="33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25"/>
      <c r="B675" s="45"/>
      <c r="C675" s="32"/>
      <c r="D675" s="46"/>
      <c r="E675" s="46"/>
      <c r="F675" s="47"/>
      <c r="G675" s="32"/>
      <c r="H675" s="32"/>
      <c r="I675" s="33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25"/>
      <c r="B676" s="45"/>
      <c r="C676" s="32"/>
      <c r="D676" s="46"/>
      <c r="E676" s="46"/>
      <c r="F676" s="47"/>
      <c r="G676" s="32"/>
      <c r="H676" s="32"/>
      <c r="I676" s="33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25"/>
      <c r="B677" s="45"/>
      <c r="C677" s="32"/>
      <c r="D677" s="46"/>
      <c r="E677" s="46"/>
      <c r="F677" s="47"/>
      <c r="G677" s="32"/>
      <c r="H677" s="32"/>
      <c r="I677" s="33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25"/>
      <c r="B678" s="45"/>
      <c r="C678" s="32"/>
      <c r="D678" s="46"/>
      <c r="E678" s="46"/>
      <c r="F678" s="47"/>
      <c r="G678" s="32"/>
      <c r="H678" s="32"/>
      <c r="I678" s="33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25"/>
      <c r="B679" s="45"/>
      <c r="C679" s="32"/>
      <c r="D679" s="46"/>
      <c r="E679" s="46"/>
      <c r="F679" s="47"/>
      <c r="G679" s="32"/>
      <c r="H679" s="32"/>
      <c r="I679" s="33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25"/>
      <c r="B680" s="45"/>
      <c r="C680" s="32"/>
      <c r="D680" s="46"/>
      <c r="E680" s="46"/>
      <c r="F680" s="47"/>
      <c r="G680" s="32"/>
      <c r="H680" s="32"/>
      <c r="I680" s="33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25"/>
      <c r="B681" s="45"/>
      <c r="C681" s="32"/>
      <c r="D681" s="46"/>
      <c r="E681" s="46"/>
      <c r="F681" s="47"/>
      <c r="G681" s="32"/>
      <c r="H681" s="32"/>
      <c r="I681" s="33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25"/>
      <c r="B682" s="45"/>
      <c r="C682" s="32"/>
      <c r="D682" s="46"/>
      <c r="E682" s="46"/>
      <c r="F682" s="47"/>
      <c r="G682" s="32"/>
      <c r="H682" s="32"/>
      <c r="I682" s="33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25"/>
      <c r="B683" s="45"/>
      <c r="C683" s="32"/>
      <c r="D683" s="46"/>
      <c r="E683" s="46"/>
      <c r="F683" s="47"/>
      <c r="G683" s="32"/>
      <c r="H683" s="32"/>
      <c r="I683" s="33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25"/>
      <c r="B684" s="45"/>
      <c r="C684" s="32"/>
      <c r="D684" s="46"/>
      <c r="E684" s="46"/>
      <c r="F684" s="47"/>
      <c r="G684" s="32"/>
      <c r="H684" s="32"/>
      <c r="I684" s="33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25"/>
      <c r="B685" s="45"/>
      <c r="C685" s="32"/>
      <c r="D685" s="46"/>
      <c r="E685" s="46"/>
      <c r="F685" s="47"/>
      <c r="G685" s="32"/>
      <c r="H685" s="32"/>
      <c r="I685" s="33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25"/>
      <c r="B686" s="45"/>
      <c r="C686" s="32"/>
      <c r="D686" s="46"/>
      <c r="E686" s="46"/>
      <c r="F686" s="47"/>
      <c r="G686" s="32"/>
      <c r="H686" s="32"/>
      <c r="I686" s="33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25"/>
      <c r="B687" s="45"/>
      <c r="C687" s="32"/>
      <c r="D687" s="46"/>
      <c r="E687" s="46"/>
      <c r="F687" s="47"/>
      <c r="G687" s="32"/>
      <c r="H687" s="32"/>
      <c r="I687" s="33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25"/>
      <c r="B688" s="45"/>
      <c r="C688" s="32"/>
      <c r="D688" s="46"/>
      <c r="E688" s="46"/>
      <c r="F688" s="47"/>
      <c r="G688" s="32"/>
      <c r="H688" s="32"/>
      <c r="I688" s="33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25"/>
      <c r="B689" s="45"/>
      <c r="C689" s="32"/>
      <c r="D689" s="46"/>
      <c r="E689" s="46"/>
      <c r="F689" s="47"/>
      <c r="G689" s="32"/>
      <c r="H689" s="32"/>
      <c r="I689" s="33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25"/>
      <c r="B690" s="45"/>
      <c r="C690" s="32"/>
      <c r="D690" s="46"/>
      <c r="E690" s="46"/>
      <c r="F690" s="47"/>
      <c r="G690" s="32"/>
      <c r="H690" s="32"/>
      <c r="I690" s="33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25"/>
      <c r="B691" s="45"/>
      <c r="C691" s="32"/>
      <c r="D691" s="46"/>
      <c r="E691" s="46"/>
      <c r="F691" s="47"/>
      <c r="G691" s="32"/>
      <c r="H691" s="32"/>
      <c r="I691" s="33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25"/>
      <c r="B692" s="45"/>
      <c r="C692" s="32"/>
      <c r="D692" s="46"/>
      <c r="E692" s="46"/>
      <c r="F692" s="47"/>
      <c r="G692" s="32"/>
      <c r="H692" s="32"/>
      <c r="I692" s="33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25"/>
      <c r="B693" s="45"/>
      <c r="C693" s="32"/>
      <c r="D693" s="46"/>
      <c r="E693" s="46"/>
      <c r="F693" s="47"/>
      <c r="G693" s="32"/>
      <c r="H693" s="32"/>
      <c r="I693" s="33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25"/>
      <c r="B694" s="45"/>
      <c r="C694" s="32"/>
      <c r="D694" s="46"/>
      <c r="E694" s="46"/>
      <c r="F694" s="47"/>
      <c r="G694" s="32"/>
      <c r="H694" s="32"/>
      <c r="I694" s="33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25"/>
      <c r="B695" s="45"/>
      <c r="C695" s="32"/>
      <c r="D695" s="46"/>
      <c r="E695" s="46"/>
      <c r="F695" s="47"/>
      <c r="G695" s="32"/>
      <c r="H695" s="32"/>
      <c r="I695" s="33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25"/>
      <c r="B696" s="45"/>
      <c r="C696" s="32"/>
      <c r="D696" s="46"/>
      <c r="E696" s="46"/>
      <c r="F696" s="47"/>
      <c r="G696" s="32"/>
      <c r="H696" s="32"/>
      <c r="I696" s="33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25"/>
      <c r="B697" s="45"/>
      <c r="C697" s="32"/>
      <c r="D697" s="46"/>
      <c r="E697" s="46"/>
      <c r="F697" s="47"/>
      <c r="G697" s="32"/>
      <c r="H697" s="32"/>
      <c r="I697" s="33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25"/>
      <c r="B698" s="45"/>
      <c r="C698" s="32"/>
      <c r="D698" s="46"/>
      <c r="E698" s="46"/>
      <c r="F698" s="47"/>
      <c r="G698" s="32"/>
      <c r="H698" s="32"/>
      <c r="I698" s="33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25"/>
      <c r="B699" s="45"/>
      <c r="C699" s="32"/>
      <c r="D699" s="46"/>
      <c r="E699" s="46"/>
      <c r="F699" s="47"/>
      <c r="G699" s="32"/>
      <c r="H699" s="32"/>
      <c r="I699" s="33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25"/>
      <c r="B700" s="45"/>
      <c r="C700" s="32"/>
      <c r="D700" s="46"/>
      <c r="E700" s="46"/>
      <c r="F700" s="47"/>
      <c r="G700" s="32"/>
      <c r="H700" s="32"/>
      <c r="I700" s="33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25"/>
      <c r="B701" s="45"/>
      <c r="C701" s="32"/>
      <c r="D701" s="46"/>
      <c r="E701" s="46"/>
      <c r="F701" s="47"/>
      <c r="G701" s="32"/>
      <c r="H701" s="32"/>
      <c r="I701" s="33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25"/>
      <c r="B702" s="45"/>
      <c r="C702" s="32"/>
      <c r="D702" s="46"/>
      <c r="E702" s="46"/>
      <c r="F702" s="47"/>
      <c r="G702" s="32"/>
      <c r="H702" s="32"/>
      <c r="I702" s="33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25"/>
      <c r="B703" s="45"/>
      <c r="C703" s="32"/>
      <c r="D703" s="46"/>
      <c r="E703" s="46"/>
      <c r="F703" s="47"/>
      <c r="G703" s="32"/>
      <c r="H703" s="32"/>
      <c r="I703" s="33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25"/>
      <c r="B704" s="45"/>
      <c r="C704" s="32"/>
      <c r="D704" s="46"/>
      <c r="E704" s="46"/>
      <c r="F704" s="47"/>
      <c r="G704" s="32"/>
      <c r="H704" s="32"/>
      <c r="I704" s="33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25"/>
      <c r="B705" s="45"/>
      <c r="C705" s="32"/>
      <c r="D705" s="46"/>
      <c r="E705" s="46"/>
      <c r="F705" s="47"/>
      <c r="G705" s="32"/>
      <c r="H705" s="32"/>
      <c r="I705" s="33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25"/>
      <c r="B706" s="45"/>
      <c r="C706" s="32"/>
      <c r="D706" s="46"/>
      <c r="E706" s="46"/>
      <c r="F706" s="47"/>
      <c r="G706" s="32"/>
      <c r="H706" s="32"/>
      <c r="I706" s="33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25"/>
      <c r="B707" s="45"/>
      <c r="C707" s="32"/>
      <c r="D707" s="46"/>
      <c r="E707" s="46"/>
      <c r="F707" s="47"/>
      <c r="G707" s="32"/>
      <c r="H707" s="32"/>
      <c r="I707" s="33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25"/>
      <c r="B708" s="45"/>
      <c r="C708" s="32"/>
      <c r="D708" s="46"/>
      <c r="E708" s="46"/>
      <c r="F708" s="47"/>
      <c r="G708" s="32"/>
      <c r="H708" s="32"/>
      <c r="I708" s="33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25"/>
      <c r="B709" s="45"/>
      <c r="C709" s="32"/>
      <c r="D709" s="46"/>
      <c r="E709" s="46"/>
      <c r="F709" s="47"/>
      <c r="G709" s="32"/>
      <c r="H709" s="32"/>
      <c r="I709" s="33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25"/>
      <c r="B710" s="45"/>
      <c r="C710" s="32"/>
      <c r="D710" s="46"/>
      <c r="E710" s="46"/>
      <c r="F710" s="47"/>
      <c r="G710" s="32"/>
      <c r="H710" s="32"/>
      <c r="I710" s="33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25"/>
      <c r="B711" s="45"/>
      <c r="C711" s="32"/>
      <c r="D711" s="46"/>
      <c r="E711" s="46"/>
      <c r="F711" s="47"/>
      <c r="G711" s="32"/>
      <c r="H711" s="32"/>
      <c r="I711" s="33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25"/>
      <c r="B712" s="45"/>
      <c r="C712" s="32"/>
      <c r="D712" s="46"/>
      <c r="E712" s="46"/>
      <c r="F712" s="47"/>
      <c r="G712" s="32"/>
      <c r="H712" s="32"/>
      <c r="I712" s="33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25"/>
      <c r="B713" s="45"/>
      <c r="C713" s="32"/>
      <c r="D713" s="46"/>
      <c r="E713" s="46"/>
      <c r="F713" s="47"/>
      <c r="G713" s="32"/>
      <c r="H713" s="32"/>
      <c r="I713" s="33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25"/>
      <c r="B714" s="45"/>
      <c r="C714" s="32"/>
      <c r="D714" s="46"/>
      <c r="E714" s="46"/>
      <c r="F714" s="47"/>
      <c r="G714" s="32"/>
      <c r="H714" s="32"/>
      <c r="I714" s="33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25"/>
      <c r="B715" s="45"/>
      <c r="C715" s="32"/>
      <c r="D715" s="46"/>
      <c r="E715" s="46"/>
      <c r="F715" s="47"/>
      <c r="G715" s="32"/>
      <c r="H715" s="32"/>
      <c r="I715" s="33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25"/>
      <c r="B716" s="45"/>
      <c r="C716" s="32"/>
      <c r="D716" s="46"/>
      <c r="E716" s="46"/>
      <c r="F716" s="47"/>
      <c r="G716" s="32"/>
      <c r="H716" s="32"/>
      <c r="I716" s="33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25"/>
      <c r="B717" s="45"/>
      <c r="C717" s="32"/>
      <c r="D717" s="46"/>
      <c r="E717" s="46"/>
      <c r="F717" s="47"/>
      <c r="G717" s="32"/>
      <c r="H717" s="32"/>
      <c r="I717" s="33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25"/>
      <c r="B718" s="45"/>
      <c r="C718" s="32"/>
      <c r="D718" s="46"/>
      <c r="E718" s="46"/>
      <c r="F718" s="47"/>
      <c r="G718" s="32"/>
      <c r="H718" s="32"/>
      <c r="I718" s="33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25"/>
      <c r="B719" s="45"/>
      <c r="C719" s="32"/>
      <c r="D719" s="46"/>
      <c r="E719" s="46"/>
      <c r="F719" s="47"/>
      <c r="G719" s="32"/>
      <c r="H719" s="32"/>
      <c r="I719" s="33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25"/>
      <c r="B720" s="45"/>
      <c r="C720" s="32"/>
      <c r="D720" s="46"/>
      <c r="E720" s="46"/>
      <c r="F720" s="47"/>
      <c r="G720" s="32"/>
      <c r="H720" s="32"/>
      <c r="I720" s="33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25"/>
      <c r="B721" s="45"/>
      <c r="C721" s="32"/>
      <c r="D721" s="46"/>
      <c r="E721" s="46"/>
      <c r="F721" s="47"/>
      <c r="G721" s="32"/>
      <c r="H721" s="32"/>
      <c r="I721" s="33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25"/>
      <c r="B722" s="45"/>
      <c r="C722" s="32"/>
      <c r="D722" s="46"/>
      <c r="E722" s="46"/>
      <c r="F722" s="47"/>
      <c r="G722" s="32"/>
      <c r="H722" s="32"/>
      <c r="I722" s="33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25"/>
      <c r="B723" s="45"/>
      <c r="C723" s="32"/>
      <c r="D723" s="46"/>
      <c r="E723" s="46"/>
      <c r="F723" s="47"/>
      <c r="G723" s="32"/>
      <c r="H723" s="32"/>
      <c r="I723" s="33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25"/>
      <c r="B724" s="45"/>
      <c r="C724" s="32"/>
      <c r="D724" s="46"/>
      <c r="E724" s="46"/>
      <c r="F724" s="47"/>
      <c r="G724" s="32"/>
      <c r="H724" s="32"/>
      <c r="I724" s="33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25"/>
      <c r="B725" s="45"/>
      <c r="C725" s="32"/>
      <c r="D725" s="46"/>
      <c r="E725" s="46"/>
      <c r="F725" s="47"/>
      <c r="G725" s="32"/>
      <c r="H725" s="32"/>
      <c r="I725" s="33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25"/>
      <c r="B726" s="45"/>
      <c r="C726" s="32"/>
      <c r="D726" s="46"/>
      <c r="E726" s="46"/>
      <c r="F726" s="47"/>
      <c r="G726" s="32"/>
      <c r="H726" s="32"/>
      <c r="I726" s="33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25"/>
      <c r="B727" s="45"/>
      <c r="C727" s="32"/>
      <c r="D727" s="46"/>
      <c r="E727" s="46"/>
      <c r="F727" s="47"/>
      <c r="G727" s="32"/>
      <c r="H727" s="32"/>
      <c r="I727" s="33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25"/>
      <c r="B728" s="45"/>
      <c r="C728" s="32"/>
      <c r="D728" s="46"/>
      <c r="E728" s="46"/>
      <c r="F728" s="47"/>
      <c r="G728" s="32"/>
      <c r="H728" s="32"/>
      <c r="I728" s="33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25"/>
      <c r="B729" s="45"/>
      <c r="C729" s="32"/>
      <c r="D729" s="46"/>
      <c r="E729" s="46"/>
      <c r="F729" s="47"/>
      <c r="G729" s="32"/>
      <c r="H729" s="32"/>
      <c r="I729" s="33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25"/>
      <c r="B730" s="45"/>
      <c r="C730" s="32"/>
      <c r="D730" s="46"/>
      <c r="E730" s="46"/>
      <c r="F730" s="47"/>
      <c r="G730" s="32"/>
      <c r="H730" s="32"/>
      <c r="I730" s="33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25"/>
      <c r="B731" s="45"/>
      <c r="C731" s="32"/>
      <c r="D731" s="46"/>
      <c r="E731" s="46"/>
      <c r="F731" s="47"/>
      <c r="G731" s="32"/>
      <c r="H731" s="32"/>
      <c r="I731" s="33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25"/>
      <c r="B732" s="45"/>
      <c r="C732" s="32"/>
      <c r="D732" s="46"/>
      <c r="E732" s="46"/>
      <c r="F732" s="47"/>
      <c r="G732" s="32"/>
      <c r="H732" s="32"/>
      <c r="I732" s="33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25"/>
      <c r="B733" s="45"/>
      <c r="C733" s="32"/>
      <c r="D733" s="46"/>
      <c r="E733" s="46"/>
      <c r="F733" s="47"/>
      <c r="G733" s="32"/>
      <c r="H733" s="32"/>
      <c r="I733" s="33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25"/>
      <c r="B734" s="45"/>
      <c r="C734" s="32"/>
      <c r="D734" s="46"/>
      <c r="E734" s="46"/>
      <c r="F734" s="47"/>
      <c r="G734" s="32"/>
      <c r="H734" s="32"/>
      <c r="I734" s="33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25"/>
      <c r="B735" s="45"/>
      <c r="C735" s="32"/>
      <c r="D735" s="46"/>
      <c r="E735" s="46"/>
      <c r="F735" s="47"/>
      <c r="G735" s="32"/>
      <c r="H735" s="32"/>
      <c r="I735" s="33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25"/>
      <c r="B736" s="45"/>
      <c r="C736" s="32"/>
      <c r="D736" s="46"/>
      <c r="E736" s="46"/>
      <c r="F736" s="47"/>
      <c r="G736" s="32"/>
      <c r="H736" s="32"/>
      <c r="I736" s="33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25"/>
      <c r="B737" s="45"/>
      <c r="C737" s="32"/>
      <c r="D737" s="46"/>
      <c r="E737" s="46"/>
      <c r="F737" s="47"/>
      <c r="G737" s="32"/>
      <c r="H737" s="32"/>
      <c r="I737" s="33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25"/>
      <c r="B738" s="45"/>
      <c r="C738" s="32"/>
      <c r="D738" s="46"/>
      <c r="E738" s="46"/>
      <c r="F738" s="47"/>
      <c r="G738" s="32"/>
      <c r="H738" s="32"/>
      <c r="I738" s="33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25"/>
      <c r="B739" s="45"/>
      <c r="C739" s="32"/>
      <c r="D739" s="46"/>
      <c r="E739" s="46"/>
      <c r="F739" s="47"/>
      <c r="G739" s="32"/>
      <c r="H739" s="32"/>
      <c r="I739" s="33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25"/>
      <c r="B740" s="45"/>
      <c r="C740" s="32"/>
      <c r="D740" s="46"/>
      <c r="E740" s="46"/>
      <c r="F740" s="47"/>
      <c r="G740" s="32"/>
      <c r="H740" s="32"/>
      <c r="I740" s="33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25"/>
      <c r="B741" s="45"/>
      <c r="C741" s="32"/>
      <c r="D741" s="46"/>
      <c r="E741" s="46"/>
      <c r="F741" s="47"/>
      <c r="G741" s="32"/>
      <c r="H741" s="32"/>
      <c r="I741" s="33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25"/>
      <c r="B742" s="45"/>
      <c r="C742" s="32"/>
      <c r="D742" s="46"/>
      <c r="E742" s="46"/>
      <c r="F742" s="47"/>
      <c r="G742" s="32"/>
      <c r="H742" s="32"/>
      <c r="I742" s="33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25"/>
      <c r="B743" s="45"/>
      <c r="C743" s="32"/>
      <c r="D743" s="46"/>
      <c r="E743" s="46"/>
      <c r="F743" s="47"/>
      <c r="G743" s="32"/>
      <c r="H743" s="32"/>
      <c r="I743" s="33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25"/>
      <c r="B744" s="45"/>
      <c r="C744" s="32"/>
      <c r="D744" s="46"/>
      <c r="E744" s="46"/>
      <c r="F744" s="47"/>
      <c r="G744" s="32"/>
      <c r="H744" s="32"/>
      <c r="I744" s="33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25"/>
      <c r="B745" s="45"/>
      <c r="C745" s="32"/>
      <c r="D745" s="46"/>
      <c r="E745" s="46"/>
      <c r="F745" s="47"/>
      <c r="G745" s="32"/>
      <c r="H745" s="32"/>
      <c r="I745" s="33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25"/>
      <c r="B746" s="45"/>
      <c r="C746" s="32"/>
      <c r="D746" s="46"/>
      <c r="E746" s="46"/>
      <c r="F746" s="47"/>
      <c r="G746" s="32"/>
      <c r="H746" s="32"/>
      <c r="I746" s="33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25"/>
      <c r="B747" s="45"/>
      <c r="C747" s="32"/>
      <c r="D747" s="46"/>
      <c r="E747" s="46"/>
      <c r="F747" s="47"/>
      <c r="G747" s="32"/>
      <c r="H747" s="32"/>
      <c r="I747" s="33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25"/>
      <c r="B748" s="45"/>
      <c r="C748" s="32"/>
      <c r="D748" s="46"/>
      <c r="E748" s="46"/>
      <c r="F748" s="47"/>
      <c r="G748" s="32"/>
      <c r="H748" s="32"/>
      <c r="I748" s="33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25"/>
      <c r="B749" s="45"/>
      <c r="C749" s="32"/>
      <c r="D749" s="46"/>
      <c r="E749" s="46"/>
      <c r="F749" s="47"/>
      <c r="G749" s="32"/>
      <c r="H749" s="32"/>
      <c r="I749" s="33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25"/>
      <c r="B750" s="45"/>
      <c r="C750" s="32"/>
      <c r="D750" s="46"/>
      <c r="E750" s="46"/>
      <c r="F750" s="47"/>
      <c r="G750" s="32"/>
      <c r="H750" s="32"/>
      <c r="I750" s="33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25"/>
      <c r="B751" s="45"/>
      <c r="C751" s="32"/>
      <c r="D751" s="46"/>
      <c r="E751" s="46"/>
      <c r="F751" s="47"/>
      <c r="G751" s="32"/>
      <c r="H751" s="32"/>
      <c r="I751" s="33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25"/>
      <c r="B752" s="45"/>
      <c r="C752" s="32"/>
      <c r="D752" s="46"/>
      <c r="E752" s="46"/>
      <c r="F752" s="47"/>
      <c r="G752" s="32"/>
      <c r="H752" s="32"/>
      <c r="I752" s="33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25"/>
      <c r="B753" s="45"/>
      <c r="C753" s="32"/>
      <c r="D753" s="46"/>
      <c r="E753" s="46"/>
      <c r="F753" s="47"/>
      <c r="G753" s="32"/>
      <c r="H753" s="32"/>
      <c r="I753" s="33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25"/>
      <c r="B754" s="45"/>
      <c r="C754" s="32"/>
      <c r="D754" s="46"/>
      <c r="E754" s="46"/>
      <c r="F754" s="47"/>
      <c r="G754" s="32"/>
      <c r="H754" s="32"/>
      <c r="I754" s="33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25"/>
      <c r="B755" s="45"/>
      <c r="C755" s="32"/>
      <c r="D755" s="46"/>
      <c r="E755" s="46"/>
      <c r="F755" s="47"/>
      <c r="G755" s="32"/>
      <c r="H755" s="32"/>
      <c r="I755" s="33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25"/>
      <c r="B756" s="45"/>
      <c r="C756" s="32"/>
      <c r="D756" s="46"/>
      <c r="E756" s="46"/>
      <c r="F756" s="47"/>
      <c r="G756" s="32"/>
      <c r="H756" s="32"/>
      <c r="I756" s="33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25"/>
      <c r="B757" s="45"/>
      <c r="C757" s="32"/>
      <c r="D757" s="46"/>
      <c r="E757" s="46"/>
      <c r="F757" s="47"/>
      <c r="G757" s="32"/>
      <c r="H757" s="32"/>
      <c r="I757" s="33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25"/>
      <c r="B758" s="45"/>
      <c r="C758" s="32"/>
      <c r="D758" s="46"/>
      <c r="E758" s="46"/>
      <c r="F758" s="47"/>
      <c r="G758" s="32"/>
      <c r="H758" s="32"/>
      <c r="I758" s="33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25"/>
      <c r="B759" s="45"/>
      <c r="C759" s="32"/>
      <c r="D759" s="46"/>
      <c r="E759" s="46"/>
      <c r="F759" s="47"/>
      <c r="G759" s="32"/>
      <c r="H759" s="32"/>
      <c r="I759" s="33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25"/>
      <c r="B760" s="45"/>
      <c r="C760" s="32"/>
      <c r="D760" s="46"/>
      <c r="E760" s="46"/>
      <c r="F760" s="47"/>
      <c r="G760" s="32"/>
      <c r="H760" s="32"/>
      <c r="I760" s="33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25"/>
      <c r="B761" s="45"/>
      <c r="C761" s="32"/>
      <c r="D761" s="46"/>
      <c r="E761" s="46"/>
      <c r="F761" s="47"/>
      <c r="G761" s="32"/>
      <c r="H761" s="32"/>
      <c r="I761" s="33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25"/>
      <c r="B762" s="45"/>
      <c r="C762" s="32"/>
      <c r="D762" s="46"/>
      <c r="E762" s="46"/>
      <c r="F762" s="47"/>
      <c r="G762" s="32"/>
      <c r="H762" s="32"/>
      <c r="I762" s="33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25"/>
      <c r="B763" s="45"/>
      <c r="C763" s="32"/>
      <c r="D763" s="46"/>
      <c r="E763" s="46"/>
      <c r="F763" s="47"/>
      <c r="G763" s="32"/>
      <c r="H763" s="32"/>
      <c r="I763" s="33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25"/>
      <c r="B764" s="45"/>
      <c r="C764" s="32"/>
      <c r="D764" s="46"/>
      <c r="E764" s="46"/>
      <c r="F764" s="47"/>
      <c r="G764" s="32"/>
      <c r="H764" s="32"/>
      <c r="I764" s="33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25"/>
      <c r="B765" s="45"/>
      <c r="C765" s="32"/>
      <c r="D765" s="46"/>
      <c r="E765" s="46"/>
      <c r="F765" s="47"/>
      <c r="G765" s="32"/>
      <c r="H765" s="32"/>
      <c r="I765" s="33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25"/>
      <c r="B766" s="45"/>
      <c r="C766" s="32"/>
      <c r="D766" s="46"/>
      <c r="E766" s="46"/>
      <c r="F766" s="47"/>
      <c r="G766" s="32"/>
      <c r="H766" s="32"/>
      <c r="I766" s="33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25"/>
      <c r="B767" s="45"/>
      <c r="C767" s="32"/>
      <c r="D767" s="46"/>
      <c r="E767" s="46"/>
      <c r="F767" s="47"/>
      <c r="G767" s="32"/>
      <c r="H767" s="32"/>
      <c r="I767" s="33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25"/>
      <c r="B768" s="45"/>
      <c r="C768" s="32"/>
      <c r="D768" s="46"/>
      <c r="E768" s="46"/>
      <c r="F768" s="47"/>
      <c r="G768" s="32"/>
      <c r="H768" s="32"/>
      <c r="I768" s="33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25"/>
      <c r="B769" s="45"/>
      <c r="C769" s="32"/>
      <c r="D769" s="46"/>
      <c r="E769" s="46"/>
      <c r="F769" s="47"/>
      <c r="G769" s="32"/>
      <c r="H769" s="32"/>
      <c r="I769" s="33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25"/>
      <c r="B770" s="45"/>
      <c r="C770" s="32"/>
      <c r="D770" s="46"/>
      <c r="E770" s="46"/>
      <c r="F770" s="47"/>
      <c r="G770" s="32"/>
      <c r="H770" s="32"/>
      <c r="I770" s="33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25"/>
      <c r="B771" s="45"/>
      <c r="C771" s="32"/>
      <c r="D771" s="46"/>
      <c r="E771" s="46"/>
      <c r="F771" s="47"/>
      <c r="G771" s="32"/>
      <c r="H771" s="32"/>
      <c r="I771" s="33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25"/>
      <c r="B772" s="45"/>
      <c r="C772" s="32"/>
      <c r="D772" s="46"/>
      <c r="E772" s="46"/>
      <c r="F772" s="47"/>
      <c r="G772" s="32"/>
      <c r="H772" s="32"/>
      <c r="I772" s="33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25"/>
      <c r="B773" s="45"/>
      <c r="C773" s="32"/>
      <c r="D773" s="46"/>
      <c r="E773" s="46"/>
      <c r="F773" s="47"/>
      <c r="G773" s="32"/>
      <c r="H773" s="32"/>
      <c r="I773" s="33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25"/>
      <c r="B774" s="45"/>
      <c r="C774" s="32"/>
      <c r="D774" s="46"/>
      <c r="E774" s="46"/>
      <c r="F774" s="47"/>
      <c r="G774" s="32"/>
      <c r="H774" s="32"/>
      <c r="I774" s="33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25"/>
      <c r="B775" s="45"/>
      <c r="C775" s="32"/>
      <c r="D775" s="46"/>
      <c r="E775" s="46"/>
      <c r="F775" s="47"/>
      <c r="G775" s="32"/>
      <c r="H775" s="32"/>
      <c r="I775" s="33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25"/>
      <c r="B776" s="45"/>
      <c r="C776" s="32"/>
      <c r="D776" s="46"/>
      <c r="E776" s="46"/>
      <c r="F776" s="47"/>
      <c r="G776" s="32"/>
      <c r="H776" s="32"/>
      <c r="I776" s="33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25"/>
      <c r="B777" s="45"/>
      <c r="C777" s="32"/>
      <c r="D777" s="46"/>
      <c r="E777" s="46"/>
      <c r="F777" s="47"/>
      <c r="G777" s="32"/>
      <c r="H777" s="32"/>
      <c r="I777" s="33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25"/>
      <c r="B778" s="45"/>
      <c r="C778" s="32"/>
      <c r="D778" s="46"/>
      <c r="E778" s="46"/>
      <c r="F778" s="47"/>
      <c r="G778" s="32"/>
      <c r="H778" s="32"/>
      <c r="I778" s="33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25"/>
      <c r="B779" s="45"/>
      <c r="C779" s="32"/>
      <c r="D779" s="46"/>
      <c r="E779" s="46"/>
      <c r="F779" s="47"/>
      <c r="G779" s="32"/>
      <c r="H779" s="32"/>
      <c r="I779" s="33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25"/>
      <c r="B780" s="45"/>
      <c r="C780" s="32"/>
      <c r="D780" s="46"/>
      <c r="E780" s="46"/>
      <c r="F780" s="47"/>
      <c r="G780" s="32"/>
      <c r="H780" s="32"/>
      <c r="I780" s="33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25"/>
      <c r="B781" s="45"/>
      <c r="C781" s="32"/>
      <c r="D781" s="46"/>
      <c r="E781" s="46"/>
      <c r="F781" s="47"/>
      <c r="G781" s="32"/>
      <c r="H781" s="32"/>
      <c r="I781" s="33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25"/>
      <c r="B782" s="45"/>
      <c r="C782" s="32"/>
      <c r="D782" s="46"/>
      <c r="E782" s="46"/>
      <c r="F782" s="47"/>
      <c r="G782" s="32"/>
      <c r="H782" s="32"/>
      <c r="I782" s="33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25"/>
      <c r="B783" s="45"/>
      <c r="C783" s="32"/>
      <c r="D783" s="46"/>
      <c r="E783" s="46"/>
      <c r="F783" s="47"/>
      <c r="G783" s="32"/>
      <c r="H783" s="32"/>
      <c r="I783" s="33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25"/>
      <c r="B784" s="45"/>
      <c r="C784" s="32"/>
      <c r="D784" s="46"/>
      <c r="E784" s="46"/>
      <c r="F784" s="47"/>
      <c r="G784" s="32"/>
      <c r="H784" s="32"/>
      <c r="I784" s="33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25"/>
      <c r="B785" s="45"/>
      <c r="C785" s="32"/>
      <c r="D785" s="46"/>
      <c r="E785" s="46"/>
      <c r="F785" s="47"/>
      <c r="G785" s="32"/>
      <c r="H785" s="32"/>
      <c r="I785" s="33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25"/>
      <c r="B786" s="45"/>
      <c r="C786" s="32"/>
      <c r="D786" s="46"/>
      <c r="E786" s="46"/>
      <c r="F786" s="47"/>
      <c r="G786" s="32"/>
      <c r="H786" s="32"/>
      <c r="I786" s="33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25"/>
      <c r="B787" s="45"/>
      <c r="C787" s="32"/>
      <c r="D787" s="46"/>
      <c r="E787" s="46"/>
      <c r="F787" s="47"/>
      <c r="G787" s="32"/>
      <c r="H787" s="32"/>
      <c r="I787" s="33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25"/>
      <c r="B788" s="45"/>
      <c r="C788" s="32"/>
      <c r="D788" s="46"/>
      <c r="E788" s="46"/>
      <c r="F788" s="47"/>
      <c r="G788" s="32"/>
      <c r="H788" s="32"/>
      <c r="I788" s="33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25"/>
      <c r="B789" s="45"/>
      <c r="C789" s="32"/>
      <c r="D789" s="46"/>
      <c r="E789" s="46"/>
      <c r="F789" s="47"/>
      <c r="G789" s="32"/>
      <c r="H789" s="32"/>
      <c r="I789" s="33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25"/>
      <c r="B790" s="45"/>
      <c r="C790" s="32"/>
      <c r="D790" s="46"/>
      <c r="E790" s="46"/>
      <c r="F790" s="47"/>
      <c r="G790" s="32"/>
      <c r="H790" s="32"/>
      <c r="I790" s="33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25"/>
      <c r="B791" s="45"/>
      <c r="C791" s="32"/>
      <c r="D791" s="46"/>
      <c r="E791" s="46"/>
      <c r="F791" s="47"/>
      <c r="G791" s="32"/>
      <c r="H791" s="32"/>
      <c r="I791" s="33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25"/>
      <c r="B792" s="45"/>
      <c r="C792" s="32"/>
      <c r="D792" s="46"/>
      <c r="E792" s="46"/>
      <c r="F792" s="47"/>
      <c r="G792" s="32"/>
      <c r="H792" s="32"/>
      <c r="I792" s="33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25"/>
      <c r="B793" s="45"/>
      <c r="C793" s="32"/>
      <c r="D793" s="46"/>
      <c r="E793" s="46"/>
      <c r="F793" s="47"/>
      <c r="G793" s="32"/>
      <c r="H793" s="32"/>
      <c r="I793" s="33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25"/>
      <c r="B794" s="45"/>
      <c r="C794" s="32"/>
      <c r="D794" s="46"/>
      <c r="E794" s="46"/>
      <c r="F794" s="47"/>
      <c r="G794" s="32"/>
      <c r="H794" s="32"/>
      <c r="I794" s="33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25"/>
      <c r="B795" s="45"/>
      <c r="C795" s="32"/>
      <c r="D795" s="46"/>
      <c r="E795" s="46"/>
      <c r="F795" s="47"/>
      <c r="G795" s="32"/>
      <c r="H795" s="32"/>
      <c r="I795" s="33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25"/>
      <c r="B796" s="45"/>
      <c r="C796" s="32"/>
      <c r="D796" s="46"/>
      <c r="E796" s="46"/>
      <c r="F796" s="47"/>
      <c r="G796" s="32"/>
      <c r="H796" s="32"/>
      <c r="I796" s="33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25"/>
      <c r="B797" s="45"/>
      <c r="C797" s="32"/>
      <c r="D797" s="46"/>
      <c r="E797" s="46"/>
      <c r="F797" s="47"/>
      <c r="G797" s="32"/>
      <c r="H797" s="32"/>
      <c r="I797" s="33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25"/>
      <c r="B798" s="45"/>
      <c r="C798" s="32"/>
      <c r="D798" s="46"/>
      <c r="E798" s="46"/>
      <c r="F798" s="47"/>
      <c r="G798" s="32"/>
      <c r="H798" s="32"/>
      <c r="I798" s="33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25"/>
      <c r="B799" s="45"/>
      <c r="C799" s="32"/>
      <c r="D799" s="46"/>
      <c r="E799" s="46"/>
      <c r="F799" s="47"/>
      <c r="G799" s="32"/>
      <c r="H799" s="32"/>
      <c r="I799" s="33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25"/>
      <c r="B800" s="45"/>
      <c r="C800" s="32"/>
      <c r="D800" s="46"/>
      <c r="E800" s="46"/>
      <c r="F800" s="47"/>
      <c r="G800" s="32"/>
      <c r="H800" s="32"/>
      <c r="I800" s="33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25"/>
      <c r="B801" s="45"/>
      <c r="C801" s="32"/>
      <c r="D801" s="46"/>
      <c r="E801" s="46"/>
      <c r="F801" s="47"/>
      <c r="G801" s="32"/>
      <c r="H801" s="32"/>
      <c r="I801" s="33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25"/>
      <c r="B802" s="45"/>
      <c r="C802" s="32"/>
      <c r="D802" s="46"/>
      <c r="E802" s="46"/>
      <c r="F802" s="47"/>
      <c r="G802" s="32"/>
      <c r="H802" s="32"/>
      <c r="I802" s="33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25"/>
      <c r="B803" s="45"/>
      <c r="C803" s="32"/>
      <c r="D803" s="46"/>
      <c r="E803" s="46"/>
      <c r="F803" s="47"/>
      <c r="G803" s="32"/>
      <c r="H803" s="32"/>
      <c r="I803" s="33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25"/>
      <c r="B804" s="45"/>
      <c r="C804" s="32"/>
      <c r="D804" s="46"/>
      <c r="E804" s="46"/>
      <c r="F804" s="47"/>
      <c r="G804" s="32"/>
      <c r="H804" s="32"/>
      <c r="I804" s="33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25"/>
      <c r="B805" s="45"/>
      <c r="C805" s="32"/>
      <c r="D805" s="46"/>
      <c r="E805" s="46"/>
      <c r="F805" s="47"/>
      <c r="G805" s="32"/>
      <c r="H805" s="32"/>
      <c r="I805" s="33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25"/>
      <c r="B806" s="45"/>
      <c r="C806" s="32"/>
      <c r="D806" s="46"/>
      <c r="E806" s="46"/>
      <c r="F806" s="47"/>
      <c r="G806" s="32"/>
      <c r="H806" s="32"/>
      <c r="I806" s="33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25"/>
      <c r="B807" s="45"/>
      <c r="C807" s="32"/>
      <c r="D807" s="46"/>
      <c r="E807" s="46"/>
      <c r="F807" s="47"/>
      <c r="G807" s="32"/>
      <c r="H807" s="32"/>
      <c r="I807" s="33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25"/>
      <c r="B808" s="45"/>
      <c r="C808" s="32"/>
      <c r="D808" s="46"/>
      <c r="E808" s="46"/>
      <c r="F808" s="47"/>
      <c r="G808" s="32"/>
      <c r="H808" s="32"/>
      <c r="I808" s="33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25"/>
      <c r="B809" s="45"/>
      <c r="C809" s="32"/>
      <c r="D809" s="46"/>
      <c r="E809" s="46"/>
      <c r="F809" s="47"/>
      <c r="G809" s="32"/>
      <c r="H809" s="32"/>
      <c r="I809" s="33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25"/>
      <c r="B810" s="45"/>
      <c r="C810" s="32"/>
      <c r="D810" s="46"/>
      <c r="E810" s="46"/>
      <c r="F810" s="47"/>
      <c r="G810" s="32"/>
      <c r="H810" s="32"/>
      <c r="I810" s="33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25"/>
      <c r="B811" s="45"/>
      <c r="C811" s="32"/>
      <c r="D811" s="46"/>
      <c r="E811" s="46"/>
      <c r="F811" s="47"/>
      <c r="G811" s="32"/>
      <c r="H811" s="32"/>
      <c r="I811" s="33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25"/>
      <c r="B812" s="45"/>
      <c r="C812" s="32"/>
      <c r="D812" s="46"/>
      <c r="E812" s="46"/>
      <c r="F812" s="47"/>
      <c r="G812" s="32"/>
      <c r="H812" s="32"/>
      <c r="I812" s="33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25"/>
      <c r="B813" s="45"/>
      <c r="C813" s="32"/>
      <c r="D813" s="46"/>
      <c r="E813" s="46"/>
      <c r="F813" s="47"/>
      <c r="G813" s="32"/>
      <c r="H813" s="32"/>
      <c r="I813" s="33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25"/>
      <c r="B814" s="45"/>
      <c r="C814" s="32"/>
      <c r="D814" s="46"/>
      <c r="E814" s="46"/>
      <c r="F814" s="47"/>
      <c r="G814" s="32"/>
      <c r="H814" s="32"/>
      <c r="I814" s="33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25"/>
      <c r="B815" s="45"/>
      <c r="C815" s="32"/>
      <c r="D815" s="46"/>
      <c r="E815" s="46"/>
      <c r="F815" s="47"/>
      <c r="G815" s="32"/>
      <c r="H815" s="32"/>
      <c r="I815" s="33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25"/>
      <c r="B816" s="45"/>
      <c r="C816" s="32"/>
      <c r="D816" s="46"/>
      <c r="E816" s="46"/>
      <c r="F816" s="47"/>
      <c r="G816" s="32"/>
      <c r="H816" s="32"/>
      <c r="I816" s="33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25"/>
      <c r="B817" s="45"/>
      <c r="C817" s="32"/>
      <c r="D817" s="46"/>
      <c r="E817" s="46"/>
      <c r="F817" s="47"/>
      <c r="G817" s="32"/>
      <c r="H817" s="32"/>
      <c r="I817" s="33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25"/>
      <c r="B818" s="45"/>
      <c r="C818" s="32"/>
      <c r="D818" s="46"/>
      <c r="E818" s="46"/>
      <c r="F818" s="47"/>
      <c r="G818" s="32"/>
      <c r="H818" s="32"/>
      <c r="I818" s="33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25"/>
      <c r="B819" s="45"/>
      <c r="C819" s="32"/>
      <c r="D819" s="46"/>
      <c r="E819" s="46"/>
      <c r="F819" s="47"/>
      <c r="G819" s="32"/>
      <c r="H819" s="32"/>
      <c r="I819" s="33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25"/>
      <c r="B820" s="45"/>
      <c r="C820" s="32"/>
      <c r="D820" s="46"/>
      <c r="E820" s="46"/>
      <c r="F820" s="47"/>
      <c r="G820" s="32"/>
      <c r="H820" s="32"/>
      <c r="I820" s="33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25"/>
      <c r="B821" s="45"/>
      <c r="C821" s="32"/>
      <c r="D821" s="46"/>
      <c r="E821" s="46"/>
      <c r="F821" s="47"/>
      <c r="G821" s="32"/>
      <c r="H821" s="32"/>
      <c r="I821" s="33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25"/>
      <c r="B822" s="45"/>
      <c r="C822" s="32"/>
      <c r="D822" s="46"/>
      <c r="E822" s="46"/>
      <c r="F822" s="47"/>
      <c r="G822" s="32"/>
      <c r="H822" s="32"/>
      <c r="I822" s="33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25"/>
      <c r="B823" s="45"/>
      <c r="C823" s="32"/>
      <c r="D823" s="46"/>
      <c r="E823" s="46"/>
      <c r="F823" s="47"/>
      <c r="G823" s="32"/>
      <c r="H823" s="32"/>
      <c r="I823" s="33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25"/>
      <c r="B824" s="45"/>
      <c r="C824" s="32"/>
      <c r="D824" s="46"/>
      <c r="E824" s="46"/>
      <c r="F824" s="47"/>
      <c r="G824" s="32"/>
      <c r="H824" s="32"/>
      <c r="I824" s="33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25"/>
      <c r="B825" s="45"/>
      <c r="C825" s="32"/>
      <c r="D825" s="46"/>
      <c r="E825" s="46"/>
      <c r="F825" s="47"/>
      <c r="G825" s="32"/>
      <c r="H825" s="32"/>
      <c r="I825" s="33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25"/>
      <c r="B826" s="45"/>
      <c r="C826" s="32"/>
      <c r="D826" s="46"/>
      <c r="E826" s="46"/>
      <c r="F826" s="47"/>
      <c r="G826" s="32"/>
      <c r="H826" s="32"/>
      <c r="I826" s="33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25"/>
      <c r="B827" s="45"/>
      <c r="C827" s="32"/>
      <c r="D827" s="46"/>
      <c r="E827" s="46"/>
      <c r="F827" s="47"/>
      <c r="G827" s="32"/>
      <c r="H827" s="32"/>
      <c r="I827" s="33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25"/>
      <c r="B828" s="45"/>
      <c r="C828" s="32"/>
      <c r="D828" s="46"/>
      <c r="E828" s="46"/>
      <c r="F828" s="47"/>
      <c r="G828" s="32"/>
      <c r="H828" s="32"/>
      <c r="I828" s="33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25"/>
      <c r="B829" s="45"/>
      <c r="C829" s="32"/>
      <c r="D829" s="46"/>
      <c r="E829" s="46"/>
      <c r="F829" s="47"/>
      <c r="G829" s="32"/>
      <c r="H829" s="32"/>
      <c r="I829" s="33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25"/>
      <c r="B830" s="45"/>
      <c r="C830" s="32"/>
      <c r="D830" s="46"/>
      <c r="E830" s="46"/>
      <c r="F830" s="47"/>
      <c r="G830" s="32"/>
      <c r="H830" s="32"/>
      <c r="I830" s="33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25"/>
      <c r="B831" s="45"/>
      <c r="C831" s="32"/>
      <c r="D831" s="46"/>
      <c r="E831" s="46"/>
      <c r="F831" s="47"/>
      <c r="G831" s="32"/>
      <c r="H831" s="32"/>
      <c r="I831" s="33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25"/>
      <c r="B832" s="45"/>
      <c r="C832" s="32"/>
      <c r="D832" s="46"/>
      <c r="E832" s="46"/>
      <c r="F832" s="47"/>
      <c r="G832" s="32"/>
      <c r="H832" s="32"/>
      <c r="I832" s="33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25"/>
      <c r="B833" s="45"/>
      <c r="C833" s="32"/>
      <c r="D833" s="46"/>
      <c r="E833" s="46"/>
      <c r="F833" s="47"/>
      <c r="G833" s="32"/>
      <c r="H833" s="32"/>
      <c r="I833" s="33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25"/>
      <c r="B834" s="45"/>
      <c r="C834" s="32"/>
      <c r="D834" s="46"/>
      <c r="E834" s="46"/>
      <c r="F834" s="47"/>
      <c r="G834" s="32"/>
      <c r="H834" s="32"/>
      <c r="I834" s="33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25"/>
      <c r="B835" s="45"/>
      <c r="C835" s="32"/>
      <c r="D835" s="46"/>
      <c r="E835" s="46"/>
      <c r="F835" s="47"/>
      <c r="G835" s="32"/>
      <c r="H835" s="32"/>
      <c r="I835" s="33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25"/>
      <c r="B836" s="45"/>
      <c r="C836" s="32"/>
      <c r="D836" s="46"/>
      <c r="E836" s="46"/>
      <c r="F836" s="47"/>
      <c r="G836" s="32"/>
      <c r="H836" s="32"/>
      <c r="I836" s="33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25"/>
      <c r="B837" s="45"/>
      <c r="C837" s="32"/>
      <c r="D837" s="46"/>
      <c r="E837" s="46"/>
      <c r="F837" s="47"/>
      <c r="G837" s="32"/>
      <c r="H837" s="32"/>
      <c r="I837" s="33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25"/>
      <c r="B838" s="45"/>
      <c r="C838" s="32"/>
      <c r="D838" s="46"/>
      <c r="E838" s="46"/>
      <c r="F838" s="47"/>
      <c r="G838" s="32"/>
      <c r="H838" s="32"/>
      <c r="I838" s="33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25"/>
      <c r="B839" s="45"/>
      <c r="C839" s="32"/>
      <c r="D839" s="46"/>
      <c r="E839" s="46"/>
      <c r="F839" s="47"/>
      <c r="G839" s="32"/>
      <c r="H839" s="32"/>
      <c r="I839" s="33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25"/>
      <c r="B840" s="45"/>
      <c r="C840" s="32"/>
      <c r="D840" s="46"/>
      <c r="E840" s="46"/>
      <c r="F840" s="47"/>
      <c r="G840" s="32"/>
      <c r="H840" s="32"/>
      <c r="I840" s="33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25"/>
      <c r="B841" s="45"/>
      <c r="C841" s="32"/>
      <c r="D841" s="46"/>
      <c r="E841" s="46"/>
      <c r="F841" s="47"/>
      <c r="G841" s="32"/>
      <c r="H841" s="32"/>
      <c r="I841" s="33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25"/>
      <c r="B842" s="45"/>
      <c r="C842" s="32"/>
      <c r="D842" s="46"/>
      <c r="E842" s="46"/>
      <c r="F842" s="47"/>
      <c r="G842" s="32"/>
      <c r="H842" s="32"/>
      <c r="I842" s="33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25"/>
      <c r="B843" s="45"/>
      <c r="C843" s="32"/>
      <c r="D843" s="46"/>
      <c r="E843" s="46"/>
      <c r="F843" s="47"/>
      <c r="G843" s="32"/>
      <c r="H843" s="32"/>
      <c r="I843" s="33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25"/>
      <c r="B844" s="45"/>
      <c r="C844" s="32"/>
      <c r="D844" s="46"/>
      <c r="E844" s="46"/>
      <c r="F844" s="47"/>
      <c r="G844" s="32"/>
      <c r="H844" s="32"/>
      <c r="I844" s="33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25"/>
      <c r="B845" s="45"/>
      <c r="C845" s="32"/>
      <c r="D845" s="46"/>
      <c r="E845" s="46"/>
      <c r="F845" s="47"/>
      <c r="G845" s="32"/>
      <c r="H845" s="32"/>
      <c r="I845" s="33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25"/>
      <c r="B846" s="45"/>
      <c r="C846" s="32"/>
      <c r="D846" s="46"/>
      <c r="E846" s="46"/>
      <c r="F846" s="47"/>
      <c r="G846" s="32"/>
      <c r="H846" s="32"/>
      <c r="I846" s="33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25"/>
      <c r="B847" s="45"/>
      <c r="C847" s="32"/>
      <c r="D847" s="46"/>
      <c r="E847" s="46"/>
      <c r="F847" s="47"/>
      <c r="G847" s="32"/>
      <c r="H847" s="32"/>
      <c r="I847" s="33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25"/>
      <c r="B848" s="45"/>
      <c r="C848" s="32"/>
      <c r="D848" s="46"/>
      <c r="E848" s="46"/>
      <c r="F848" s="47"/>
      <c r="G848" s="32"/>
      <c r="H848" s="32"/>
      <c r="I848" s="33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25"/>
      <c r="B849" s="45"/>
      <c r="C849" s="32"/>
      <c r="D849" s="46"/>
      <c r="E849" s="46"/>
      <c r="F849" s="47"/>
      <c r="G849" s="32"/>
      <c r="H849" s="32"/>
      <c r="I849" s="33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25"/>
      <c r="B850" s="45"/>
      <c r="C850" s="32"/>
      <c r="D850" s="46"/>
      <c r="E850" s="46"/>
      <c r="F850" s="47"/>
      <c r="G850" s="32"/>
      <c r="H850" s="32"/>
      <c r="I850" s="33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25"/>
      <c r="B851" s="45"/>
      <c r="C851" s="32"/>
      <c r="D851" s="46"/>
      <c r="E851" s="46"/>
      <c r="F851" s="47"/>
      <c r="G851" s="32"/>
      <c r="H851" s="32"/>
      <c r="I851" s="33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25"/>
      <c r="B852" s="45"/>
      <c r="C852" s="32"/>
      <c r="D852" s="46"/>
      <c r="E852" s="46"/>
      <c r="F852" s="47"/>
      <c r="G852" s="32"/>
      <c r="H852" s="32"/>
      <c r="I852" s="33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25"/>
      <c r="B853" s="45"/>
      <c r="C853" s="32"/>
      <c r="D853" s="46"/>
      <c r="E853" s="46"/>
      <c r="F853" s="47"/>
      <c r="G853" s="32"/>
      <c r="H853" s="32"/>
      <c r="I853" s="33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25"/>
      <c r="B854" s="45"/>
      <c r="C854" s="32"/>
      <c r="D854" s="46"/>
      <c r="E854" s="46"/>
      <c r="F854" s="47"/>
      <c r="G854" s="32"/>
      <c r="H854" s="32"/>
      <c r="I854" s="33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25"/>
      <c r="B855" s="45"/>
      <c r="C855" s="32"/>
      <c r="D855" s="46"/>
      <c r="E855" s="46"/>
      <c r="F855" s="47"/>
      <c r="G855" s="32"/>
      <c r="H855" s="32"/>
      <c r="I855" s="33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25"/>
      <c r="B856" s="45"/>
      <c r="C856" s="32"/>
      <c r="D856" s="46"/>
      <c r="E856" s="46"/>
      <c r="F856" s="47"/>
      <c r="G856" s="32"/>
      <c r="H856" s="32"/>
      <c r="I856" s="33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25"/>
      <c r="B857" s="45"/>
      <c r="C857" s="32"/>
      <c r="D857" s="46"/>
      <c r="E857" s="46"/>
      <c r="F857" s="47"/>
      <c r="G857" s="32"/>
      <c r="H857" s="32"/>
      <c r="I857" s="33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25"/>
      <c r="B858" s="45"/>
      <c r="C858" s="32"/>
      <c r="D858" s="46"/>
      <c r="E858" s="46"/>
      <c r="F858" s="47"/>
      <c r="G858" s="32"/>
      <c r="H858" s="32"/>
      <c r="I858" s="33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25"/>
      <c r="B859" s="45"/>
      <c r="C859" s="32"/>
      <c r="D859" s="46"/>
      <c r="E859" s="46"/>
      <c r="F859" s="47"/>
      <c r="G859" s="32"/>
      <c r="H859" s="32"/>
      <c r="I859" s="33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25"/>
      <c r="B860" s="45"/>
      <c r="C860" s="32"/>
      <c r="D860" s="46"/>
      <c r="E860" s="46"/>
      <c r="F860" s="47"/>
      <c r="G860" s="32"/>
      <c r="H860" s="32"/>
      <c r="I860" s="33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25"/>
      <c r="B861" s="45"/>
      <c r="C861" s="32"/>
      <c r="D861" s="46"/>
      <c r="E861" s="46"/>
      <c r="F861" s="47"/>
      <c r="G861" s="32"/>
      <c r="H861" s="32"/>
      <c r="I861" s="33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25"/>
      <c r="B862" s="45"/>
      <c r="C862" s="32"/>
      <c r="D862" s="46"/>
      <c r="E862" s="46"/>
      <c r="F862" s="47"/>
      <c r="G862" s="32"/>
      <c r="H862" s="32"/>
      <c r="I862" s="33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25"/>
      <c r="B863" s="45"/>
      <c r="C863" s="32"/>
      <c r="D863" s="46"/>
      <c r="E863" s="46"/>
      <c r="F863" s="47"/>
      <c r="G863" s="32"/>
      <c r="H863" s="32"/>
      <c r="I863" s="33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25"/>
      <c r="B864" s="45"/>
      <c r="C864" s="32"/>
      <c r="D864" s="46"/>
      <c r="E864" s="46"/>
      <c r="F864" s="47"/>
      <c r="G864" s="32"/>
      <c r="H864" s="32"/>
      <c r="I864" s="33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25"/>
      <c r="B865" s="45"/>
      <c r="C865" s="32"/>
      <c r="D865" s="46"/>
      <c r="E865" s="46"/>
      <c r="F865" s="47"/>
      <c r="G865" s="32"/>
      <c r="H865" s="32"/>
      <c r="I865" s="33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25"/>
      <c r="B866" s="45"/>
      <c r="C866" s="32"/>
      <c r="D866" s="46"/>
      <c r="E866" s="46"/>
      <c r="F866" s="47"/>
      <c r="G866" s="32"/>
      <c r="H866" s="32"/>
      <c r="I866" s="33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25"/>
      <c r="B867" s="45"/>
      <c r="C867" s="32"/>
      <c r="D867" s="46"/>
      <c r="E867" s="46"/>
      <c r="F867" s="47"/>
      <c r="G867" s="32"/>
      <c r="H867" s="32"/>
      <c r="I867" s="33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25"/>
      <c r="B868" s="45"/>
      <c r="C868" s="32"/>
      <c r="D868" s="46"/>
      <c r="E868" s="46"/>
      <c r="F868" s="47"/>
      <c r="G868" s="32"/>
      <c r="H868" s="32"/>
      <c r="I868" s="33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25"/>
      <c r="B869" s="45"/>
      <c r="C869" s="32"/>
      <c r="D869" s="46"/>
      <c r="E869" s="46"/>
      <c r="F869" s="47"/>
      <c r="G869" s="32"/>
      <c r="H869" s="32"/>
      <c r="I869" s="33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25"/>
      <c r="B870" s="45"/>
      <c r="C870" s="32"/>
      <c r="D870" s="46"/>
      <c r="E870" s="46"/>
      <c r="F870" s="47"/>
      <c r="G870" s="32"/>
      <c r="H870" s="32"/>
      <c r="I870" s="33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25"/>
      <c r="B871" s="45"/>
      <c r="C871" s="32"/>
      <c r="D871" s="46"/>
      <c r="E871" s="46"/>
      <c r="F871" s="47"/>
      <c r="G871" s="32"/>
      <c r="H871" s="32"/>
      <c r="I871" s="33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25"/>
      <c r="B872" s="45"/>
      <c r="C872" s="32"/>
      <c r="D872" s="46"/>
      <c r="E872" s="46"/>
      <c r="F872" s="47"/>
      <c r="G872" s="32"/>
      <c r="H872" s="32"/>
      <c r="I872" s="33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25"/>
      <c r="B873" s="45"/>
      <c r="C873" s="32"/>
      <c r="D873" s="46"/>
      <c r="E873" s="46"/>
      <c r="F873" s="47"/>
      <c r="G873" s="32"/>
      <c r="H873" s="32"/>
      <c r="I873" s="33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25"/>
      <c r="B874" s="45"/>
      <c r="C874" s="32"/>
      <c r="D874" s="46"/>
      <c r="E874" s="46"/>
      <c r="F874" s="47"/>
      <c r="G874" s="32"/>
      <c r="H874" s="32"/>
      <c r="I874" s="33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25"/>
      <c r="B875" s="45"/>
      <c r="C875" s="32"/>
      <c r="D875" s="46"/>
      <c r="E875" s="46"/>
      <c r="F875" s="47"/>
      <c r="G875" s="32"/>
      <c r="H875" s="32"/>
      <c r="I875" s="33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25"/>
      <c r="B876" s="45"/>
      <c r="C876" s="32"/>
      <c r="D876" s="46"/>
      <c r="E876" s="46"/>
      <c r="F876" s="47"/>
      <c r="G876" s="32"/>
      <c r="H876" s="32"/>
      <c r="I876" s="33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25"/>
      <c r="B877" s="45"/>
      <c r="C877" s="32"/>
      <c r="D877" s="46"/>
      <c r="E877" s="46"/>
      <c r="F877" s="47"/>
      <c r="G877" s="32"/>
      <c r="H877" s="32"/>
      <c r="I877" s="33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25"/>
      <c r="B878" s="45"/>
      <c r="C878" s="32"/>
      <c r="D878" s="46"/>
      <c r="E878" s="46"/>
      <c r="F878" s="47"/>
      <c r="G878" s="32"/>
      <c r="H878" s="32"/>
      <c r="I878" s="33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25"/>
      <c r="B879" s="45"/>
      <c r="C879" s="32"/>
      <c r="D879" s="46"/>
      <c r="E879" s="46"/>
      <c r="F879" s="47"/>
      <c r="G879" s="32"/>
      <c r="H879" s="32"/>
      <c r="I879" s="33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25"/>
      <c r="B880" s="45"/>
      <c r="C880" s="32"/>
      <c r="D880" s="46"/>
      <c r="E880" s="46"/>
      <c r="F880" s="47"/>
      <c r="G880" s="32"/>
      <c r="H880" s="32"/>
      <c r="I880" s="33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25"/>
      <c r="B881" s="45"/>
      <c r="C881" s="32"/>
      <c r="D881" s="46"/>
      <c r="E881" s="46"/>
      <c r="F881" s="47"/>
      <c r="G881" s="32"/>
      <c r="H881" s="32"/>
      <c r="I881" s="33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25"/>
      <c r="B882" s="45"/>
      <c r="C882" s="32"/>
      <c r="D882" s="46"/>
      <c r="E882" s="46"/>
      <c r="F882" s="47"/>
      <c r="G882" s="32"/>
      <c r="H882" s="32"/>
      <c r="I882" s="33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25"/>
      <c r="B883" s="45"/>
      <c r="C883" s="32"/>
      <c r="D883" s="46"/>
      <c r="E883" s="46"/>
      <c r="F883" s="47"/>
      <c r="G883" s="32"/>
      <c r="H883" s="32"/>
      <c r="I883" s="33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25"/>
      <c r="B884" s="45"/>
      <c r="C884" s="32"/>
      <c r="D884" s="46"/>
      <c r="E884" s="46"/>
      <c r="F884" s="47"/>
      <c r="G884" s="32"/>
      <c r="H884" s="32"/>
      <c r="I884" s="33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25"/>
      <c r="B885" s="45"/>
      <c r="C885" s="32"/>
      <c r="D885" s="46"/>
      <c r="E885" s="46"/>
      <c r="F885" s="47"/>
      <c r="G885" s="32"/>
      <c r="H885" s="32"/>
      <c r="I885" s="33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25"/>
      <c r="B886" s="45"/>
      <c r="C886" s="32"/>
      <c r="D886" s="46"/>
      <c r="E886" s="46"/>
      <c r="F886" s="47"/>
      <c r="G886" s="32"/>
      <c r="H886" s="32"/>
      <c r="I886" s="33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25"/>
      <c r="B887" s="45"/>
      <c r="C887" s="32"/>
      <c r="D887" s="46"/>
      <c r="E887" s="46"/>
      <c r="F887" s="47"/>
      <c r="G887" s="32"/>
      <c r="H887" s="32"/>
      <c r="I887" s="33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25"/>
      <c r="B888" s="45"/>
      <c r="C888" s="32"/>
      <c r="D888" s="46"/>
      <c r="E888" s="46"/>
      <c r="F888" s="47"/>
      <c r="G888" s="32"/>
      <c r="H888" s="32"/>
      <c r="I888" s="33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25"/>
      <c r="B889" s="45"/>
      <c r="C889" s="32"/>
      <c r="D889" s="46"/>
      <c r="E889" s="46"/>
      <c r="F889" s="47"/>
      <c r="G889" s="32"/>
      <c r="H889" s="32"/>
      <c r="I889" s="33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25"/>
      <c r="B890" s="45"/>
      <c r="C890" s="32"/>
      <c r="D890" s="46"/>
      <c r="E890" s="46"/>
      <c r="F890" s="47"/>
      <c r="G890" s="32"/>
      <c r="H890" s="32"/>
      <c r="I890" s="33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25"/>
      <c r="B891" s="45"/>
      <c r="C891" s="32"/>
      <c r="D891" s="46"/>
      <c r="E891" s="46"/>
      <c r="F891" s="47"/>
      <c r="G891" s="32"/>
      <c r="H891" s="32"/>
      <c r="I891" s="33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25"/>
      <c r="B892" s="45"/>
      <c r="C892" s="32"/>
      <c r="D892" s="46"/>
      <c r="E892" s="46"/>
      <c r="F892" s="47"/>
      <c r="G892" s="32"/>
      <c r="H892" s="32"/>
      <c r="I892" s="33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25"/>
      <c r="B893" s="45"/>
      <c r="C893" s="32"/>
      <c r="D893" s="46"/>
      <c r="E893" s="46"/>
      <c r="F893" s="47"/>
      <c r="G893" s="32"/>
      <c r="H893" s="32"/>
      <c r="I893" s="33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25"/>
      <c r="B894" s="45"/>
      <c r="C894" s="32"/>
      <c r="D894" s="46"/>
      <c r="E894" s="46"/>
      <c r="F894" s="47"/>
      <c r="G894" s="32"/>
      <c r="H894" s="32"/>
      <c r="I894" s="33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25"/>
      <c r="B895" s="45"/>
      <c r="C895" s="32"/>
      <c r="D895" s="46"/>
      <c r="E895" s="46"/>
      <c r="F895" s="47"/>
      <c r="G895" s="32"/>
      <c r="H895" s="32"/>
      <c r="I895" s="33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25"/>
      <c r="B896" s="45"/>
      <c r="C896" s="32"/>
      <c r="D896" s="46"/>
      <c r="E896" s="46"/>
      <c r="F896" s="47"/>
      <c r="G896" s="32"/>
      <c r="H896" s="32"/>
      <c r="I896" s="33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25"/>
      <c r="B897" s="45"/>
      <c r="C897" s="32"/>
      <c r="D897" s="46"/>
      <c r="E897" s="46"/>
      <c r="F897" s="47"/>
      <c r="G897" s="32"/>
      <c r="H897" s="32"/>
      <c r="I897" s="33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25"/>
      <c r="B898" s="45"/>
      <c r="C898" s="32"/>
      <c r="D898" s="46"/>
      <c r="E898" s="46"/>
      <c r="F898" s="47"/>
      <c r="G898" s="32"/>
      <c r="H898" s="32"/>
      <c r="I898" s="33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25"/>
      <c r="B899" s="45"/>
      <c r="C899" s="32"/>
      <c r="D899" s="46"/>
      <c r="E899" s="46"/>
      <c r="F899" s="47"/>
      <c r="G899" s="32"/>
      <c r="H899" s="32"/>
      <c r="I899" s="33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25"/>
      <c r="B900" s="45"/>
      <c r="C900" s="32"/>
      <c r="D900" s="46"/>
      <c r="E900" s="46"/>
      <c r="F900" s="47"/>
      <c r="G900" s="32"/>
      <c r="H900" s="32"/>
      <c r="I900" s="33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25"/>
      <c r="B901" s="45"/>
      <c r="C901" s="32"/>
      <c r="D901" s="46"/>
      <c r="E901" s="46"/>
      <c r="F901" s="47"/>
      <c r="G901" s="32"/>
      <c r="H901" s="32"/>
      <c r="I901" s="33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25"/>
      <c r="B902" s="45"/>
      <c r="C902" s="32"/>
      <c r="D902" s="46"/>
      <c r="E902" s="46"/>
      <c r="F902" s="47"/>
      <c r="G902" s="32"/>
      <c r="H902" s="32"/>
      <c r="I902" s="33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25"/>
      <c r="B903" s="45"/>
      <c r="C903" s="32"/>
      <c r="D903" s="46"/>
      <c r="E903" s="46"/>
      <c r="F903" s="47"/>
      <c r="G903" s="32"/>
      <c r="H903" s="32"/>
      <c r="I903" s="33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25"/>
      <c r="B904" s="45"/>
      <c r="C904" s="32"/>
      <c r="D904" s="46"/>
      <c r="E904" s="46"/>
      <c r="F904" s="47"/>
      <c r="G904" s="32"/>
      <c r="H904" s="32"/>
      <c r="I904" s="33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25"/>
      <c r="B905" s="45"/>
      <c r="C905" s="32"/>
      <c r="D905" s="46"/>
      <c r="E905" s="46"/>
      <c r="F905" s="47"/>
      <c r="G905" s="32"/>
      <c r="H905" s="32"/>
      <c r="I905" s="33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25"/>
      <c r="B906" s="45"/>
      <c r="C906" s="32"/>
      <c r="D906" s="46"/>
      <c r="E906" s="46"/>
      <c r="F906" s="47"/>
      <c r="G906" s="32"/>
      <c r="H906" s="32"/>
      <c r="I906" s="33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25"/>
      <c r="B907" s="45"/>
      <c r="C907" s="32"/>
      <c r="D907" s="46"/>
      <c r="E907" s="46"/>
      <c r="F907" s="47"/>
      <c r="G907" s="32"/>
      <c r="H907" s="32"/>
      <c r="I907" s="33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25"/>
      <c r="B908" s="45"/>
      <c r="C908" s="32"/>
      <c r="D908" s="46"/>
      <c r="E908" s="46"/>
      <c r="F908" s="47"/>
      <c r="G908" s="32"/>
      <c r="H908" s="32"/>
      <c r="I908" s="33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25"/>
      <c r="B909" s="45"/>
      <c r="C909" s="32"/>
      <c r="D909" s="46"/>
      <c r="E909" s="46"/>
      <c r="F909" s="47"/>
      <c r="G909" s="32"/>
      <c r="H909" s="32"/>
      <c r="I909" s="33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25"/>
      <c r="B910" s="45"/>
      <c r="C910" s="32"/>
      <c r="D910" s="46"/>
      <c r="E910" s="46"/>
      <c r="F910" s="47"/>
      <c r="G910" s="32"/>
      <c r="H910" s="32"/>
      <c r="I910" s="33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25"/>
      <c r="B911" s="45"/>
      <c r="C911" s="32"/>
      <c r="D911" s="46"/>
      <c r="E911" s="46"/>
      <c r="F911" s="47"/>
      <c r="G911" s="32"/>
      <c r="H911" s="32"/>
      <c r="I911" s="33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25"/>
      <c r="B912" s="45"/>
      <c r="C912" s="32"/>
      <c r="D912" s="46"/>
      <c r="E912" s="46"/>
      <c r="F912" s="47"/>
      <c r="G912" s="32"/>
      <c r="H912" s="32"/>
      <c r="I912" s="33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25"/>
      <c r="B913" s="45"/>
      <c r="C913" s="32"/>
      <c r="D913" s="46"/>
      <c r="E913" s="46"/>
      <c r="F913" s="47"/>
      <c r="G913" s="32"/>
      <c r="H913" s="32"/>
      <c r="I913" s="33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25"/>
      <c r="B914" s="45"/>
      <c r="C914" s="32"/>
      <c r="D914" s="46"/>
      <c r="E914" s="46"/>
      <c r="F914" s="47"/>
      <c r="G914" s="32"/>
      <c r="H914" s="32"/>
      <c r="I914" s="33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25"/>
      <c r="B915" s="45"/>
      <c r="C915" s="32"/>
      <c r="D915" s="46"/>
      <c r="E915" s="46"/>
      <c r="F915" s="47"/>
      <c r="G915" s="32"/>
      <c r="H915" s="32"/>
      <c r="I915" s="33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25"/>
      <c r="B916" s="45"/>
      <c r="C916" s="32"/>
      <c r="D916" s="46"/>
      <c r="E916" s="46"/>
      <c r="F916" s="47"/>
      <c r="G916" s="32"/>
      <c r="H916" s="32"/>
      <c r="I916" s="33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25"/>
      <c r="B917" s="45"/>
      <c r="C917" s="32"/>
      <c r="D917" s="46"/>
      <c r="E917" s="46"/>
      <c r="F917" s="47"/>
      <c r="G917" s="32"/>
      <c r="H917" s="32"/>
      <c r="I917" s="33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25"/>
      <c r="B918" s="45"/>
      <c r="C918" s="32"/>
      <c r="D918" s="46"/>
      <c r="E918" s="46"/>
      <c r="F918" s="47"/>
      <c r="G918" s="32"/>
      <c r="H918" s="32"/>
      <c r="I918" s="33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25"/>
      <c r="B919" s="45"/>
      <c r="C919" s="32"/>
      <c r="D919" s="46"/>
      <c r="E919" s="46"/>
      <c r="F919" s="47"/>
      <c r="G919" s="32"/>
      <c r="H919" s="32"/>
      <c r="I919" s="33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25"/>
      <c r="B920" s="45"/>
      <c r="C920" s="32"/>
      <c r="D920" s="46"/>
      <c r="E920" s="46"/>
      <c r="F920" s="47"/>
      <c r="G920" s="32"/>
      <c r="H920" s="32"/>
      <c r="I920" s="33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25"/>
      <c r="B921" s="45"/>
      <c r="C921" s="32"/>
      <c r="D921" s="46"/>
      <c r="E921" s="46"/>
      <c r="F921" s="47"/>
      <c r="G921" s="32"/>
      <c r="H921" s="32"/>
      <c r="I921" s="33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25"/>
      <c r="B922" s="45"/>
      <c r="C922" s="32"/>
      <c r="D922" s="46"/>
      <c r="E922" s="46"/>
      <c r="F922" s="47"/>
      <c r="G922" s="32"/>
      <c r="H922" s="32"/>
      <c r="I922" s="33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25"/>
      <c r="B923" s="45"/>
      <c r="C923" s="32"/>
      <c r="D923" s="46"/>
      <c r="E923" s="46"/>
      <c r="F923" s="47"/>
      <c r="G923" s="32"/>
      <c r="H923" s="32"/>
      <c r="I923" s="33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25"/>
      <c r="B924" s="45"/>
      <c r="C924" s="32"/>
      <c r="D924" s="46"/>
      <c r="E924" s="46"/>
      <c r="F924" s="47"/>
      <c r="G924" s="32"/>
      <c r="H924" s="32"/>
      <c r="I924" s="33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25"/>
      <c r="B925" s="45"/>
      <c r="C925" s="32"/>
      <c r="D925" s="46"/>
      <c r="E925" s="46"/>
      <c r="F925" s="47"/>
      <c r="G925" s="32"/>
      <c r="H925" s="32"/>
      <c r="I925" s="33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25"/>
      <c r="B926" s="45"/>
      <c r="C926" s="32"/>
      <c r="D926" s="46"/>
      <c r="E926" s="46"/>
      <c r="F926" s="47"/>
      <c r="G926" s="32"/>
      <c r="H926" s="32"/>
      <c r="I926" s="33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25"/>
      <c r="B927" s="45"/>
      <c r="C927" s="32"/>
      <c r="D927" s="46"/>
      <c r="E927" s="46"/>
      <c r="F927" s="47"/>
      <c r="G927" s="32"/>
      <c r="H927" s="32"/>
      <c r="I927" s="33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25"/>
      <c r="B928" s="45"/>
      <c r="C928" s="32"/>
      <c r="D928" s="46"/>
      <c r="E928" s="46"/>
      <c r="F928" s="47"/>
      <c r="G928" s="32"/>
      <c r="H928" s="32"/>
      <c r="I928" s="33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25"/>
      <c r="B929" s="45"/>
      <c r="C929" s="32"/>
      <c r="D929" s="46"/>
      <c r="E929" s="46"/>
      <c r="F929" s="47"/>
      <c r="G929" s="32"/>
      <c r="H929" s="32"/>
      <c r="I929" s="33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25"/>
      <c r="B930" s="45"/>
      <c r="C930" s="32"/>
      <c r="D930" s="46"/>
      <c r="E930" s="46"/>
      <c r="F930" s="47"/>
      <c r="G930" s="32"/>
      <c r="H930" s="32"/>
      <c r="I930" s="33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25"/>
      <c r="B931" s="45"/>
      <c r="C931" s="32"/>
      <c r="D931" s="46"/>
      <c r="E931" s="46"/>
      <c r="F931" s="47"/>
      <c r="G931" s="32"/>
      <c r="H931" s="32"/>
      <c r="I931" s="33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25"/>
      <c r="B932" s="45"/>
      <c r="C932" s="32"/>
      <c r="D932" s="46"/>
      <c r="E932" s="46"/>
      <c r="F932" s="47"/>
      <c r="G932" s="32"/>
      <c r="H932" s="32"/>
      <c r="I932" s="33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25"/>
      <c r="B933" s="45"/>
      <c r="C933" s="32"/>
      <c r="D933" s="46"/>
      <c r="E933" s="46"/>
      <c r="F933" s="47"/>
      <c r="G933" s="32"/>
      <c r="H933" s="32"/>
      <c r="I933" s="33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25"/>
      <c r="B934" s="45"/>
      <c r="C934" s="32"/>
      <c r="D934" s="46"/>
      <c r="E934" s="46"/>
      <c r="F934" s="47"/>
      <c r="G934" s="32"/>
      <c r="H934" s="32"/>
      <c r="I934" s="33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25"/>
      <c r="B935" s="45"/>
      <c r="C935" s="32"/>
      <c r="D935" s="46"/>
      <c r="E935" s="46"/>
      <c r="F935" s="47"/>
      <c r="G935" s="32"/>
      <c r="H935" s="32"/>
      <c r="I935" s="33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25"/>
      <c r="B936" s="45"/>
      <c r="C936" s="32"/>
      <c r="D936" s="46"/>
      <c r="E936" s="46"/>
      <c r="F936" s="47"/>
      <c r="G936" s="32"/>
      <c r="H936" s="32"/>
      <c r="I936" s="33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25"/>
      <c r="B937" s="45"/>
      <c r="C937" s="32"/>
      <c r="D937" s="46"/>
      <c r="E937" s="46"/>
      <c r="F937" s="47"/>
      <c r="G937" s="32"/>
      <c r="H937" s="32"/>
      <c r="I937" s="33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25"/>
      <c r="B938" s="45"/>
      <c r="C938" s="32"/>
      <c r="D938" s="46"/>
      <c r="E938" s="46"/>
      <c r="F938" s="47"/>
      <c r="G938" s="32"/>
      <c r="H938" s="32"/>
      <c r="I938" s="33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25"/>
      <c r="B939" s="45"/>
      <c r="C939" s="32"/>
      <c r="D939" s="46"/>
      <c r="E939" s="46"/>
      <c r="F939" s="47"/>
      <c r="G939" s="32"/>
      <c r="H939" s="32"/>
      <c r="I939" s="33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25"/>
      <c r="B940" s="45"/>
      <c r="C940" s="32"/>
      <c r="D940" s="46"/>
      <c r="E940" s="46"/>
      <c r="F940" s="47"/>
      <c r="G940" s="32"/>
      <c r="H940" s="32"/>
      <c r="I940" s="33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25"/>
      <c r="B941" s="45"/>
      <c r="C941" s="32"/>
      <c r="D941" s="46"/>
      <c r="E941" s="46"/>
      <c r="F941" s="47"/>
      <c r="G941" s="32"/>
      <c r="H941" s="32"/>
      <c r="I941" s="33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25"/>
      <c r="B942" s="45"/>
      <c r="C942" s="32"/>
      <c r="D942" s="46"/>
      <c r="E942" s="46"/>
      <c r="F942" s="47"/>
      <c r="G942" s="32"/>
      <c r="H942" s="32"/>
      <c r="I942" s="33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25"/>
      <c r="B943" s="45"/>
      <c r="C943" s="32"/>
      <c r="D943" s="46"/>
      <c r="E943" s="46"/>
      <c r="F943" s="47"/>
      <c r="G943" s="32"/>
      <c r="H943" s="32"/>
      <c r="I943" s="33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25"/>
      <c r="B944" s="45"/>
      <c r="C944" s="32"/>
      <c r="D944" s="46"/>
      <c r="E944" s="46"/>
      <c r="F944" s="47"/>
      <c r="G944" s="32"/>
      <c r="H944" s="32"/>
      <c r="I944" s="33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25"/>
      <c r="B945" s="45"/>
      <c r="C945" s="32"/>
      <c r="D945" s="46"/>
      <c r="E945" s="46"/>
      <c r="F945" s="47"/>
      <c r="G945" s="32"/>
      <c r="H945" s="32"/>
      <c r="I945" s="33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25"/>
      <c r="B946" s="45"/>
      <c r="C946" s="32"/>
      <c r="D946" s="46"/>
      <c r="E946" s="46"/>
      <c r="F946" s="47"/>
      <c r="G946" s="32"/>
      <c r="H946" s="32"/>
      <c r="I946" s="33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25"/>
      <c r="B947" s="45"/>
      <c r="C947" s="32"/>
      <c r="D947" s="46"/>
      <c r="E947" s="46"/>
      <c r="F947" s="47"/>
      <c r="G947" s="32"/>
      <c r="H947" s="32"/>
      <c r="I947" s="33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25"/>
      <c r="B948" s="45"/>
      <c r="C948" s="32"/>
      <c r="D948" s="46"/>
      <c r="E948" s="46"/>
      <c r="F948" s="47"/>
      <c r="G948" s="32"/>
      <c r="H948" s="32"/>
      <c r="I948" s="33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25"/>
      <c r="B949" s="45"/>
      <c r="C949" s="32"/>
      <c r="D949" s="46"/>
      <c r="E949" s="46"/>
      <c r="F949" s="47"/>
      <c r="G949" s="32"/>
      <c r="H949" s="32"/>
      <c r="I949" s="33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25"/>
      <c r="B950" s="45"/>
      <c r="C950" s="32"/>
      <c r="D950" s="46"/>
      <c r="E950" s="46"/>
      <c r="F950" s="47"/>
      <c r="G950" s="32"/>
      <c r="H950" s="32"/>
      <c r="I950" s="33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25"/>
      <c r="B951" s="45"/>
      <c r="C951" s="32"/>
      <c r="D951" s="46"/>
      <c r="E951" s="46"/>
      <c r="F951" s="47"/>
      <c r="G951" s="32"/>
      <c r="H951" s="32"/>
      <c r="I951" s="33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25"/>
      <c r="B952" s="45"/>
      <c r="C952" s="32"/>
      <c r="D952" s="46"/>
      <c r="E952" s="46"/>
      <c r="F952" s="47"/>
      <c r="G952" s="32"/>
      <c r="H952" s="32"/>
      <c r="I952" s="33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25"/>
      <c r="B953" s="45"/>
      <c r="C953" s="32"/>
      <c r="D953" s="46"/>
      <c r="E953" s="46"/>
      <c r="F953" s="47"/>
      <c r="G953" s="32"/>
      <c r="H953" s="32"/>
      <c r="I953" s="33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25"/>
      <c r="B954" s="45"/>
      <c r="C954" s="32"/>
      <c r="D954" s="46"/>
      <c r="E954" s="46"/>
      <c r="F954" s="47"/>
      <c r="G954" s="32"/>
      <c r="H954" s="32"/>
      <c r="I954" s="33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25"/>
      <c r="B955" s="45"/>
      <c r="C955" s="32"/>
      <c r="D955" s="46"/>
      <c r="E955" s="46"/>
      <c r="F955" s="47"/>
      <c r="G955" s="32"/>
      <c r="H955" s="32"/>
      <c r="I955" s="33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25"/>
      <c r="B956" s="45"/>
      <c r="C956" s="32"/>
      <c r="D956" s="46"/>
      <c r="E956" s="46"/>
      <c r="F956" s="47"/>
      <c r="G956" s="32"/>
      <c r="H956" s="32"/>
      <c r="I956" s="33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25"/>
      <c r="B957" s="45"/>
      <c r="C957" s="32"/>
      <c r="D957" s="46"/>
      <c r="E957" s="46"/>
      <c r="F957" s="47"/>
      <c r="G957" s="32"/>
      <c r="H957" s="32"/>
      <c r="I957" s="33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25"/>
      <c r="B958" s="45"/>
      <c r="C958" s="32"/>
      <c r="D958" s="46"/>
      <c r="E958" s="46"/>
      <c r="F958" s="47"/>
      <c r="G958" s="32"/>
      <c r="H958" s="32"/>
      <c r="I958" s="33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25"/>
      <c r="B959" s="45"/>
      <c r="C959" s="32"/>
      <c r="D959" s="46"/>
      <c r="E959" s="46"/>
      <c r="F959" s="47"/>
      <c r="G959" s="32"/>
      <c r="H959" s="32"/>
      <c r="I959" s="33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25"/>
      <c r="B960" s="45"/>
      <c r="C960" s="32"/>
      <c r="D960" s="46"/>
      <c r="E960" s="46"/>
      <c r="F960" s="47"/>
      <c r="G960" s="32"/>
      <c r="H960" s="32"/>
      <c r="I960" s="33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25"/>
      <c r="B961" s="45"/>
      <c r="C961" s="32"/>
      <c r="D961" s="46"/>
      <c r="E961" s="46"/>
      <c r="F961" s="47"/>
      <c r="G961" s="32"/>
      <c r="H961" s="32"/>
      <c r="I961" s="33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25"/>
      <c r="B962" s="45"/>
      <c r="C962" s="32"/>
      <c r="D962" s="46"/>
      <c r="E962" s="46"/>
      <c r="F962" s="47"/>
      <c r="G962" s="32"/>
      <c r="H962" s="32"/>
      <c r="I962" s="33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25"/>
      <c r="B963" s="45"/>
      <c r="C963" s="32"/>
      <c r="D963" s="46"/>
      <c r="E963" s="46"/>
      <c r="F963" s="47"/>
      <c r="G963" s="32"/>
      <c r="H963" s="32"/>
      <c r="I963" s="33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25"/>
      <c r="B964" s="45"/>
      <c r="C964" s="32"/>
      <c r="D964" s="46"/>
      <c r="E964" s="46"/>
      <c r="F964" s="47"/>
      <c r="G964" s="32"/>
      <c r="H964" s="32"/>
      <c r="I964" s="33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25"/>
      <c r="B965" s="45"/>
      <c r="C965" s="32"/>
      <c r="D965" s="46"/>
      <c r="E965" s="46"/>
      <c r="F965" s="47"/>
      <c r="G965" s="32"/>
      <c r="H965" s="32"/>
      <c r="I965" s="33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25"/>
      <c r="B966" s="45"/>
      <c r="C966" s="32"/>
      <c r="D966" s="46"/>
      <c r="E966" s="46"/>
      <c r="F966" s="47"/>
      <c r="G966" s="32"/>
      <c r="H966" s="32"/>
      <c r="I966" s="33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25"/>
      <c r="B967" s="45"/>
      <c r="C967" s="32"/>
      <c r="D967" s="46"/>
      <c r="E967" s="46"/>
      <c r="F967" s="47"/>
      <c r="G967" s="32"/>
      <c r="H967" s="32"/>
      <c r="I967" s="33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25"/>
      <c r="B968" s="45"/>
      <c r="C968" s="32"/>
      <c r="D968" s="46"/>
      <c r="E968" s="46"/>
      <c r="F968" s="47"/>
      <c r="G968" s="32"/>
      <c r="H968" s="32"/>
      <c r="I968" s="33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25"/>
      <c r="B969" s="45"/>
      <c r="C969" s="32"/>
      <c r="D969" s="46"/>
      <c r="E969" s="46"/>
      <c r="F969" s="47"/>
      <c r="G969" s="32"/>
      <c r="H969" s="32"/>
      <c r="I969" s="33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25"/>
      <c r="B970" s="45"/>
      <c r="C970" s="32"/>
      <c r="D970" s="46"/>
      <c r="E970" s="46"/>
      <c r="F970" s="47"/>
      <c r="G970" s="32"/>
      <c r="H970" s="32"/>
      <c r="I970" s="33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25"/>
      <c r="B971" s="45"/>
      <c r="C971" s="32"/>
      <c r="D971" s="46"/>
      <c r="E971" s="46"/>
      <c r="F971" s="47"/>
      <c r="G971" s="32"/>
      <c r="H971" s="32"/>
      <c r="I971" s="33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25"/>
      <c r="B972" s="45"/>
      <c r="C972" s="32"/>
      <c r="D972" s="46"/>
      <c r="E972" s="46"/>
      <c r="F972" s="47"/>
      <c r="G972" s="32"/>
      <c r="H972" s="32"/>
      <c r="I972" s="33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25"/>
      <c r="B973" s="45"/>
      <c r="C973" s="32"/>
      <c r="D973" s="46"/>
      <c r="E973" s="46"/>
      <c r="F973" s="47"/>
      <c r="G973" s="32"/>
      <c r="H973" s="32"/>
      <c r="I973" s="33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25"/>
      <c r="B974" s="45"/>
      <c r="C974" s="32"/>
      <c r="D974" s="46"/>
      <c r="E974" s="46"/>
      <c r="F974" s="47"/>
      <c r="G974" s="32"/>
      <c r="H974" s="32"/>
      <c r="I974" s="33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25"/>
      <c r="B975" s="45"/>
      <c r="C975" s="32"/>
      <c r="D975" s="46"/>
      <c r="E975" s="46"/>
      <c r="F975" s="47"/>
      <c r="G975" s="32"/>
      <c r="H975" s="32"/>
      <c r="I975" s="33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25"/>
      <c r="B976" s="45"/>
      <c r="C976" s="32"/>
      <c r="D976" s="46"/>
      <c r="E976" s="46"/>
      <c r="F976" s="47"/>
      <c r="G976" s="32"/>
      <c r="H976" s="32"/>
      <c r="I976" s="33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25"/>
      <c r="B977" s="45"/>
      <c r="C977" s="32"/>
      <c r="D977" s="46"/>
      <c r="E977" s="46"/>
      <c r="F977" s="47"/>
      <c r="G977" s="32"/>
      <c r="H977" s="32"/>
      <c r="I977" s="33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25"/>
      <c r="B978" s="45"/>
      <c r="C978" s="32"/>
      <c r="D978" s="46"/>
      <c r="E978" s="46"/>
      <c r="F978" s="47"/>
      <c r="G978" s="32"/>
      <c r="H978" s="32"/>
      <c r="I978" s="33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25"/>
      <c r="B979" s="45"/>
      <c r="C979" s="32"/>
      <c r="D979" s="46"/>
      <c r="E979" s="46"/>
      <c r="F979" s="47"/>
      <c r="G979" s="32"/>
      <c r="H979" s="32"/>
      <c r="I979" s="33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25"/>
      <c r="B980" s="45"/>
      <c r="C980" s="32"/>
      <c r="D980" s="46"/>
      <c r="E980" s="46"/>
      <c r="F980" s="47"/>
      <c r="G980" s="32"/>
      <c r="H980" s="32"/>
      <c r="I980" s="33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25"/>
      <c r="B981" s="45"/>
      <c r="C981" s="32"/>
      <c r="D981" s="46"/>
      <c r="E981" s="46"/>
      <c r="F981" s="47"/>
      <c r="G981" s="32"/>
      <c r="H981" s="32"/>
      <c r="I981" s="33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25"/>
      <c r="B982" s="45"/>
      <c r="C982" s="32"/>
      <c r="D982" s="46"/>
      <c r="E982" s="46"/>
      <c r="F982" s="47"/>
      <c r="G982" s="32"/>
      <c r="H982" s="32"/>
      <c r="I982" s="33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25"/>
      <c r="B983" s="45"/>
      <c r="C983" s="32"/>
      <c r="D983" s="46"/>
      <c r="E983" s="46"/>
      <c r="F983" s="47"/>
      <c r="G983" s="32"/>
      <c r="H983" s="32"/>
      <c r="I983" s="33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25"/>
      <c r="B984" s="45"/>
      <c r="C984" s="32"/>
      <c r="D984" s="46"/>
      <c r="E984" s="46"/>
      <c r="F984" s="47"/>
      <c r="G984" s="32"/>
      <c r="H984" s="32"/>
      <c r="I984" s="33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25"/>
      <c r="B985" s="45"/>
      <c r="C985" s="32"/>
      <c r="D985" s="46"/>
      <c r="E985" s="46"/>
      <c r="F985" s="47"/>
      <c r="G985" s="32"/>
      <c r="H985" s="32"/>
      <c r="I985" s="33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25"/>
      <c r="B986" s="45"/>
      <c r="C986" s="32"/>
      <c r="D986" s="46"/>
      <c r="E986" s="46"/>
      <c r="F986" s="47"/>
      <c r="G986" s="32"/>
      <c r="H986" s="32"/>
      <c r="I986" s="33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25"/>
      <c r="B987" s="45"/>
      <c r="C987" s="32"/>
      <c r="D987" s="46"/>
      <c r="E987" s="46"/>
      <c r="F987" s="47"/>
      <c r="G987" s="32"/>
      <c r="H987" s="32"/>
      <c r="I987" s="33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25"/>
      <c r="B988" s="45"/>
      <c r="C988" s="32"/>
      <c r="D988" s="46"/>
      <c r="E988" s="46"/>
      <c r="F988" s="47"/>
      <c r="G988" s="32"/>
      <c r="H988" s="32"/>
      <c r="I988" s="33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25"/>
      <c r="B989" s="45"/>
      <c r="C989" s="32"/>
      <c r="D989" s="46"/>
      <c r="E989" s="46"/>
      <c r="F989" s="47"/>
      <c r="G989" s="32"/>
      <c r="H989" s="32"/>
      <c r="I989" s="33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25"/>
      <c r="B990" s="45"/>
      <c r="C990" s="32"/>
      <c r="D990" s="46"/>
      <c r="E990" s="46"/>
      <c r="F990" s="47"/>
      <c r="G990" s="32"/>
      <c r="H990" s="32"/>
      <c r="I990" s="33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25"/>
      <c r="B991" s="45"/>
      <c r="C991" s="32"/>
      <c r="D991" s="46"/>
      <c r="E991" s="46"/>
      <c r="F991" s="47"/>
      <c r="G991" s="32"/>
      <c r="H991" s="32"/>
      <c r="I991" s="33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25"/>
      <c r="B992" s="45"/>
      <c r="C992" s="32"/>
      <c r="D992" s="46"/>
      <c r="E992" s="46"/>
      <c r="F992" s="47"/>
      <c r="G992" s="32"/>
      <c r="H992" s="32"/>
      <c r="I992" s="33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25"/>
      <c r="B993" s="45"/>
      <c r="C993" s="32"/>
      <c r="D993" s="46"/>
      <c r="E993" s="46"/>
      <c r="F993" s="47"/>
      <c r="G993" s="32"/>
      <c r="H993" s="32"/>
      <c r="I993" s="33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25"/>
      <c r="B994" s="45"/>
      <c r="C994" s="32"/>
      <c r="D994" s="46"/>
      <c r="E994" s="46"/>
      <c r="F994" s="47"/>
      <c r="G994" s="32"/>
      <c r="H994" s="32"/>
      <c r="I994" s="33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25"/>
      <c r="B995" s="45"/>
      <c r="C995" s="32"/>
      <c r="D995" s="46"/>
      <c r="E995" s="46"/>
      <c r="F995" s="47"/>
      <c r="G995" s="32"/>
      <c r="H995" s="32"/>
      <c r="I995" s="33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25"/>
      <c r="B996" s="45"/>
      <c r="C996" s="32"/>
      <c r="D996" s="46"/>
      <c r="E996" s="46"/>
      <c r="F996" s="47"/>
      <c r="G996" s="32"/>
      <c r="H996" s="32"/>
      <c r="I996" s="33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25"/>
      <c r="B997" s="45"/>
      <c r="C997" s="32"/>
      <c r="D997" s="46"/>
      <c r="E997" s="46"/>
      <c r="F997" s="47"/>
      <c r="G997" s="32"/>
      <c r="H997" s="32"/>
      <c r="I997" s="33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25"/>
      <c r="B998" s="45"/>
      <c r="C998" s="32"/>
      <c r="D998" s="46"/>
      <c r="E998" s="46"/>
      <c r="F998" s="47"/>
      <c r="G998" s="32"/>
      <c r="H998" s="32"/>
      <c r="I998" s="33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25"/>
      <c r="B999" s="45"/>
      <c r="C999" s="32"/>
      <c r="D999" s="46"/>
      <c r="E999" s="46"/>
      <c r="F999" s="47"/>
      <c r="G999" s="32"/>
      <c r="H999" s="32"/>
      <c r="I999" s="33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25"/>
      <c r="B1000" s="45"/>
      <c r="C1000" s="32"/>
      <c r="D1000" s="46"/>
      <c r="E1000" s="46"/>
      <c r="F1000" s="47"/>
      <c r="G1000" s="32"/>
      <c r="H1000" s="32"/>
      <c r="I1000" s="33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25"/>
      <c r="B1001" s="45"/>
      <c r="C1001" s="32"/>
      <c r="D1001" s="46"/>
      <c r="E1001" s="46"/>
      <c r="F1001" s="47"/>
      <c r="G1001" s="32"/>
      <c r="H1001" s="32"/>
      <c r="I1001" s="33"/>
      <c r="J1001" s="11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25"/>
      <c r="B1002" s="45"/>
      <c r="C1002" s="32"/>
      <c r="D1002" s="46"/>
      <c r="E1002" s="46"/>
      <c r="F1002" s="47"/>
      <c r="G1002" s="32"/>
      <c r="H1002" s="32"/>
      <c r="I1002" s="33"/>
      <c r="J1002" s="11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25"/>
      <c r="B1003" s="45"/>
      <c r="C1003" s="32"/>
      <c r="D1003" s="46"/>
      <c r="E1003" s="46"/>
      <c r="F1003" s="47"/>
      <c r="G1003" s="32"/>
      <c r="H1003" s="32"/>
      <c r="I1003" s="33"/>
      <c r="J1003" s="11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25"/>
      <c r="B1004" s="45"/>
      <c r="C1004" s="32"/>
      <c r="D1004" s="46"/>
      <c r="E1004" s="46"/>
      <c r="F1004" s="47"/>
      <c r="G1004" s="32"/>
      <c r="H1004" s="32"/>
      <c r="I1004" s="33"/>
      <c r="J1004" s="11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25"/>
      <c r="B1005" s="45"/>
      <c r="C1005" s="32"/>
      <c r="D1005" s="46"/>
      <c r="E1005" s="46"/>
      <c r="F1005" s="47"/>
      <c r="G1005" s="32"/>
      <c r="H1005" s="32"/>
      <c r="I1005" s="33"/>
      <c r="J1005" s="11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>
      <c r="A1006" s="25"/>
      <c r="B1006" s="45"/>
      <c r="C1006" s="32"/>
      <c r="D1006" s="46"/>
      <c r="E1006" s="46"/>
      <c r="F1006" s="47"/>
      <c r="G1006" s="32"/>
      <c r="H1006" s="32"/>
      <c r="I1006" s="33"/>
      <c r="J1006" s="11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>
      <c r="A1007" s="25"/>
      <c r="B1007" s="45"/>
      <c r="C1007" s="32"/>
      <c r="D1007" s="46"/>
      <c r="E1007" s="46"/>
      <c r="F1007" s="47"/>
      <c r="G1007" s="32"/>
      <c r="H1007" s="32"/>
      <c r="I1007" s="33"/>
      <c r="J1007" s="11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>
      <c r="A1008" s="25"/>
      <c r="B1008" s="45"/>
      <c r="C1008" s="32"/>
      <c r="D1008" s="46"/>
      <c r="E1008" s="46"/>
      <c r="F1008" s="47"/>
      <c r="G1008" s="32"/>
      <c r="H1008" s="32"/>
      <c r="I1008" s="33"/>
      <c r="J1008" s="11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>
      <c r="A1009" s="25"/>
      <c r="B1009" s="45"/>
      <c r="C1009" s="32"/>
      <c r="D1009" s="46"/>
      <c r="E1009" s="46"/>
      <c r="F1009" s="47"/>
      <c r="G1009" s="32"/>
      <c r="H1009" s="32"/>
      <c r="I1009" s="33"/>
      <c r="J1009" s="11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>
      <c r="A1010" s="25"/>
      <c r="B1010" s="45"/>
      <c r="C1010" s="32"/>
      <c r="D1010" s="46"/>
      <c r="E1010" s="46"/>
      <c r="F1010" s="47"/>
      <c r="G1010" s="32"/>
      <c r="H1010" s="32"/>
      <c r="I1010" s="33"/>
      <c r="J1010" s="11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>
      <c r="A1011" s="25"/>
      <c r="B1011" s="45"/>
      <c r="C1011" s="32"/>
      <c r="D1011" s="46"/>
      <c r="E1011" s="46"/>
      <c r="F1011" s="47"/>
      <c r="G1011" s="32"/>
      <c r="H1011" s="32"/>
      <c r="I1011" s="33"/>
      <c r="J1011" s="11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>
      <c r="A1012" s="25"/>
      <c r="B1012" s="45"/>
      <c r="C1012" s="32"/>
      <c r="D1012" s="46"/>
      <c r="E1012" s="46"/>
      <c r="F1012" s="47"/>
      <c r="G1012" s="32"/>
      <c r="H1012" s="32"/>
      <c r="I1012" s="33"/>
      <c r="J1012" s="11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>
      <c r="A1013" s="25"/>
      <c r="B1013" s="45"/>
      <c r="C1013" s="32"/>
      <c r="D1013" s="46"/>
      <c r="E1013" s="46"/>
      <c r="F1013" s="47"/>
      <c r="G1013" s="32"/>
      <c r="H1013" s="32"/>
      <c r="I1013" s="33"/>
      <c r="J1013" s="11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>
      <c r="A1014" s="25"/>
      <c r="B1014" s="45"/>
      <c r="C1014" s="32"/>
      <c r="D1014" s="46"/>
      <c r="E1014" s="46"/>
      <c r="F1014" s="47"/>
      <c r="G1014" s="32"/>
      <c r="H1014" s="32"/>
      <c r="I1014" s="33"/>
      <c r="J1014" s="11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>
      <c r="A1015" s="25"/>
      <c r="B1015" s="45"/>
      <c r="C1015" s="32"/>
      <c r="D1015" s="46"/>
      <c r="E1015" s="46"/>
      <c r="F1015" s="47"/>
      <c r="G1015" s="32"/>
      <c r="H1015" s="32"/>
      <c r="I1015" s="33"/>
      <c r="J1015" s="11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>
      <c r="A1016" s="25"/>
      <c r="B1016" s="45"/>
      <c r="C1016" s="32"/>
      <c r="D1016" s="46"/>
      <c r="E1016" s="46"/>
      <c r="F1016" s="47"/>
      <c r="G1016" s="32"/>
      <c r="H1016" s="32"/>
      <c r="I1016" s="33"/>
      <c r="J1016" s="11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>
      <c r="A1017" s="25"/>
      <c r="B1017" s="45"/>
      <c r="C1017" s="32"/>
      <c r="D1017" s="46"/>
      <c r="E1017" s="46"/>
      <c r="F1017" s="47"/>
      <c r="G1017" s="32"/>
      <c r="H1017" s="32"/>
      <c r="I1017" s="33"/>
      <c r="J1017" s="11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>
      <c r="A1018" s="25"/>
      <c r="B1018" s="45"/>
      <c r="C1018" s="32"/>
      <c r="D1018" s="46"/>
      <c r="E1018" s="46"/>
      <c r="F1018" s="47"/>
      <c r="G1018" s="32"/>
      <c r="H1018" s="32"/>
      <c r="I1018" s="33"/>
      <c r="J1018" s="11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>
      <c r="A1019" s="25"/>
      <c r="B1019" s="45"/>
      <c r="C1019" s="32"/>
      <c r="D1019" s="46"/>
      <c r="E1019" s="46"/>
      <c r="F1019" s="47"/>
      <c r="G1019" s="32"/>
      <c r="H1019" s="32"/>
      <c r="I1019" s="33"/>
      <c r="J1019" s="11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>
      <c r="A1020" s="25"/>
      <c r="B1020" s="45"/>
      <c r="C1020" s="32"/>
      <c r="D1020" s="46"/>
      <c r="E1020" s="46"/>
      <c r="F1020" s="47"/>
      <c r="G1020" s="32"/>
      <c r="H1020" s="32"/>
      <c r="I1020" s="33"/>
      <c r="J1020" s="11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>
      <c r="A1021" s="25"/>
      <c r="B1021" s="45"/>
      <c r="C1021" s="32"/>
      <c r="D1021" s="46"/>
      <c r="E1021" s="46"/>
      <c r="F1021" s="47"/>
      <c r="G1021" s="32"/>
      <c r="H1021" s="32"/>
      <c r="I1021" s="33"/>
      <c r="J1021" s="11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>
      <c r="A1022" s="25"/>
      <c r="B1022" s="45"/>
      <c r="C1022" s="32"/>
      <c r="D1022" s="46"/>
      <c r="E1022" s="46"/>
      <c r="F1022" s="47"/>
      <c r="G1022" s="32"/>
      <c r="H1022" s="32"/>
      <c r="I1022" s="33"/>
      <c r="J1022" s="11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>
      <c r="A1023" s="25"/>
      <c r="B1023" s="45"/>
      <c r="C1023" s="32"/>
      <c r="D1023" s="46"/>
      <c r="E1023" s="46"/>
      <c r="F1023" s="47"/>
      <c r="G1023" s="32"/>
      <c r="H1023" s="32"/>
      <c r="I1023" s="33"/>
      <c r="J1023" s="11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>
      <c r="A1024" s="25"/>
      <c r="B1024" s="45"/>
      <c r="C1024" s="32"/>
      <c r="D1024" s="46"/>
      <c r="E1024" s="46"/>
      <c r="F1024" s="47"/>
      <c r="G1024" s="32"/>
      <c r="H1024" s="32"/>
      <c r="I1024" s="33"/>
      <c r="J1024" s="11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>
      <c r="A1025" s="25"/>
      <c r="B1025" s="45"/>
      <c r="C1025" s="32"/>
      <c r="D1025" s="46"/>
      <c r="E1025" s="46"/>
      <c r="F1025" s="47"/>
      <c r="G1025" s="32"/>
      <c r="H1025" s="32"/>
      <c r="I1025" s="33"/>
      <c r="J1025" s="11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>
      <c r="A1026" s="25"/>
      <c r="B1026" s="45"/>
      <c r="C1026" s="32"/>
      <c r="D1026" s="46"/>
      <c r="E1026" s="46"/>
      <c r="F1026" s="47"/>
      <c r="G1026" s="32"/>
      <c r="H1026" s="32"/>
      <c r="I1026" s="33"/>
      <c r="J1026" s="11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>
      <c r="A1027" s="25"/>
      <c r="B1027" s="45"/>
      <c r="C1027" s="32"/>
      <c r="D1027" s="46"/>
      <c r="E1027" s="46"/>
      <c r="F1027" s="47"/>
      <c r="G1027" s="32"/>
      <c r="H1027" s="32"/>
      <c r="I1027" s="33"/>
      <c r="J1027" s="11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>
      <c r="A1028" s="25"/>
      <c r="B1028" s="45"/>
      <c r="C1028" s="32"/>
      <c r="D1028" s="46"/>
      <c r="E1028" s="46"/>
      <c r="F1028" s="47"/>
      <c r="G1028" s="32"/>
      <c r="H1028" s="32"/>
      <c r="I1028" s="33"/>
      <c r="J1028" s="11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>
      <c r="A1029" s="25"/>
      <c r="B1029" s="45"/>
      <c r="C1029" s="32"/>
      <c r="D1029" s="46"/>
      <c r="E1029" s="46"/>
      <c r="F1029" s="47"/>
      <c r="G1029" s="32"/>
      <c r="H1029" s="32"/>
      <c r="I1029" s="33"/>
      <c r="J1029" s="11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>
      <c r="A1030" s="25"/>
      <c r="B1030" s="45"/>
      <c r="C1030" s="32"/>
      <c r="D1030" s="46"/>
      <c r="E1030" s="46"/>
      <c r="F1030" s="47"/>
      <c r="G1030" s="32"/>
      <c r="H1030" s="32"/>
      <c r="I1030" s="33"/>
      <c r="J1030" s="11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>
      <c r="A1031" s="25"/>
      <c r="B1031" s="45"/>
      <c r="C1031" s="32"/>
      <c r="D1031" s="46"/>
      <c r="E1031" s="46"/>
      <c r="F1031" s="47"/>
      <c r="G1031" s="32"/>
      <c r="H1031" s="32"/>
      <c r="I1031" s="33"/>
      <c r="J1031" s="11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</row>
    <row r="1032">
      <c r="A1032" s="25"/>
      <c r="B1032" s="45"/>
      <c r="C1032" s="32"/>
      <c r="D1032" s="46"/>
      <c r="E1032" s="46"/>
      <c r="F1032" s="47"/>
      <c r="G1032" s="32"/>
      <c r="H1032" s="32"/>
      <c r="I1032" s="33"/>
      <c r="J1032" s="11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</row>
    <row r="1033">
      <c r="A1033" s="25"/>
      <c r="B1033" s="45"/>
      <c r="C1033" s="32"/>
      <c r="D1033" s="46"/>
      <c r="E1033" s="46"/>
      <c r="F1033" s="47"/>
      <c r="G1033" s="32"/>
      <c r="H1033" s="32"/>
      <c r="I1033" s="33"/>
      <c r="J1033" s="11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</row>
    <row r="1034">
      <c r="A1034" s="25"/>
      <c r="B1034" s="45"/>
      <c r="C1034" s="32"/>
      <c r="D1034" s="46"/>
      <c r="E1034" s="46"/>
      <c r="F1034" s="47"/>
      <c r="G1034" s="32"/>
      <c r="H1034" s="32"/>
      <c r="I1034" s="33"/>
      <c r="J1034" s="11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</row>
    <row r="1035">
      <c r="A1035" s="25"/>
      <c r="B1035" s="45"/>
      <c r="C1035" s="32"/>
      <c r="D1035" s="46"/>
      <c r="E1035" s="46"/>
      <c r="F1035" s="47"/>
      <c r="G1035" s="32"/>
      <c r="H1035" s="32"/>
      <c r="I1035" s="33"/>
      <c r="J1035" s="11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</row>
    <row r="1036">
      <c r="A1036" s="25"/>
      <c r="B1036" s="45"/>
      <c r="C1036" s="32"/>
      <c r="D1036" s="46"/>
      <c r="E1036" s="46"/>
      <c r="F1036" s="47"/>
      <c r="G1036" s="32"/>
      <c r="H1036" s="32"/>
      <c r="I1036" s="33"/>
      <c r="J1036" s="11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</row>
    <row r="1037">
      <c r="A1037" s="25"/>
      <c r="B1037" s="45"/>
      <c r="C1037" s="32"/>
      <c r="D1037" s="46"/>
      <c r="E1037" s="46"/>
      <c r="F1037" s="47"/>
      <c r="G1037" s="32"/>
      <c r="H1037" s="32"/>
      <c r="I1037" s="33"/>
      <c r="J1037" s="11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</row>
    <row r="1038">
      <c r="A1038" s="25"/>
      <c r="B1038" s="45"/>
      <c r="C1038" s="32"/>
      <c r="D1038" s="46"/>
      <c r="E1038" s="46"/>
      <c r="F1038" s="47"/>
      <c r="G1038" s="32"/>
      <c r="H1038" s="32"/>
      <c r="I1038" s="33"/>
      <c r="J1038" s="11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</row>
    <row r="1039">
      <c r="A1039" s="25"/>
      <c r="B1039" s="45"/>
      <c r="C1039" s="32"/>
      <c r="D1039" s="46"/>
      <c r="E1039" s="46"/>
      <c r="F1039" s="47"/>
      <c r="G1039" s="32"/>
      <c r="H1039" s="32"/>
      <c r="I1039" s="33"/>
      <c r="J1039" s="11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</row>
    <row r="1040">
      <c r="A1040" s="25"/>
      <c r="B1040" s="45"/>
      <c r="C1040" s="32"/>
      <c r="D1040" s="46"/>
      <c r="E1040" s="46"/>
      <c r="F1040" s="47"/>
      <c r="G1040" s="32"/>
      <c r="H1040" s="32"/>
      <c r="I1040" s="33"/>
      <c r="J1040" s="11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</row>
    <row r="1041">
      <c r="A1041" s="25"/>
      <c r="B1041" s="45"/>
      <c r="C1041" s="32"/>
      <c r="D1041" s="46"/>
      <c r="E1041" s="46"/>
      <c r="F1041" s="47"/>
      <c r="G1041" s="32"/>
      <c r="H1041" s="32"/>
      <c r="I1041" s="33"/>
      <c r="J1041" s="11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</row>
    <row r="1042">
      <c r="A1042" s="25"/>
      <c r="B1042" s="45"/>
      <c r="C1042" s="32"/>
      <c r="D1042" s="46"/>
      <c r="E1042" s="46"/>
      <c r="F1042" s="47"/>
      <c r="G1042" s="32"/>
      <c r="H1042" s="32"/>
      <c r="I1042" s="33"/>
      <c r="J1042" s="11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</row>
    <row r="1043">
      <c r="A1043" s="25"/>
      <c r="B1043" s="45"/>
      <c r="C1043" s="32"/>
      <c r="D1043" s="46"/>
      <c r="E1043" s="46"/>
      <c r="F1043" s="47"/>
      <c r="G1043" s="32"/>
      <c r="H1043" s="32"/>
      <c r="I1043" s="33"/>
      <c r="J1043" s="11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</row>
    <row r="1044">
      <c r="A1044" s="25"/>
      <c r="B1044" s="45"/>
      <c r="C1044" s="32"/>
      <c r="D1044" s="46"/>
      <c r="E1044" s="46"/>
      <c r="F1044" s="47"/>
      <c r="G1044" s="32"/>
      <c r="H1044" s="32"/>
      <c r="I1044" s="33"/>
      <c r="J1044" s="11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</row>
    <row r="1045">
      <c r="A1045" s="25"/>
      <c r="B1045" s="45"/>
      <c r="C1045" s="32"/>
      <c r="D1045" s="46"/>
      <c r="E1045" s="46"/>
      <c r="F1045" s="47"/>
      <c r="G1045" s="32"/>
      <c r="H1045" s="32"/>
      <c r="I1045" s="33"/>
      <c r="J1045" s="11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</row>
    <row r="1046">
      <c r="A1046" s="25"/>
      <c r="B1046" s="45"/>
      <c r="C1046" s="32"/>
      <c r="D1046" s="46"/>
      <c r="E1046" s="46"/>
      <c r="F1046" s="47"/>
      <c r="G1046" s="32"/>
      <c r="H1046" s="32"/>
      <c r="I1046" s="33"/>
      <c r="J1046" s="11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</row>
    <row r="1047">
      <c r="A1047" s="25"/>
      <c r="B1047" s="45"/>
      <c r="C1047" s="32"/>
      <c r="D1047" s="46"/>
      <c r="E1047" s="46"/>
      <c r="F1047" s="47"/>
      <c r="G1047" s="32"/>
      <c r="H1047" s="32"/>
      <c r="I1047" s="33"/>
      <c r="J1047" s="11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</row>
    <row r="1048">
      <c r="A1048" s="25"/>
      <c r="B1048" s="45"/>
      <c r="C1048" s="32"/>
      <c r="D1048" s="46"/>
      <c r="E1048" s="46"/>
      <c r="F1048" s="47"/>
      <c r="G1048" s="32"/>
      <c r="H1048" s="32"/>
      <c r="I1048" s="33"/>
      <c r="J1048" s="11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</row>
    <row r="1049">
      <c r="A1049" s="25"/>
      <c r="B1049" s="45"/>
      <c r="C1049" s="32"/>
      <c r="D1049" s="46"/>
      <c r="E1049" s="46"/>
      <c r="F1049" s="47"/>
      <c r="G1049" s="32"/>
      <c r="H1049" s="32"/>
      <c r="I1049" s="33"/>
      <c r="J1049" s="11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</row>
    <row r="1050">
      <c r="A1050" s="25"/>
      <c r="B1050" s="45"/>
      <c r="C1050" s="32"/>
      <c r="D1050" s="46"/>
      <c r="E1050" s="46"/>
      <c r="F1050" s="47"/>
      <c r="G1050" s="32"/>
      <c r="H1050" s="32"/>
      <c r="I1050" s="33"/>
      <c r="J1050" s="11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</row>
    <row r="1051">
      <c r="A1051" s="25"/>
      <c r="B1051" s="45"/>
      <c r="C1051" s="32"/>
      <c r="D1051" s="46"/>
      <c r="E1051" s="46"/>
      <c r="F1051" s="47"/>
      <c r="G1051" s="32"/>
      <c r="H1051" s="32"/>
      <c r="I1051" s="33"/>
      <c r="J1051" s="11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</row>
    <row r="1052">
      <c r="A1052" s="25"/>
      <c r="B1052" s="45"/>
      <c r="C1052" s="32"/>
      <c r="D1052" s="46"/>
      <c r="E1052" s="46"/>
      <c r="F1052" s="47"/>
      <c r="G1052" s="32"/>
      <c r="H1052" s="32"/>
      <c r="I1052" s="33"/>
      <c r="J1052" s="11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</row>
    <row r="1053">
      <c r="A1053" s="25"/>
      <c r="B1053" s="45"/>
      <c r="C1053" s="32"/>
      <c r="D1053" s="46"/>
      <c r="E1053" s="46"/>
      <c r="F1053" s="47"/>
      <c r="G1053" s="32"/>
      <c r="H1053" s="32"/>
      <c r="I1053" s="33"/>
      <c r="J1053" s="11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</row>
    <row r="1054">
      <c r="A1054" s="25"/>
      <c r="B1054" s="45"/>
      <c r="C1054" s="32"/>
      <c r="D1054" s="46"/>
      <c r="E1054" s="46"/>
      <c r="F1054" s="47"/>
      <c r="G1054" s="32"/>
      <c r="H1054" s="32"/>
      <c r="I1054" s="33"/>
      <c r="J1054" s="11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</row>
    <row r="1055">
      <c r="A1055" s="25"/>
      <c r="B1055" s="45"/>
      <c r="C1055" s="32"/>
      <c r="D1055" s="46"/>
      <c r="E1055" s="46"/>
      <c r="F1055" s="47"/>
      <c r="G1055" s="32"/>
      <c r="H1055" s="32"/>
      <c r="I1055" s="33"/>
      <c r="J1055" s="11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</row>
    <row r="1056">
      <c r="A1056" s="25"/>
      <c r="B1056" s="45"/>
      <c r="C1056" s="32"/>
      <c r="D1056" s="46"/>
      <c r="E1056" s="46"/>
      <c r="F1056" s="47"/>
      <c r="G1056" s="32"/>
      <c r="H1056" s="32"/>
      <c r="I1056" s="33"/>
      <c r="J1056" s="11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</row>
    <row r="1057">
      <c r="A1057" s="25"/>
      <c r="B1057" s="45"/>
      <c r="C1057" s="32"/>
      <c r="D1057" s="46"/>
      <c r="E1057" s="46"/>
      <c r="F1057" s="47"/>
      <c r="G1057" s="32"/>
      <c r="H1057" s="32"/>
      <c r="I1057" s="33"/>
      <c r="J1057" s="11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</row>
    <row r="1058">
      <c r="A1058" s="25"/>
      <c r="B1058" s="45"/>
      <c r="C1058" s="32"/>
      <c r="D1058" s="46"/>
      <c r="E1058" s="46"/>
      <c r="F1058" s="47"/>
      <c r="G1058" s="32"/>
      <c r="H1058" s="32"/>
      <c r="I1058" s="33"/>
      <c r="J1058" s="11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</row>
    <row r="1059">
      <c r="A1059" s="25"/>
      <c r="B1059" s="45"/>
      <c r="C1059" s="32"/>
      <c r="D1059" s="46"/>
      <c r="E1059" s="46"/>
      <c r="F1059" s="47"/>
      <c r="G1059" s="32"/>
      <c r="H1059" s="32"/>
      <c r="I1059" s="33"/>
      <c r="J1059" s="11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</row>
    <row r="1060">
      <c r="A1060" s="25"/>
      <c r="B1060" s="45"/>
      <c r="C1060" s="32"/>
      <c r="D1060" s="46"/>
      <c r="E1060" s="46"/>
      <c r="F1060" s="47"/>
      <c r="G1060" s="32"/>
      <c r="H1060" s="32"/>
      <c r="I1060" s="33"/>
      <c r="J1060" s="11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</row>
    <row r="1061">
      <c r="A1061" s="25"/>
      <c r="B1061" s="45"/>
      <c r="C1061" s="32"/>
      <c r="D1061" s="46"/>
      <c r="E1061" s="46"/>
      <c r="F1061" s="47"/>
      <c r="G1061" s="32"/>
      <c r="H1061" s="32"/>
      <c r="I1061" s="33"/>
      <c r="J1061" s="11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</row>
    <row r="1062">
      <c r="A1062" s="25"/>
      <c r="B1062" s="45"/>
      <c r="C1062" s="32"/>
      <c r="D1062" s="46"/>
      <c r="E1062" s="46"/>
      <c r="F1062" s="47"/>
      <c r="G1062" s="32"/>
      <c r="H1062" s="32"/>
      <c r="I1062" s="33"/>
      <c r="J1062" s="11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</row>
    <row r="1063">
      <c r="A1063" s="25"/>
      <c r="B1063" s="45"/>
      <c r="C1063" s="32"/>
      <c r="D1063" s="46"/>
      <c r="E1063" s="46"/>
      <c r="F1063" s="47"/>
      <c r="G1063" s="32"/>
      <c r="H1063" s="32"/>
      <c r="I1063" s="33"/>
      <c r="J1063" s="11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</row>
    <row r="1064">
      <c r="A1064" s="25"/>
      <c r="B1064" s="45"/>
      <c r="C1064" s="32"/>
      <c r="D1064" s="46"/>
      <c r="E1064" s="46"/>
      <c r="F1064" s="47"/>
      <c r="G1064" s="32"/>
      <c r="H1064" s="32"/>
      <c r="I1064" s="33"/>
      <c r="J1064" s="11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</row>
    <row r="1065">
      <c r="A1065" s="25"/>
      <c r="B1065" s="45"/>
      <c r="C1065" s="32"/>
      <c r="D1065" s="46"/>
      <c r="E1065" s="46"/>
      <c r="F1065" s="47"/>
      <c r="G1065" s="32"/>
      <c r="H1065" s="32"/>
      <c r="I1065" s="33"/>
      <c r="J1065" s="11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</row>
    <row r="1066">
      <c r="A1066" s="25"/>
      <c r="B1066" s="45"/>
      <c r="C1066" s="32"/>
      <c r="D1066" s="46"/>
      <c r="E1066" s="46"/>
      <c r="F1066" s="47"/>
      <c r="G1066" s="32"/>
      <c r="H1066" s="32"/>
      <c r="I1066" s="33"/>
      <c r="J1066" s="11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</row>
    <row r="1067">
      <c r="A1067" s="25"/>
      <c r="B1067" s="45"/>
      <c r="C1067" s="32"/>
      <c r="D1067" s="46"/>
      <c r="E1067" s="46"/>
      <c r="F1067" s="47"/>
      <c r="G1067" s="32"/>
      <c r="H1067" s="32"/>
      <c r="I1067" s="33"/>
      <c r="J1067" s="11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</row>
    <row r="1068">
      <c r="A1068" s="25"/>
      <c r="B1068" s="45"/>
      <c r="C1068" s="32"/>
      <c r="D1068" s="46"/>
      <c r="E1068" s="46"/>
      <c r="F1068" s="47"/>
      <c r="G1068" s="32"/>
      <c r="H1068" s="32"/>
      <c r="I1068" s="33"/>
      <c r="J1068" s="11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</row>
    <row r="1069">
      <c r="A1069" s="25"/>
      <c r="B1069" s="45"/>
      <c r="C1069" s="32"/>
      <c r="D1069" s="46"/>
      <c r="E1069" s="46"/>
      <c r="F1069" s="47"/>
      <c r="G1069" s="32"/>
      <c r="H1069" s="32"/>
      <c r="I1069" s="33"/>
      <c r="J1069" s="11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</row>
    <row r="1070">
      <c r="A1070" s="25"/>
      <c r="B1070" s="45"/>
      <c r="C1070" s="32"/>
      <c r="D1070" s="46"/>
      <c r="E1070" s="46"/>
      <c r="F1070" s="47"/>
      <c r="G1070" s="32"/>
      <c r="H1070" s="32"/>
      <c r="I1070" s="33"/>
      <c r="J1070" s="11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</row>
    <row r="1071">
      <c r="A1071" s="25"/>
      <c r="B1071" s="45"/>
      <c r="C1071" s="32"/>
      <c r="D1071" s="46"/>
      <c r="E1071" s="46"/>
      <c r="F1071" s="47"/>
      <c r="G1071" s="32"/>
      <c r="H1071" s="32"/>
      <c r="I1071" s="33"/>
      <c r="J1071" s="11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</row>
    <row r="1072">
      <c r="A1072" s="25"/>
      <c r="B1072" s="45"/>
      <c r="C1072" s="32"/>
      <c r="D1072" s="46"/>
      <c r="E1072" s="46"/>
      <c r="F1072" s="47"/>
      <c r="G1072" s="32"/>
      <c r="H1072" s="32"/>
      <c r="I1072" s="33"/>
      <c r="J1072" s="11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</row>
    <row r="1073">
      <c r="A1073" s="25"/>
      <c r="B1073" s="45"/>
      <c r="C1073" s="32"/>
      <c r="D1073" s="46"/>
      <c r="E1073" s="46"/>
      <c r="F1073" s="47"/>
      <c r="G1073" s="32"/>
      <c r="H1073" s="32"/>
      <c r="I1073" s="33"/>
      <c r="J1073" s="11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</row>
    <row r="1074">
      <c r="A1074" s="25"/>
      <c r="B1074" s="45"/>
      <c r="C1074" s="32"/>
      <c r="D1074" s="46"/>
      <c r="E1074" s="46"/>
      <c r="F1074" s="47"/>
      <c r="G1074" s="32"/>
      <c r="H1074" s="32"/>
      <c r="I1074" s="33"/>
      <c r="J1074" s="11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</row>
    <row r="1075">
      <c r="A1075" s="25"/>
      <c r="B1075" s="45"/>
      <c r="C1075" s="32"/>
      <c r="D1075" s="46"/>
      <c r="E1075" s="46"/>
      <c r="F1075" s="47"/>
      <c r="G1075" s="32"/>
      <c r="H1075" s="32"/>
      <c r="I1075" s="33"/>
      <c r="J1075" s="11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</row>
    <row r="1076">
      <c r="A1076" s="25"/>
      <c r="B1076" s="45"/>
      <c r="C1076" s="32"/>
      <c r="D1076" s="46"/>
      <c r="E1076" s="46"/>
      <c r="F1076" s="47"/>
      <c r="G1076" s="32"/>
      <c r="H1076" s="32"/>
      <c r="I1076" s="33"/>
      <c r="J1076" s="11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</row>
    <row r="1077">
      <c r="A1077" s="25"/>
      <c r="B1077" s="45"/>
      <c r="C1077" s="32"/>
      <c r="D1077" s="46"/>
      <c r="E1077" s="46"/>
      <c r="F1077" s="47"/>
      <c r="G1077" s="32"/>
      <c r="H1077" s="32"/>
      <c r="I1077" s="33"/>
      <c r="J1077" s="11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</row>
    <row r="1078">
      <c r="A1078" s="25"/>
      <c r="B1078" s="45"/>
      <c r="C1078" s="32"/>
      <c r="D1078" s="46"/>
      <c r="E1078" s="46"/>
      <c r="F1078" s="47"/>
      <c r="G1078" s="32"/>
      <c r="H1078" s="32"/>
      <c r="I1078" s="33"/>
      <c r="J1078" s="11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</row>
    <row r="1079">
      <c r="A1079" s="25"/>
      <c r="B1079" s="45"/>
      <c r="C1079" s="32"/>
      <c r="D1079" s="46"/>
      <c r="E1079" s="46"/>
      <c r="F1079" s="47"/>
      <c r="G1079" s="32"/>
      <c r="H1079" s="32"/>
      <c r="I1079" s="33"/>
      <c r="J1079" s="11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</row>
    <row r="1080">
      <c r="A1080" s="25"/>
      <c r="B1080" s="45"/>
      <c r="C1080" s="32"/>
      <c r="D1080" s="46"/>
      <c r="E1080" s="46"/>
      <c r="F1080" s="47"/>
      <c r="G1080" s="32"/>
      <c r="H1080" s="32"/>
      <c r="I1080" s="33"/>
      <c r="J1080" s="11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</row>
    <row r="1081">
      <c r="A1081" s="25"/>
      <c r="B1081" s="45"/>
      <c r="C1081" s="32"/>
      <c r="D1081" s="46"/>
      <c r="E1081" s="46"/>
      <c r="F1081" s="47"/>
      <c r="G1081" s="32"/>
      <c r="H1081" s="32"/>
      <c r="I1081" s="33"/>
      <c r="J1081" s="11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</row>
    <row r="1082">
      <c r="A1082" s="25"/>
      <c r="B1082" s="45"/>
      <c r="C1082" s="32"/>
      <c r="D1082" s="46"/>
      <c r="E1082" s="46"/>
      <c r="F1082" s="47"/>
      <c r="G1082" s="32"/>
      <c r="H1082" s="32"/>
      <c r="I1082" s="33"/>
      <c r="J1082" s="11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</row>
    <row r="1083">
      <c r="A1083" s="25"/>
      <c r="B1083" s="45"/>
      <c r="C1083" s="32"/>
      <c r="D1083" s="46"/>
      <c r="E1083" s="46"/>
      <c r="F1083" s="47"/>
      <c r="G1083" s="32"/>
      <c r="H1083" s="32"/>
      <c r="I1083" s="33"/>
      <c r="J1083" s="11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</row>
    <row r="1084">
      <c r="A1084" s="25"/>
      <c r="B1084" s="45"/>
      <c r="C1084" s="32"/>
      <c r="D1084" s="46"/>
      <c r="E1084" s="46"/>
      <c r="F1084" s="47"/>
      <c r="G1084" s="32"/>
      <c r="H1084" s="32"/>
      <c r="I1084" s="33"/>
      <c r="J1084" s="11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</row>
    <row r="1085">
      <c r="A1085" s="25"/>
      <c r="B1085" s="45"/>
      <c r="C1085" s="32"/>
      <c r="D1085" s="46"/>
      <c r="E1085" s="46"/>
      <c r="F1085" s="47"/>
      <c r="G1085" s="32"/>
      <c r="H1085" s="32"/>
      <c r="I1085" s="33"/>
      <c r="J1085" s="11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</row>
    <row r="1086">
      <c r="A1086" s="25"/>
      <c r="B1086" s="45"/>
      <c r="C1086" s="32"/>
      <c r="D1086" s="46"/>
      <c r="E1086" s="46"/>
      <c r="F1086" s="47"/>
      <c r="G1086" s="32"/>
      <c r="H1086" s="32"/>
      <c r="I1086" s="33"/>
      <c r="J1086" s="11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</row>
    <row r="1087">
      <c r="A1087" s="25"/>
      <c r="B1087" s="45"/>
      <c r="C1087" s="32"/>
      <c r="D1087" s="46"/>
      <c r="E1087" s="46"/>
      <c r="F1087" s="47"/>
      <c r="G1087" s="32"/>
      <c r="H1087" s="32"/>
      <c r="I1087" s="33"/>
      <c r="J1087" s="11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</row>
    <row r="1088">
      <c r="A1088" s="25"/>
      <c r="B1088" s="45"/>
      <c r="C1088" s="32"/>
      <c r="D1088" s="46"/>
      <c r="E1088" s="46"/>
      <c r="F1088" s="47"/>
      <c r="G1088" s="32"/>
      <c r="H1088" s="32"/>
      <c r="I1088" s="33"/>
      <c r="J1088" s="11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</row>
    <row r="1089">
      <c r="A1089" s="25"/>
      <c r="B1089" s="45"/>
      <c r="C1089" s="32"/>
      <c r="D1089" s="46"/>
      <c r="E1089" s="46"/>
      <c r="F1089" s="47"/>
      <c r="G1089" s="32"/>
      <c r="H1089" s="32"/>
      <c r="I1089" s="33"/>
      <c r="J1089" s="11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</row>
    <row r="1090">
      <c r="A1090" s="25"/>
      <c r="B1090" s="45"/>
      <c r="C1090" s="32"/>
      <c r="D1090" s="46"/>
      <c r="E1090" s="46"/>
      <c r="F1090" s="47"/>
      <c r="G1090" s="32"/>
      <c r="H1090" s="32"/>
      <c r="I1090" s="33"/>
      <c r="J1090" s="11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</row>
    <row r="1091">
      <c r="A1091" s="25"/>
      <c r="B1091" s="45"/>
      <c r="C1091" s="32"/>
      <c r="D1091" s="46"/>
      <c r="E1091" s="46"/>
      <c r="F1091" s="47"/>
      <c r="G1091" s="32"/>
      <c r="H1091" s="32"/>
      <c r="I1091" s="33"/>
      <c r="J1091" s="11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</row>
    <row r="1092">
      <c r="A1092" s="25"/>
      <c r="B1092" s="45"/>
      <c r="C1092" s="32"/>
      <c r="D1092" s="46"/>
      <c r="E1092" s="46"/>
      <c r="F1092" s="47"/>
      <c r="G1092" s="32"/>
      <c r="H1092" s="32"/>
      <c r="I1092" s="33"/>
      <c r="J1092" s="11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</row>
    <row r="1093">
      <c r="A1093" s="25"/>
      <c r="B1093" s="45"/>
      <c r="C1093" s="32"/>
      <c r="D1093" s="46"/>
      <c r="E1093" s="46"/>
      <c r="F1093" s="47"/>
      <c r="G1093" s="32"/>
      <c r="H1093" s="32"/>
      <c r="I1093" s="33"/>
      <c r="J1093" s="11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</row>
    <row r="1094">
      <c r="A1094" s="25"/>
      <c r="B1094" s="45"/>
      <c r="C1094" s="32"/>
      <c r="D1094" s="46"/>
      <c r="E1094" s="46"/>
      <c r="F1094" s="47"/>
      <c r="G1094" s="32"/>
      <c r="H1094" s="32"/>
      <c r="I1094" s="33"/>
      <c r="J1094" s="11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</row>
    <row r="1095">
      <c r="A1095" s="25"/>
      <c r="B1095" s="45"/>
      <c r="C1095" s="32"/>
      <c r="D1095" s="46"/>
      <c r="E1095" s="46"/>
      <c r="F1095" s="47"/>
      <c r="G1095" s="32"/>
      <c r="H1095" s="32"/>
      <c r="I1095" s="33"/>
      <c r="J1095" s="11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</row>
    <row r="1096">
      <c r="A1096" s="25"/>
      <c r="B1096" s="45"/>
      <c r="C1096" s="32"/>
      <c r="D1096" s="46"/>
      <c r="E1096" s="46"/>
      <c r="F1096" s="47"/>
      <c r="G1096" s="32"/>
      <c r="H1096" s="32"/>
      <c r="I1096" s="33"/>
      <c r="J1096" s="11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</row>
    <row r="1097">
      <c r="A1097" s="25"/>
      <c r="B1097" s="45"/>
      <c r="C1097" s="32"/>
      <c r="D1097" s="46"/>
      <c r="E1097" s="46"/>
      <c r="F1097" s="47"/>
      <c r="G1097" s="32"/>
      <c r="H1097" s="32"/>
      <c r="I1097" s="33"/>
      <c r="J1097" s="11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</row>
    <row r="1098">
      <c r="A1098" s="25"/>
      <c r="B1098" s="45"/>
      <c r="C1098" s="32"/>
      <c r="D1098" s="46"/>
      <c r="E1098" s="46"/>
      <c r="F1098" s="47"/>
      <c r="G1098" s="32"/>
      <c r="H1098" s="32"/>
      <c r="I1098" s="33"/>
      <c r="J1098" s="11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</row>
    <row r="1099">
      <c r="A1099" s="25"/>
      <c r="B1099" s="45"/>
      <c r="C1099" s="32"/>
      <c r="D1099" s="46"/>
      <c r="E1099" s="46"/>
      <c r="F1099" s="47"/>
      <c r="G1099" s="32"/>
      <c r="H1099" s="32"/>
      <c r="I1099" s="33"/>
      <c r="J1099" s="11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</row>
    <row r="1100">
      <c r="A1100" s="25"/>
      <c r="B1100" s="45"/>
      <c r="C1100" s="32"/>
      <c r="D1100" s="46"/>
      <c r="E1100" s="46"/>
      <c r="F1100" s="47"/>
      <c r="G1100" s="32"/>
      <c r="H1100" s="32"/>
      <c r="I1100" s="33"/>
      <c r="J1100" s="11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</row>
    <row r="1101">
      <c r="A1101" s="25"/>
      <c r="B1101" s="45"/>
      <c r="C1101" s="32"/>
      <c r="D1101" s="46"/>
      <c r="E1101" s="46"/>
      <c r="F1101" s="47"/>
      <c r="G1101" s="32"/>
      <c r="H1101" s="32"/>
      <c r="I1101" s="33"/>
      <c r="J1101" s="11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</row>
    <row r="1102">
      <c r="A1102" s="25"/>
      <c r="B1102" s="45"/>
      <c r="C1102" s="32"/>
      <c r="D1102" s="46"/>
      <c r="E1102" s="46"/>
      <c r="F1102" s="47"/>
      <c r="G1102" s="32"/>
      <c r="H1102" s="32"/>
      <c r="I1102" s="33"/>
      <c r="J1102" s="11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</row>
    <row r="1103">
      <c r="A1103" s="25"/>
      <c r="B1103" s="45"/>
      <c r="C1103" s="32"/>
      <c r="D1103" s="46"/>
      <c r="E1103" s="46"/>
      <c r="F1103" s="47"/>
      <c r="G1103" s="32"/>
      <c r="H1103" s="32"/>
      <c r="I1103" s="33"/>
      <c r="J1103" s="11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</row>
    <row r="1104">
      <c r="A1104" s="25"/>
      <c r="B1104" s="45"/>
      <c r="C1104" s="32"/>
      <c r="D1104" s="46"/>
      <c r="E1104" s="46"/>
      <c r="F1104" s="47"/>
      <c r="G1104" s="32"/>
      <c r="H1104" s="32"/>
      <c r="I1104" s="33"/>
      <c r="J1104" s="11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</row>
    <row r="1105">
      <c r="A1105" s="25"/>
      <c r="B1105" s="45"/>
      <c r="C1105" s="32"/>
      <c r="D1105" s="46"/>
      <c r="E1105" s="46"/>
      <c r="F1105" s="47"/>
      <c r="G1105" s="32"/>
      <c r="H1105" s="32"/>
      <c r="I1105" s="33"/>
      <c r="J1105" s="11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</row>
    <row r="1106">
      <c r="A1106" s="25"/>
      <c r="B1106" s="45"/>
      <c r="C1106" s="32"/>
      <c r="D1106" s="46"/>
      <c r="E1106" s="46"/>
      <c r="F1106" s="47"/>
      <c r="G1106" s="32"/>
      <c r="H1106" s="32"/>
      <c r="I1106" s="33"/>
      <c r="J1106" s="11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</row>
    <row r="1107">
      <c r="A1107" s="25"/>
      <c r="B1107" s="45"/>
      <c r="C1107" s="32"/>
      <c r="D1107" s="46"/>
      <c r="E1107" s="46"/>
      <c r="F1107" s="47"/>
      <c r="G1107" s="32"/>
      <c r="H1107" s="32"/>
      <c r="I1107" s="33"/>
      <c r="J1107" s="11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</row>
    <row r="1108">
      <c r="A1108" s="25"/>
      <c r="B1108" s="45"/>
      <c r="C1108" s="32"/>
      <c r="D1108" s="46"/>
      <c r="E1108" s="46"/>
      <c r="F1108" s="47"/>
      <c r="G1108" s="32"/>
      <c r="H1108" s="32"/>
      <c r="I1108" s="33"/>
      <c r="J1108" s="11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</row>
    <row r="1109">
      <c r="A1109" s="25"/>
      <c r="B1109" s="45"/>
      <c r="C1109" s="32"/>
      <c r="D1109" s="46"/>
      <c r="E1109" s="46"/>
      <c r="F1109" s="47"/>
      <c r="G1109" s="32"/>
      <c r="H1109" s="32"/>
      <c r="I1109" s="33"/>
      <c r="J1109" s="11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</row>
    <row r="1110">
      <c r="A1110" s="25"/>
      <c r="B1110" s="45"/>
      <c r="C1110" s="32"/>
      <c r="D1110" s="46"/>
      <c r="E1110" s="46"/>
      <c r="F1110" s="47"/>
      <c r="G1110" s="32"/>
      <c r="H1110" s="32"/>
      <c r="I1110" s="33"/>
      <c r="J1110" s="11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</row>
    <row r="1111">
      <c r="A1111" s="25"/>
      <c r="B1111" s="45"/>
      <c r="C1111" s="32"/>
      <c r="D1111" s="46"/>
      <c r="E1111" s="46"/>
      <c r="F1111" s="47"/>
      <c r="G1111" s="32"/>
      <c r="H1111" s="32"/>
      <c r="I1111" s="33"/>
      <c r="J1111" s="11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</row>
    <row r="1112">
      <c r="A1112" s="25"/>
      <c r="B1112" s="45"/>
      <c r="C1112" s="32"/>
      <c r="D1112" s="46"/>
      <c r="E1112" s="46"/>
      <c r="F1112" s="47"/>
      <c r="G1112" s="32"/>
      <c r="H1112" s="32"/>
      <c r="I1112" s="33"/>
      <c r="J1112" s="11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</row>
    <row r="1113">
      <c r="A1113" s="25"/>
      <c r="B1113" s="45"/>
      <c r="C1113" s="32"/>
      <c r="D1113" s="46"/>
      <c r="E1113" s="46"/>
      <c r="F1113" s="47"/>
      <c r="G1113" s="32"/>
      <c r="H1113" s="32"/>
      <c r="I1113" s="33"/>
      <c r="J1113" s="11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</row>
    <row r="1114">
      <c r="A1114" s="25"/>
      <c r="B1114" s="45"/>
      <c r="C1114" s="32"/>
      <c r="D1114" s="46"/>
      <c r="E1114" s="46"/>
      <c r="F1114" s="47"/>
      <c r="G1114" s="32"/>
      <c r="H1114" s="32"/>
      <c r="I1114" s="33"/>
      <c r="J1114" s="11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</row>
    <row r="1115">
      <c r="A1115" s="25"/>
      <c r="B1115" s="45"/>
      <c r="C1115" s="32"/>
      <c r="D1115" s="46"/>
      <c r="E1115" s="46"/>
      <c r="F1115" s="47"/>
      <c r="G1115" s="32"/>
      <c r="H1115" s="32"/>
      <c r="I1115" s="33"/>
      <c r="J1115" s="11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</row>
    <row r="1116">
      <c r="A1116" s="25"/>
      <c r="B1116" s="45"/>
      <c r="C1116" s="32"/>
      <c r="D1116" s="46"/>
      <c r="E1116" s="46"/>
      <c r="F1116" s="47"/>
      <c r="G1116" s="32"/>
      <c r="H1116" s="32"/>
      <c r="I1116" s="33"/>
      <c r="J1116" s="11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</row>
    <row r="1117">
      <c r="A1117" s="25"/>
      <c r="B1117" s="45"/>
      <c r="C1117" s="32"/>
      <c r="D1117" s="46"/>
      <c r="E1117" s="46"/>
      <c r="F1117" s="47"/>
      <c r="G1117" s="32"/>
      <c r="H1117" s="32"/>
      <c r="I1117" s="33"/>
      <c r="J1117" s="11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</row>
    <row r="1118">
      <c r="A1118" s="25"/>
      <c r="B1118" s="45"/>
      <c r="C1118" s="32"/>
      <c r="D1118" s="46"/>
      <c r="E1118" s="46"/>
      <c r="F1118" s="47"/>
      <c r="G1118" s="32"/>
      <c r="H1118" s="32"/>
      <c r="I1118" s="33"/>
      <c r="J1118" s="11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</row>
    <row r="1119">
      <c r="A1119" s="25"/>
      <c r="B1119" s="45"/>
      <c r="C1119" s="32"/>
      <c r="D1119" s="46"/>
      <c r="E1119" s="46"/>
      <c r="F1119" s="47"/>
      <c r="G1119" s="32"/>
      <c r="H1119" s="32"/>
      <c r="I1119" s="33"/>
      <c r="J1119" s="11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</row>
    <row r="1120">
      <c r="A1120" s="25"/>
      <c r="B1120" s="45"/>
      <c r="C1120" s="32"/>
      <c r="D1120" s="46"/>
      <c r="E1120" s="46"/>
      <c r="F1120" s="47"/>
      <c r="G1120" s="32"/>
      <c r="H1120" s="32"/>
      <c r="I1120" s="33"/>
      <c r="J1120" s="11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</row>
    <row r="1121">
      <c r="A1121" s="25"/>
      <c r="B1121" s="45"/>
      <c r="C1121" s="32"/>
      <c r="D1121" s="46"/>
      <c r="E1121" s="46"/>
      <c r="F1121" s="47"/>
      <c r="G1121" s="32"/>
      <c r="H1121" s="32"/>
      <c r="I1121" s="33"/>
      <c r="J1121" s="11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</row>
    <row r="1122">
      <c r="A1122" s="25"/>
      <c r="B1122" s="45"/>
      <c r="C1122" s="32"/>
      <c r="D1122" s="46"/>
      <c r="E1122" s="46"/>
      <c r="F1122" s="47"/>
      <c r="G1122" s="32"/>
      <c r="H1122" s="32"/>
      <c r="I1122" s="33"/>
      <c r="J1122" s="11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</row>
    <row r="1123">
      <c r="A1123" s="25"/>
      <c r="B1123" s="45"/>
      <c r="C1123" s="32"/>
      <c r="D1123" s="46"/>
      <c r="E1123" s="46"/>
      <c r="F1123" s="47"/>
      <c r="G1123" s="32"/>
      <c r="H1123" s="32"/>
      <c r="I1123" s="33"/>
      <c r="J1123" s="11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</row>
    <row r="1124">
      <c r="A1124" s="25"/>
      <c r="B1124" s="45"/>
      <c r="C1124" s="32"/>
      <c r="D1124" s="46"/>
      <c r="E1124" s="46"/>
      <c r="F1124" s="47"/>
      <c r="G1124" s="32"/>
      <c r="H1124" s="32"/>
      <c r="I1124" s="33"/>
      <c r="J1124" s="11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</row>
    <row r="1125">
      <c r="A1125" s="25"/>
      <c r="B1125" s="45"/>
      <c r="C1125" s="32"/>
      <c r="D1125" s="46"/>
      <c r="E1125" s="46"/>
      <c r="F1125" s="47"/>
      <c r="G1125" s="32"/>
      <c r="H1125" s="32"/>
      <c r="I1125" s="33"/>
      <c r="J1125" s="11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</row>
    <row r="1126">
      <c r="A1126" s="25"/>
      <c r="B1126" s="45"/>
      <c r="C1126" s="32"/>
      <c r="D1126" s="46"/>
      <c r="E1126" s="46"/>
      <c r="F1126" s="47"/>
      <c r="G1126" s="32"/>
      <c r="H1126" s="32"/>
      <c r="I1126" s="33"/>
      <c r="J1126" s="11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</row>
    <row r="1127">
      <c r="A1127" s="25"/>
      <c r="B1127" s="45"/>
      <c r="C1127" s="32"/>
      <c r="D1127" s="46"/>
      <c r="E1127" s="46"/>
      <c r="F1127" s="47"/>
      <c r="G1127" s="32"/>
      <c r="H1127" s="32"/>
      <c r="I1127" s="33"/>
      <c r="J1127" s="11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</row>
    <row r="1128">
      <c r="A1128" s="25"/>
      <c r="B1128" s="45"/>
      <c r="C1128" s="32"/>
      <c r="D1128" s="46"/>
      <c r="E1128" s="46"/>
      <c r="F1128" s="47"/>
      <c r="G1128" s="32"/>
      <c r="H1128" s="32"/>
      <c r="I1128" s="33"/>
      <c r="J1128" s="11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</row>
    <row r="1129">
      <c r="A1129" s="25"/>
      <c r="B1129" s="45"/>
      <c r="C1129" s="32"/>
      <c r="D1129" s="46"/>
      <c r="E1129" s="46"/>
      <c r="F1129" s="47"/>
      <c r="G1129" s="32"/>
      <c r="H1129" s="32"/>
      <c r="I1129" s="33"/>
      <c r="J1129" s="11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</row>
    <row r="1130">
      <c r="A1130" s="25"/>
      <c r="B1130" s="45"/>
      <c r="C1130" s="32"/>
      <c r="D1130" s="46"/>
      <c r="E1130" s="46"/>
      <c r="F1130" s="47"/>
      <c r="G1130" s="32"/>
      <c r="H1130" s="32"/>
      <c r="I1130" s="33"/>
      <c r="J1130" s="11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</row>
    <row r="1131">
      <c r="A1131" s="25"/>
      <c r="B1131" s="45"/>
      <c r="C1131" s="32"/>
      <c r="D1131" s="46"/>
      <c r="E1131" s="46"/>
      <c r="F1131" s="47"/>
      <c r="G1131" s="32"/>
      <c r="H1131" s="32"/>
      <c r="I1131" s="33"/>
      <c r="J1131" s="11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</row>
    <row r="1132">
      <c r="A1132" s="25"/>
      <c r="B1132" s="45"/>
      <c r="C1132" s="32"/>
      <c r="D1132" s="46"/>
      <c r="E1132" s="46"/>
      <c r="F1132" s="47"/>
      <c r="G1132" s="32"/>
      <c r="H1132" s="32"/>
      <c r="I1132" s="33"/>
      <c r="J1132" s="11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</row>
    <row r="1133">
      <c r="A1133" s="25"/>
      <c r="B1133" s="45"/>
      <c r="C1133" s="32"/>
      <c r="D1133" s="46"/>
      <c r="E1133" s="46"/>
      <c r="F1133" s="47"/>
      <c r="G1133" s="32"/>
      <c r="H1133" s="32"/>
      <c r="I1133" s="33"/>
      <c r="J1133" s="11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</row>
    <row r="1134">
      <c r="A1134" s="25"/>
      <c r="B1134" s="45"/>
      <c r="C1134" s="32"/>
      <c r="D1134" s="46"/>
      <c r="E1134" s="46"/>
      <c r="F1134" s="47"/>
      <c r="G1134" s="32"/>
      <c r="H1134" s="32"/>
      <c r="I1134" s="33"/>
      <c r="J1134" s="11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</row>
    <row r="1135">
      <c r="A1135" s="25"/>
      <c r="B1135" s="45"/>
      <c r="C1135" s="32"/>
      <c r="D1135" s="46"/>
      <c r="E1135" s="46"/>
      <c r="F1135" s="47"/>
      <c r="G1135" s="32"/>
      <c r="H1135" s="32"/>
      <c r="I1135" s="33"/>
      <c r="J1135" s="11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</row>
    <row r="1136">
      <c r="A1136" s="25"/>
      <c r="B1136" s="45"/>
      <c r="C1136" s="32"/>
      <c r="D1136" s="46"/>
      <c r="E1136" s="46"/>
      <c r="F1136" s="47"/>
      <c r="G1136" s="32"/>
      <c r="H1136" s="32"/>
      <c r="I1136" s="33"/>
      <c r="J1136" s="11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</row>
    <row r="1137">
      <c r="A1137" s="25"/>
      <c r="B1137" s="45"/>
      <c r="C1137" s="32"/>
      <c r="D1137" s="46"/>
      <c r="E1137" s="46"/>
      <c r="F1137" s="47"/>
      <c r="G1137" s="32"/>
      <c r="H1137" s="32"/>
      <c r="I1137" s="33"/>
      <c r="J1137" s="11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</row>
    <row r="1138">
      <c r="A1138" s="25"/>
      <c r="B1138" s="45"/>
      <c r="C1138" s="32"/>
      <c r="D1138" s="46"/>
      <c r="E1138" s="46"/>
      <c r="F1138" s="47"/>
      <c r="G1138" s="32"/>
      <c r="H1138" s="32"/>
      <c r="I1138" s="33"/>
      <c r="J1138" s="11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</row>
    <row r="1139">
      <c r="A1139" s="25"/>
      <c r="B1139" s="45"/>
      <c r="C1139" s="32"/>
      <c r="D1139" s="46"/>
      <c r="E1139" s="46"/>
      <c r="F1139" s="47"/>
      <c r="G1139" s="32"/>
      <c r="H1139" s="32"/>
      <c r="I1139" s="33"/>
      <c r="J1139" s="11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</row>
    <row r="1140">
      <c r="A1140" s="25"/>
      <c r="B1140" s="45"/>
      <c r="C1140" s="32"/>
      <c r="D1140" s="46"/>
      <c r="E1140" s="46"/>
      <c r="F1140" s="47"/>
      <c r="G1140" s="32"/>
      <c r="H1140" s="32"/>
      <c r="I1140" s="33"/>
      <c r="J1140" s="11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</row>
    <row r="1141">
      <c r="A1141" s="25"/>
      <c r="B1141" s="45"/>
      <c r="C1141" s="32"/>
      <c r="D1141" s="46"/>
      <c r="E1141" s="46"/>
      <c r="F1141" s="47"/>
      <c r="G1141" s="32"/>
      <c r="H1141" s="32"/>
      <c r="I1141" s="33"/>
      <c r="J1141" s="11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</row>
    <row r="1142">
      <c r="A1142" s="25"/>
      <c r="B1142" s="45"/>
      <c r="C1142" s="32"/>
      <c r="D1142" s="46"/>
      <c r="E1142" s="46"/>
      <c r="F1142" s="47"/>
      <c r="G1142" s="32"/>
      <c r="H1142" s="32"/>
      <c r="I1142" s="33"/>
      <c r="J1142" s="11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</row>
    <row r="1143">
      <c r="A1143" s="25"/>
      <c r="B1143" s="45"/>
      <c r="C1143" s="32"/>
      <c r="D1143" s="46"/>
      <c r="E1143" s="46"/>
      <c r="F1143" s="47"/>
      <c r="G1143" s="32"/>
      <c r="H1143" s="32"/>
      <c r="I1143" s="33"/>
      <c r="J1143" s="11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</row>
    <row r="1144">
      <c r="A1144" s="25"/>
      <c r="B1144" s="45"/>
      <c r="C1144" s="32"/>
      <c r="D1144" s="46"/>
      <c r="E1144" s="46"/>
      <c r="F1144" s="47"/>
      <c r="G1144" s="32"/>
      <c r="H1144" s="32"/>
      <c r="I1144" s="33"/>
      <c r="J1144" s="11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</row>
    <row r="1145">
      <c r="A1145" s="25"/>
      <c r="B1145" s="45"/>
      <c r="C1145" s="32"/>
      <c r="D1145" s="46"/>
      <c r="E1145" s="46"/>
      <c r="F1145" s="47"/>
      <c r="G1145" s="32"/>
      <c r="H1145" s="32"/>
      <c r="I1145" s="33"/>
      <c r="J1145" s="11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</row>
    <row r="1146">
      <c r="A1146" s="25"/>
      <c r="B1146" s="45"/>
      <c r="C1146" s="32"/>
      <c r="D1146" s="46"/>
      <c r="E1146" s="46"/>
      <c r="F1146" s="47"/>
      <c r="G1146" s="32"/>
      <c r="H1146" s="32"/>
      <c r="I1146" s="33"/>
      <c r="J1146" s="11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</row>
    <row r="1147">
      <c r="A1147" s="25"/>
      <c r="B1147" s="45"/>
      <c r="C1147" s="32"/>
      <c r="D1147" s="46"/>
      <c r="E1147" s="46"/>
      <c r="F1147" s="47"/>
      <c r="G1147" s="32"/>
      <c r="H1147" s="32"/>
      <c r="I1147" s="33"/>
      <c r="J1147" s="11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</row>
    <row r="1148">
      <c r="A1148" s="25"/>
      <c r="B1148" s="45"/>
      <c r="C1148" s="32"/>
      <c r="D1148" s="46"/>
      <c r="E1148" s="46"/>
      <c r="F1148" s="47"/>
      <c r="G1148" s="32"/>
      <c r="H1148" s="32"/>
      <c r="I1148" s="33"/>
      <c r="J1148" s="11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</row>
    <row r="1149">
      <c r="A1149" s="25"/>
      <c r="B1149" s="45"/>
      <c r="C1149" s="32"/>
      <c r="D1149" s="46"/>
      <c r="E1149" s="46"/>
      <c r="F1149" s="47"/>
      <c r="G1149" s="32"/>
      <c r="H1149" s="32"/>
      <c r="I1149" s="33"/>
      <c r="J1149" s="11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</row>
    <row r="1150">
      <c r="A1150" s="25"/>
      <c r="B1150" s="45"/>
      <c r="C1150" s="32"/>
      <c r="D1150" s="46"/>
      <c r="E1150" s="46"/>
      <c r="F1150" s="47"/>
      <c r="G1150" s="32"/>
      <c r="H1150" s="32"/>
      <c r="I1150" s="33"/>
      <c r="J1150" s="11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</row>
    <row r="1151">
      <c r="A1151" s="25"/>
      <c r="B1151" s="45"/>
      <c r="C1151" s="32"/>
      <c r="D1151" s="46"/>
      <c r="E1151" s="46"/>
      <c r="F1151" s="47"/>
      <c r="G1151" s="32"/>
      <c r="H1151" s="32"/>
      <c r="I1151" s="33"/>
      <c r="J1151" s="11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</row>
    <row r="1152">
      <c r="A1152" s="25"/>
      <c r="B1152" s="45"/>
      <c r="C1152" s="32"/>
      <c r="D1152" s="46"/>
      <c r="E1152" s="46"/>
      <c r="F1152" s="47"/>
      <c r="G1152" s="32"/>
      <c r="H1152" s="32"/>
      <c r="I1152" s="33"/>
      <c r="J1152" s="11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</row>
    <row r="1153">
      <c r="A1153" s="25"/>
      <c r="B1153" s="45"/>
      <c r="C1153" s="32"/>
      <c r="D1153" s="46"/>
      <c r="E1153" s="46"/>
      <c r="F1153" s="47"/>
      <c r="G1153" s="32"/>
      <c r="H1153" s="32"/>
      <c r="I1153" s="33"/>
      <c r="J1153" s="11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</row>
    <row r="1154">
      <c r="A1154" s="25"/>
      <c r="B1154" s="45"/>
      <c r="C1154" s="32"/>
      <c r="D1154" s="46"/>
      <c r="E1154" s="46"/>
      <c r="F1154" s="47"/>
      <c r="G1154" s="32"/>
      <c r="H1154" s="32"/>
      <c r="I1154" s="33"/>
      <c r="J1154" s="11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</row>
    <row r="1155">
      <c r="A1155" s="25"/>
      <c r="B1155" s="45"/>
      <c r="C1155" s="32"/>
      <c r="D1155" s="46"/>
      <c r="E1155" s="46"/>
      <c r="F1155" s="47"/>
      <c r="G1155" s="32"/>
      <c r="H1155" s="32"/>
      <c r="I1155" s="33"/>
      <c r="J1155" s="11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</row>
    <row r="1156">
      <c r="A1156" s="25"/>
      <c r="B1156" s="45"/>
      <c r="C1156" s="32"/>
      <c r="D1156" s="46"/>
      <c r="E1156" s="46"/>
      <c r="F1156" s="47"/>
      <c r="G1156" s="32"/>
      <c r="H1156" s="32"/>
      <c r="I1156" s="33"/>
      <c r="J1156" s="11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</row>
    <row r="1157">
      <c r="A1157" s="25"/>
      <c r="B1157" s="45"/>
      <c r="C1157" s="32"/>
      <c r="D1157" s="46"/>
      <c r="E1157" s="46"/>
      <c r="F1157" s="47"/>
      <c r="G1157" s="32"/>
      <c r="H1157" s="32"/>
      <c r="I1157" s="33"/>
      <c r="J1157" s="11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</row>
    <row r="1158">
      <c r="A1158" s="25"/>
      <c r="B1158" s="45"/>
      <c r="C1158" s="32"/>
      <c r="D1158" s="46"/>
      <c r="E1158" s="46"/>
      <c r="F1158" s="47"/>
      <c r="G1158" s="32"/>
      <c r="H1158" s="32"/>
      <c r="I1158" s="33"/>
      <c r="J1158" s="11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</row>
    <row r="1159">
      <c r="A1159" s="25"/>
      <c r="B1159" s="45"/>
      <c r="C1159" s="32"/>
      <c r="D1159" s="46"/>
      <c r="E1159" s="46"/>
      <c r="F1159" s="47"/>
      <c r="G1159" s="32"/>
      <c r="H1159" s="32"/>
      <c r="I1159" s="33"/>
      <c r="J1159" s="11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</row>
    <row r="1160">
      <c r="A1160" s="25"/>
      <c r="B1160" s="45"/>
      <c r="C1160" s="32"/>
      <c r="D1160" s="46"/>
      <c r="E1160" s="46"/>
      <c r="F1160" s="47"/>
      <c r="G1160" s="32"/>
      <c r="H1160" s="32"/>
      <c r="I1160" s="33"/>
      <c r="J1160" s="11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</row>
    <row r="1161">
      <c r="A1161" s="25"/>
      <c r="B1161" s="45"/>
      <c r="C1161" s="32"/>
      <c r="D1161" s="46"/>
      <c r="E1161" s="46"/>
      <c r="F1161" s="47"/>
      <c r="G1161" s="32"/>
      <c r="H1161" s="32"/>
      <c r="I1161" s="33"/>
      <c r="J1161" s="11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</row>
    <row r="1162">
      <c r="A1162" s="25"/>
      <c r="B1162" s="45"/>
      <c r="C1162" s="32"/>
      <c r="D1162" s="46"/>
      <c r="E1162" s="46"/>
      <c r="F1162" s="47"/>
      <c r="G1162" s="32"/>
      <c r="H1162" s="32"/>
      <c r="I1162" s="33"/>
      <c r="J1162" s="11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</row>
    <row r="1163">
      <c r="A1163" s="25"/>
      <c r="B1163" s="45"/>
      <c r="C1163" s="32"/>
      <c r="D1163" s="46"/>
      <c r="E1163" s="46"/>
      <c r="F1163" s="47"/>
      <c r="G1163" s="32"/>
      <c r="H1163" s="32"/>
      <c r="I1163" s="33"/>
      <c r="J1163" s="11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</row>
    <row r="1164">
      <c r="A1164" s="25"/>
      <c r="B1164" s="45"/>
      <c r="C1164" s="32"/>
      <c r="D1164" s="46"/>
      <c r="E1164" s="46"/>
      <c r="F1164" s="47"/>
      <c r="G1164" s="32"/>
      <c r="H1164" s="32"/>
      <c r="I1164" s="33"/>
      <c r="J1164" s="11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</row>
    <row r="1165">
      <c r="A1165" s="25"/>
      <c r="B1165" s="45"/>
      <c r="C1165" s="32"/>
      <c r="D1165" s="46"/>
      <c r="E1165" s="46"/>
      <c r="F1165" s="47"/>
      <c r="G1165" s="32"/>
      <c r="H1165" s="32"/>
      <c r="I1165" s="33"/>
      <c r="J1165" s="11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</row>
    <row r="1166">
      <c r="A1166" s="25"/>
      <c r="B1166" s="45"/>
      <c r="C1166" s="32"/>
      <c r="D1166" s="46"/>
      <c r="E1166" s="46"/>
      <c r="F1166" s="47"/>
      <c r="G1166" s="32"/>
      <c r="H1166" s="32"/>
      <c r="I1166" s="33"/>
      <c r="J1166" s="11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</row>
    <row r="1167">
      <c r="A1167" s="25"/>
      <c r="B1167" s="45"/>
      <c r="C1167" s="32"/>
      <c r="D1167" s="46"/>
      <c r="E1167" s="46"/>
      <c r="F1167" s="47"/>
      <c r="G1167" s="32"/>
      <c r="H1167" s="32"/>
      <c r="I1167" s="33"/>
      <c r="J1167" s="11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</row>
    <row r="1168">
      <c r="A1168" s="25"/>
      <c r="B1168" s="45"/>
      <c r="C1168" s="32"/>
      <c r="D1168" s="46"/>
      <c r="E1168" s="46"/>
      <c r="F1168" s="47"/>
      <c r="G1168" s="32"/>
      <c r="H1168" s="32"/>
      <c r="I1168" s="33"/>
      <c r="J1168" s="11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</row>
    <row r="1169">
      <c r="A1169" s="25"/>
      <c r="B1169" s="45"/>
      <c r="C1169" s="32"/>
      <c r="D1169" s="46"/>
      <c r="E1169" s="46"/>
      <c r="F1169" s="47"/>
      <c r="G1169" s="32"/>
      <c r="H1169" s="32"/>
      <c r="I1169" s="33"/>
      <c r="J1169" s="11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</row>
    <row r="1170">
      <c r="A1170" s="25"/>
      <c r="B1170" s="45"/>
      <c r="C1170" s="32"/>
      <c r="D1170" s="46"/>
      <c r="E1170" s="46"/>
      <c r="F1170" s="47"/>
      <c r="G1170" s="32"/>
      <c r="H1170" s="32"/>
      <c r="I1170" s="33"/>
      <c r="J1170" s="11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</row>
    <row r="1171">
      <c r="A1171" s="25"/>
      <c r="B1171" s="45"/>
      <c r="C1171" s="32"/>
      <c r="D1171" s="46"/>
      <c r="E1171" s="46"/>
      <c r="F1171" s="47"/>
      <c r="G1171" s="32"/>
      <c r="H1171" s="32"/>
      <c r="I1171" s="33"/>
      <c r="J1171" s="11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</row>
    <row r="1172">
      <c r="A1172" s="25"/>
      <c r="B1172" s="45"/>
      <c r="C1172" s="32"/>
      <c r="D1172" s="46"/>
      <c r="E1172" s="46"/>
      <c r="F1172" s="47"/>
      <c r="G1172" s="32"/>
      <c r="H1172" s="32"/>
      <c r="I1172" s="33"/>
      <c r="J1172" s="11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</row>
    <row r="1173">
      <c r="A1173" s="25"/>
      <c r="B1173" s="45"/>
      <c r="C1173" s="32"/>
      <c r="D1173" s="46"/>
      <c r="E1173" s="46"/>
      <c r="F1173" s="47"/>
      <c r="G1173" s="32"/>
      <c r="H1173" s="32"/>
      <c r="I1173" s="33"/>
      <c r="J1173" s="11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</row>
    <row r="1174">
      <c r="A1174" s="25"/>
      <c r="B1174" s="45"/>
      <c r="C1174" s="32"/>
      <c r="D1174" s="46"/>
      <c r="E1174" s="46"/>
      <c r="F1174" s="47"/>
      <c r="G1174" s="32"/>
      <c r="H1174" s="32"/>
      <c r="I1174" s="33"/>
      <c r="J1174" s="11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</row>
    <row r="1175">
      <c r="A1175" s="25"/>
      <c r="B1175" s="45"/>
      <c r="C1175" s="32"/>
      <c r="D1175" s="46"/>
      <c r="E1175" s="46"/>
      <c r="F1175" s="47"/>
      <c r="G1175" s="32"/>
      <c r="H1175" s="32"/>
      <c r="I1175" s="33"/>
      <c r="J1175" s="11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</row>
    <row r="1176">
      <c r="A1176" s="25"/>
      <c r="B1176" s="45"/>
      <c r="C1176" s="32"/>
      <c r="D1176" s="46"/>
      <c r="E1176" s="46"/>
      <c r="F1176" s="47"/>
      <c r="G1176" s="32"/>
      <c r="H1176" s="32"/>
      <c r="I1176" s="33"/>
      <c r="J1176" s="11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</row>
    <row r="1177">
      <c r="A1177" s="25"/>
      <c r="B1177" s="45"/>
      <c r="C1177" s="32"/>
      <c r="D1177" s="46"/>
      <c r="E1177" s="46"/>
      <c r="F1177" s="47"/>
      <c r="G1177" s="32"/>
      <c r="H1177" s="32"/>
      <c r="I1177" s="33"/>
      <c r="J1177" s="11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</row>
    <row r="1178">
      <c r="A1178" s="25"/>
      <c r="B1178" s="45"/>
      <c r="C1178" s="32"/>
      <c r="D1178" s="46"/>
      <c r="E1178" s="46"/>
      <c r="F1178" s="47"/>
      <c r="G1178" s="32"/>
      <c r="H1178" s="32"/>
      <c r="I1178" s="33"/>
      <c r="J1178" s="11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</row>
    <row r="1179">
      <c r="A1179" s="25"/>
      <c r="B1179" s="45"/>
      <c r="C1179" s="32"/>
      <c r="D1179" s="46"/>
      <c r="E1179" s="46"/>
      <c r="F1179" s="47"/>
      <c r="G1179" s="32"/>
      <c r="H1179" s="32"/>
      <c r="I1179" s="33"/>
      <c r="J1179" s="11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</row>
    <row r="1180">
      <c r="A1180" s="25"/>
      <c r="B1180" s="45"/>
      <c r="C1180" s="32"/>
      <c r="D1180" s="46"/>
      <c r="E1180" s="46"/>
      <c r="F1180" s="47"/>
      <c r="G1180" s="32"/>
      <c r="H1180" s="32"/>
      <c r="I1180" s="33"/>
      <c r="J1180" s="11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</row>
    <row r="1181">
      <c r="A1181" s="25"/>
      <c r="B1181" s="45"/>
      <c r="C1181" s="32"/>
      <c r="D1181" s="46"/>
      <c r="E1181" s="46"/>
      <c r="F1181" s="47"/>
      <c r="G1181" s="32"/>
      <c r="H1181" s="32"/>
      <c r="I1181" s="33"/>
      <c r="J1181" s="11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</row>
    <row r="1182">
      <c r="A1182" s="25"/>
      <c r="B1182" s="45"/>
      <c r="C1182" s="32"/>
      <c r="D1182" s="46"/>
      <c r="E1182" s="46"/>
      <c r="F1182" s="47"/>
      <c r="G1182" s="32"/>
      <c r="H1182" s="32"/>
      <c r="I1182" s="33"/>
      <c r="J1182" s="11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</row>
    <row r="1183">
      <c r="A1183" s="25"/>
      <c r="B1183" s="45"/>
      <c r="C1183" s="32"/>
      <c r="D1183" s="46"/>
      <c r="E1183" s="46"/>
      <c r="F1183" s="47"/>
      <c r="G1183" s="32"/>
      <c r="H1183" s="32"/>
      <c r="I1183" s="33"/>
      <c r="J1183" s="11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</row>
    <row r="1184">
      <c r="A1184" s="25"/>
      <c r="B1184" s="45"/>
      <c r="C1184" s="32"/>
      <c r="D1184" s="46"/>
      <c r="E1184" s="46"/>
      <c r="F1184" s="47"/>
      <c r="G1184" s="32"/>
      <c r="H1184" s="32"/>
      <c r="I1184" s="33"/>
      <c r="J1184" s="11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</row>
    <row r="1185">
      <c r="A1185" s="25"/>
      <c r="B1185" s="45"/>
      <c r="C1185" s="32"/>
      <c r="D1185" s="46"/>
      <c r="E1185" s="46"/>
      <c r="F1185" s="47"/>
      <c r="G1185" s="32"/>
      <c r="H1185" s="32"/>
      <c r="I1185" s="33"/>
      <c r="J1185" s="11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</row>
    <row r="1186">
      <c r="A1186" s="25"/>
      <c r="B1186" s="45"/>
      <c r="C1186" s="32"/>
      <c r="D1186" s="46"/>
      <c r="E1186" s="46"/>
      <c r="F1186" s="47"/>
      <c r="G1186" s="32"/>
      <c r="H1186" s="32"/>
      <c r="I1186" s="33"/>
      <c r="J1186" s="11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</row>
    <row r="1187">
      <c r="A1187" s="25"/>
      <c r="B1187" s="45"/>
      <c r="C1187" s="32"/>
      <c r="D1187" s="46"/>
      <c r="E1187" s="46"/>
      <c r="F1187" s="47"/>
      <c r="G1187" s="32"/>
      <c r="H1187" s="32"/>
      <c r="I1187" s="33"/>
      <c r="J1187" s="11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</row>
    <row r="1188">
      <c r="A1188" s="25"/>
      <c r="B1188" s="45"/>
      <c r="C1188" s="32"/>
      <c r="D1188" s="46"/>
      <c r="E1188" s="46"/>
      <c r="F1188" s="47"/>
      <c r="G1188" s="32"/>
      <c r="H1188" s="32"/>
      <c r="I1188" s="33"/>
      <c r="J1188" s="11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</row>
    <row r="1189">
      <c r="A1189" s="25"/>
      <c r="B1189" s="45"/>
      <c r="C1189" s="32"/>
      <c r="D1189" s="46"/>
      <c r="E1189" s="46"/>
      <c r="F1189" s="47"/>
      <c r="G1189" s="32"/>
      <c r="H1189" s="32"/>
      <c r="I1189" s="33"/>
      <c r="J1189" s="11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</row>
    <row r="1190">
      <c r="A1190" s="25"/>
      <c r="B1190" s="45"/>
      <c r="C1190" s="32"/>
      <c r="D1190" s="46"/>
      <c r="E1190" s="46"/>
      <c r="F1190" s="47"/>
      <c r="G1190" s="32"/>
      <c r="H1190" s="32"/>
      <c r="I1190" s="33"/>
      <c r="J1190" s="11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</row>
    <row r="1191">
      <c r="A1191" s="25"/>
      <c r="B1191" s="45"/>
      <c r="C1191" s="32"/>
      <c r="D1191" s="46"/>
      <c r="E1191" s="46"/>
      <c r="F1191" s="47"/>
      <c r="G1191" s="32"/>
      <c r="H1191" s="32"/>
      <c r="I1191" s="33"/>
      <c r="J1191" s="11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</row>
    <row r="1192">
      <c r="A1192" s="25"/>
      <c r="B1192" s="45"/>
      <c r="C1192" s="32"/>
      <c r="D1192" s="46"/>
      <c r="E1192" s="46"/>
      <c r="F1192" s="47"/>
      <c r="G1192" s="32"/>
      <c r="H1192" s="32"/>
      <c r="I1192" s="33"/>
      <c r="J1192" s="11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</row>
    <row r="1193">
      <c r="A1193" s="25"/>
      <c r="B1193" s="45"/>
      <c r="C1193" s="32"/>
      <c r="D1193" s="46"/>
      <c r="E1193" s="46"/>
      <c r="F1193" s="47"/>
      <c r="G1193" s="32"/>
      <c r="H1193" s="32"/>
      <c r="I1193" s="33"/>
      <c r="J1193" s="11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</row>
    <row r="1194">
      <c r="A1194" s="25"/>
      <c r="B1194" s="45"/>
      <c r="C1194" s="32"/>
      <c r="D1194" s="46"/>
      <c r="E1194" s="46"/>
      <c r="F1194" s="47"/>
      <c r="G1194" s="32"/>
      <c r="H1194" s="32"/>
      <c r="I1194" s="33"/>
      <c r="J1194" s="11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</row>
    <row r="1195">
      <c r="A1195" s="25"/>
      <c r="B1195" s="45"/>
      <c r="C1195" s="32"/>
      <c r="D1195" s="46"/>
      <c r="E1195" s="46"/>
      <c r="F1195" s="47"/>
      <c r="G1195" s="32"/>
      <c r="H1195" s="32"/>
      <c r="I1195" s="33"/>
      <c r="J1195" s="11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</row>
    <row r="1196">
      <c r="A1196" s="25"/>
      <c r="B1196" s="45"/>
      <c r="C1196" s="32"/>
      <c r="D1196" s="46"/>
      <c r="E1196" s="46"/>
      <c r="F1196" s="47"/>
      <c r="G1196" s="32"/>
      <c r="H1196" s="32"/>
      <c r="I1196" s="33"/>
      <c r="J1196" s="11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</row>
    <row r="1197">
      <c r="A1197" s="25"/>
      <c r="B1197" s="45"/>
      <c r="C1197" s="32"/>
      <c r="D1197" s="46"/>
      <c r="E1197" s="46"/>
      <c r="F1197" s="47"/>
      <c r="G1197" s="32"/>
      <c r="H1197" s="32"/>
      <c r="I1197" s="33"/>
      <c r="J1197" s="11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</row>
    <row r="1198">
      <c r="A1198" s="25"/>
      <c r="B1198" s="45"/>
      <c r="C1198" s="32"/>
      <c r="D1198" s="46"/>
      <c r="E1198" s="46"/>
      <c r="F1198" s="47"/>
      <c r="G1198" s="32"/>
      <c r="H1198" s="32"/>
      <c r="I1198" s="33"/>
      <c r="J1198" s="11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</row>
    <row r="1199">
      <c r="A1199" s="25"/>
      <c r="B1199" s="45"/>
      <c r="C1199" s="32"/>
      <c r="D1199" s="46"/>
      <c r="E1199" s="46"/>
      <c r="F1199" s="47"/>
      <c r="G1199" s="32"/>
      <c r="H1199" s="32"/>
      <c r="I1199" s="33"/>
      <c r="J1199" s="11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</row>
    <row r="1200">
      <c r="A1200" s="25"/>
      <c r="B1200" s="45"/>
      <c r="C1200" s="32"/>
      <c r="D1200" s="46"/>
      <c r="E1200" s="46"/>
      <c r="F1200" s="47"/>
      <c r="G1200" s="32"/>
      <c r="H1200" s="32"/>
      <c r="I1200" s="33"/>
      <c r="J1200" s="11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</row>
    <row r="1201">
      <c r="A1201" s="25"/>
      <c r="B1201" s="45"/>
      <c r="C1201" s="32"/>
      <c r="D1201" s="46"/>
      <c r="E1201" s="46"/>
      <c r="F1201" s="47"/>
      <c r="G1201" s="32"/>
      <c r="H1201" s="32"/>
      <c r="I1201" s="33"/>
      <c r="J1201" s="11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</row>
    <row r="1202">
      <c r="A1202" s="25"/>
      <c r="B1202" s="45"/>
      <c r="C1202" s="32"/>
      <c r="D1202" s="46"/>
      <c r="E1202" s="46"/>
      <c r="F1202" s="47"/>
      <c r="G1202" s="32"/>
      <c r="H1202" s="32"/>
      <c r="I1202" s="33"/>
      <c r="J1202" s="11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</row>
    <row r="1203">
      <c r="A1203" s="25"/>
      <c r="B1203" s="45"/>
      <c r="C1203" s="32"/>
      <c r="D1203" s="46"/>
      <c r="E1203" s="46"/>
      <c r="F1203" s="47"/>
      <c r="G1203" s="32"/>
      <c r="H1203" s="32"/>
      <c r="I1203" s="33"/>
      <c r="J1203" s="11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</row>
    <row r="1204">
      <c r="A1204" s="25"/>
      <c r="B1204" s="45"/>
      <c r="C1204" s="32"/>
      <c r="D1204" s="46"/>
      <c r="E1204" s="46"/>
      <c r="F1204" s="47"/>
      <c r="G1204" s="32"/>
      <c r="H1204" s="32"/>
      <c r="I1204" s="33"/>
      <c r="J1204" s="11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</row>
    <row r="1205">
      <c r="A1205" s="25"/>
      <c r="B1205" s="45"/>
      <c r="C1205" s="32"/>
      <c r="D1205" s="46"/>
      <c r="E1205" s="46"/>
      <c r="F1205" s="47"/>
      <c r="G1205" s="32"/>
      <c r="H1205" s="32"/>
      <c r="I1205" s="33"/>
      <c r="J1205" s="11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</row>
    <row r="1206">
      <c r="A1206" s="25"/>
      <c r="B1206" s="45"/>
      <c r="C1206" s="32"/>
      <c r="D1206" s="46"/>
      <c r="E1206" s="46"/>
      <c r="F1206" s="47"/>
      <c r="G1206" s="32"/>
      <c r="H1206" s="32"/>
      <c r="I1206" s="33"/>
      <c r="J1206" s="11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</row>
    <row r="1207">
      <c r="A1207" s="25"/>
      <c r="B1207" s="45"/>
      <c r="C1207" s="32"/>
      <c r="D1207" s="46"/>
      <c r="E1207" s="46"/>
      <c r="F1207" s="47"/>
      <c r="G1207" s="32"/>
      <c r="H1207" s="32"/>
      <c r="I1207" s="33"/>
      <c r="J1207" s="11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</row>
    <row r="1208">
      <c r="A1208" s="25"/>
      <c r="B1208" s="45"/>
      <c r="C1208" s="32"/>
      <c r="D1208" s="46"/>
      <c r="E1208" s="46"/>
      <c r="F1208" s="47"/>
      <c r="G1208" s="32"/>
      <c r="H1208" s="32"/>
      <c r="I1208" s="33"/>
      <c r="J1208" s="11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</row>
    <row r="1209">
      <c r="A1209" s="25"/>
      <c r="B1209" s="45"/>
      <c r="C1209" s="32"/>
      <c r="D1209" s="46"/>
      <c r="E1209" s="46"/>
      <c r="F1209" s="47"/>
      <c r="G1209" s="32"/>
      <c r="H1209" s="32"/>
      <c r="I1209" s="33"/>
      <c r="J1209" s="11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</row>
    <row r="1210">
      <c r="A1210" s="25"/>
      <c r="B1210" s="45"/>
      <c r="C1210" s="32"/>
      <c r="D1210" s="46"/>
      <c r="E1210" s="46"/>
      <c r="F1210" s="47"/>
      <c r="G1210" s="32"/>
      <c r="H1210" s="32"/>
      <c r="I1210" s="33"/>
      <c r="J1210" s="11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</row>
    <row r="1211">
      <c r="A1211" s="25"/>
      <c r="B1211" s="45"/>
      <c r="C1211" s="32"/>
      <c r="D1211" s="46"/>
      <c r="E1211" s="46"/>
      <c r="F1211" s="47"/>
      <c r="G1211" s="32"/>
      <c r="H1211" s="32"/>
      <c r="I1211" s="33"/>
      <c r="J1211" s="11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</row>
    <row r="1212">
      <c r="A1212" s="25"/>
      <c r="B1212" s="45"/>
      <c r="C1212" s="32"/>
      <c r="D1212" s="46"/>
      <c r="E1212" s="46"/>
      <c r="F1212" s="47"/>
      <c r="G1212" s="32"/>
      <c r="H1212" s="32"/>
      <c r="I1212" s="33"/>
      <c r="J1212" s="11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</row>
    <row r="1213">
      <c r="A1213" s="25"/>
      <c r="B1213" s="45"/>
      <c r="C1213" s="32"/>
      <c r="D1213" s="46"/>
      <c r="E1213" s="46"/>
      <c r="F1213" s="47"/>
      <c r="G1213" s="32"/>
      <c r="H1213" s="32"/>
      <c r="I1213" s="33"/>
      <c r="J1213" s="11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</row>
    <row r="1214">
      <c r="A1214" s="25"/>
      <c r="B1214" s="45"/>
      <c r="C1214" s="32"/>
      <c r="D1214" s="46"/>
      <c r="E1214" s="46"/>
      <c r="F1214" s="47"/>
      <c r="G1214" s="32"/>
      <c r="H1214" s="32"/>
      <c r="I1214" s="33"/>
      <c r="J1214" s="11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</row>
    <row r="1215">
      <c r="A1215" s="25"/>
      <c r="B1215" s="45"/>
      <c r="C1215" s="32"/>
      <c r="D1215" s="46"/>
      <c r="E1215" s="46"/>
      <c r="F1215" s="47"/>
      <c r="G1215" s="32"/>
      <c r="H1215" s="32"/>
      <c r="I1215" s="33"/>
      <c r="J1215" s="11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</row>
    <row r="1216">
      <c r="A1216" s="25"/>
      <c r="B1216" s="45"/>
      <c r="C1216" s="32"/>
      <c r="D1216" s="46"/>
      <c r="E1216" s="46"/>
      <c r="F1216" s="47"/>
      <c r="G1216" s="32"/>
      <c r="H1216" s="32"/>
      <c r="I1216" s="33"/>
      <c r="J1216" s="11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</row>
    <row r="1217">
      <c r="A1217" s="25"/>
      <c r="B1217" s="45"/>
      <c r="C1217" s="32"/>
      <c r="D1217" s="46"/>
      <c r="E1217" s="46"/>
      <c r="F1217" s="47"/>
      <c r="G1217" s="32"/>
      <c r="H1217" s="32"/>
      <c r="I1217" s="33"/>
      <c r="J1217" s="11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</row>
    <row r="1218">
      <c r="A1218" s="25"/>
      <c r="B1218" s="45"/>
      <c r="C1218" s="32"/>
      <c r="D1218" s="46"/>
      <c r="E1218" s="46"/>
      <c r="F1218" s="47"/>
      <c r="G1218" s="32"/>
      <c r="H1218" s="32"/>
      <c r="I1218" s="33"/>
      <c r="J1218" s="11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</row>
    <row r="1219">
      <c r="A1219" s="25"/>
      <c r="B1219" s="45"/>
      <c r="C1219" s="32"/>
      <c r="D1219" s="46"/>
      <c r="E1219" s="46"/>
      <c r="F1219" s="47"/>
      <c r="G1219" s="32"/>
      <c r="H1219" s="32"/>
      <c r="I1219" s="33"/>
      <c r="J1219" s="11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</row>
    <row r="1220">
      <c r="A1220" s="25"/>
      <c r="B1220" s="45"/>
      <c r="C1220" s="32"/>
      <c r="D1220" s="46"/>
      <c r="E1220" s="46"/>
      <c r="F1220" s="47"/>
      <c r="G1220" s="32"/>
      <c r="H1220" s="32"/>
      <c r="I1220" s="33"/>
      <c r="J1220" s="11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</row>
    <row r="1221">
      <c r="A1221" s="25"/>
      <c r="B1221" s="45"/>
      <c r="C1221" s="32"/>
      <c r="D1221" s="46"/>
      <c r="E1221" s="46"/>
      <c r="F1221" s="47"/>
      <c r="G1221" s="32"/>
      <c r="H1221" s="32"/>
      <c r="I1221" s="33"/>
      <c r="J1221" s="11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</row>
    <row r="1222">
      <c r="A1222" s="25"/>
      <c r="B1222" s="45"/>
      <c r="C1222" s="32"/>
      <c r="D1222" s="46"/>
      <c r="E1222" s="46"/>
      <c r="F1222" s="47"/>
      <c r="G1222" s="32"/>
      <c r="H1222" s="32"/>
      <c r="I1222" s="33"/>
      <c r="J1222" s="11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</row>
    <row r="1223">
      <c r="A1223" s="25"/>
      <c r="B1223" s="45"/>
      <c r="C1223" s="32"/>
      <c r="D1223" s="46"/>
      <c r="E1223" s="46"/>
      <c r="F1223" s="47"/>
      <c r="G1223" s="32"/>
      <c r="H1223" s="32"/>
      <c r="I1223" s="33"/>
      <c r="J1223" s="11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</row>
    <row r="1224">
      <c r="A1224" s="25"/>
      <c r="B1224" s="45"/>
      <c r="C1224" s="32"/>
      <c r="D1224" s="46"/>
      <c r="E1224" s="46"/>
      <c r="F1224" s="47"/>
      <c r="G1224" s="32"/>
      <c r="H1224" s="32"/>
      <c r="I1224" s="33"/>
      <c r="J1224" s="11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</row>
    <row r="1225">
      <c r="A1225" s="25"/>
      <c r="B1225" s="45"/>
      <c r="C1225" s="32"/>
      <c r="D1225" s="46"/>
      <c r="E1225" s="46"/>
      <c r="F1225" s="47"/>
      <c r="G1225" s="32"/>
      <c r="H1225" s="32"/>
      <c r="I1225" s="33"/>
      <c r="J1225" s="11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</row>
    <row r="1226">
      <c r="A1226" s="25"/>
      <c r="B1226" s="45"/>
      <c r="C1226" s="32"/>
      <c r="D1226" s="46"/>
      <c r="E1226" s="46"/>
      <c r="F1226" s="47"/>
      <c r="G1226" s="32"/>
      <c r="H1226" s="32"/>
      <c r="I1226" s="33"/>
      <c r="J1226" s="11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</row>
    <row r="1227">
      <c r="A1227" s="25"/>
      <c r="B1227" s="45"/>
      <c r="C1227" s="32"/>
      <c r="D1227" s="46"/>
      <c r="E1227" s="46"/>
      <c r="F1227" s="47"/>
      <c r="G1227" s="32"/>
      <c r="H1227" s="32"/>
      <c r="I1227" s="33"/>
      <c r="J1227" s="11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</row>
    <row r="1228">
      <c r="A1228" s="25"/>
      <c r="B1228" s="45"/>
      <c r="C1228" s="32"/>
      <c r="D1228" s="46"/>
      <c r="E1228" s="46"/>
      <c r="F1228" s="47"/>
      <c r="G1228" s="32"/>
      <c r="H1228" s="32"/>
      <c r="I1228" s="33"/>
      <c r="J1228" s="11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</row>
    <row r="1229">
      <c r="A1229" s="25"/>
      <c r="B1229" s="45"/>
      <c r="C1229" s="32"/>
      <c r="D1229" s="46"/>
      <c r="E1229" s="46"/>
      <c r="F1229" s="47"/>
      <c r="G1229" s="32"/>
      <c r="H1229" s="32"/>
      <c r="I1229" s="33"/>
      <c r="J1229" s="11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</row>
    <row r="1230">
      <c r="A1230" s="25"/>
      <c r="B1230" s="45"/>
      <c r="C1230" s="32"/>
      <c r="D1230" s="46"/>
      <c r="E1230" s="46"/>
      <c r="F1230" s="47"/>
      <c r="G1230" s="32"/>
      <c r="H1230" s="32"/>
      <c r="I1230" s="33"/>
      <c r="J1230" s="11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</row>
    <row r="1231">
      <c r="A1231" s="25"/>
      <c r="B1231" s="45"/>
      <c r="C1231" s="32"/>
      <c r="D1231" s="46"/>
      <c r="E1231" s="46"/>
      <c r="F1231" s="47"/>
      <c r="G1231" s="32"/>
      <c r="H1231" s="32"/>
      <c r="I1231" s="33"/>
      <c r="J1231" s="11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</row>
    <row r="1232">
      <c r="A1232" s="25"/>
      <c r="B1232" s="45"/>
      <c r="C1232" s="32"/>
      <c r="D1232" s="46"/>
      <c r="E1232" s="46"/>
      <c r="F1232" s="47"/>
      <c r="G1232" s="32"/>
      <c r="H1232" s="32"/>
      <c r="I1232" s="33"/>
      <c r="J1232" s="11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</row>
    <row r="1233">
      <c r="A1233" s="25"/>
      <c r="B1233" s="45"/>
      <c r="C1233" s="32"/>
      <c r="D1233" s="46"/>
      <c r="E1233" s="46"/>
      <c r="F1233" s="47"/>
      <c r="G1233" s="32"/>
      <c r="H1233" s="32"/>
      <c r="I1233" s="33"/>
      <c r="J1233" s="11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</row>
    <row r="1234">
      <c r="A1234" s="25"/>
      <c r="B1234" s="45"/>
      <c r="C1234" s="32"/>
      <c r="D1234" s="46"/>
      <c r="E1234" s="46"/>
      <c r="F1234" s="47"/>
      <c r="G1234" s="32"/>
      <c r="H1234" s="32"/>
      <c r="I1234" s="33"/>
      <c r="J1234" s="11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</row>
    <row r="1235">
      <c r="A1235" s="25"/>
      <c r="B1235" s="45"/>
      <c r="C1235" s="32"/>
      <c r="D1235" s="46"/>
      <c r="E1235" s="46"/>
      <c r="F1235" s="47"/>
      <c r="G1235" s="32"/>
      <c r="H1235" s="32"/>
      <c r="I1235" s="33"/>
      <c r="J1235" s="11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</row>
    <row r="1236">
      <c r="A1236" s="25"/>
      <c r="B1236" s="45"/>
      <c r="C1236" s="32"/>
      <c r="D1236" s="46"/>
      <c r="E1236" s="46"/>
      <c r="F1236" s="47"/>
      <c r="G1236" s="32"/>
      <c r="H1236" s="32"/>
      <c r="I1236" s="33"/>
      <c r="J1236" s="11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</row>
    <row r="1237">
      <c r="A1237" s="25"/>
      <c r="B1237" s="45"/>
      <c r="C1237" s="32"/>
      <c r="D1237" s="46"/>
      <c r="E1237" s="46"/>
      <c r="F1237" s="47"/>
      <c r="G1237" s="32"/>
      <c r="H1237" s="32"/>
      <c r="I1237" s="33"/>
      <c r="J1237" s="11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</row>
    <row r="1238">
      <c r="A1238" s="25"/>
      <c r="B1238" s="45"/>
      <c r="C1238" s="32"/>
      <c r="D1238" s="46"/>
      <c r="E1238" s="46"/>
      <c r="F1238" s="47"/>
      <c r="G1238" s="32"/>
      <c r="H1238" s="32"/>
      <c r="I1238" s="33"/>
      <c r="J1238" s="11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</row>
    <row r="1239">
      <c r="A1239" s="25"/>
      <c r="B1239" s="45"/>
      <c r="C1239" s="32"/>
      <c r="D1239" s="46"/>
      <c r="E1239" s="46"/>
      <c r="F1239" s="47"/>
      <c r="G1239" s="32"/>
      <c r="H1239" s="32"/>
      <c r="I1239" s="33"/>
      <c r="J1239" s="11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</row>
    <row r="1240">
      <c r="A1240" s="25"/>
      <c r="B1240" s="45"/>
      <c r="C1240" s="32"/>
      <c r="D1240" s="46"/>
      <c r="E1240" s="46"/>
      <c r="F1240" s="47"/>
      <c r="G1240" s="32"/>
      <c r="H1240" s="32"/>
      <c r="I1240" s="33"/>
      <c r="J1240" s="11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</row>
    <row r="1241">
      <c r="A1241" s="25"/>
      <c r="B1241" s="45"/>
      <c r="C1241" s="32"/>
      <c r="D1241" s="46"/>
      <c r="E1241" s="46"/>
      <c r="F1241" s="47"/>
      <c r="G1241" s="32"/>
      <c r="H1241" s="32"/>
      <c r="I1241" s="33"/>
      <c r="J1241" s="11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</row>
    <row r="1242">
      <c r="A1242" s="25"/>
      <c r="B1242" s="45"/>
      <c r="C1242" s="32"/>
      <c r="D1242" s="46"/>
      <c r="E1242" s="46"/>
      <c r="F1242" s="47"/>
      <c r="G1242" s="32"/>
      <c r="H1242" s="32"/>
      <c r="I1242" s="33"/>
      <c r="J1242" s="11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</row>
    <row r="1243">
      <c r="A1243" s="25"/>
      <c r="B1243" s="45"/>
      <c r="C1243" s="32"/>
      <c r="D1243" s="46"/>
      <c r="E1243" s="46"/>
      <c r="F1243" s="47"/>
      <c r="G1243" s="32"/>
      <c r="H1243" s="32"/>
      <c r="I1243" s="33"/>
      <c r="J1243" s="11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</row>
    <row r="1244">
      <c r="A1244" s="25"/>
      <c r="B1244" s="45"/>
      <c r="C1244" s="32"/>
      <c r="D1244" s="46"/>
      <c r="E1244" s="46"/>
      <c r="F1244" s="47"/>
      <c r="G1244" s="32"/>
      <c r="H1244" s="32"/>
      <c r="I1244" s="33"/>
      <c r="J1244" s="11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</row>
    <row r="1245">
      <c r="A1245" s="25"/>
      <c r="B1245" s="45"/>
      <c r="C1245" s="32"/>
      <c r="D1245" s="46"/>
      <c r="E1245" s="46"/>
      <c r="F1245" s="47"/>
      <c r="G1245" s="32"/>
      <c r="H1245" s="32"/>
      <c r="I1245" s="33"/>
      <c r="J1245" s="11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</row>
    <row r="1246">
      <c r="A1246" s="25"/>
      <c r="B1246" s="45"/>
      <c r="C1246" s="32"/>
      <c r="D1246" s="46"/>
      <c r="E1246" s="46"/>
      <c r="F1246" s="47"/>
      <c r="G1246" s="32"/>
      <c r="H1246" s="32"/>
      <c r="I1246" s="33"/>
      <c r="J1246" s="11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</row>
    <row r="1247">
      <c r="A1247" s="25"/>
      <c r="B1247" s="45"/>
      <c r="C1247" s="32"/>
      <c r="D1247" s="46"/>
      <c r="E1247" s="46"/>
      <c r="F1247" s="47"/>
      <c r="G1247" s="32"/>
      <c r="H1247" s="32"/>
      <c r="I1247" s="33"/>
      <c r="J1247" s="11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</row>
    <row r="1248">
      <c r="A1248" s="25"/>
      <c r="B1248" s="45"/>
      <c r="C1248" s="32"/>
      <c r="D1248" s="46"/>
      <c r="E1248" s="46"/>
      <c r="F1248" s="47"/>
      <c r="G1248" s="32"/>
      <c r="H1248" s="32"/>
      <c r="I1248" s="33"/>
      <c r="J1248" s="11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</row>
    <row r="1249">
      <c r="A1249" s="25"/>
      <c r="B1249" s="45"/>
      <c r="C1249" s="32"/>
      <c r="D1249" s="46"/>
      <c r="E1249" s="46"/>
      <c r="F1249" s="47"/>
      <c r="G1249" s="32"/>
      <c r="H1249" s="32"/>
      <c r="I1249" s="33"/>
      <c r="J1249" s="11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</row>
    <row r="1250">
      <c r="A1250" s="25"/>
      <c r="B1250" s="45"/>
      <c r="C1250" s="32"/>
      <c r="D1250" s="46"/>
      <c r="E1250" s="46"/>
      <c r="F1250" s="47"/>
      <c r="G1250" s="32"/>
      <c r="H1250" s="32"/>
      <c r="I1250" s="33"/>
      <c r="J1250" s="11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</row>
  </sheetData>
  <mergeCells count="5">
    <mergeCell ref="A1:F1"/>
    <mergeCell ref="G1:I3"/>
    <mergeCell ref="A2:C3"/>
    <mergeCell ref="D2:E2"/>
    <mergeCell ref="D3:F3"/>
  </mergeCells>
  <conditionalFormatting sqref="F5:F1250">
    <cfRule type="beginsWith" dxfId="0" priority="1" operator="beginsWith" text="/410/0">
      <formula>LEFT((F5),LEN("/410/0"))=("/410/0")</formula>
    </cfRule>
  </conditionalFormatting>
  <conditionalFormatting sqref="F5:F1250">
    <cfRule type="beginsWith" dxfId="1" priority="2" operator="beginsWith" text="/410/1">
      <formula>LEFT((F5),LEN("/410/1"))=("/410/1")</formula>
    </cfRule>
  </conditionalFormatting>
  <conditionalFormatting sqref="F5:F1250">
    <cfRule type="beginsWith" dxfId="2" priority="3" operator="beginsWith" text="/410/2">
      <formula>LEFT((F5),LEN("/410/2"))=("/410/2")</formula>
    </cfRule>
  </conditionalFormatting>
  <conditionalFormatting sqref="F5:F1250">
    <cfRule type="beginsWith" dxfId="3" priority="4" operator="beginsWith" text="/410/3">
      <formula>LEFT((F5),LEN("/410/3"))=("/410/3")</formula>
    </cfRule>
  </conditionalFormatting>
  <conditionalFormatting sqref="F5:F1250">
    <cfRule type="beginsWith" dxfId="4" priority="5" operator="beginsWith" text="/410/4">
      <formula>LEFT((F5),LEN("/410/4"))=("/410/4")</formula>
    </cfRule>
  </conditionalFormatting>
  <conditionalFormatting sqref="F5:F1250">
    <cfRule type="beginsWith" dxfId="5" priority="6" operator="beginsWith" text="/412/0">
      <formula>LEFT((F5),LEN("/412/0"))=("/412/0")</formula>
    </cfRule>
  </conditionalFormatting>
  <conditionalFormatting sqref="F5:F1250">
    <cfRule type="beginsWith" dxfId="6" priority="7" operator="beginsWith" text="/412/1">
      <formula>LEFT((F5),LEN("/412/1"))=("/412/1")</formula>
    </cfRule>
  </conditionalFormatting>
  <conditionalFormatting sqref="F5:F1250">
    <cfRule type="beginsWith" dxfId="7" priority="8" operator="beginsWith" text="/412/2">
      <formula>LEFT((F5),LEN("/412/2"))=("/412/2")</formula>
    </cfRule>
  </conditionalFormatting>
  <conditionalFormatting sqref="F5:F186">
    <cfRule type="colorScale" priority="9">
      <colorScale>
        <cfvo type="min"/>
        <cfvo type="max"/>
        <color rgb="FF57BB8A"/>
        <color rgb="FFFFFFFF"/>
      </colorScale>
    </cfRule>
  </conditionalFormatting>
  <dataValidations>
    <dataValidation type="list" allowBlank="1" sqref="F5:F262">
      <formula1>'Sub-Divisions'!$A:$A</formula1>
    </dataValidation>
    <dataValidation type="list" allowBlank="1" showErrorMessage="1" sqref="F2">
      <formula1>"Ascending,Descending"</formula1>
    </dataValidation>
  </dataValidations>
  <hyperlinks>
    <hyperlink r:id="rId1" location="gid=1125867640" ref="C5"/>
    <hyperlink r:id="rId2" location="gid=1394286645" ref="C104"/>
    <hyperlink r:id="rId3" location="gid=1394286645" ref="C162"/>
    <hyperlink r:id="rId4" location="gid=1394286645" ref="C178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7.25"/>
    <col customWidth="1" min="3" max="3" width="15.25"/>
    <col customWidth="1" min="4" max="4" width="12.13"/>
    <col customWidth="1" min="5" max="5" width="4.0"/>
    <col customWidth="1" min="6" max="6" width="43.63"/>
    <col customWidth="1" min="7" max="7" width="15.38"/>
  </cols>
  <sheetData>
    <row r="1" ht="48.0" customHeight="1">
      <c r="A1" s="48" t="s">
        <v>625</v>
      </c>
      <c r="B1" s="2"/>
      <c r="C1" s="2"/>
      <c r="D1" s="2"/>
      <c r="E1" s="2"/>
      <c r="F1" s="2"/>
      <c r="G1" s="3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9.5" customHeight="1">
      <c r="A2" s="49"/>
      <c r="E2" s="50"/>
      <c r="F2" s="51"/>
      <c r="G2" s="50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ht="30.0" customHeight="1">
      <c r="A3" s="14"/>
      <c r="B3" s="14"/>
      <c r="C3" s="14"/>
      <c r="D3" s="14"/>
      <c r="E3" s="53"/>
      <c r="F3" s="14"/>
      <c r="G3" s="53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>
      <c r="A4" s="54" t="s">
        <v>626</v>
      </c>
      <c r="B4" s="54" t="s">
        <v>627</v>
      </c>
      <c r="C4" s="54" t="s">
        <v>628</v>
      </c>
      <c r="D4" s="54" t="s">
        <v>11</v>
      </c>
      <c r="E4" s="54" t="s">
        <v>629</v>
      </c>
      <c r="F4" s="55" t="s">
        <v>10</v>
      </c>
      <c r="G4" s="54" t="s">
        <v>630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>
      <c r="A5" s="56" t="str">
        <f t="shared" ref="A5:A72" si="1">CONCATENATE(SUBSTITUTE(D5, "P/T", ""), "/", TEXT(E5, "000"))</f>
        <v>/410/001</v>
      </c>
      <c r="B5" s="57" t="s">
        <v>631</v>
      </c>
      <c r="C5" s="57" t="s">
        <v>632</v>
      </c>
      <c r="D5" s="57" t="s">
        <v>633</v>
      </c>
      <c r="E5" s="58">
        <v>1.0</v>
      </c>
      <c r="F5" s="59" t="s">
        <v>634</v>
      </c>
      <c r="G5" s="56">
        <v>6.0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56" t="str">
        <f t="shared" si="1"/>
        <v>/410/002</v>
      </c>
      <c r="B6" s="57" t="s">
        <v>635</v>
      </c>
      <c r="C6" s="57" t="s">
        <v>632</v>
      </c>
      <c r="D6" s="57" t="s">
        <v>633</v>
      </c>
      <c r="E6" s="60">
        <v>2.0</v>
      </c>
      <c r="F6" s="59" t="s">
        <v>636</v>
      </c>
      <c r="G6" s="56">
        <v>6.0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56" t="str">
        <f t="shared" si="1"/>
        <v>/410/003</v>
      </c>
      <c r="B7" s="57" t="s">
        <v>637</v>
      </c>
      <c r="C7" s="57" t="s">
        <v>632</v>
      </c>
      <c r="D7" s="57" t="s">
        <v>633</v>
      </c>
      <c r="E7" s="61">
        <v>3.0</v>
      </c>
      <c r="F7" s="59" t="s">
        <v>638</v>
      </c>
      <c r="G7" s="56">
        <v>6.0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56" t="str">
        <f t="shared" si="1"/>
        <v>/410/004</v>
      </c>
      <c r="B8" s="57" t="s">
        <v>639</v>
      </c>
      <c r="C8" s="57" t="s">
        <v>640</v>
      </c>
      <c r="D8" s="57" t="s">
        <v>633</v>
      </c>
      <c r="E8" s="62">
        <v>4.0</v>
      </c>
      <c r="F8" s="59" t="s">
        <v>641</v>
      </c>
      <c r="G8" s="56">
        <v>1.0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56" t="str">
        <f t="shared" si="1"/>
        <v>/410/005</v>
      </c>
      <c r="B9" s="57" t="s">
        <v>642</v>
      </c>
      <c r="C9" s="57" t="s">
        <v>643</v>
      </c>
      <c r="D9" s="57" t="s">
        <v>633</v>
      </c>
      <c r="E9" s="63">
        <v>5.0</v>
      </c>
      <c r="F9" s="59" t="s">
        <v>644</v>
      </c>
      <c r="G9" s="56">
        <v>11.0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56" t="str">
        <f t="shared" si="1"/>
        <v>/410/006</v>
      </c>
      <c r="B10" s="57" t="s">
        <v>645</v>
      </c>
      <c r="C10" s="57" t="s">
        <v>646</v>
      </c>
      <c r="D10" s="57" t="s">
        <v>633</v>
      </c>
      <c r="E10" s="64">
        <v>6.0</v>
      </c>
      <c r="F10" s="59" t="s">
        <v>647</v>
      </c>
      <c r="G10" s="56">
        <v>11.0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56" t="str">
        <f t="shared" si="1"/>
        <v>/410/007</v>
      </c>
      <c r="B11" s="57" t="s">
        <v>648</v>
      </c>
      <c r="C11" s="57" t="s">
        <v>640</v>
      </c>
      <c r="D11" s="57" t="s">
        <v>633</v>
      </c>
      <c r="E11" s="65">
        <v>7.0</v>
      </c>
      <c r="F11" s="59" t="s">
        <v>649</v>
      </c>
      <c r="G11" s="56">
        <v>1.0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56" t="str">
        <f t="shared" si="1"/>
        <v>/410/008</v>
      </c>
      <c r="B12" s="57" t="s">
        <v>650</v>
      </c>
      <c r="C12" s="57" t="s">
        <v>632</v>
      </c>
      <c r="D12" s="57" t="s">
        <v>633</v>
      </c>
      <c r="E12" s="66">
        <v>8.0</v>
      </c>
      <c r="F12" s="59" t="s">
        <v>651</v>
      </c>
      <c r="G12" s="56">
        <v>2.0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56" t="str">
        <f t="shared" si="1"/>
        <v>/410/101</v>
      </c>
      <c r="B13" s="57" t="s">
        <v>652</v>
      </c>
      <c r="C13" s="57" t="s">
        <v>632</v>
      </c>
      <c r="D13" s="57" t="s">
        <v>633</v>
      </c>
      <c r="E13" s="58">
        <v>101.0</v>
      </c>
      <c r="F13" s="59" t="s">
        <v>653</v>
      </c>
      <c r="G13" s="56">
        <v>2.0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56" t="str">
        <f t="shared" si="1"/>
        <v>/410/102</v>
      </c>
      <c r="B14" s="57" t="s">
        <v>654</v>
      </c>
      <c r="C14" s="57" t="s">
        <v>655</v>
      </c>
      <c r="D14" s="57" t="s">
        <v>633</v>
      </c>
      <c r="E14" s="60">
        <v>102.0</v>
      </c>
      <c r="F14" s="59" t="s">
        <v>656</v>
      </c>
      <c r="G14" s="56">
        <v>8.0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56" t="str">
        <f t="shared" si="1"/>
        <v>/410/103</v>
      </c>
      <c r="B15" s="57" t="s">
        <v>657</v>
      </c>
      <c r="C15" s="57" t="s">
        <v>658</v>
      </c>
      <c r="D15" s="57" t="s">
        <v>633</v>
      </c>
      <c r="E15" s="61">
        <v>103.0</v>
      </c>
      <c r="F15" s="59" t="s">
        <v>659</v>
      </c>
      <c r="G15" s="56">
        <v>1.0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56" t="str">
        <f t="shared" si="1"/>
        <v>/410/104</v>
      </c>
      <c r="B16" s="57" t="s">
        <v>660</v>
      </c>
      <c r="C16" s="57" t="s">
        <v>632</v>
      </c>
      <c r="D16" s="57" t="s">
        <v>633</v>
      </c>
      <c r="E16" s="62">
        <v>104.0</v>
      </c>
      <c r="F16" s="59" t="s">
        <v>661</v>
      </c>
      <c r="G16" s="56">
        <v>2.0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56" t="str">
        <f t="shared" si="1"/>
        <v>/410/105</v>
      </c>
      <c r="B17" s="57" t="s">
        <v>662</v>
      </c>
      <c r="C17" s="57" t="s">
        <v>663</v>
      </c>
      <c r="D17" s="57" t="s">
        <v>633</v>
      </c>
      <c r="E17" s="63">
        <v>105.0</v>
      </c>
      <c r="F17" s="59" t="s">
        <v>664</v>
      </c>
      <c r="G17" s="56">
        <v>47.0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56" t="str">
        <f t="shared" si="1"/>
        <v>/410/106</v>
      </c>
      <c r="B18" s="57" t="s">
        <v>665</v>
      </c>
      <c r="C18" s="57" t="s">
        <v>663</v>
      </c>
      <c r="D18" s="57" t="s">
        <v>633</v>
      </c>
      <c r="E18" s="64">
        <v>106.0</v>
      </c>
      <c r="F18" s="59" t="s">
        <v>664</v>
      </c>
      <c r="G18" s="56">
        <v>60.0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56" t="str">
        <f t="shared" si="1"/>
        <v>/410/107</v>
      </c>
      <c r="B19" s="57" t="s">
        <v>666</v>
      </c>
      <c r="C19" s="57" t="s">
        <v>663</v>
      </c>
      <c r="D19" s="57" t="s">
        <v>633</v>
      </c>
      <c r="E19" s="65">
        <v>107.0</v>
      </c>
      <c r="F19" s="59" t="s">
        <v>664</v>
      </c>
      <c r="G19" s="56">
        <v>60.0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56" t="str">
        <f t="shared" si="1"/>
        <v>/410/201</v>
      </c>
      <c r="B20" s="57" t="s">
        <v>667</v>
      </c>
      <c r="C20" s="57" t="s">
        <v>632</v>
      </c>
      <c r="D20" s="57" t="s">
        <v>633</v>
      </c>
      <c r="E20" s="58">
        <v>201.0</v>
      </c>
      <c r="F20" s="59" t="s">
        <v>668</v>
      </c>
      <c r="G20" s="56">
        <v>2.0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56" t="str">
        <f t="shared" si="1"/>
        <v>/410/202</v>
      </c>
      <c r="B21" s="57" t="s">
        <v>669</v>
      </c>
      <c r="C21" s="57" t="s">
        <v>655</v>
      </c>
      <c r="D21" s="57" t="s">
        <v>633</v>
      </c>
      <c r="E21" s="60">
        <v>202.0</v>
      </c>
      <c r="F21" s="59" t="s">
        <v>670</v>
      </c>
      <c r="G21" s="56">
        <v>4.0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56" t="str">
        <f t="shared" si="1"/>
        <v>/410/203</v>
      </c>
      <c r="B22" s="57" t="s">
        <v>671</v>
      </c>
      <c r="C22" s="57" t="s">
        <v>672</v>
      </c>
      <c r="D22" s="57" t="s">
        <v>633</v>
      </c>
      <c r="E22" s="61">
        <v>203.0</v>
      </c>
      <c r="F22" s="59" t="s">
        <v>673</v>
      </c>
      <c r="G22" s="56">
        <v>5.0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56" t="str">
        <f t="shared" si="1"/>
        <v>/410/204</v>
      </c>
      <c r="B23" s="57" t="s">
        <v>674</v>
      </c>
      <c r="C23" s="57" t="s">
        <v>632</v>
      </c>
      <c r="D23" s="57" t="s">
        <v>633</v>
      </c>
      <c r="E23" s="62">
        <v>204.0</v>
      </c>
      <c r="F23" s="59" t="s">
        <v>675</v>
      </c>
      <c r="G23" s="56">
        <v>3.0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56" t="str">
        <f t="shared" si="1"/>
        <v>/410/205</v>
      </c>
      <c r="B24" s="57" t="s">
        <v>676</v>
      </c>
      <c r="C24" s="57" t="s">
        <v>632</v>
      </c>
      <c r="D24" s="57" t="s">
        <v>633</v>
      </c>
      <c r="E24" s="63">
        <v>205.0</v>
      </c>
      <c r="F24" s="59" t="s">
        <v>677</v>
      </c>
      <c r="G24" s="56">
        <v>2.0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56" t="str">
        <f t="shared" si="1"/>
        <v>/410/206</v>
      </c>
      <c r="B25" s="57" t="s">
        <v>678</v>
      </c>
      <c r="C25" s="57" t="s">
        <v>632</v>
      </c>
      <c r="D25" s="57" t="s">
        <v>633</v>
      </c>
      <c r="E25" s="64">
        <v>206.0</v>
      </c>
      <c r="F25" s="59" t="s">
        <v>679</v>
      </c>
      <c r="G25" s="56">
        <v>2.0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56" t="str">
        <f t="shared" si="1"/>
        <v>/410/207</v>
      </c>
      <c r="B26" s="57" t="s">
        <v>680</v>
      </c>
      <c r="C26" s="57" t="s">
        <v>643</v>
      </c>
      <c r="D26" s="57" t="s">
        <v>633</v>
      </c>
      <c r="E26" s="65">
        <v>207.0</v>
      </c>
      <c r="F26" s="59" t="s">
        <v>681</v>
      </c>
      <c r="G26" s="56">
        <v>31.0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56" t="str">
        <f t="shared" si="1"/>
        <v>/410/208</v>
      </c>
      <c r="B27" s="57" t="s">
        <v>682</v>
      </c>
      <c r="C27" s="57" t="s">
        <v>640</v>
      </c>
      <c r="D27" s="57" t="s">
        <v>633</v>
      </c>
      <c r="E27" s="66">
        <v>208.0</v>
      </c>
      <c r="F27" s="59" t="s">
        <v>683</v>
      </c>
      <c r="G27" s="56">
        <v>2.0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56" t="str">
        <f t="shared" si="1"/>
        <v>/410/209</v>
      </c>
      <c r="B28" s="57" t="s">
        <v>684</v>
      </c>
      <c r="C28" s="57" t="s">
        <v>632</v>
      </c>
      <c r="D28" s="57" t="s">
        <v>633</v>
      </c>
      <c r="E28" s="67">
        <v>209.0</v>
      </c>
      <c r="F28" s="59" t="s">
        <v>685</v>
      </c>
      <c r="G28" s="56">
        <v>4.0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56" t="str">
        <f t="shared" si="1"/>
        <v>/410/210</v>
      </c>
      <c r="B29" s="57" t="s">
        <v>686</v>
      </c>
      <c r="C29" s="57" t="s">
        <v>663</v>
      </c>
      <c r="D29" s="57" t="s">
        <v>633</v>
      </c>
      <c r="E29" s="68">
        <v>210.0</v>
      </c>
      <c r="F29" s="59" t="s">
        <v>687</v>
      </c>
      <c r="G29" s="56">
        <v>47.0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56" t="str">
        <f t="shared" si="1"/>
        <v>/410/211</v>
      </c>
      <c r="B30" s="57" t="s">
        <v>688</v>
      </c>
      <c r="C30" s="57" t="s">
        <v>663</v>
      </c>
      <c r="D30" s="57" t="s">
        <v>633</v>
      </c>
      <c r="E30" s="69">
        <v>211.0</v>
      </c>
      <c r="F30" s="59" t="s">
        <v>687</v>
      </c>
      <c r="G30" s="56">
        <v>60.0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56" t="str">
        <f t="shared" si="1"/>
        <v>/410/301</v>
      </c>
      <c r="B31" s="57" t="s">
        <v>689</v>
      </c>
      <c r="C31" s="57" t="s">
        <v>632</v>
      </c>
      <c r="D31" s="57" t="s">
        <v>633</v>
      </c>
      <c r="E31" s="58">
        <v>301.0</v>
      </c>
      <c r="F31" s="59" t="s">
        <v>690</v>
      </c>
      <c r="G31" s="56">
        <v>2.0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56" t="str">
        <f t="shared" si="1"/>
        <v>/410/302</v>
      </c>
      <c r="B32" s="57" t="s">
        <v>691</v>
      </c>
      <c r="C32" s="57" t="s">
        <v>655</v>
      </c>
      <c r="D32" s="57" t="s">
        <v>633</v>
      </c>
      <c r="E32" s="60">
        <v>302.0</v>
      </c>
      <c r="F32" s="59" t="s">
        <v>692</v>
      </c>
      <c r="G32" s="56">
        <v>8.0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56" t="str">
        <f t="shared" si="1"/>
        <v>/410/303</v>
      </c>
      <c r="B33" s="57" t="s">
        <v>693</v>
      </c>
      <c r="C33" s="57" t="s">
        <v>658</v>
      </c>
      <c r="D33" s="57" t="s">
        <v>633</v>
      </c>
      <c r="E33" s="61">
        <v>303.0</v>
      </c>
      <c r="F33" s="59" t="s">
        <v>694</v>
      </c>
      <c r="G33" s="56">
        <v>2.0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56" t="str">
        <f t="shared" si="1"/>
        <v>/410/304</v>
      </c>
      <c r="B34" s="57" t="s">
        <v>695</v>
      </c>
      <c r="C34" s="57" t="s">
        <v>696</v>
      </c>
      <c r="D34" s="57" t="s">
        <v>633</v>
      </c>
      <c r="E34" s="62">
        <v>304.0</v>
      </c>
      <c r="F34" s="59" t="s">
        <v>697</v>
      </c>
      <c r="G34" s="56">
        <v>4.0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56" t="str">
        <f t="shared" si="1"/>
        <v>/410/401</v>
      </c>
      <c r="B35" s="57" t="s">
        <v>698</v>
      </c>
      <c r="C35" s="57" t="s">
        <v>658</v>
      </c>
      <c r="D35" s="57" t="s">
        <v>633</v>
      </c>
      <c r="E35" s="58">
        <v>401.0</v>
      </c>
      <c r="F35" s="59" t="s">
        <v>699</v>
      </c>
      <c r="G35" s="56">
        <v>2.0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56" t="str">
        <f t="shared" si="1"/>
        <v>/410/402</v>
      </c>
      <c r="B36" s="57" t="s">
        <v>700</v>
      </c>
      <c r="C36" s="57" t="s">
        <v>658</v>
      </c>
      <c r="D36" s="57" t="s">
        <v>633</v>
      </c>
      <c r="E36" s="60">
        <v>402.0</v>
      </c>
      <c r="F36" s="59" t="s">
        <v>701</v>
      </c>
      <c r="G36" s="56">
        <v>3.0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56" t="str">
        <f t="shared" si="1"/>
        <v>/410/403</v>
      </c>
      <c r="B37" s="57" t="s">
        <v>702</v>
      </c>
      <c r="C37" s="57" t="s">
        <v>672</v>
      </c>
      <c r="D37" s="57" t="s">
        <v>633</v>
      </c>
      <c r="E37" s="61">
        <v>403.0</v>
      </c>
      <c r="F37" s="59" t="s">
        <v>703</v>
      </c>
      <c r="G37" s="56">
        <v>1.0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56" t="str">
        <f t="shared" si="1"/>
        <v>/410/404</v>
      </c>
      <c r="B38" s="57" t="s">
        <v>704</v>
      </c>
      <c r="C38" s="57" t="s">
        <v>672</v>
      </c>
      <c r="D38" s="57" t="s">
        <v>633</v>
      </c>
      <c r="E38" s="62">
        <v>404.0</v>
      </c>
      <c r="F38" s="59" t="s">
        <v>705</v>
      </c>
      <c r="G38" s="56">
        <v>1.0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56" t="str">
        <f t="shared" si="1"/>
        <v>/410/405</v>
      </c>
      <c r="B39" s="57" t="s">
        <v>706</v>
      </c>
      <c r="C39" s="57" t="s">
        <v>658</v>
      </c>
      <c r="D39" s="57" t="s">
        <v>633</v>
      </c>
      <c r="E39" s="63">
        <v>405.0</v>
      </c>
      <c r="F39" s="59" t="s">
        <v>707</v>
      </c>
      <c r="G39" s="56">
        <v>3.0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56" t="str">
        <f t="shared" si="1"/>
        <v>/410/406</v>
      </c>
      <c r="B40" s="57" t="s">
        <v>708</v>
      </c>
      <c r="C40" s="57" t="s">
        <v>672</v>
      </c>
      <c r="D40" s="57" t="s">
        <v>633</v>
      </c>
      <c r="E40" s="64">
        <v>406.0</v>
      </c>
      <c r="F40" s="59" t="s">
        <v>709</v>
      </c>
      <c r="G40" s="56">
        <v>4.0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56" t="str">
        <f t="shared" si="1"/>
        <v>/410/407</v>
      </c>
      <c r="B41" s="57" t="s">
        <v>710</v>
      </c>
      <c r="C41" s="57" t="s">
        <v>663</v>
      </c>
      <c r="D41" s="57" t="s">
        <v>633</v>
      </c>
      <c r="E41" s="65">
        <v>407.0</v>
      </c>
      <c r="F41" s="59" t="s">
        <v>711</v>
      </c>
      <c r="G41" s="56">
        <v>4.0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56" t="str">
        <f t="shared" si="1"/>
        <v>/410/408</v>
      </c>
      <c r="B42" s="57" t="s">
        <v>712</v>
      </c>
      <c r="C42" s="57" t="s">
        <v>696</v>
      </c>
      <c r="D42" s="57" t="s">
        <v>633</v>
      </c>
      <c r="E42" s="66">
        <v>408.0</v>
      </c>
      <c r="F42" s="59" t="s">
        <v>713</v>
      </c>
      <c r="G42" s="56">
        <v>25.0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56" t="str">
        <f t="shared" si="1"/>
        <v>/412/001</v>
      </c>
      <c r="B43" s="57" t="s">
        <v>714</v>
      </c>
      <c r="C43" s="57" t="s">
        <v>696</v>
      </c>
      <c r="D43" s="57" t="s">
        <v>715</v>
      </c>
      <c r="E43" s="58">
        <v>1.0</v>
      </c>
      <c r="F43" s="59" t="s">
        <v>716</v>
      </c>
      <c r="G43" s="56">
        <v>7.0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56" t="str">
        <f t="shared" si="1"/>
        <v>/412/002</v>
      </c>
      <c r="B44" s="57" t="s">
        <v>717</v>
      </c>
      <c r="C44" s="57" t="s">
        <v>696</v>
      </c>
      <c r="D44" s="57" t="s">
        <v>715</v>
      </c>
      <c r="E44" s="60">
        <v>2.0</v>
      </c>
      <c r="F44" s="59" t="s">
        <v>718</v>
      </c>
      <c r="G44" s="56">
        <v>6.0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56" t="str">
        <f t="shared" si="1"/>
        <v>/412/003</v>
      </c>
      <c r="B45" s="57" t="s">
        <v>719</v>
      </c>
      <c r="C45" s="57" t="s">
        <v>696</v>
      </c>
      <c r="D45" s="57" t="s">
        <v>715</v>
      </c>
      <c r="E45" s="61">
        <v>3.0</v>
      </c>
      <c r="F45" s="59" t="s">
        <v>720</v>
      </c>
      <c r="G45" s="56">
        <v>7.0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56" t="str">
        <f t="shared" si="1"/>
        <v>/412/004</v>
      </c>
      <c r="B46" s="57" t="s">
        <v>721</v>
      </c>
      <c r="C46" s="57" t="s">
        <v>696</v>
      </c>
      <c r="D46" s="57" t="s">
        <v>715</v>
      </c>
      <c r="E46" s="62">
        <v>4.0</v>
      </c>
      <c r="F46" s="59" t="s">
        <v>722</v>
      </c>
      <c r="G46" s="56">
        <v>6.0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56" t="str">
        <f t="shared" si="1"/>
        <v>/412/005</v>
      </c>
      <c r="B47" s="57" t="s">
        <v>723</v>
      </c>
      <c r="C47" s="57" t="s">
        <v>696</v>
      </c>
      <c r="D47" s="57" t="s">
        <v>715</v>
      </c>
      <c r="E47" s="63">
        <v>5.0</v>
      </c>
      <c r="F47" s="59" t="s">
        <v>724</v>
      </c>
      <c r="G47" s="56">
        <v>6.0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56" t="str">
        <f t="shared" si="1"/>
        <v>/412/006</v>
      </c>
      <c r="B48" s="57" t="s">
        <v>725</v>
      </c>
      <c r="C48" s="57" t="s">
        <v>696</v>
      </c>
      <c r="D48" s="57" t="s">
        <v>715</v>
      </c>
      <c r="E48" s="64">
        <v>6.0</v>
      </c>
      <c r="F48" s="59" t="s">
        <v>726</v>
      </c>
      <c r="G48" s="56">
        <v>7.0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56" t="str">
        <f t="shared" si="1"/>
        <v>/412/007</v>
      </c>
      <c r="B49" s="57" t="s">
        <v>727</v>
      </c>
      <c r="C49" s="57" t="s">
        <v>696</v>
      </c>
      <c r="D49" s="57" t="s">
        <v>715</v>
      </c>
      <c r="E49" s="65">
        <v>7.0</v>
      </c>
      <c r="F49" s="59" t="s">
        <v>728</v>
      </c>
      <c r="G49" s="56">
        <v>6.0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56" t="str">
        <f t="shared" si="1"/>
        <v>/412/008</v>
      </c>
      <c r="B50" s="57" t="s">
        <v>729</v>
      </c>
      <c r="C50" s="57" t="s">
        <v>696</v>
      </c>
      <c r="D50" s="57" t="s">
        <v>715</v>
      </c>
      <c r="E50" s="66">
        <v>8.0</v>
      </c>
      <c r="F50" s="59" t="s">
        <v>730</v>
      </c>
      <c r="G50" s="56">
        <v>7.0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56" t="str">
        <f t="shared" si="1"/>
        <v>/412/009</v>
      </c>
      <c r="B51" s="57" t="s">
        <v>731</v>
      </c>
      <c r="C51" s="57" t="s">
        <v>696</v>
      </c>
      <c r="D51" s="57" t="s">
        <v>715</v>
      </c>
      <c r="E51" s="67">
        <v>9.0</v>
      </c>
      <c r="F51" s="59" t="s">
        <v>732</v>
      </c>
      <c r="G51" s="56">
        <v>7.0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56" t="str">
        <f t="shared" si="1"/>
        <v>/412/010</v>
      </c>
      <c r="B52" s="57" t="s">
        <v>733</v>
      </c>
      <c r="C52" s="57" t="s">
        <v>696</v>
      </c>
      <c r="D52" s="57" t="s">
        <v>715</v>
      </c>
      <c r="E52" s="68">
        <v>10.0</v>
      </c>
      <c r="F52" s="59" t="s">
        <v>734</v>
      </c>
      <c r="G52" s="56">
        <v>7.0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56" t="str">
        <f t="shared" si="1"/>
        <v>/412/011</v>
      </c>
      <c r="B53" s="57" t="s">
        <v>735</v>
      </c>
      <c r="C53" s="57" t="s">
        <v>696</v>
      </c>
      <c r="D53" s="57" t="s">
        <v>715</v>
      </c>
      <c r="E53" s="69">
        <v>11.0</v>
      </c>
      <c r="F53" s="59" t="s">
        <v>736</v>
      </c>
      <c r="G53" s="56">
        <v>7.0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56" t="str">
        <f t="shared" si="1"/>
        <v>/412/012</v>
      </c>
      <c r="B54" s="57" t="s">
        <v>737</v>
      </c>
      <c r="C54" s="57" t="s">
        <v>646</v>
      </c>
      <c r="D54" s="57" t="s">
        <v>715</v>
      </c>
      <c r="E54" s="70">
        <v>12.0</v>
      </c>
      <c r="F54" s="59" t="s">
        <v>738</v>
      </c>
      <c r="G54" s="56">
        <v>8.0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56" t="str">
        <f t="shared" si="1"/>
        <v>/412/013</v>
      </c>
      <c r="B55" s="57" t="s">
        <v>739</v>
      </c>
      <c r="C55" s="57" t="s">
        <v>643</v>
      </c>
      <c r="D55" s="57" t="s">
        <v>715</v>
      </c>
      <c r="E55" s="71">
        <v>13.0</v>
      </c>
      <c r="F55" s="59" t="s">
        <v>740</v>
      </c>
      <c r="G55" s="56">
        <v>9.0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56" t="str">
        <f t="shared" si="1"/>
        <v>/412/014</v>
      </c>
      <c r="B56" s="57" t="s">
        <v>741</v>
      </c>
      <c r="C56" s="57" t="s">
        <v>696</v>
      </c>
      <c r="D56" s="57" t="s">
        <v>715</v>
      </c>
      <c r="E56" s="58">
        <v>14.0</v>
      </c>
      <c r="F56" s="59" t="s">
        <v>742</v>
      </c>
      <c r="G56" s="56">
        <v>6.0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56" t="str">
        <f t="shared" si="1"/>
        <v>/412/101</v>
      </c>
      <c r="B57" s="57" t="s">
        <v>743</v>
      </c>
      <c r="C57" s="57" t="s">
        <v>658</v>
      </c>
      <c r="D57" s="57" t="s">
        <v>715</v>
      </c>
      <c r="E57" s="58">
        <v>101.0</v>
      </c>
      <c r="F57" s="59" t="s">
        <v>744</v>
      </c>
      <c r="G57" s="56">
        <v>2.0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56" t="str">
        <f t="shared" si="1"/>
        <v>/412/102</v>
      </c>
      <c r="B58" s="57" t="s">
        <v>745</v>
      </c>
      <c r="C58" s="57" t="s">
        <v>658</v>
      </c>
      <c r="D58" s="57" t="s">
        <v>715</v>
      </c>
      <c r="E58" s="60">
        <v>102.0</v>
      </c>
      <c r="F58" s="59" t="s">
        <v>746</v>
      </c>
      <c r="G58" s="56">
        <v>2.0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56" t="str">
        <f t="shared" si="1"/>
        <v>/412/103</v>
      </c>
      <c r="B59" s="57" t="s">
        <v>747</v>
      </c>
      <c r="C59" s="57" t="s">
        <v>658</v>
      </c>
      <c r="D59" s="57" t="s">
        <v>715</v>
      </c>
      <c r="E59" s="61">
        <v>103.0</v>
      </c>
      <c r="F59" s="59" t="s">
        <v>748</v>
      </c>
      <c r="G59" s="56">
        <v>2.0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56" t="str">
        <f t="shared" si="1"/>
        <v>/412/104</v>
      </c>
      <c r="B60" s="57" t="s">
        <v>749</v>
      </c>
      <c r="C60" s="57" t="s">
        <v>658</v>
      </c>
      <c r="D60" s="57" t="s">
        <v>715</v>
      </c>
      <c r="E60" s="62">
        <v>104.0</v>
      </c>
      <c r="F60" s="59" t="s">
        <v>750</v>
      </c>
      <c r="G60" s="56">
        <v>2.0</v>
      </c>
      <c r="H60" s="12"/>
      <c r="I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56" t="str">
        <f t="shared" si="1"/>
        <v>/412/105</v>
      </c>
      <c r="B61" s="57" t="s">
        <v>751</v>
      </c>
      <c r="C61" s="57" t="s">
        <v>658</v>
      </c>
      <c r="D61" s="57" t="s">
        <v>715</v>
      </c>
      <c r="E61" s="63">
        <v>105.0</v>
      </c>
      <c r="F61" s="59" t="s">
        <v>752</v>
      </c>
      <c r="G61" s="56">
        <v>2.0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56" t="str">
        <f t="shared" si="1"/>
        <v>/412/106</v>
      </c>
      <c r="B62" s="57" t="s">
        <v>753</v>
      </c>
      <c r="C62" s="57" t="s">
        <v>658</v>
      </c>
      <c r="D62" s="57" t="s">
        <v>715</v>
      </c>
      <c r="E62" s="64">
        <v>106.0</v>
      </c>
      <c r="F62" s="59" t="s">
        <v>754</v>
      </c>
      <c r="G62" s="56">
        <v>5.0</v>
      </c>
      <c r="H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56" t="str">
        <f t="shared" si="1"/>
        <v>/412/107</v>
      </c>
      <c r="B63" s="57" t="s">
        <v>755</v>
      </c>
      <c r="C63" s="57" t="s">
        <v>658</v>
      </c>
      <c r="D63" s="57" t="s">
        <v>715</v>
      </c>
      <c r="E63" s="65">
        <v>107.0</v>
      </c>
      <c r="F63" s="59" t="s">
        <v>756</v>
      </c>
      <c r="G63" s="56">
        <v>2.0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56" t="str">
        <f t="shared" si="1"/>
        <v>/412/108</v>
      </c>
      <c r="B64" s="57" t="s">
        <v>757</v>
      </c>
      <c r="C64" s="57" t="s">
        <v>672</v>
      </c>
      <c r="D64" s="57" t="s">
        <v>715</v>
      </c>
      <c r="E64" s="66">
        <v>108.0</v>
      </c>
      <c r="F64" s="59" t="s">
        <v>758</v>
      </c>
      <c r="G64" s="56">
        <v>5.0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56" t="str">
        <f t="shared" si="1"/>
        <v>/412/109</v>
      </c>
      <c r="B65" s="57" t="s">
        <v>759</v>
      </c>
      <c r="C65" s="57" t="s">
        <v>672</v>
      </c>
      <c r="D65" s="57" t="s">
        <v>715</v>
      </c>
      <c r="E65" s="67">
        <v>109.0</v>
      </c>
      <c r="F65" s="59" t="s">
        <v>760</v>
      </c>
      <c r="G65" s="56">
        <v>2.0</v>
      </c>
      <c r="H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56" t="str">
        <f t="shared" si="1"/>
        <v>/412/201</v>
      </c>
      <c r="B66" s="57" t="s">
        <v>761</v>
      </c>
      <c r="C66" s="57" t="s">
        <v>658</v>
      </c>
      <c r="D66" s="57" t="s">
        <v>715</v>
      </c>
      <c r="E66" s="58">
        <v>201.0</v>
      </c>
      <c r="F66" s="59" t="s">
        <v>762</v>
      </c>
      <c r="G66" s="56">
        <v>2.0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56" t="str">
        <f t="shared" si="1"/>
        <v>/412/202</v>
      </c>
      <c r="B67" s="57" t="s">
        <v>763</v>
      </c>
      <c r="C67" s="57" t="s">
        <v>672</v>
      </c>
      <c r="D67" s="57" t="s">
        <v>715</v>
      </c>
      <c r="E67" s="60">
        <v>202.0</v>
      </c>
      <c r="F67" s="59" t="s">
        <v>764</v>
      </c>
      <c r="G67" s="56">
        <v>4.0</v>
      </c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56" t="str">
        <f t="shared" si="1"/>
        <v>/412/203</v>
      </c>
      <c r="B68" s="57" t="s">
        <v>765</v>
      </c>
      <c r="C68" s="57" t="s">
        <v>672</v>
      </c>
      <c r="D68" s="57" t="s">
        <v>715</v>
      </c>
      <c r="E68" s="61">
        <v>203.0</v>
      </c>
      <c r="F68" s="59" t="s">
        <v>766</v>
      </c>
      <c r="G68" s="56">
        <v>4.0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56" t="str">
        <f t="shared" si="1"/>
        <v>/412/204</v>
      </c>
      <c r="B69" s="57" t="s">
        <v>767</v>
      </c>
      <c r="C69" s="57" t="s">
        <v>658</v>
      </c>
      <c r="D69" s="57" t="s">
        <v>715</v>
      </c>
      <c r="E69" s="62">
        <v>204.0</v>
      </c>
      <c r="F69" s="59" t="s">
        <v>768</v>
      </c>
      <c r="G69" s="56">
        <v>2.0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56" t="str">
        <f t="shared" si="1"/>
        <v>/412/205</v>
      </c>
      <c r="B70" s="57" t="s">
        <v>769</v>
      </c>
      <c r="C70" s="57" t="s">
        <v>672</v>
      </c>
      <c r="D70" s="57" t="s">
        <v>715</v>
      </c>
      <c r="E70" s="63">
        <v>205.0</v>
      </c>
      <c r="F70" s="59" t="s">
        <v>770</v>
      </c>
      <c r="G70" s="56">
        <v>4.0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56" t="str">
        <f t="shared" si="1"/>
        <v>/412/206</v>
      </c>
      <c r="B71" s="57" t="s">
        <v>771</v>
      </c>
      <c r="C71" s="57" t="s">
        <v>658</v>
      </c>
      <c r="D71" s="57" t="s">
        <v>715</v>
      </c>
      <c r="E71" s="64">
        <v>206.0</v>
      </c>
      <c r="F71" s="59" t="s">
        <v>772</v>
      </c>
      <c r="G71" s="56">
        <v>2.0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56" t="str">
        <f t="shared" si="1"/>
        <v>/412/207</v>
      </c>
      <c r="B72" s="57" t="s">
        <v>773</v>
      </c>
      <c r="C72" s="57" t="s">
        <v>672</v>
      </c>
      <c r="D72" s="57" t="s">
        <v>715</v>
      </c>
      <c r="E72" s="65">
        <v>207.0</v>
      </c>
      <c r="F72" s="59" t="s">
        <v>774</v>
      </c>
      <c r="G72" s="56">
        <v>4.0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56"/>
      <c r="B73" s="12"/>
      <c r="C73" s="12"/>
      <c r="D73" s="12"/>
      <c r="E73" s="56"/>
      <c r="F73" s="72"/>
      <c r="G73" s="7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56"/>
      <c r="B74" s="12"/>
      <c r="C74" s="12"/>
      <c r="D74" s="12"/>
      <c r="E74" s="56"/>
      <c r="F74" s="72"/>
      <c r="G74" s="73"/>
      <c r="H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56"/>
      <c r="B75" s="12"/>
      <c r="C75" s="12"/>
      <c r="D75" s="12"/>
      <c r="E75" s="56"/>
      <c r="F75" s="72"/>
      <c r="G75" s="7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56"/>
      <c r="B76" s="12"/>
      <c r="C76" s="12"/>
      <c r="D76" s="12"/>
      <c r="E76" s="56"/>
      <c r="F76" s="72"/>
      <c r="G76" s="7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56"/>
      <c r="B77" s="12"/>
      <c r="C77" s="12"/>
      <c r="D77" s="12"/>
      <c r="E77" s="56"/>
      <c r="G77" s="7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56"/>
      <c r="B78" s="12"/>
      <c r="C78" s="12"/>
      <c r="D78" s="12"/>
      <c r="E78" s="56"/>
      <c r="G78" s="7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56"/>
      <c r="B79" s="12"/>
      <c r="C79" s="12"/>
      <c r="D79" s="12"/>
      <c r="E79" s="56"/>
      <c r="G79" s="7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56"/>
      <c r="B80" s="12"/>
      <c r="C80" s="12"/>
      <c r="D80" s="12"/>
      <c r="E80" s="56"/>
      <c r="G80" s="7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56"/>
      <c r="B81" s="12"/>
      <c r="C81" s="12"/>
      <c r="D81" s="12"/>
      <c r="E81" s="56"/>
      <c r="G81" s="7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56"/>
      <c r="B82" s="12"/>
      <c r="C82" s="12"/>
      <c r="D82" s="12"/>
      <c r="E82" s="56"/>
      <c r="G82" s="7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56"/>
      <c r="B83" s="12"/>
      <c r="C83" s="12"/>
      <c r="D83" s="12"/>
      <c r="E83" s="56"/>
      <c r="F83" s="72"/>
      <c r="G83" s="7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56"/>
      <c r="B84" s="12"/>
      <c r="C84" s="12"/>
      <c r="D84" s="12"/>
      <c r="E84" s="56"/>
      <c r="F84" s="72"/>
      <c r="G84" s="7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56"/>
      <c r="B85" s="12"/>
      <c r="C85" s="12"/>
      <c r="D85" s="12"/>
      <c r="E85" s="56"/>
      <c r="F85" s="72"/>
      <c r="G85" s="7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56"/>
      <c r="B86" s="12"/>
      <c r="C86" s="12"/>
      <c r="D86" s="12"/>
      <c r="E86" s="56"/>
      <c r="F86" s="72"/>
      <c r="G86" s="7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56"/>
      <c r="B87" s="12"/>
      <c r="C87" s="12"/>
      <c r="D87" s="12"/>
      <c r="E87" s="56"/>
      <c r="F87" s="72"/>
      <c r="G87" s="7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56"/>
      <c r="B88" s="12"/>
      <c r="C88" s="12"/>
      <c r="D88" s="12"/>
      <c r="E88" s="56"/>
      <c r="F88" s="72"/>
      <c r="G88" s="7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56"/>
      <c r="B89" s="12"/>
      <c r="C89" s="12"/>
      <c r="D89" s="12"/>
      <c r="E89" s="56"/>
      <c r="F89" s="72"/>
      <c r="G89" s="7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56"/>
      <c r="B90" s="12"/>
      <c r="C90" s="12"/>
      <c r="D90" s="12"/>
      <c r="E90" s="56"/>
      <c r="F90" s="72"/>
      <c r="G90" s="7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56"/>
      <c r="B91" s="12"/>
      <c r="C91" s="12"/>
      <c r="D91" s="12"/>
      <c r="E91" s="56"/>
      <c r="F91" s="72"/>
      <c r="G91" s="7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56"/>
      <c r="B92" s="12"/>
      <c r="C92" s="12"/>
      <c r="D92" s="12"/>
      <c r="E92" s="56"/>
      <c r="F92" s="72"/>
      <c r="G92" s="7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56"/>
      <c r="B93" s="12"/>
      <c r="C93" s="12"/>
      <c r="D93" s="12"/>
      <c r="E93" s="56"/>
      <c r="F93" s="72"/>
      <c r="G93" s="7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56"/>
      <c r="B94" s="12"/>
      <c r="C94" s="12"/>
      <c r="D94" s="12"/>
      <c r="E94" s="56"/>
      <c r="F94" s="72"/>
      <c r="G94" s="7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56"/>
      <c r="B95" s="12"/>
      <c r="C95" s="12"/>
      <c r="D95" s="12"/>
      <c r="E95" s="56"/>
      <c r="F95" s="72"/>
      <c r="G95" s="7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56"/>
      <c r="B96" s="12"/>
      <c r="C96" s="12"/>
      <c r="D96" s="12"/>
      <c r="E96" s="56"/>
      <c r="F96" s="72"/>
      <c r="G96" s="7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56"/>
      <c r="B97" s="12"/>
      <c r="C97" s="12"/>
      <c r="D97" s="12"/>
      <c r="E97" s="56"/>
      <c r="F97" s="72"/>
      <c r="G97" s="7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56"/>
      <c r="B98" s="12"/>
      <c r="C98" s="12"/>
      <c r="D98" s="12"/>
      <c r="E98" s="56"/>
      <c r="F98" s="72"/>
      <c r="G98" s="7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56"/>
      <c r="B99" s="12"/>
      <c r="C99" s="12"/>
      <c r="D99" s="12"/>
      <c r="E99" s="56"/>
      <c r="F99" s="72"/>
      <c r="G99" s="7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56"/>
      <c r="B100" s="12"/>
      <c r="C100" s="12"/>
      <c r="D100" s="12"/>
      <c r="E100" s="56"/>
      <c r="F100" s="72"/>
      <c r="G100" s="7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56"/>
      <c r="B101" s="12"/>
      <c r="C101" s="12"/>
      <c r="D101" s="12"/>
      <c r="E101" s="56"/>
      <c r="F101" s="72"/>
      <c r="G101" s="7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56"/>
      <c r="B102" s="12"/>
      <c r="C102" s="12"/>
      <c r="D102" s="12"/>
      <c r="E102" s="56"/>
      <c r="F102" s="72"/>
      <c r="G102" s="7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56"/>
      <c r="B103" s="12"/>
      <c r="C103" s="12"/>
      <c r="D103" s="12"/>
      <c r="E103" s="56"/>
      <c r="F103" s="72"/>
      <c r="G103" s="7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56"/>
      <c r="B104" s="12"/>
      <c r="C104" s="12"/>
      <c r="D104" s="12"/>
      <c r="E104" s="56"/>
      <c r="F104" s="72"/>
      <c r="G104" s="7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56"/>
      <c r="B105" s="12"/>
      <c r="C105" s="12"/>
      <c r="D105" s="12"/>
      <c r="E105" s="56"/>
      <c r="F105" s="72"/>
      <c r="G105" s="7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56"/>
      <c r="B106" s="12"/>
      <c r="C106" s="12"/>
      <c r="D106" s="12"/>
      <c r="E106" s="56"/>
      <c r="F106" s="72"/>
      <c r="G106" s="7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56"/>
      <c r="B107" s="12"/>
      <c r="C107" s="12"/>
      <c r="D107" s="12"/>
      <c r="E107" s="56"/>
      <c r="F107" s="72"/>
      <c r="G107" s="7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56"/>
      <c r="B108" s="12"/>
      <c r="C108" s="12"/>
      <c r="D108" s="12"/>
      <c r="E108" s="56"/>
      <c r="F108" s="72"/>
      <c r="G108" s="7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56"/>
      <c r="B109" s="12"/>
      <c r="C109" s="12"/>
      <c r="D109" s="12"/>
      <c r="E109" s="56"/>
      <c r="F109" s="72"/>
      <c r="G109" s="7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56"/>
      <c r="B110" s="12"/>
      <c r="C110" s="12"/>
      <c r="D110" s="12"/>
      <c r="E110" s="56"/>
      <c r="F110" s="72"/>
      <c r="G110" s="7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56"/>
      <c r="B111" s="12"/>
      <c r="C111" s="12"/>
      <c r="D111" s="12"/>
      <c r="E111" s="56"/>
      <c r="F111" s="72"/>
      <c r="G111" s="7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56"/>
      <c r="B112" s="12"/>
      <c r="C112" s="12"/>
      <c r="D112" s="12"/>
      <c r="E112" s="56"/>
      <c r="F112" s="72"/>
      <c r="G112" s="7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56"/>
      <c r="B113" s="12"/>
      <c r="C113" s="12"/>
      <c r="D113" s="12"/>
      <c r="E113" s="56"/>
      <c r="F113" s="72"/>
      <c r="G113" s="73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56"/>
      <c r="B114" s="12"/>
      <c r="C114" s="12"/>
      <c r="D114" s="12"/>
      <c r="E114" s="56"/>
      <c r="F114" s="72"/>
      <c r="G114" s="73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56"/>
      <c r="B115" s="12"/>
      <c r="C115" s="12"/>
      <c r="D115" s="12"/>
      <c r="E115" s="56"/>
      <c r="F115" s="72"/>
      <c r="G115" s="73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56"/>
      <c r="B116" s="12"/>
      <c r="C116" s="12"/>
      <c r="D116" s="12"/>
      <c r="E116" s="56"/>
      <c r="F116" s="72"/>
      <c r="G116" s="73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56"/>
      <c r="B117" s="12"/>
      <c r="C117" s="12"/>
      <c r="D117" s="12"/>
      <c r="E117" s="56"/>
      <c r="F117" s="72"/>
      <c r="G117" s="7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56"/>
      <c r="B118" s="12"/>
      <c r="C118" s="12"/>
      <c r="D118" s="12"/>
      <c r="E118" s="56"/>
      <c r="F118" s="72"/>
      <c r="G118" s="73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56"/>
      <c r="B119" s="12"/>
      <c r="C119" s="12"/>
      <c r="D119" s="12"/>
      <c r="E119" s="56"/>
      <c r="F119" s="72"/>
      <c r="G119" s="7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56"/>
      <c r="B120" s="12"/>
      <c r="C120" s="12"/>
      <c r="D120" s="12"/>
      <c r="E120" s="56"/>
      <c r="F120" s="72"/>
      <c r="G120" s="7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56"/>
      <c r="B121" s="12"/>
      <c r="C121" s="12"/>
      <c r="D121" s="12"/>
      <c r="E121" s="56"/>
      <c r="F121" s="72"/>
      <c r="G121" s="7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56"/>
      <c r="B122" s="12"/>
      <c r="C122" s="12"/>
      <c r="D122" s="12"/>
      <c r="E122" s="56"/>
      <c r="F122" s="72"/>
      <c r="G122" s="7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56"/>
      <c r="B123" s="12"/>
      <c r="C123" s="12"/>
      <c r="D123" s="12"/>
      <c r="E123" s="56"/>
      <c r="F123" s="72"/>
      <c r="G123" s="7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56"/>
      <c r="B124" s="12"/>
      <c r="C124" s="12"/>
      <c r="D124" s="12"/>
      <c r="E124" s="56"/>
      <c r="F124" s="72"/>
      <c r="G124" s="73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56"/>
      <c r="B125" s="12"/>
      <c r="C125" s="12"/>
      <c r="D125" s="12"/>
      <c r="E125" s="56"/>
      <c r="F125" s="72"/>
      <c r="G125" s="73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56"/>
      <c r="B126" s="12"/>
      <c r="C126" s="12"/>
      <c r="D126" s="12"/>
      <c r="E126" s="56"/>
      <c r="F126" s="72"/>
      <c r="G126" s="73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56"/>
      <c r="B127" s="12"/>
      <c r="C127" s="12"/>
      <c r="D127" s="12"/>
      <c r="E127" s="56"/>
      <c r="F127" s="72"/>
      <c r="G127" s="73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56"/>
      <c r="B128" s="12"/>
      <c r="C128" s="12"/>
      <c r="D128" s="12"/>
      <c r="E128" s="56"/>
      <c r="F128" s="72"/>
      <c r="G128" s="73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56"/>
      <c r="B129" s="12"/>
      <c r="C129" s="12"/>
      <c r="D129" s="12"/>
      <c r="E129" s="56"/>
      <c r="F129" s="72"/>
      <c r="G129" s="73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56"/>
      <c r="B130" s="12"/>
      <c r="C130" s="12"/>
      <c r="D130" s="12"/>
      <c r="E130" s="56"/>
      <c r="F130" s="72"/>
      <c r="G130" s="73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56"/>
      <c r="B131" s="12"/>
      <c r="C131" s="12"/>
      <c r="D131" s="12"/>
      <c r="E131" s="56"/>
      <c r="F131" s="72"/>
      <c r="G131" s="73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56"/>
      <c r="B132" s="12"/>
      <c r="C132" s="12"/>
      <c r="D132" s="12"/>
      <c r="E132" s="56"/>
      <c r="F132" s="72"/>
      <c r="G132" s="73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56"/>
      <c r="B133" s="12"/>
      <c r="C133" s="12"/>
      <c r="D133" s="12"/>
      <c r="E133" s="56"/>
      <c r="F133" s="72"/>
      <c r="G133" s="7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56"/>
      <c r="B134" s="12"/>
      <c r="C134" s="12"/>
      <c r="D134" s="12"/>
      <c r="E134" s="56"/>
      <c r="F134" s="72"/>
      <c r="G134" s="73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56"/>
      <c r="B135" s="12"/>
      <c r="C135" s="12"/>
      <c r="D135" s="12"/>
      <c r="E135" s="56"/>
      <c r="F135" s="72"/>
      <c r="G135" s="73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56"/>
      <c r="B136" s="12"/>
      <c r="C136" s="12"/>
      <c r="D136" s="12"/>
      <c r="E136" s="56"/>
      <c r="F136" s="72"/>
      <c r="G136" s="73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56"/>
      <c r="B137" s="12"/>
      <c r="C137" s="12"/>
      <c r="D137" s="12"/>
      <c r="E137" s="56"/>
      <c r="F137" s="72"/>
      <c r="G137" s="7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56"/>
      <c r="B138" s="12"/>
      <c r="C138" s="12"/>
      <c r="D138" s="12"/>
      <c r="E138" s="56"/>
      <c r="F138" s="72"/>
      <c r="G138" s="73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56"/>
      <c r="B139" s="12"/>
      <c r="C139" s="12"/>
      <c r="D139" s="12"/>
      <c r="E139" s="56"/>
      <c r="F139" s="72"/>
      <c r="G139" s="73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56"/>
      <c r="B140" s="12"/>
      <c r="C140" s="12"/>
      <c r="D140" s="12"/>
      <c r="E140" s="56"/>
      <c r="F140" s="72"/>
      <c r="G140" s="7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56"/>
      <c r="B141" s="12"/>
      <c r="C141" s="12"/>
      <c r="D141" s="12"/>
      <c r="E141" s="56"/>
      <c r="F141" s="72"/>
      <c r="G141" s="73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56"/>
      <c r="B142" s="12"/>
      <c r="C142" s="12"/>
      <c r="D142" s="12"/>
      <c r="E142" s="56"/>
      <c r="F142" s="72"/>
      <c r="G142" s="73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56"/>
      <c r="B143" s="12"/>
      <c r="C143" s="12"/>
      <c r="D143" s="12"/>
      <c r="E143" s="56"/>
      <c r="F143" s="72"/>
      <c r="G143" s="73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56"/>
      <c r="B144" s="12"/>
      <c r="C144" s="12"/>
      <c r="D144" s="12"/>
      <c r="E144" s="56"/>
      <c r="F144" s="72"/>
      <c r="G144" s="73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56"/>
      <c r="B145" s="12"/>
      <c r="C145" s="12"/>
      <c r="D145" s="12"/>
      <c r="E145" s="56"/>
      <c r="F145" s="72"/>
      <c r="G145" s="7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56"/>
      <c r="B146" s="12"/>
      <c r="C146" s="12"/>
      <c r="D146" s="12"/>
      <c r="E146" s="56"/>
      <c r="F146" s="72"/>
      <c r="G146" s="7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56"/>
      <c r="B147" s="12"/>
      <c r="C147" s="12"/>
      <c r="D147" s="12"/>
      <c r="E147" s="56"/>
      <c r="F147" s="72"/>
      <c r="G147" s="7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56"/>
      <c r="B148" s="12"/>
      <c r="C148" s="12"/>
      <c r="D148" s="12"/>
      <c r="E148" s="56"/>
      <c r="F148" s="72"/>
      <c r="G148" s="73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56"/>
      <c r="B149" s="12"/>
      <c r="C149" s="12"/>
      <c r="D149" s="12"/>
      <c r="E149" s="56"/>
      <c r="F149" s="72"/>
      <c r="G149" s="73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56"/>
      <c r="B150" s="12"/>
      <c r="C150" s="12"/>
      <c r="D150" s="12"/>
      <c r="E150" s="56"/>
      <c r="F150" s="72"/>
      <c r="G150" s="73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56"/>
      <c r="B151" s="12"/>
      <c r="C151" s="12"/>
      <c r="D151" s="12"/>
      <c r="E151" s="56"/>
      <c r="F151" s="72"/>
      <c r="G151" s="73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56"/>
      <c r="B152" s="12"/>
      <c r="C152" s="12"/>
      <c r="D152" s="12"/>
      <c r="E152" s="56"/>
      <c r="F152" s="72"/>
      <c r="G152" s="73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56"/>
      <c r="B153" s="12"/>
      <c r="C153" s="12"/>
      <c r="D153" s="12"/>
      <c r="E153" s="56"/>
      <c r="F153" s="72"/>
      <c r="G153" s="73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56"/>
      <c r="B154" s="12"/>
      <c r="C154" s="12"/>
      <c r="D154" s="12"/>
      <c r="E154" s="56"/>
      <c r="F154" s="72"/>
      <c r="G154" s="7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56"/>
      <c r="B155" s="12"/>
      <c r="C155" s="12"/>
      <c r="D155" s="12"/>
      <c r="E155" s="56"/>
      <c r="F155" s="72"/>
      <c r="G155" s="7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56"/>
      <c r="B156" s="12"/>
      <c r="C156" s="12"/>
      <c r="D156" s="12"/>
      <c r="E156" s="56"/>
      <c r="F156" s="72"/>
      <c r="G156" s="7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56"/>
      <c r="B157" s="12"/>
      <c r="C157" s="12"/>
      <c r="D157" s="12"/>
      <c r="E157" s="56"/>
      <c r="F157" s="72"/>
      <c r="G157" s="7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56"/>
      <c r="B158" s="12"/>
      <c r="C158" s="12"/>
      <c r="D158" s="12"/>
      <c r="E158" s="56"/>
      <c r="F158" s="72"/>
      <c r="G158" s="7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56"/>
      <c r="B159" s="12"/>
      <c r="C159" s="12"/>
      <c r="D159" s="12"/>
      <c r="E159" s="56"/>
      <c r="F159" s="72"/>
      <c r="G159" s="7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56"/>
      <c r="B160" s="12"/>
      <c r="C160" s="12"/>
      <c r="D160" s="12"/>
      <c r="E160" s="56"/>
      <c r="F160" s="72"/>
      <c r="G160" s="7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56"/>
      <c r="B161" s="12"/>
      <c r="C161" s="12"/>
      <c r="D161" s="12"/>
      <c r="E161" s="56"/>
      <c r="F161" s="72"/>
      <c r="G161" s="7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56"/>
      <c r="B162" s="12"/>
      <c r="C162" s="12"/>
      <c r="D162" s="12"/>
      <c r="E162" s="56"/>
      <c r="F162" s="72"/>
      <c r="G162" s="7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56"/>
      <c r="B163" s="12"/>
      <c r="C163" s="12"/>
      <c r="D163" s="12"/>
      <c r="E163" s="56"/>
      <c r="F163" s="72"/>
      <c r="G163" s="7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56"/>
      <c r="B164" s="12"/>
      <c r="C164" s="12"/>
      <c r="D164" s="12"/>
      <c r="E164" s="56"/>
      <c r="F164" s="72"/>
      <c r="G164" s="7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56"/>
      <c r="B165" s="12"/>
      <c r="C165" s="12"/>
      <c r="D165" s="12"/>
      <c r="E165" s="56"/>
      <c r="F165" s="72"/>
      <c r="G165" s="7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56"/>
      <c r="B166" s="12"/>
      <c r="C166" s="12"/>
      <c r="D166" s="12"/>
      <c r="E166" s="56"/>
      <c r="F166" s="72"/>
      <c r="G166" s="7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56"/>
      <c r="B167" s="12"/>
      <c r="C167" s="12"/>
      <c r="D167" s="12"/>
      <c r="E167" s="56"/>
      <c r="F167" s="72"/>
      <c r="G167" s="7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56"/>
      <c r="B168" s="12"/>
      <c r="C168" s="12"/>
      <c r="D168" s="12"/>
      <c r="E168" s="56"/>
      <c r="F168" s="72"/>
      <c r="G168" s="7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56"/>
      <c r="B169" s="12"/>
      <c r="C169" s="12"/>
      <c r="D169" s="12"/>
      <c r="E169" s="56"/>
      <c r="F169" s="72"/>
      <c r="G169" s="7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56"/>
      <c r="B170" s="12"/>
      <c r="C170" s="12"/>
      <c r="D170" s="12"/>
      <c r="E170" s="56"/>
      <c r="F170" s="72"/>
      <c r="G170" s="7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56"/>
      <c r="B171" s="12"/>
      <c r="C171" s="12"/>
      <c r="D171" s="12"/>
      <c r="E171" s="56"/>
      <c r="F171" s="72"/>
      <c r="G171" s="7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56"/>
      <c r="B172" s="12"/>
      <c r="C172" s="12"/>
      <c r="D172" s="12"/>
      <c r="E172" s="56"/>
      <c r="F172" s="72"/>
      <c r="G172" s="7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56"/>
      <c r="B173" s="12"/>
      <c r="C173" s="12"/>
      <c r="D173" s="12"/>
      <c r="E173" s="56"/>
      <c r="F173" s="72"/>
      <c r="G173" s="7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56"/>
      <c r="B174" s="12"/>
      <c r="C174" s="12"/>
      <c r="D174" s="12"/>
      <c r="E174" s="56"/>
      <c r="F174" s="72"/>
      <c r="G174" s="7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56"/>
      <c r="B175" s="12"/>
      <c r="C175" s="12"/>
      <c r="D175" s="12"/>
      <c r="E175" s="56"/>
      <c r="F175" s="72"/>
      <c r="G175" s="7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56"/>
      <c r="B176" s="12"/>
      <c r="C176" s="12"/>
      <c r="D176" s="12"/>
      <c r="E176" s="56"/>
      <c r="F176" s="72"/>
      <c r="G176" s="7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56"/>
      <c r="B177" s="12"/>
      <c r="C177" s="12"/>
      <c r="D177" s="12"/>
      <c r="E177" s="56"/>
      <c r="F177" s="72"/>
      <c r="G177" s="7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56"/>
      <c r="B178" s="12"/>
      <c r="C178" s="12"/>
      <c r="D178" s="12"/>
      <c r="E178" s="56"/>
      <c r="F178" s="72"/>
      <c r="G178" s="7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56"/>
      <c r="B179" s="12"/>
      <c r="C179" s="12"/>
      <c r="D179" s="12"/>
      <c r="E179" s="56"/>
      <c r="F179" s="72"/>
      <c r="G179" s="7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56"/>
      <c r="B180" s="12"/>
      <c r="C180" s="12"/>
      <c r="D180" s="12"/>
      <c r="E180" s="56"/>
      <c r="F180" s="72"/>
      <c r="G180" s="7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56"/>
      <c r="B181" s="12"/>
      <c r="C181" s="12"/>
      <c r="D181" s="12"/>
      <c r="E181" s="56"/>
      <c r="F181" s="72"/>
      <c r="G181" s="7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56"/>
      <c r="B182" s="12"/>
      <c r="C182" s="12"/>
      <c r="D182" s="12"/>
      <c r="E182" s="56"/>
      <c r="F182" s="72"/>
      <c r="G182" s="7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56"/>
      <c r="B183" s="12"/>
      <c r="C183" s="12"/>
      <c r="D183" s="12"/>
      <c r="E183" s="56"/>
      <c r="F183" s="72"/>
      <c r="G183" s="7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56"/>
      <c r="B184" s="12"/>
      <c r="C184" s="12"/>
      <c r="D184" s="12"/>
      <c r="E184" s="56"/>
      <c r="F184" s="72"/>
      <c r="G184" s="7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56"/>
      <c r="B185" s="12"/>
      <c r="C185" s="12"/>
      <c r="D185" s="12"/>
      <c r="E185" s="56"/>
      <c r="F185" s="72"/>
      <c r="G185" s="7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56"/>
      <c r="B186" s="12"/>
      <c r="C186" s="12"/>
      <c r="D186" s="12"/>
      <c r="E186" s="56"/>
      <c r="F186" s="72"/>
      <c r="G186" s="7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56"/>
      <c r="B187" s="12"/>
      <c r="C187" s="12"/>
      <c r="D187" s="12"/>
      <c r="E187" s="56"/>
      <c r="F187" s="72"/>
      <c r="G187" s="7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56"/>
      <c r="B188" s="12"/>
      <c r="C188" s="12"/>
      <c r="D188" s="12"/>
      <c r="E188" s="56"/>
      <c r="F188" s="72"/>
      <c r="G188" s="7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56"/>
      <c r="B189" s="12"/>
      <c r="C189" s="12"/>
      <c r="D189" s="12"/>
      <c r="E189" s="56"/>
      <c r="F189" s="72"/>
      <c r="G189" s="7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56"/>
      <c r="B190" s="12"/>
      <c r="C190" s="12"/>
      <c r="D190" s="12"/>
      <c r="E190" s="56"/>
      <c r="F190" s="72"/>
      <c r="G190" s="7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56"/>
      <c r="B191" s="12"/>
      <c r="C191" s="12"/>
      <c r="D191" s="12"/>
      <c r="E191" s="56"/>
      <c r="F191" s="72"/>
      <c r="G191" s="7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56"/>
      <c r="B192" s="12"/>
      <c r="C192" s="12"/>
      <c r="D192" s="12"/>
      <c r="E192" s="56"/>
      <c r="F192" s="72"/>
      <c r="G192" s="7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56"/>
      <c r="B193" s="12"/>
      <c r="C193" s="12"/>
      <c r="D193" s="12"/>
      <c r="E193" s="56"/>
      <c r="F193" s="72"/>
      <c r="G193" s="7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56"/>
      <c r="B194" s="12"/>
      <c r="C194" s="12"/>
      <c r="D194" s="12"/>
      <c r="E194" s="56"/>
      <c r="F194" s="72"/>
      <c r="G194" s="7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56"/>
      <c r="B195" s="12"/>
      <c r="C195" s="12"/>
      <c r="D195" s="12"/>
      <c r="E195" s="56"/>
      <c r="F195" s="72"/>
      <c r="G195" s="7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56"/>
      <c r="B196" s="12"/>
      <c r="C196" s="12"/>
      <c r="D196" s="12"/>
      <c r="E196" s="56"/>
      <c r="F196" s="72"/>
      <c r="G196" s="7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56"/>
      <c r="B197" s="12"/>
      <c r="C197" s="12"/>
      <c r="D197" s="12"/>
      <c r="E197" s="56"/>
      <c r="F197" s="72"/>
      <c r="G197" s="7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56"/>
      <c r="B198" s="12"/>
      <c r="C198" s="12"/>
      <c r="D198" s="12"/>
      <c r="E198" s="56"/>
      <c r="F198" s="72"/>
      <c r="G198" s="7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56"/>
      <c r="B199" s="12"/>
      <c r="C199" s="12"/>
      <c r="D199" s="12"/>
      <c r="E199" s="56"/>
      <c r="F199" s="72"/>
      <c r="G199" s="7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56"/>
      <c r="B200" s="12"/>
      <c r="C200" s="12"/>
      <c r="D200" s="12"/>
      <c r="E200" s="56"/>
      <c r="F200" s="72"/>
      <c r="G200" s="7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56"/>
      <c r="B201" s="12"/>
      <c r="C201" s="12"/>
      <c r="D201" s="12"/>
      <c r="E201" s="56"/>
      <c r="F201" s="72"/>
      <c r="G201" s="7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56"/>
      <c r="B202" s="12"/>
      <c r="C202" s="12"/>
      <c r="D202" s="12"/>
      <c r="E202" s="56"/>
      <c r="F202" s="72"/>
      <c r="G202" s="7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56"/>
      <c r="B203" s="12"/>
      <c r="C203" s="12"/>
      <c r="D203" s="12"/>
      <c r="E203" s="56"/>
      <c r="F203" s="72"/>
      <c r="G203" s="7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56"/>
      <c r="B204" s="12"/>
      <c r="C204" s="12"/>
      <c r="D204" s="12"/>
      <c r="E204" s="56"/>
      <c r="F204" s="72"/>
      <c r="G204" s="7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56"/>
      <c r="B205" s="12"/>
      <c r="C205" s="12"/>
      <c r="D205" s="12"/>
      <c r="E205" s="56"/>
      <c r="F205" s="72"/>
      <c r="G205" s="7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56"/>
      <c r="B206" s="12"/>
      <c r="C206" s="12"/>
      <c r="D206" s="12"/>
      <c r="E206" s="56"/>
      <c r="F206" s="72"/>
      <c r="G206" s="7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56"/>
      <c r="B207" s="12"/>
      <c r="C207" s="12"/>
      <c r="D207" s="12"/>
      <c r="E207" s="56"/>
      <c r="F207" s="72"/>
      <c r="G207" s="7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56"/>
      <c r="B208" s="12"/>
      <c r="C208" s="12"/>
      <c r="D208" s="12"/>
      <c r="E208" s="56"/>
      <c r="F208" s="72"/>
      <c r="G208" s="7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56"/>
      <c r="B209" s="12"/>
      <c r="C209" s="12"/>
      <c r="D209" s="12"/>
      <c r="E209" s="56"/>
      <c r="F209" s="72"/>
      <c r="G209" s="7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56"/>
      <c r="B210" s="12"/>
      <c r="C210" s="12"/>
      <c r="D210" s="12"/>
      <c r="E210" s="56"/>
      <c r="F210" s="72"/>
      <c r="G210" s="7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56"/>
      <c r="B211" s="12"/>
      <c r="C211" s="12"/>
      <c r="D211" s="12"/>
      <c r="E211" s="56"/>
      <c r="F211" s="72"/>
      <c r="G211" s="7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56"/>
      <c r="B212" s="12"/>
      <c r="C212" s="12"/>
      <c r="D212" s="12"/>
      <c r="E212" s="56"/>
      <c r="F212" s="72"/>
      <c r="G212" s="7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56"/>
      <c r="B213" s="12"/>
      <c r="C213" s="12"/>
      <c r="D213" s="12"/>
      <c r="E213" s="56"/>
      <c r="F213" s="72"/>
      <c r="G213" s="7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56"/>
      <c r="B214" s="12"/>
      <c r="C214" s="12"/>
      <c r="D214" s="12"/>
      <c r="E214" s="56"/>
      <c r="F214" s="72"/>
      <c r="G214" s="7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56"/>
      <c r="B215" s="12"/>
      <c r="C215" s="12"/>
      <c r="D215" s="12"/>
      <c r="E215" s="56"/>
      <c r="F215" s="72"/>
      <c r="G215" s="7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56"/>
      <c r="B216" s="12"/>
      <c r="C216" s="12"/>
      <c r="D216" s="12"/>
      <c r="E216" s="56"/>
      <c r="F216" s="72"/>
      <c r="G216" s="7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56"/>
      <c r="B217" s="12"/>
      <c r="C217" s="12"/>
      <c r="D217" s="12"/>
      <c r="E217" s="56"/>
      <c r="F217" s="72"/>
      <c r="G217" s="7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56"/>
      <c r="B218" s="12"/>
      <c r="C218" s="12"/>
      <c r="D218" s="12"/>
      <c r="E218" s="56"/>
      <c r="F218" s="72"/>
      <c r="G218" s="7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56"/>
      <c r="B219" s="12"/>
      <c r="C219" s="12"/>
      <c r="D219" s="12"/>
      <c r="E219" s="56"/>
      <c r="F219" s="72"/>
      <c r="G219" s="7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56"/>
      <c r="B220" s="12"/>
      <c r="C220" s="12"/>
      <c r="D220" s="12"/>
      <c r="E220" s="56"/>
      <c r="F220" s="72"/>
      <c r="G220" s="7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56"/>
      <c r="B221" s="12"/>
      <c r="C221" s="12"/>
      <c r="D221" s="12"/>
      <c r="E221" s="56"/>
      <c r="F221" s="72"/>
      <c r="G221" s="7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56"/>
      <c r="B222" s="12"/>
      <c r="C222" s="12"/>
      <c r="D222" s="12"/>
      <c r="E222" s="56"/>
      <c r="F222" s="72"/>
      <c r="G222" s="7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56"/>
      <c r="B223" s="12"/>
      <c r="C223" s="12"/>
      <c r="D223" s="12"/>
      <c r="E223" s="56"/>
      <c r="F223" s="72"/>
      <c r="G223" s="7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56"/>
      <c r="B224" s="12"/>
      <c r="C224" s="12"/>
      <c r="D224" s="12"/>
      <c r="E224" s="56"/>
      <c r="F224" s="72"/>
      <c r="G224" s="7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56"/>
      <c r="B225" s="12"/>
      <c r="C225" s="12"/>
      <c r="D225" s="12"/>
      <c r="E225" s="56"/>
      <c r="F225" s="72"/>
      <c r="G225" s="7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56"/>
      <c r="B226" s="12"/>
      <c r="C226" s="12"/>
      <c r="D226" s="12"/>
      <c r="E226" s="56"/>
      <c r="F226" s="72"/>
      <c r="G226" s="7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56"/>
      <c r="B227" s="12"/>
      <c r="C227" s="12"/>
      <c r="D227" s="12"/>
      <c r="E227" s="56"/>
      <c r="F227" s="72"/>
      <c r="G227" s="7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56"/>
      <c r="B228" s="12"/>
      <c r="C228" s="12"/>
      <c r="D228" s="12"/>
      <c r="E228" s="56"/>
      <c r="F228" s="72"/>
      <c r="G228" s="7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56"/>
      <c r="B229" s="12"/>
      <c r="C229" s="12"/>
      <c r="D229" s="12"/>
      <c r="E229" s="56"/>
      <c r="F229" s="72"/>
      <c r="G229" s="7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56"/>
      <c r="B230" s="12"/>
      <c r="C230" s="12"/>
      <c r="D230" s="12"/>
      <c r="E230" s="56"/>
      <c r="F230" s="72"/>
      <c r="G230" s="7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56"/>
      <c r="B231" s="12"/>
      <c r="C231" s="12"/>
      <c r="D231" s="12"/>
      <c r="E231" s="56"/>
      <c r="F231" s="72"/>
      <c r="G231" s="7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56"/>
      <c r="B232" s="12"/>
      <c r="C232" s="12"/>
      <c r="D232" s="12"/>
      <c r="E232" s="56"/>
      <c r="F232" s="72"/>
      <c r="G232" s="7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56"/>
      <c r="B233" s="12"/>
      <c r="C233" s="12"/>
      <c r="D233" s="12"/>
      <c r="E233" s="56"/>
      <c r="F233" s="72"/>
      <c r="G233" s="7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56"/>
      <c r="B234" s="12"/>
      <c r="C234" s="12"/>
      <c r="D234" s="12"/>
      <c r="E234" s="56"/>
      <c r="F234" s="72"/>
      <c r="G234" s="7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56"/>
      <c r="B235" s="12"/>
      <c r="C235" s="12"/>
      <c r="D235" s="12"/>
      <c r="E235" s="56"/>
      <c r="F235" s="72"/>
      <c r="G235" s="7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56"/>
      <c r="B236" s="12"/>
      <c r="C236" s="12"/>
      <c r="D236" s="12"/>
      <c r="E236" s="56"/>
      <c r="F236" s="72"/>
      <c r="G236" s="7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56"/>
      <c r="B237" s="12"/>
      <c r="C237" s="12"/>
      <c r="D237" s="12"/>
      <c r="E237" s="56"/>
      <c r="F237" s="72"/>
      <c r="G237" s="7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56"/>
      <c r="B238" s="12"/>
      <c r="C238" s="12"/>
      <c r="D238" s="12"/>
      <c r="E238" s="56"/>
      <c r="F238" s="72"/>
      <c r="G238" s="7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56"/>
      <c r="B239" s="12"/>
      <c r="C239" s="12"/>
      <c r="D239" s="12"/>
      <c r="E239" s="56"/>
      <c r="F239" s="72"/>
      <c r="G239" s="7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56"/>
      <c r="B240" s="12"/>
      <c r="C240" s="12"/>
      <c r="D240" s="12"/>
      <c r="E240" s="56"/>
      <c r="F240" s="72"/>
      <c r="G240" s="7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56"/>
      <c r="B241" s="12"/>
      <c r="C241" s="12"/>
      <c r="D241" s="12"/>
      <c r="E241" s="56"/>
      <c r="F241" s="72"/>
      <c r="G241" s="7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56"/>
      <c r="B242" s="12"/>
      <c r="C242" s="12"/>
      <c r="D242" s="12"/>
      <c r="E242" s="56"/>
      <c r="F242" s="72"/>
      <c r="G242" s="7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56"/>
      <c r="B243" s="12"/>
      <c r="C243" s="12"/>
      <c r="D243" s="12"/>
      <c r="E243" s="56"/>
      <c r="F243" s="72"/>
      <c r="G243" s="7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56"/>
      <c r="B244" s="12"/>
      <c r="C244" s="12"/>
      <c r="D244" s="12"/>
      <c r="E244" s="56"/>
      <c r="F244" s="72"/>
      <c r="G244" s="7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56"/>
      <c r="B245" s="12"/>
      <c r="C245" s="12"/>
      <c r="D245" s="12"/>
      <c r="E245" s="56"/>
      <c r="F245" s="72"/>
      <c r="G245" s="7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56"/>
      <c r="B246" s="12"/>
      <c r="C246" s="12"/>
      <c r="D246" s="12"/>
      <c r="E246" s="56"/>
      <c r="F246" s="72"/>
      <c r="G246" s="7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56"/>
      <c r="B247" s="12"/>
      <c r="C247" s="12"/>
      <c r="D247" s="12"/>
      <c r="E247" s="56"/>
      <c r="F247" s="72"/>
      <c r="G247" s="7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56"/>
      <c r="B248" s="12"/>
      <c r="C248" s="12"/>
      <c r="D248" s="12"/>
      <c r="E248" s="56"/>
      <c r="F248" s="72"/>
      <c r="G248" s="7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56"/>
      <c r="B249" s="12"/>
      <c r="C249" s="12"/>
      <c r="D249" s="12"/>
      <c r="E249" s="56"/>
      <c r="F249" s="72"/>
      <c r="G249" s="7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56"/>
      <c r="B250" s="12"/>
      <c r="C250" s="12"/>
      <c r="D250" s="12"/>
      <c r="E250" s="56"/>
      <c r="F250" s="72"/>
      <c r="G250" s="7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56"/>
      <c r="B251" s="12"/>
      <c r="C251" s="12"/>
      <c r="D251" s="12"/>
      <c r="E251" s="56"/>
      <c r="F251" s="72"/>
      <c r="G251" s="7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56"/>
      <c r="B252" s="12"/>
      <c r="C252" s="12"/>
      <c r="D252" s="12"/>
      <c r="E252" s="56"/>
      <c r="F252" s="72"/>
      <c r="G252" s="7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56"/>
      <c r="B253" s="12"/>
      <c r="C253" s="12"/>
      <c r="D253" s="12"/>
      <c r="E253" s="56"/>
      <c r="F253" s="72"/>
      <c r="G253" s="7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56"/>
      <c r="B254" s="12"/>
      <c r="C254" s="12"/>
      <c r="D254" s="12"/>
      <c r="E254" s="56"/>
      <c r="F254" s="72"/>
      <c r="G254" s="7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56"/>
      <c r="B255" s="12"/>
      <c r="C255" s="12"/>
      <c r="D255" s="12"/>
      <c r="E255" s="56"/>
      <c r="F255" s="72"/>
      <c r="G255" s="7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56"/>
      <c r="B256" s="12"/>
      <c r="C256" s="12"/>
      <c r="D256" s="12"/>
      <c r="E256" s="56"/>
      <c r="F256" s="72"/>
      <c r="G256" s="7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56"/>
      <c r="B257" s="12"/>
      <c r="C257" s="12"/>
      <c r="D257" s="12"/>
      <c r="E257" s="56"/>
      <c r="F257" s="72"/>
      <c r="G257" s="7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56"/>
      <c r="B258" s="12"/>
      <c r="C258" s="12"/>
      <c r="D258" s="12"/>
      <c r="E258" s="56"/>
      <c r="F258" s="72"/>
      <c r="G258" s="7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56"/>
      <c r="B259" s="12"/>
      <c r="C259" s="12"/>
      <c r="D259" s="12"/>
      <c r="E259" s="56"/>
      <c r="F259" s="72"/>
      <c r="G259" s="7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56"/>
      <c r="B260" s="12"/>
      <c r="C260" s="12"/>
      <c r="D260" s="12"/>
      <c r="E260" s="56"/>
      <c r="F260" s="72"/>
      <c r="G260" s="7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56"/>
      <c r="B261" s="12"/>
      <c r="C261" s="12"/>
      <c r="D261" s="12"/>
      <c r="E261" s="56"/>
      <c r="F261" s="72"/>
      <c r="G261" s="7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56"/>
      <c r="B262" s="12"/>
      <c r="C262" s="12"/>
      <c r="D262" s="12"/>
      <c r="E262" s="56"/>
      <c r="F262" s="72"/>
      <c r="G262" s="7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56"/>
      <c r="B263" s="12"/>
      <c r="C263" s="12"/>
      <c r="D263" s="12"/>
      <c r="E263" s="56"/>
      <c r="F263" s="72"/>
      <c r="G263" s="7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56"/>
      <c r="B264" s="12"/>
      <c r="C264" s="12"/>
      <c r="D264" s="12"/>
      <c r="E264" s="56"/>
      <c r="F264" s="72"/>
      <c r="G264" s="7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56"/>
      <c r="B265" s="12"/>
      <c r="C265" s="12"/>
      <c r="D265" s="12"/>
      <c r="E265" s="56"/>
      <c r="F265" s="72"/>
      <c r="G265" s="7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56"/>
      <c r="B266" s="12"/>
      <c r="C266" s="12"/>
      <c r="D266" s="12"/>
      <c r="E266" s="56"/>
      <c r="F266" s="72"/>
      <c r="G266" s="7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56"/>
      <c r="B267" s="12"/>
      <c r="C267" s="12"/>
      <c r="D267" s="12"/>
      <c r="E267" s="56"/>
      <c r="F267" s="72"/>
      <c r="G267" s="7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56"/>
      <c r="B268" s="12"/>
      <c r="C268" s="12"/>
      <c r="D268" s="12"/>
      <c r="E268" s="56"/>
      <c r="F268" s="72"/>
      <c r="G268" s="7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56"/>
      <c r="B269" s="12"/>
      <c r="C269" s="12"/>
      <c r="D269" s="12"/>
      <c r="E269" s="56"/>
      <c r="F269" s="72"/>
      <c r="G269" s="7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56"/>
      <c r="B270" s="12"/>
      <c r="C270" s="12"/>
      <c r="D270" s="12"/>
      <c r="E270" s="56"/>
      <c r="F270" s="72"/>
      <c r="G270" s="7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56"/>
      <c r="B271" s="12"/>
      <c r="C271" s="12"/>
      <c r="D271" s="12"/>
      <c r="E271" s="56"/>
      <c r="F271" s="72"/>
      <c r="G271" s="7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56"/>
      <c r="B272" s="12"/>
      <c r="C272" s="12"/>
      <c r="D272" s="12"/>
      <c r="E272" s="56"/>
      <c r="F272" s="72"/>
      <c r="G272" s="7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56"/>
      <c r="B273" s="12"/>
      <c r="C273" s="12"/>
      <c r="D273" s="12"/>
      <c r="E273" s="56"/>
      <c r="F273" s="72"/>
      <c r="G273" s="7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56"/>
      <c r="B274" s="12"/>
      <c r="C274" s="12"/>
      <c r="D274" s="12"/>
      <c r="E274" s="56"/>
      <c r="F274" s="72"/>
      <c r="G274" s="7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56"/>
      <c r="B275" s="12"/>
      <c r="C275" s="12"/>
      <c r="D275" s="12"/>
      <c r="E275" s="56"/>
      <c r="F275" s="72"/>
      <c r="G275" s="7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56"/>
      <c r="B276" s="12"/>
      <c r="C276" s="12"/>
      <c r="D276" s="12"/>
      <c r="E276" s="56"/>
      <c r="F276" s="72"/>
      <c r="G276" s="7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56"/>
      <c r="B277" s="12"/>
      <c r="C277" s="12"/>
      <c r="D277" s="12"/>
      <c r="E277" s="56"/>
      <c r="F277" s="72"/>
      <c r="G277" s="7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56"/>
      <c r="B278" s="12"/>
      <c r="C278" s="12"/>
      <c r="D278" s="12"/>
      <c r="E278" s="56"/>
      <c r="F278" s="72"/>
      <c r="G278" s="7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56"/>
      <c r="B279" s="12"/>
      <c r="C279" s="12"/>
      <c r="D279" s="12"/>
      <c r="E279" s="56"/>
      <c r="F279" s="72"/>
      <c r="G279" s="7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56"/>
      <c r="B280" s="12"/>
      <c r="C280" s="12"/>
      <c r="D280" s="12"/>
      <c r="E280" s="56"/>
      <c r="F280" s="72"/>
      <c r="G280" s="7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56"/>
      <c r="B281" s="12"/>
      <c r="C281" s="12"/>
      <c r="D281" s="12"/>
      <c r="E281" s="56"/>
      <c r="F281" s="72"/>
      <c r="G281" s="7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56"/>
      <c r="B282" s="12"/>
      <c r="C282" s="12"/>
      <c r="D282" s="12"/>
      <c r="E282" s="56"/>
      <c r="F282" s="72"/>
      <c r="G282" s="7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56"/>
      <c r="B283" s="12"/>
      <c r="C283" s="12"/>
      <c r="D283" s="12"/>
      <c r="E283" s="56"/>
      <c r="F283" s="72"/>
      <c r="G283" s="7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56"/>
      <c r="B284" s="12"/>
      <c r="C284" s="12"/>
      <c r="D284" s="12"/>
      <c r="E284" s="56"/>
      <c r="F284" s="72"/>
      <c r="G284" s="7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56"/>
      <c r="B285" s="12"/>
      <c r="C285" s="12"/>
      <c r="D285" s="12"/>
      <c r="E285" s="56"/>
      <c r="F285" s="72"/>
      <c r="G285" s="7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56"/>
      <c r="B286" s="12"/>
      <c r="C286" s="12"/>
      <c r="D286" s="12"/>
      <c r="E286" s="56"/>
      <c r="F286" s="72"/>
      <c r="G286" s="7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56"/>
      <c r="B287" s="12"/>
      <c r="C287" s="12"/>
      <c r="D287" s="12"/>
      <c r="E287" s="56"/>
      <c r="F287" s="72"/>
      <c r="G287" s="7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56"/>
      <c r="B288" s="12"/>
      <c r="C288" s="12"/>
      <c r="D288" s="12"/>
      <c r="E288" s="56"/>
      <c r="F288" s="72"/>
      <c r="G288" s="7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56"/>
      <c r="B289" s="12"/>
      <c r="C289" s="12"/>
      <c r="D289" s="12"/>
      <c r="E289" s="56"/>
      <c r="F289" s="72"/>
      <c r="G289" s="7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56"/>
      <c r="B290" s="12"/>
      <c r="C290" s="12"/>
      <c r="D290" s="12"/>
      <c r="E290" s="56"/>
      <c r="F290" s="72"/>
      <c r="G290" s="7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56"/>
      <c r="B291" s="12"/>
      <c r="C291" s="12"/>
      <c r="D291" s="12"/>
      <c r="E291" s="56"/>
      <c r="F291" s="72"/>
      <c r="G291" s="7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56"/>
      <c r="B292" s="12"/>
      <c r="C292" s="12"/>
      <c r="D292" s="12"/>
      <c r="E292" s="56"/>
      <c r="F292" s="72"/>
      <c r="G292" s="7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56"/>
      <c r="B293" s="12"/>
      <c r="C293" s="12"/>
      <c r="D293" s="12"/>
      <c r="E293" s="56"/>
      <c r="F293" s="72"/>
      <c r="G293" s="7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56"/>
      <c r="B294" s="12"/>
      <c r="C294" s="12"/>
      <c r="D294" s="12"/>
      <c r="E294" s="56"/>
      <c r="F294" s="72"/>
      <c r="G294" s="7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56"/>
      <c r="B295" s="12"/>
      <c r="C295" s="12"/>
      <c r="D295" s="12"/>
      <c r="E295" s="56"/>
      <c r="F295" s="72"/>
      <c r="G295" s="7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56"/>
      <c r="B296" s="12"/>
      <c r="C296" s="12"/>
      <c r="D296" s="12"/>
      <c r="E296" s="56"/>
      <c r="F296" s="72"/>
      <c r="G296" s="7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56"/>
      <c r="B297" s="12"/>
      <c r="C297" s="12"/>
      <c r="D297" s="12"/>
      <c r="E297" s="56"/>
      <c r="F297" s="72"/>
      <c r="G297" s="7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56"/>
      <c r="B298" s="12"/>
      <c r="C298" s="12"/>
      <c r="D298" s="12"/>
      <c r="E298" s="56"/>
      <c r="F298" s="72"/>
      <c r="G298" s="7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56"/>
      <c r="B299" s="12"/>
      <c r="C299" s="12"/>
      <c r="D299" s="12"/>
      <c r="E299" s="56"/>
      <c r="F299" s="72"/>
      <c r="G299" s="7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56"/>
      <c r="B300" s="12"/>
      <c r="C300" s="12"/>
      <c r="D300" s="12"/>
      <c r="E300" s="56"/>
      <c r="F300" s="72"/>
      <c r="G300" s="7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56"/>
      <c r="B301" s="12"/>
      <c r="C301" s="12"/>
      <c r="D301" s="12"/>
      <c r="E301" s="56"/>
      <c r="F301" s="72"/>
      <c r="G301" s="7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56"/>
      <c r="B302" s="12"/>
      <c r="C302" s="12"/>
      <c r="D302" s="12"/>
      <c r="E302" s="56"/>
      <c r="F302" s="72"/>
      <c r="G302" s="7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56"/>
      <c r="B303" s="12"/>
      <c r="C303" s="12"/>
      <c r="D303" s="12"/>
      <c r="E303" s="56"/>
      <c r="F303" s="72"/>
      <c r="G303" s="7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56"/>
      <c r="B304" s="12"/>
      <c r="C304" s="12"/>
      <c r="D304" s="12"/>
      <c r="E304" s="56"/>
      <c r="F304" s="72"/>
      <c r="G304" s="7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56"/>
      <c r="B305" s="12"/>
      <c r="C305" s="12"/>
      <c r="D305" s="12"/>
      <c r="E305" s="56"/>
      <c r="F305" s="72"/>
      <c r="G305" s="7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56"/>
      <c r="B306" s="12"/>
      <c r="C306" s="12"/>
      <c r="D306" s="12"/>
      <c r="E306" s="56"/>
      <c r="F306" s="72"/>
      <c r="G306" s="7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56"/>
      <c r="B307" s="12"/>
      <c r="C307" s="12"/>
      <c r="D307" s="12"/>
      <c r="E307" s="56"/>
      <c r="F307" s="72"/>
      <c r="G307" s="7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56"/>
      <c r="B308" s="12"/>
      <c r="C308" s="12"/>
      <c r="D308" s="12"/>
      <c r="E308" s="56"/>
      <c r="F308" s="72"/>
      <c r="G308" s="7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56"/>
      <c r="B309" s="12"/>
      <c r="C309" s="12"/>
      <c r="D309" s="12"/>
      <c r="E309" s="56"/>
      <c r="F309" s="72"/>
      <c r="G309" s="7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56"/>
      <c r="B310" s="12"/>
      <c r="C310" s="12"/>
      <c r="D310" s="12"/>
      <c r="E310" s="56"/>
      <c r="F310" s="72"/>
      <c r="G310" s="7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56"/>
      <c r="B311" s="12"/>
      <c r="C311" s="12"/>
      <c r="D311" s="12"/>
      <c r="E311" s="56"/>
      <c r="F311" s="72"/>
      <c r="G311" s="7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56"/>
      <c r="B312" s="12"/>
      <c r="C312" s="12"/>
      <c r="D312" s="12"/>
      <c r="E312" s="56"/>
      <c r="F312" s="72"/>
      <c r="G312" s="7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56"/>
      <c r="B313" s="12"/>
      <c r="C313" s="12"/>
      <c r="D313" s="12"/>
      <c r="E313" s="56"/>
      <c r="F313" s="72"/>
      <c r="G313" s="7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56"/>
      <c r="B314" s="12"/>
      <c r="C314" s="12"/>
      <c r="D314" s="12"/>
      <c r="E314" s="56"/>
      <c r="F314" s="72"/>
      <c r="G314" s="7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56"/>
      <c r="B315" s="12"/>
      <c r="C315" s="12"/>
      <c r="D315" s="12"/>
      <c r="E315" s="56"/>
      <c r="F315" s="72"/>
      <c r="G315" s="7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56"/>
      <c r="B316" s="12"/>
      <c r="C316" s="12"/>
      <c r="D316" s="12"/>
      <c r="E316" s="56"/>
      <c r="F316" s="72"/>
      <c r="G316" s="7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56"/>
      <c r="B317" s="12"/>
      <c r="C317" s="12"/>
      <c r="D317" s="12"/>
      <c r="E317" s="56"/>
      <c r="F317" s="72"/>
      <c r="G317" s="7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56"/>
      <c r="B318" s="12"/>
      <c r="C318" s="12"/>
      <c r="D318" s="12"/>
      <c r="E318" s="56"/>
      <c r="F318" s="72"/>
      <c r="G318" s="7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56"/>
      <c r="B319" s="12"/>
      <c r="C319" s="12"/>
      <c r="D319" s="12"/>
      <c r="E319" s="56"/>
      <c r="F319" s="72"/>
      <c r="G319" s="7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56"/>
      <c r="B320" s="12"/>
      <c r="C320" s="12"/>
      <c r="D320" s="12"/>
      <c r="E320" s="56"/>
      <c r="F320" s="72"/>
      <c r="G320" s="7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56"/>
      <c r="B321" s="12"/>
      <c r="C321" s="12"/>
      <c r="D321" s="12"/>
      <c r="E321" s="56"/>
      <c r="F321" s="72"/>
      <c r="G321" s="7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56"/>
      <c r="B322" s="12"/>
      <c r="C322" s="12"/>
      <c r="D322" s="12"/>
      <c r="E322" s="56"/>
      <c r="F322" s="72"/>
      <c r="G322" s="7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56"/>
      <c r="B323" s="12"/>
      <c r="C323" s="12"/>
      <c r="D323" s="12"/>
      <c r="E323" s="56"/>
      <c r="F323" s="72"/>
      <c r="G323" s="7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56"/>
      <c r="B324" s="12"/>
      <c r="C324" s="12"/>
      <c r="D324" s="12"/>
      <c r="E324" s="56"/>
      <c r="F324" s="72"/>
      <c r="G324" s="7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56"/>
      <c r="B325" s="12"/>
      <c r="C325" s="12"/>
      <c r="D325" s="12"/>
      <c r="E325" s="56"/>
      <c r="F325" s="72"/>
      <c r="G325" s="7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56"/>
      <c r="B326" s="12"/>
      <c r="C326" s="12"/>
      <c r="D326" s="12"/>
      <c r="E326" s="56"/>
      <c r="F326" s="72"/>
      <c r="G326" s="7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56"/>
      <c r="B327" s="12"/>
      <c r="C327" s="12"/>
      <c r="D327" s="12"/>
      <c r="E327" s="56"/>
      <c r="F327" s="72"/>
      <c r="G327" s="7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56"/>
      <c r="B328" s="12"/>
      <c r="C328" s="12"/>
      <c r="D328" s="12"/>
      <c r="E328" s="56"/>
      <c r="F328" s="72"/>
      <c r="G328" s="7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56"/>
      <c r="B329" s="12"/>
      <c r="C329" s="12"/>
      <c r="D329" s="12"/>
      <c r="E329" s="56"/>
      <c r="F329" s="72"/>
      <c r="G329" s="7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56"/>
      <c r="B330" s="12"/>
      <c r="C330" s="12"/>
      <c r="D330" s="12"/>
      <c r="E330" s="56"/>
      <c r="F330" s="72"/>
      <c r="G330" s="7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56"/>
      <c r="B331" s="12"/>
      <c r="C331" s="12"/>
      <c r="D331" s="12"/>
      <c r="E331" s="56"/>
      <c r="F331" s="72"/>
      <c r="G331" s="7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56"/>
      <c r="B332" s="12"/>
      <c r="C332" s="12"/>
      <c r="D332" s="12"/>
      <c r="E332" s="56"/>
      <c r="F332" s="72"/>
      <c r="G332" s="7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56"/>
      <c r="B333" s="12"/>
      <c r="C333" s="12"/>
      <c r="D333" s="12"/>
      <c r="E333" s="56"/>
      <c r="F333" s="72"/>
      <c r="G333" s="7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56"/>
      <c r="B334" s="12"/>
      <c r="C334" s="12"/>
      <c r="D334" s="12"/>
      <c r="E334" s="56"/>
      <c r="F334" s="72"/>
      <c r="G334" s="7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56"/>
      <c r="B335" s="12"/>
      <c r="C335" s="12"/>
      <c r="D335" s="12"/>
      <c r="E335" s="56"/>
      <c r="F335" s="72"/>
      <c r="G335" s="7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56"/>
      <c r="B336" s="12"/>
      <c r="C336" s="12"/>
      <c r="D336" s="12"/>
      <c r="E336" s="56"/>
      <c r="F336" s="72"/>
      <c r="G336" s="7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56"/>
      <c r="B337" s="12"/>
      <c r="C337" s="12"/>
      <c r="D337" s="12"/>
      <c r="E337" s="56"/>
      <c r="F337" s="72"/>
      <c r="G337" s="7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56"/>
      <c r="B338" s="12"/>
      <c r="C338" s="12"/>
      <c r="D338" s="12"/>
      <c r="E338" s="56"/>
      <c r="F338" s="72"/>
      <c r="G338" s="7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56"/>
      <c r="B339" s="12"/>
      <c r="C339" s="12"/>
      <c r="D339" s="12"/>
      <c r="E339" s="56"/>
      <c r="F339" s="72"/>
      <c r="G339" s="7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56"/>
      <c r="B340" s="12"/>
      <c r="C340" s="12"/>
      <c r="D340" s="12"/>
      <c r="E340" s="56"/>
      <c r="F340" s="72"/>
      <c r="G340" s="7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56"/>
      <c r="B341" s="12"/>
      <c r="C341" s="12"/>
      <c r="D341" s="12"/>
      <c r="E341" s="56"/>
      <c r="F341" s="72"/>
      <c r="G341" s="7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56"/>
      <c r="B342" s="12"/>
      <c r="C342" s="12"/>
      <c r="D342" s="12"/>
      <c r="E342" s="56"/>
      <c r="F342" s="72"/>
      <c r="G342" s="7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56"/>
      <c r="B343" s="12"/>
      <c r="C343" s="12"/>
      <c r="D343" s="12"/>
      <c r="E343" s="56"/>
      <c r="F343" s="72"/>
      <c r="G343" s="7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56"/>
      <c r="B344" s="12"/>
      <c r="C344" s="12"/>
      <c r="D344" s="12"/>
      <c r="E344" s="56"/>
      <c r="F344" s="72"/>
      <c r="G344" s="7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56"/>
      <c r="B345" s="12"/>
      <c r="C345" s="12"/>
      <c r="D345" s="12"/>
      <c r="E345" s="56"/>
      <c r="F345" s="72"/>
      <c r="G345" s="7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56"/>
      <c r="B346" s="12"/>
      <c r="C346" s="12"/>
      <c r="D346" s="12"/>
      <c r="E346" s="56"/>
      <c r="F346" s="72"/>
      <c r="G346" s="7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56"/>
      <c r="B347" s="12"/>
      <c r="C347" s="12"/>
      <c r="D347" s="12"/>
      <c r="E347" s="56"/>
      <c r="F347" s="72"/>
      <c r="G347" s="7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56"/>
      <c r="B348" s="12"/>
      <c r="C348" s="12"/>
      <c r="D348" s="12"/>
      <c r="E348" s="56"/>
      <c r="F348" s="72"/>
      <c r="G348" s="7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56"/>
      <c r="B349" s="12"/>
      <c r="C349" s="12"/>
      <c r="D349" s="12"/>
      <c r="E349" s="56"/>
      <c r="F349" s="72"/>
      <c r="G349" s="7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56"/>
      <c r="B350" s="12"/>
      <c r="C350" s="12"/>
      <c r="D350" s="12"/>
      <c r="E350" s="56"/>
      <c r="F350" s="72"/>
      <c r="G350" s="7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56"/>
      <c r="B351" s="12"/>
      <c r="C351" s="12"/>
      <c r="D351" s="12"/>
      <c r="E351" s="56"/>
      <c r="F351" s="72"/>
      <c r="G351" s="7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56"/>
      <c r="B352" s="12"/>
      <c r="C352" s="12"/>
      <c r="D352" s="12"/>
      <c r="E352" s="56"/>
      <c r="F352" s="72"/>
      <c r="G352" s="7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56"/>
      <c r="B353" s="12"/>
      <c r="C353" s="12"/>
      <c r="D353" s="12"/>
      <c r="E353" s="56"/>
      <c r="F353" s="72"/>
      <c r="G353" s="7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56"/>
      <c r="B354" s="12"/>
      <c r="C354" s="12"/>
      <c r="D354" s="12"/>
      <c r="E354" s="56"/>
      <c r="F354" s="72"/>
      <c r="G354" s="7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56"/>
      <c r="B355" s="12"/>
      <c r="C355" s="12"/>
      <c r="D355" s="12"/>
      <c r="E355" s="56"/>
      <c r="F355" s="72"/>
      <c r="G355" s="7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56"/>
      <c r="B356" s="12"/>
      <c r="C356" s="12"/>
      <c r="D356" s="12"/>
      <c r="E356" s="56"/>
      <c r="F356" s="72"/>
      <c r="G356" s="7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56"/>
      <c r="B357" s="12"/>
      <c r="C357" s="12"/>
      <c r="D357" s="12"/>
      <c r="E357" s="56"/>
      <c r="F357" s="72"/>
      <c r="G357" s="7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56"/>
      <c r="B358" s="12"/>
      <c r="C358" s="12"/>
      <c r="D358" s="12"/>
      <c r="E358" s="56"/>
      <c r="F358" s="72"/>
      <c r="G358" s="7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56"/>
      <c r="B359" s="12"/>
      <c r="C359" s="12"/>
      <c r="D359" s="12"/>
      <c r="E359" s="56"/>
      <c r="F359" s="72"/>
      <c r="G359" s="7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56"/>
      <c r="B360" s="12"/>
      <c r="C360" s="12"/>
      <c r="D360" s="12"/>
      <c r="E360" s="56"/>
      <c r="F360" s="72"/>
      <c r="G360" s="7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56"/>
      <c r="B361" s="12"/>
      <c r="C361" s="12"/>
      <c r="D361" s="12"/>
      <c r="E361" s="56"/>
      <c r="F361" s="72"/>
      <c r="G361" s="7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56"/>
      <c r="B362" s="12"/>
      <c r="C362" s="12"/>
      <c r="D362" s="12"/>
      <c r="E362" s="56"/>
      <c r="F362" s="72"/>
      <c r="G362" s="7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56"/>
      <c r="B363" s="12"/>
      <c r="C363" s="12"/>
      <c r="D363" s="12"/>
      <c r="E363" s="56"/>
      <c r="F363" s="72"/>
      <c r="G363" s="7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56"/>
      <c r="B364" s="12"/>
      <c r="C364" s="12"/>
      <c r="D364" s="12"/>
      <c r="E364" s="56"/>
      <c r="F364" s="72"/>
      <c r="G364" s="7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56"/>
      <c r="B365" s="12"/>
      <c r="C365" s="12"/>
      <c r="D365" s="12"/>
      <c r="E365" s="56"/>
      <c r="F365" s="72"/>
      <c r="G365" s="7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56"/>
      <c r="B366" s="12"/>
      <c r="C366" s="12"/>
      <c r="D366" s="12"/>
      <c r="E366" s="56"/>
      <c r="F366" s="72"/>
      <c r="G366" s="7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56"/>
      <c r="B367" s="12"/>
      <c r="C367" s="12"/>
      <c r="D367" s="12"/>
      <c r="E367" s="56"/>
      <c r="F367" s="72"/>
      <c r="G367" s="7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56"/>
      <c r="B368" s="12"/>
      <c r="C368" s="12"/>
      <c r="D368" s="12"/>
      <c r="E368" s="56"/>
      <c r="F368" s="72"/>
      <c r="G368" s="7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56"/>
      <c r="B369" s="12"/>
      <c r="C369" s="12"/>
      <c r="D369" s="12"/>
      <c r="E369" s="56"/>
      <c r="F369" s="72"/>
      <c r="G369" s="7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56"/>
      <c r="B370" s="12"/>
      <c r="C370" s="12"/>
      <c r="D370" s="12"/>
      <c r="E370" s="56"/>
      <c r="F370" s="72"/>
      <c r="G370" s="7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56"/>
      <c r="B371" s="12"/>
      <c r="C371" s="12"/>
      <c r="D371" s="12"/>
      <c r="E371" s="56"/>
      <c r="F371" s="72"/>
      <c r="G371" s="7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56"/>
      <c r="B372" s="12"/>
      <c r="C372" s="12"/>
      <c r="D372" s="12"/>
      <c r="E372" s="56"/>
      <c r="F372" s="72"/>
      <c r="G372" s="7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56"/>
      <c r="B373" s="12"/>
      <c r="C373" s="12"/>
      <c r="D373" s="12"/>
      <c r="E373" s="56"/>
      <c r="F373" s="72"/>
      <c r="G373" s="7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56"/>
      <c r="B374" s="12"/>
      <c r="C374" s="12"/>
      <c r="D374" s="12"/>
      <c r="E374" s="56"/>
      <c r="F374" s="72"/>
      <c r="G374" s="7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56"/>
      <c r="B375" s="12"/>
      <c r="C375" s="12"/>
      <c r="D375" s="12"/>
      <c r="E375" s="56"/>
      <c r="F375" s="72"/>
      <c r="G375" s="7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56"/>
      <c r="B376" s="12"/>
      <c r="C376" s="12"/>
      <c r="D376" s="12"/>
      <c r="E376" s="56"/>
      <c r="F376" s="72"/>
      <c r="G376" s="7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56"/>
      <c r="B377" s="12"/>
      <c r="C377" s="12"/>
      <c r="D377" s="12"/>
      <c r="E377" s="56"/>
      <c r="F377" s="72"/>
      <c r="G377" s="7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56"/>
      <c r="B378" s="12"/>
      <c r="C378" s="12"/>
      <c r="D378" s="12"/>
      <c r="E378" s="56"/>
      <c r="F378" s="72"/>
      <c r="G378" s="7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56"/>
      <c r="B379" s="12"/>
      <c r="C379" s="12"/>
      <c r="D379" s="12"/>
      <c r="E379" s="56"/>
      <c r="F379" s="72"/>
      <c r="G379" s="7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56"/>
      <c r="B380" s="12"/>
      <c r="C380" s="12"/>
      <c r="D380" s="12"/>
      <c r="E380" s="56"/>
      <c r="F380" s="72"/>
      <c r="G380" s="7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56"/>
      <c r="B381" s="12"/>
      <c r="C381" s="12"/>
      <c r="D381" s="12"/>
      <c r="E381" s="56"/>
      <c r="F381" s="72"/>
      <c r="G381" s="7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56"/>
      <c r="B382" s="12"/>
      <c r="C382" s="12"/>
      <c r="D382" s="12"/>
      <c r="E382" s="56"/>
      <c r="F382" s="72"/>
      <c r="G382" s="7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56"/>
      <c r="B383" s="12"/>
      <c r="C383" s="12"/>
      <c r="D383" s="12"/>
      <c r="E383" s="56"/>
      <c r="F383" s="72"/>
      <c r="G383" s="7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56"/>
      <c r="B384" s="12"/>
      <c r="C384" s="12"/>
      <c r="D384" s="12"/>
      <c r="E384" s="56"/>
      <c r="F384" s="72"/>
      <c r="G384" s="7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56"/>
      <c r="B385" s="12"/>
      <c r="C385" s="12"/>
      <c r="D385" s="12"/>
      <c r="E385" s="56"/>
      <c r="F385" s="72"/>
      <c r="G385" s="7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56"/>
      <c r="B386" s="12"/>
      <c r="C386" s="12"/>
      <c r="D386" s="12"/>
      <c r="E386" s="56"/>
      <c r="F386" s="72"/>
      <c r="G386" s="7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56"/>
      <c r="B387" s="12"/>
      <c r="C387" s="12"/>
      <c r="D387" s="12"/>
      <c r="E387" s="56"/>
      <c r="F387" s="72"/>
      <c r="G387" s="7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56"/>
      <c r="B388" s="12"/>
      <c r="C388" s="12"/>
      <c r="D388" s="12"/>
      <c r="E388" s="56"/>
      <c r="F388" s="72"/>
      <c r="G388" s="7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56"/>
      <c r="B389" s="12"/>
      <c r="C389" s="12"/>
      <c r="D389" s="12"/>
      <c r="E389" s="56"/>
      <c r="F389" s="72"/>
      <c r="G389" s="7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56"/>
      <c r="B390" s="12"/>
      <c r="C390" s="12"/>
      <c r="D390" s="12"/>
      <c r="E390" s="56"/>
      <c r="F390" s="72"/>
      <c r="G390" s="7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56"/>
      <c r="B391" s="12"/>
      <c r="C391" s="12"/>
      <c r="D391" s="12"/>
      <c r="E391" s="56"/>
      <c r="F391" s="72"/>
      <c r="G391" s="7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56"/>
      <c r="B392" s="12"/>
      <c r="C392" s="12"/>
      <c r="D392" s="12"/>
      <c r="E392" s="56"/>
      <c r="F392" s="72"/>
      <c r="G392" s="7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56"/>
      <c r="B393" s="12"/>
      <c r="C393" s="12"/>
      <c r="D393" s="12"/>
      <c r="E393" s="56"/>
      <c r="F393" s="72"/>
      <c r="G393" s="7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56"/>
      <c r="B394" s="12"/>
      <c r="C394" s="12"/>
      <c r="D394" s="12"/>
      <c r="E394" s="56"/>
      <c r="F394" s="72"/>
      <c r="G394" s="7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56"/>
      <c r="B395" s="12"/>
      <c r="C395" s="12"/>
      <c r="D395" s="12"/>
      <c r="E395" s="56"/>
      <c r="F395" s="72"/>
      <c r="G395" s="7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56"/>
      <c r="B396" s="12"/>
      <c r="C396" s="12"/>
      <c r="D396" s="12"/>
      <c r="E396" s="56"/>
      <c r="F396" s="72"/>
      <c r="G396" s="7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56"/>
      <c r="B397" s="12"/>
      <c r="C397" s="12"/>
      <c r="D397" s="12"/>
      <c r="E397" s="56"/>
      <c r="F397" s="72"/>
      <c r="G397" s="7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56"/>
      <c r="B398" s="12"/>
      <c r="C398" s="12"/>
      <c r="D398" s="12"/>
      <c r="E398" s="56"/>
      <c r="F398" s="72"/>
      <c r="G398" s="7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56"/>
      <c r="B399" s="12"/>
      <c r="C399" s="12"/>
      <c r="D399" s="12"/>
      <c r="E399" s="56"/>
      <c r="F399" s="72"/>
      <c r="G399" s="7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56"/>
      <c r="B400" s="12"/>
      <c r="C400" s="12"/>
      <c r="D400" s="12"/>
      <c r="E400" s="56"/>
      <c r="F400" s="72"/>
      <c r="G400" s="7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56"/>
      <c r="B401" s="12"/>
      <c r="C401" s="12"/>
      <c r="D401" s="12"/>
      <c r="E401" s="56"/>
      <c r="F401" s="72"/>
      <c r="G401" s="7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56"/>
      <c r="B402" s="12"/>
      <c r="C402" s="12"/>
      <c r="D402" s="12"/>
      <c r="E402" s="56"/>
      <c r="F402" s="72"/>
      <c r="G402" s="7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56"/>
      <c r="B403" s="12"/>
      <c r="C403" s="12"/>
      <c r="D403" s="12"/>
      <c r="E403" s="56"/>
      <c r="F403" s="72"/>
      <c r="G403" s="7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56"/>
      <c r="B404" s="12"/>
      <c r="C404" s="12"/>
      <c r="D404" s="12"/>
      <c r="E404" s="56"/>
      <c r="F404" s="72"/>
      <c r="G404" s="7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56"/>
      <c r="B405" s="12"/>
      <c r="C405" s="12"/>
      <c r="D405" s="12"/>
      <c r="E405" s="56"/>
      <c r="F405" s="72"/>
      <c r="G405" s="7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56"/>
      <c r="B406" s="12"/>
      <c r="C406" s="12"/>
      <c r="D406" s="12"/>
      <c r="E406" s="56"/>
      <c r="F406" s="72"/>
      <c r="G406" s="7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56"/>
      <c r="B407" s="12"/>
      <c r="C407" s="12"/>
      <c r="D407" s="12"/>
      <c r="E407" s="56"/>
      <c r="F407" s="72"/>
      <c r="G407" s="7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56"/>
      <c r="B408" s="12"/>
      <c r="C408" s="12"/>
      <c r="D408" s="12"/>
      <c r="E408" s="56"/>
      <c r="F408" s="72"/>
      <c r="G408" s="7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56"/>
      <c r="B409" s="12"/>
      <c r="C409" s="12"/>
      <c r="D409" s="12"/>
      <c r="E409" s="56"/>
      <c r="F409" s="72"/>
      <c r="G409" s="7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56"/>
      <c r="B410" s="12"/>
      <c r="C410" s="12"/>
      <c r="D410" s="12"/>
      <c r="E410" s="56"/>
      <c r="F410" s="72"/>
      <c r="G410" s="7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56"/>
      <c r="B411" s="12"/>
      <c r="C411" s="12"/>
      <c r="D411" s="12"/>
      <c r="E411" s="56"/>
      <c r="F411" s="72"/>
      <c r="G411" s="7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56"/>
      <c r="B412" s="12"/>
      <c r="C412" s="12"/>
      <c r="D412" s="12"/>
      <c r="E412" s="56"/>
      <c r="F412" s="72"/>
      <c r="G412" s="7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56"/>
      <c r="B413" s="12"/>
      <c r="C413" s="12"/>
      <c r="D413" s="12"/>
      <c r="E413" s="56"/>
      <c r="F413" s="72"/>
      <c r="G413" s="7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56"/>
      <c r="B414" s="12"/>
      <c r="C414" s="12"/>
      <c r="D414" s="12"/>
      <c r="E414" s="56"/>
      <c r="F414" s="72"/>
      <c r="G414" s="7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56"/>
      <c r="B415" s="12"/>
      <c r="C415" s="12"/>
      <c r="D415" s="12"/>
      <c r="E415" s="56"/>
      <c r="F415" s="72"/>
      <c r="G415" s="7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56"/>
      <c r="B416" s="12"/>
      <c r="C416" s="12"/>
      <c r="D416" s="12"/>
      <c r="E416" s="56"/>
      <c r="F416" s="72"/>
      <c r="G416" s="7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56"/>
      <c r="B417" s="12"/>
      <c r="C417" s="12"/>
      <c r="D417" s="12"/>
      <c r="E417" s="56"/>
      <c r="F417" s="72"/>
      <c r="G417" s="7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56"/>
      <c r="B418" s="12"/>
      <c r="C418" s="12"/>
      <c r="D418" s="12"/>
      <c r="E418" s="56"/>
      <c r="F418" s="72"/>
      <c r="G418" s="7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56"/>
      <c r="B419" s="12"/>
      <c r="C419" s="12"/>
      <c r="D419" s="12"/>
      <c r="E419" s="56"/>
      <c r="F419" s="72"/>
      <c r="G419" s="7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56"/>
      <c r="B420" s="12"/>
      <c r="C420" s="12"/>
      <c r="D420" s="12"/>
      <c r="E420" s="56"/>
      <c r="F420" s="72"/>
      <c r="G420" s="7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56"/>
      <c r="B421" s="12"/>
      <c r="C421" s="12"/>
      <c r="D421" s="12"/>
      <c r="E421" s="56"/>
      <c r="F421" s="72"/>
      <c r="G421" s="7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56"/>
      <c r="B422" s="12"/>
      <c r="C422" s="12"/>
      <c r="D422" s="12"/>
      <c r="E422" s="56"/>
      <c r="F422" s="72"/>
      <c r="G422" s="7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56"/>
      <c r="B423" s="12"/>
      <c r="C423" s="12"/>
      <c r="D423" s="12"/>
      <c r="E423" s="56"/>
      <c r="F423" s="72"/>
      <c r="G423" s="7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56"/>
      <c r="B424" s="12"/>
      <c r="C424" s="12"/>
      <c r="D424" s="12"/>
      <c r="E424" s="56"/>
      <c r="F424" s="72"/>
      <c r="G424" s="7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56"/>
      <c r="B425" s="12"/>
      <c r="C425" s="12"/>
      <c r="D425" s="12"/>
      <c r="E425" s="56"/>
      <c r="F425" s="72"/>
      <c r="G425" s="7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56"/>
      <c r="B426" s="12"/>
      <c r="C426" s="12"/>
      <c r="D426" s="12"/>
      <c r="E426" s="56"/>
      <c r="F426" s="72"/>
      <c r="G426" s="7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56"/>
      <c r="B427" s="12"/>
      <c r="C427" s="12"/>
      <c r="D427" s="12"/>
      <c r="E427" s="56"/>
      <c r="F427" s="72"/>
      <c r="G427" s="7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56"/>
      <c r="B428" s="12"/>
      <c r="C428" s="12"/>
      <c r="D428" s="12"/>
      <c r="E428" s="56"/>
      <c r="F428" s="72"/>
      <c r="G428" s="7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56"/>
      <c r="B429" s="12"/>
      <c r="C429" s="12"/>
      <c r="D429" s="12"/>
      <c r="E429" s="56"/>
      <c r="F429" s="72"/>
      <c r="G429" s="7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56"/>
      <c r="B430" s="12"/>
      <c r="C430" s="12"/>
      <c r="D430" s="12"/>
      <c r="E430" s="56"/>
      <c r="F430" s="72"/>
      <c r="G430" s="7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56"/>
      <c r="B431" s="12"/>
      <c r="C431" s="12"/>
      <c r="D431" s="12"/>
      <c r="E431" s="56"/>
      <c r="F431" s="72"/>
      <c r="G431" s="7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56"/>
      <c r="B432" s="12"/>
      <c r="C432" s="12"/>
      <c r="D432" s="12"/>
      <c r="E432" s="56"/>
      <c r="F432" s="72"/>
      <c r="G432" s="7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56"/>
      <c r="B433" s="12"/>
      <c r="C433" s="12"/>
      <c r="D433" s="12"/>
      <c r="E433" s="56"/>
      <c r="F433" s="72"/>
      <c r="G433" s="7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56"/>
      <c r="B434" s="12"/>
      <c r="C434" s="12"/>
      <c r="D434" s="12"/>
      <c r="E434" s="56"/>
      <c r="F434" s="72"/>
      <c r="G434" s="7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56"/>
      <c r="B435" s="12"/>
      <c r="C435" s="12"/>
      <c r="D435" s="12"/>
      <c r="E435" s="56"/>
      <c r="F435" s="72"/>
      <c r="G435" s="7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56"/>
      <c r="B436" s="12"/>
      <c r="C436" s="12"/>
      <c r="D436" s="12"/>
      <c r="E436" s="56"/>
      <c r="F436" s="72"/>
      <c r="G436" s="7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56"/>
      <c r="B437" s="12"/>
      <c r="C437" s="12"/>
      <c r="D437" s="12"/>
      <c r="E437" s="56"/>
      <c r="F437" s="72"/>
      <c r="G437" s="7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56"/>
      <c r="B438" s="12"/>
      <c r="C438" s="12"/>
      <c r="D438" s="12"/>
      <c r="E438" s="56"/>
      <c r="F438" s="72"/>
      <c r="G438" s="7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56"/>
      <c r="B439" s="12"/>
      <c r="C439" s="12"/>
      <c r="D439" s="12"/>
      <c r="E439" s="56"/>
      <c r="F439" s="72"/>
      <c r="G439" s="7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56"/>
      <c r="B440" s="12"/>
      <c r="C440" s="12"/>
      <c r="D440" s="12"/>
      <c r="E440" s="56"/>
      <c r="F440" s="72"/>
      <c r="G440" s="7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56"/>
      <c r="B441" s="12"/>
      <c r="C441" s="12"/>
      <c r="D441" s="12"/>
      <c r="E441" s="56"/>
      <c r="F441" s="72"/>
      <c r="G441" s="7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56"/>
      <c r="B442" s="12"/>
      <c r="C442" s="12"/>
      <c r="D442" s="12"/>
      <c r="E442" s="56"/>
      <c r="F442" s="72"/>
      <c r="G442" s="7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56"/>
      <c r="B443" s="12"/>
      <c r="C443" s="12"/>
      <c r="D443" s="12"/>
      <c r="E443" s="56"/>
      <c r="F443" s="72"/>
      <c r="G443" s="7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56"/>
      <c r="B444" s="12"/>
      <c r="C444" s="12"/>
      <c r="D444" s="12"/>
      <c r="E444" s="56"/>
      <c r="F444" s="72"/>
      <c r="G444" s="7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56"/>
      <c r="B445" s="12"/>
      <c r="C445" s="12"/>
      <c r="D445" s="12"/>
      <c r="E445" s="56"/>
      <c r="F445" s="72"/>
      <c r="G445" s="7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56"/>
      <c r="B446" s="12"/>
      <c r="C446" s="12"/>
      <c r="D446" s="12"/>
      <c r="E446" s="56"/>
      <c r="F446" s="72"/>
      <c r="G446" s="7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56"/>
      <c r="B447" s="12"/>
      <c r="C447" s="12"/>
      <c r="D447" s="12"/>
      <c r="E447" s="56"/>
      <c r="F447" s="72"/>
      <c r="G447" s="7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56"/>
      <c r="B448" s="12"/>
      <c r="C448" s="12"/>
      <c r="D448" s="12"/>
      <c r="E448" s="56"/>
      <c r="F448" s="72"/>
      <c r="G448" s="7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56"/>
      <c r="B449" s="12"/>
      <c r="C449" s="12"/>
      <c r="D449" s="12"/>
      <c r="E449" s="56"/>
      <c r="F449" s="72"/>
      <c r="G449" s="7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56"/>
      <c r="B450" s="12"/>
      <c r="C450" s="12"/>
      <c r="D450" s="12"/>
      <c r="E450" s="56"/>
      <c r="F450" s="72"/>
      <c r="G450" s="7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56"/>
      <c r="B451" s="12"/>
      <c r="C451" s="12"/>
      <c r="D451" s="12"/>
      <c r="E451" s="56"/>
      <c r="F451" s="72"/>
      <c r="G451" s="7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56"/>
      <c r="B452" s="12"/>
      <c r="C452" s="12"/>
      <c r="D452" s="12"/>
      <c r="E452" s="56"/>
      <c r="F452" s="72"/>
      <c r="G452" s="7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56"/>
      <c r="B453" s="12"/>
      <c r="C453" s="12"/>
      <c r="D453" s="12"/>
      <c r="E453" s="56"/>
      <c r="F453" s="72"/>
      <c r="G453" s="7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56"/>
      <c r="B454" s="12"/>
      <c r="C454" s="12"/>
      <c r="D454" s="12"/>
      <c r="E454" s="56"/>
      <c r="F454" s="72"/>
      <c r="G454" s="7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56"/>
      <c r="B455" s="12"/>
      <c r="C455" s="12"/>
      <c r="D455" s="12"/>
      <c r="E455" s="56"/>
      <c r="F455" s="72"/>
      <c r="G455" s="7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56"/>
      <c r="B456" s="12"/>
      <c r="C456" s="12"/>
      <c r="D456" s="12"/>
      <c r="E456" s="56"/>
      <c r="F456" s="72"/>
      <c r="G456" s="7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56"/>
      <c r="B457" s="12"/>
      <c r="C457" s="12"/>
      <c r="D457" s="12"/>
      <c r="E457" s="56"/>
      <c r="F457" s="72"/>
      <c r="G457" s="7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56"/>
      <c r="B458" s="12"/>
      <c r="C458" s="12"/>
      <c r="D458" s="12"/>
      <c r="E458" s="56"/>
      <c r="F458" s="72"/>
      <c r="G458" s="7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56"/>
      <c r="B459" s="12"/>
      <c r="C459" s="12"/>
      <c r="D459" s="12"/>
      <c r="E459" s="56"/>
      <c r="F459" s="72"/>
      <c r="G459" s="7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56"/>
      <c r="B460" s="12"/>
      <c r="C460" s="12"/>
      <c r="D460" s="12"/>
      <c r="E460" s="56"/>
      <c r="F460" s="72"/>
      <c r="G460" s="7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56"/>
      <c r="B461" s="12"/>
      <c r="C461" s="12"/>
      <c r="D461" s="12"/>
      <c r="E461" s="56"/>
      <c r="F461" s="72"/>
      <c r="G461" s="7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56"/>
      <c r="B462" s="12"/>
      <c r="C462" s="12"/>
      <c r="D462" s="12"/>
      <c r="E462" s="56"/>
      <c r="F462" s="72"/>
      <c r="G462" s="7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56"/>
      <c r="B463" s="12"/>
      <c r="C463" s="12"/>
      <c r="D463" s="12"/>
      <c r="E463" s="56"/>
      <c r="F463" s="72"/>
      <c r="G463" s="7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56"/>
      <c r="B464" s="12"/>
      <c r="C464" s="12"/>
      <c r="D464" s="12"/>
      <c r="E464" s="56"/>
      <c r="F464" s="72"/>
      <c r="G464" s="7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56"/>
      <c r="B465" s="12"/>
      <c r="C465" s="12"/>
      <c r="D465" s="12"/>
      <c r="E465" s="56"/>
      <c r="F465" s="72"/>
      <c r="G465" s="7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56"/>
      <c r="B466" s="12"/>
      <c r="C466" s="12"/>
      <c r="D466" s="12"/>
      <c r="E466" s="56"/>
      <c r="F466" s="72"/>
      <c r="G466" s="7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56"/>
      <c r="B467" s="12"/>
      <c r="C467" s="12"/>
      <c r="D467" s="12"/>
      <c r="E467" s="56"/>
      <c r="F467" s="72"/>
      <c r="G467" s="7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56"/>
      <c r="B468" s="12"/>
      <c r="C468" s="12"/>
      <c r="D468" s="12"/>
      <c r="E468" s="56"/>
      <c r="F468" s="72"/>
      <c r="G468" s="7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56"/>
      <c r="B469" s="12"/>
      <c r="C469" s="12"/>
      <c r="D469" s="12"/>
      <c r="E469" s="56"/>
      <c r="F469" s="72"/>
      <c r="G469" s="7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56"/>
      <c r="B470" s="12"/>
      <c r="C470" s="12"/>
      <c r="D470" s="12"/>
      <c r="E470" s="56"/>
      <c r="F470" s="72"/>
      <c r="G470" s="7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56"/>
      <c r="B471" s="12"/>
      <c r="C471" s="12"/>
      <c r="D471" s="12"/>
      <c r="E471" s="56"/>
      <c r="F471" s="72"/>
      <c r="G471" s="7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56"/>
      <c r="B472" s="12"/>
      <c r="C472" s="12"/>
      <c r="D472" s="12"/>
      <c r="E472" s="56"/>
      <c r="F472" s="72"/>
      <c r="G472" s="7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56"/>
      <c r="B473" s="12"/>
      <c r="C473" s="12"/>
      <c r="D473" s="12"/>
      <c r="E473" s="56"/>
      <c r="F473" s="72"/>
      <c r="G473" s="7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56"/>
      <c r="B474" s="12"/>
      <c r="C474" s="12"/>
      <c r="D474" s="12"/>
      <c r="E474" s="56"/>
      <c r="F474" s="72"/>
      <c r="G474" s="7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56"/>
      <c r="B475" s="12"/>
      <c r="C475" s="12"/>
      <c r="D475" s="12"/>
      <c r="E475" s="56"/>
      <c r="F475" s="72"/>
      <c r="G475" s="7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56"/>
      <c r="B476" s="12"/>
      <c r="C476" s="12"/>
      <c r="D476" s="12"/>
      <c r="E476" s="56"/>
      <c r="F476" s="72"/>
      <c r="G476" s="7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56"/>
      <c r="B477" s="12"/>
      <c r="C477" s="12"/>
      <c r="D477" s="12"/>
      <c r="E477" s="56"/>
      <c r="F477" s="72"/>
      <c r="G477" s="7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56"/>
      <c r="B478" s="12"/>
      <c r="C478" s="12"/>
      <c r="D478" s="12"/>
      <c r="E478" s="56"/>
      <c r="F478" s="72"/>
      <c r="G478" s="7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56"/>
      <c r="B479" s="12"/>
      <c r="C479" s="12"/>
      <c r="D479" s="12"/>
      <c r="E479" s="56"/>
      <c r="F479" s="72"/>
      <c r="G479" s="7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56"/>
      <c r="B480" s="12"/>
      <c r="C480" s="12"/>
      <c r="D480" s="12"/>
      <c r="E480" s="56"/>
      <c r="F480" s="72"/>
      <c r="G480" s="7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56"/>
      <c r="B481" s="12"/>
      <c r="C481" s="12"/>
      <c r="D481" s="12"/>
      <c r="E481" s="56"/>
      <c r="F481" s="72"/>
      <c r="G481" s="7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56"/>
      <c r="B482" s="12"/>
      <c r="C482" s="12"/>
      <c r="D482" s="12"/>
      <c r="E482" s="56"/>
      <c r="F482" s="72"/>
      <c r="G482" s="7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56"/>
      <c r="B483" s="12"/>
      <c r="C483" s="12"/>
      <c r="D483" s="12"/>
      <c r="E483" s="56"/>
      <c r="F483" s="72"/>
      <c r="G483" s="7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56"/>
      <c r="B484" s="12"/>
      <c r="C484" s="12"/>
      <c r="D484" s="12"/>
      <c r="E484" s="56"/>
      <c r="F484" s="72"/>
      <c r="G484" s="7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56"/>
      <c r="B485" s="12"/>
      <c r="C485" s="12"/>
      <c r="D485" s="12"/>
      <c r="E485" s="56"/>
      <c r="F485" s="72"/>
      <c r="G485" s="7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56"/>
      <c r="B486" s="12"/>
      <c r="C486" s="12"/>
      <c r="D486" s="12"/>
      <c r="E486" s="56"/>
      <c r="F486" s="72"/>
      <c r="G486" s="7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56"/>
      <c r="B487" s="12"/>
      <c r="C487" s="12"/>
      <c r="D487" s="12"/>
      <c r="E487" s="56"/>
      <c r="F487" s="72"/>
      <c r="G487" s="7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56"/>
      <c r="B488" s="12"/>
      <c r="C488" s="12"/>
      <c r="D488" s="12"/>
      <c r="E488" s="56"/>
      <c r="F488" s="72"/>
      <c r="G488" s="7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56"/>
      <c r="B489" s="12"/>
      <c r="C489" s="12"/>
      <c r="D489" s="12"/>
      <c r="E489" s="56"/>
      <c r="F489" s="72"/>
      <c r="G489" s="7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56"/>
      <c r="B490" s="12"/>
      <c r="C490" s="12"/>
      <c r="D490" s="12"/>
      <c r="E490" s="56"/>
      <c r="F490" s="72"/>
      <c r="G490" s="7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56"/>
      <c r="B491" s="12"/>
      <c r="C491" s="12"/>
      <c r="D491" s="12"/>
      <c r="E491" s="56"/>
      <c r="F491" s="72"/>
      <c r="G491" s="7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56"/>
      <c r="B492" s="12"/>
      <c r="C492" s="12"/>
      <c r="D492" s="12"/>
      <c r="E492" s="56"/>
      <c r="F492" s="72"/>
      <c r="G492" s="7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56"/>
      <c r="B493" s="12"/>
      <c r="C493" s="12"/>
      <c r="D493" s="12"/>
      <c r="E493" s="56"/>
      <c r="F493" s="72"/>
      <c r="G493" s="7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56"/>
      <c r="B494" s="12"/>
      <c r="C494" s="12"/>
      <c r="D494" s="12"/>
      <c r="E494" s="56"/>
      <c r="F494" s="72"/>
      <c r="G494" s="7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56"/>
      <c r="B495" s="12"/>
      <c r="C495" s="12"/>
      <c r="D495" s="12"/>
      <c r="E495" s="56"/>
      <c r="F495" s="72"/>
      <c r="G495" s="7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56"/>
      <c r="B496" s="12"/>
      <c r="C496" s="12"/>
      <c r="D496" s="12"/>
      <c r="E496" s="56"/>
      <c r="F496" s="72"/>
      <c r="G496" s="7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56"/>
      <c r="B497" s="12"/>
      <c r="C497" s="12"/>
      <c r="D497" s="12"/>
      <c r="E497" s="56"/>
      <c r="F497" s="72"/>
      <c r="G497" s="7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56"/>
      <c r="B498" s="12"/>
      <c r="C498" s="12"/>
      <c r="D498" s="12"/>
      <c r="E498" s="56"/>
      <c r="F498" s="72"/>
      <c r="G498" s="7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56"/>
      <c r="B499" s="12"/>
      <c r="C499" s="12"/>
      <c r="D499" s="12"/>
      <c r="E499" s="56"/>
      <c r="F499" s="72"/>
      <c r="G499" s="7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56"/>
      <c r="B500" s="12"/>
      <c r="C500" s="12"/>
      <c r="D500" s="12"/>
      <c r="E500" s="56"/>
      <c r="F500" s="72"/>
      <c r="G500" s="7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56"/>
      <c r="B501" s="12"/>
      <c r="C501" s="12"/>
      <c r="D501" s="12"/>
      <c r="E501" s="56"/>
      <c r="F501" s="72"/>
      <c r="G501" s="7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56"/>
      <c r="B502" s="12"/>
      <c r="C502" s="12"/>
      <c r="D502" s="12"/>
      <c r="E502" s="56"/>
      <c r="F502" s="72"/>
      <c r="G502" s="7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56"/>
      <c r="B503" s="12"/>
      <c r="C503" s="12"/>
      <c r="D503" s="12"/>
      <c r="E503" s="56"/>
      <c r="F503" s="72"/>
      <c r="G503" s="7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56"/>
      <c r="B504" s="12"/>
      <c r="C504" s="12"/>
      <c r="D504" s="12"/>
      <c r="E504" s="56"/>
      <c r="F504" s="72"/>
      <c r="G504" s="7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56"/>
      <c r="B505" s="12"/>
      <c r="C505" s="12"/>
      <c r="D505" s="12"/>
      <c r="E505" s="56"/>
      <c r="F505" s="72"/>
      <c r="G505" s="7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56"/>
      <c r="B506" s="12"/>
      <c r="C506" s="12"/>
      <c r="D506" s="12"/>
      <c r="E506" s="56"/>
      <c r="F506" s="72"/>
      <c r="G506" s="7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56"/>
      <c r="B507" s="12"/>
      <c r="C507" s="12"/>
      <c r="D507" s="12"/>
      <c r="E507" s="56"/>
      <c r="F507" s="72"/>
      <c r="G507" s="7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56"/>
      <c r="B508" s="12"/>
      <c r="C508" s="12"/>
      <c r="D508" s="12"/>
      <c r="E508" s="56"/>
      <c r="F508" s="72"/>
      <c r="G508" s="7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56"/>
      <c r="B509" s="12"/>
      <c r="C509" s="12"/>
      <c r="D509" s="12"/>
      <c r="E509" s="56"/>
      <c r="F509" s="72"/>
      <c r="G509" s="7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56"/>
      <c r="B510" s="12"/>
      <c r="C510" s="12"/>
      <c r="D510" s="12"/>
      <c r="E510" s="56"/>
      <c r="F510" s="72"/>
      <c r="G510" s="7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56"/>
      <c r="B511" s="12"/>
      <c r="C511" s="12"/>
      <c r="D511" s="12"/>
      <c r="E511" s="56"/>
      <c r="F511" s="72"/>
      <c r="G511" s="7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56"/>
      <c r="B512" s="12"/>
      <c r="C512" s="12"/>
      <c r="D512" s="12"/>
      <c r="E512" s="56"/>
      <c r="F512" s="72"/>
      <c r="G512" s="7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56"/>
      <c r="B513" s="12"/>
      <c r="C513" s="12"/>
      <c r="D513" s="12"/>
      <c r="E513" s="56"/>
      <c r="F513" s="72"/>
      <c r="G513" s="7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56"/>
      <c r="B514" s="12"/>
      <c r="C514" s="12"/>
      <c r="D514" s="12"/>
      <c r="E514" s="56"/>
      <c r="F514" s="72"/>
      <c r="G514" s="7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56"/>
      <c r="B515" s="12"/>
      <c r="C515" s="12"/>
      <c r="D515" s="12"/>
      <c r="E515" s="56"/>
      <c r="F515" s="72"/>
      <c r="G515" s="7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56"/>
      <c r="B516" s="12"/>
      <c r="C516" s="12"/>
      <c r="D516" s="12"/>
      <c r="E516" s="56"/>
      <c r="F516" s="72"/>
      <c r="G516" s="7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56"/>
      <c r="B517" s="12"/>
      <c r="C517" s="12"/>
      <c r="D517" s="12"/>
      <c r="E517" s="56"/>
      <c r="F517" s="72"/>
      <c r="G517" s="7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56"/>
      <c r="B518" s="12"/>
      <c r="C518" s="12"/>
      <c r="D518" s="12"/>
      <c r="E518" s="56"/>
      <c r="F518" s="72"/>
      <c r="G518" s="7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56"/>
      <c r="B519" s="12"/>
      <c r="C519" s="12"/>
      <c r="D519" s="12"/>
      <c r="E519" s="56"/>
      <c r="F519" s="72"/>
      <c r="G519" s="7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56"/>
      <c r="B520" s="12"/>
      <c r="C520" s="12"/>
      <c r="D520" s="12"/>
      <c r="E520" s="56"/>
      <c r="F520" s="72"/>
      <c r="G520" s="7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56"/>
      <c r="B521" s="12"/>
      <c r="C521" s="12"/>
      <c r="D521" s="12"/>
      <c r="E521" s="56"/>
      <c r="F521" s="72"/>
      <c r="G521" s="7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56"/>
      <c r="B522" s="12"/>
      <c r="C522" s="12"/>
      <c r="D522" s="12"/>
      <c r="E522" s="56"/>
      <c r="F522" s="72"/>
      <c r="G522" s="7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56"/>
      <c r="B523" s="12"/>
      <c r="C523" s="12"/>
      <c r="D523" s="12"/>
      <c r="E523" s="56"/>
      <c r="F523" s="72"/>
      <c r="G523" s="7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56"/>
      <c r="B524" s="12"/>
      <c r="C524" s="12"/>
      <c r="D524" s="12"/>
      <c r="E524" s="56"/>
      <c r="F524" s="72"/>
      <c r="G524" s="7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56"/>
      <c r="B525" s="12"/>
      <c r="C525" s="12"/>
      <c r="D525" s="12"/>
      <c r="E525" s="56"/>
      <c r="F525" s="72"/>
      <c r="G525" s="7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56"/>
      <c r="B526" s="12"/>
      <c r="C526" s="12"/>
      <c r="D526" s="12"/>
      <c r="E526" s="56"/>
      <c r="F526" s="72"/>
      <c r="G526" s="7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56"/>
      <c r="B527" s="12"/>
      <c r="C527" s="12"/>
      <c r="D527" s="12"/>
      <c r="E527" s="56"/>
      <c r="F527" s="72"/>
      <c r="G527" s="7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56"/>
      <c r="B528" s="12"/>
      <c r="C528" s="12"/>
      <c r="D528" s="12"/>
      <c r="E528" s="56"/>
      <c r="F528" s="72"/>
      <c r="G528" s="7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56"/>
      <c r="B529" s="12"/>
      <c r="C529" s="12"/>
      <c r="D529" s="12"/>
      <c r="E529" s="56"/>
      <c r="F529" s="72"/>
      <c r="G529" s="7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56"/>
      <c r="B530" s="12"/>
      <c r="C530" s="12"/>
      <c r="D530" s="12"/>
      <c r="E530" s="56"/>
      <c r="F530" s="72"/>
      <c r="G530" s="7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56"/>
      <c r="B531" s="12"/>
      <c r="C531" s="12"/>
      <c r="D531" s="12"/>
      <c r="E531" s="56"/>
      <c r="F531" s="72"/>
      <c r="G531" s="7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56"/>
      <c r="B532" s="12"/>
      <c r="C532" s="12"/>
      <c r="D532" s="12"/>
      <c r="E532" s="56"/>
      <c r="F532" s="72"/>
      <c r="G532" s="7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56"/>
      <c r="B533" s="12"/>
      <c r="C533" s="12"/>
      <c r="D533" s="12"/>
      <c r="E533" s="56"/>
      <c r="F533" s="72"/>
      <c r="G533" s="7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56"/>
      <c r="B534" s="12"/>
      <c r="C534" s="12"/>
      <c r="D534" s="12"/>
      <c r="E534" s="56"/>
      <c r="F534" s="72"/>
      <c r="G534" s="7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56"/>
      <c r="B535" s="12"/>
      <c r="C535" s="12"/>
      <c r="D535" s="12"/>
      <c r="E535" s="56"/>
      <c r="F535" s="72"/>
      <c r="G535" s="7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56"/>
      <c r="B536" s="12"/>
      <c r="C536" s="12"/>
      <c r="D536" s="12"/>
      <c r="E536" s="56"/>
      <c r="F536" s="72"/>
      <c r="G536" s="7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56"/>
      <c r="B537" s="12"/>
      <c r="C537" s="12"/>
      <c r="D537" s="12"/>
      <c r="E537" s="56"/>
      <c r="F537" s="72"/>
      <c r="G537" s="7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56"/>
      <c r="B538" s="12"/>
      <c r="C538" s="12"/>
      <c r="D538" s="12"/>
      <c r="E538" s="56"/>
      <c r="F538" s="72"/>
      <c r="G538" s="7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56"/>
      <c r="B539" s="12"/>
      <c r="C539" s="12"/>
      <c r="D539" s="12"/>
      <c r="E539" s="56"/>
      <c r="F539" s="72"/>
      <c r="G539" s="7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56"/>
      <c r="B540" s="12"/>
      <c r="C540" s="12"/>
      <c r="D540" s="12"/>
      <c r="E540" s="56"/>
      <c r="F540" s="72"/>
      <c r="G540" s="7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56"/>
      <c r="B541" s="12"/>
      <c r="C541" s="12"/>
      <c r="D541" s="12"/>
      <c r="E541" s="56"/>
      <c r="F541" s="72"/>
      <c r="G541" s="7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56"/>
      <c r="B542" s="12"/>
      <c r="C542" s="12"/>
      <c r="D542" s="12"/>
      <c r="E542" s="56"/>
      <c r="F542" s="72"/>
      <c r="G542" s="7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56"/>
      <c r="B543" s="12"/>
      <c r="C543" s="12"/>
      <c r="D543" s="12"/>
      <c r="E543" s="56"/>
      <c r="F543" s="72"/>
      <c r="G543" s="7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56"/>
      <c r="B544" s="12"/>
      <c r="C544" s="12"/>
      <c r="D544" s="12"/>
      <c r="E544" s="56"/>
      <c r="F544" s="72"/>
      <c r="G544" s="7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56"/>
      <c r="B545" s="12"/>
      <c r="C545" s="12"/>
      <c r="D545" s="12"/>
      <c r="E545" s="56"/>
      <c r="F545" s="72"/>
      <c r="G545" s="7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56"/>
      <c r="B546" s="12"/>
      <c r="C546" s="12"/>
      <c r="D546" s="12"/>
      <c r="E546" s="56"/>
      <c r="F546" s="72"/>
      <c r="G546" s="7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56"/>
      <c r="B547" s="12"/>
      <c r="C547" s="12"/>
      <c r="D547" s="12"/>
      <c r="E547" s="56"/>
      <c r="F547" s="72"/>
      <c r="G547" s="7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56"/>
      <c r="B548" s="12"/>
      <c r="C548" s="12"/>
      <c r="D548" s="12"/>
      <c r="E548" s="56"/>
      <c r="F548" s="72"/>
      <c r="G548" s="7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56"/>
      <c r="B549" s="12"/>
      <c r="C549" s="12"/>
      <c r="D549" s="12"/>
      <c r="E549" s="56"/>
      <c r="F549" s="72"/>
      <c r="G549" s="7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56"/>
      <c r="B550" s="12"/>
      <c r="C550" s="12"/>
      <c r="D550" s="12"/>
      <c r="E550" s="56"/>
      <c r="F550" s="72"/>
      <c r="G550" s="7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56"/>
      <c r="B551" s="12"/>
      <c r="C551" s="12"/>
      <c r="D551" s="12"/>
      <c r="E551" s="56"/>
      <c r="F551" s="72"/>
      <c r="G551" s="7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56"/>
      <c r="B552" s="12"/>
      <c r="C552" s="12"/>
      <c r="D552" s="12"/>
      <c r="E552" s="56"/>
      <c r="F552" s="72"/>
      <c r="G552" s="7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56"/>
      <c r="B553" s="12"/>
      <c r="C553" s="12"/>
      <c r="D553" s="12"/>
      <c r="E553" s="56"/>
      <c r="F553" s="72"/>
      <c r="G553" s="7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56"/>
      <c r="B554" s="12"/>
      <c r="C554" s="12"/>
      <c r="D554" s="12"/>
      <c r="E554" s="56"/>
      <c r="F554" s="72"/>
      <c r="G554" s="7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56"/>
      <c r="B555" s="12"/>
      <c r="C555" s="12"/>
      <c r="D555" s="12"/>
      <c r="E555" s="56"/>
      <c r="F555" s="72"/>
      <c r="G555" s="7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56"/>
      <c r="B556" s="12"/>
      <c r="C556" s="12"/>
      <c r="D556" s="12"/>
      <c r="E556" s="56"/>
      <c r="F556" s="72"/>
      <c r="G556" s="7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56"/>
      <c r="B557" s="12"/>
      <c r="C557" s="12"/>
      <c r="D557" s="12"/>
      <c r="E557" s="56"/>
      <c r="F557" s="72"/>
      <c r="G557" s="7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56"/>
      <c r="B558" s="12"/>
      <c r="C558" s="12"/>
      <c r="D558" s="12"/>
      <c r="E558" s="56"/>
      <c r="F558" s="72"/>
      <c r="G558" s="7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56"/>
      <c r="B559" s="12"/>
      <c r="C559" s="12"/>
      <c r="D559" s="12"/>
      <c r="E559" s="56"/>
      <c r="F559" s="72"/>
      <c r="G559" s="7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56"/>
      <c r="B560" s="12"/>
      <c r="C560" s="12"/>
      <c r="D560" s="12"/>
      <c r="E560" s="56"/>
      <c r="F560" s="72"/>
      <c r="G560" s="7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56"/>
      <c r="B561" s="12"/>
      <c r="C561" s="12"/>
      <c r="D561" s="12"/>
      <c r="E561" s="56"/>
      <c r="F561" s="72"/>
      <c r="G561" s="7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56"/>
      <c r="B562" s="12"/>
      <c r="C562" s="12"/>
      <c r="D562" s="12"/>
      <c r="E562" s="56"/>
      <c r="F562" s="72"/>
      <c r="G562" s="7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56"/>
      <c r="B563" s="12"/>
      <c r="C563" s="12"/>
      <c r="D563" s="12"/>
      <c r="E563" s="56"/>
      <c r="F563" s="72"/>
      <c r="G563" s="7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56"/>
      <c r="B564" s="12"/>
      <c r="C564" s="12"/>
      <c r="D564" s="12"/>
      <c r="E564" s="56"/>
      <c r="F564" s="72"/>
      <c r="G564" s="7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56"/>
      <c r="B565" s="12"/>
      <c r="C565" s="12"/>
      <c r="D565" s="12"/>
      <c r="E565" s="56"/>
      <c r="F565" s="72"/>
      <c r="G565" s="7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56"/>
      <c r="B566" s="12"/>
      <c r="C566" s="12"/>
      <c r="D566" s="12"/>
      <c r="E566" s="56"/>
      <c r="F566" s="72"/>
      <c r="G566" s="7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56"/>
      <c r="B567" s="12"/>
      <c r="C567" s="12"/>
      <c r="D567" s="12"/>
      <c r="E567" s="56"/>
      <c r="F567" s="72"/>
      <c r="G567" s="7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56"/>
      <c r="B568" s="12"/>
      <c r="C568" s="12"/>
      <c r="D568" s="12"/>
      <c r="E568" s="56"/>
      <c r="F568" s="72"/>
      <c r="G568" s="7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56"/>
      <c r="B569" s="12"/>
      <c r="C569" s="12"/>
      <c r="D569" s="12"/>
      <c r="E569" s="56"/>
      <c r="F569" s="72"/>
      <c r="G569" s="7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56"/>
      <c r="B570" s="12"/>
      <c r="C570" s="12"/>
      <c r="D570" s="12"/>
      <c r="E570" s="56"/>
      <c r="F570" s="72"/>
      <c r="G570" s="7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56"/>
      <c r="B571" s="12"/>
      <c r="C571" s="12"/>
      <c r="D571" s="12"/>
      <c r="E571" s="56"/>
      <c r="F571" s="72"/>
      <c r="G571" s="7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56"/>
      <c r="B572" s="12"/>
      <c r="C572" s="12"/>
      <c r="D572" s="12"/>
      <c r="E572" s="56"/>
      <c r="F572" s="72"/>
      <c r="G572" s="7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56"/>
      <c r="B573" s="12"/>
      <c r="C573" s="12"/>
      <c r="D573" s="12"/>
      <c r="E573" s="56"/>
      <c r="F573" s="72"/>
      <c r="G573" s="7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56"/>
      <c r="B574" s="12"/>
      <c r="C574" s="12"/>
      <c r="D574" s="12"/>
      <c r="E574" s="56"/>
      <c r="F574" s="72"/>
      <c r="G574" s="7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56"/>
      <c r="B575" s="12"/>
      <c r="C575" s="12"/>
      <c r="D575" s="12"/>
      <c r="E575" s="56"/>
      <c r="F575" s="72"/>
      <c r="G575" s="7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56"/>
      <c r="B576" s="12"/>
      <c r="C576" s="12"/>
      <c r="D576" s="12"/>
      <c r="E576" s="56"/>
      <c r="F576" s="72"/>
      <c r="G576" s="7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56"/>
      <c r="B577" s="12"/>
      <c r="C577" s="12"/>
      <c r="D577" s="12"/>
      <c r="E577" s="56"/>
      <c r="F577" s="72"/>
      <c r="G577" s="7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56"/>
      <c r="B578" s="12"/>
      <c r="C578" s="12"/>
      <c r="D578" s="12"/>
      <c r="E578" s="56"/>
      <c r="F578" s="72"/>
      <c r="G578" s="7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56"/>
      <c r="B579" s="12"/>
      <c r="C579" s="12"/>
      <c r="D579" s="12"/>
      <c r="E579" s="56"/>
      <c r="F579" s="72"/>
      <c r="G579" s="7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56"/>
      <c r="B580" s="12"/>
      <c r="C580" s="12"/>
      <c r="D580" s="12"/>
      <c r="E580" s="56"/>
      <c r="F580" s="72"/>
      <c r="G580" s="7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56"/>
      <c r="B581" s="12"/>
      <c r="C581" s="12"/>
      <c r="D581" s="12"/>
      <c r="E581" s="56"/>
      <c r="F581" s="72"/>
      <c r="G581" s="7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56"/>
      <c r="B582" s="12"/>
      <c r="C582" s="12"/>
      <c r="D582" s="12"/>
      <c r="E582" s="56"/>
      <c r="F582" s="72"/>
      <c r="G582" s="7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56"/>
      <c r="B583" s="12"/>
      <c r="C583" s="12"/>
      <c r="D583" s="12"/>
      <c r="E583" s="56"/>
      <c r="F583" s="72"/>
      <c r="G583" s="7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56"/>
      <c r="B584" s="12"/>
      <c r="C584" s="12"/>
      <c r="D584" s="12"/>
      <c r="E584" s="56"/>
      <c r="F584" s="72"/>
      <c r="G584" s="7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56"/>
      <c r="B585" s="12"/>
      <c r="C585" s="12"/>
      <c r="D585" s="12"/>
      <c r="E585" s="56"/>
      <c r="F585" s="72"/>
      <c r="G585" s="7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56"/>
      <c r="B586" s="12"/>
      <c r="C586" s="12"/>
      <c r="D586" s="12"/>
      <c r="E586" s="56"/>
      <c r="F586" s="72"/>
      <c r="G586" s="7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56"/>
      <c r="B587" s="12"/>
      <c r="C587" s="12"/>
      <c r="D587" s="12"/>
      <c r="E587" s="56"/>
      <c r="F587" s="72"/>
      <c r="G587" s="7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56"/>
      <c r="B588" s="12"/>
      <c r="C588" s="12"/>
      <c r="D588" s="12"/>
      <c r="E588" s="56"/>
      <c r="F588" s="72"/>
      <c r="G588" s="7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56"/>
      <c r="B589" s="12"/>
      <c r="C589" s="12"/>
      <c r="D589" s="12"/>
      <c r="E589" s="56"/>
      <c r="F589" s="72"/>
      <c r="G589" s="7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56"/>
      <c r="B590" s="12"/>
      <c r="C590" s="12"/>
      <c r="D590" s="12"/>
      <c r="E590" s="56"/>
      <c r="F590" s="72"/>
      <c r="G590" s="7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56"/>
      <c r="B591" s="12"/>
      <c r="C591" s="12"/>
      <c r="D591" s="12"/>
      <c r="E591" s="56"/>
      <c r="F591" s="72"/>
      <c r="G591" s="7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56"/>
      <c r="B592" s="12"/>
      <c r="C592" s="12"/>
      <c r="D592" s="12"/>
      <c r="E592" s="56"/>
      <c r="F592" s="72"/>
      <c r="G592" s="7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56"/>
      <c r="B593" s="12"/>
      <c r="C593" s="12"/>
      <c r="D593" s="12"/>
      <c r="E593" s="56"/>
      <c r="F593" s="72"/>
      <c r="G593" s="7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56"/>
      <c r="B594" s="12"/>
      <c r="C594" s="12"/>
      <c r="D594" s="12"/>
      <c r="E594" s="56"/>
      <c r="F594" s="72"/>
      <c r="G594" s="7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56"/>
      <c r="B595" s="12"/>
      <c r="C595" s="12"/>
      <c r="D595" s="12"/>
      <c r="E595" s="56"/>
      <c r="F595" s="72"/>
      <c r="G595" s="7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56"/>
      <c r="B596" s="12"/>
      <c r="C596" s="12"/>
      <c r="D596" s="12"/>
      <c r="E596" s="56"/>
      <c r="F596" s="72"/>
      <c r="G596" s="7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56"/>
      <c r="B597" s="12"/>
      <c r="C597" s="12"/>
      <c r="D597" s="12"/>
      <c r="E597" s="56"/>
      <c r="F597" s="72"/>
      <c r="G597" s="7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56"/>
      <c r="B598" s="12"/>
      <c r="C598" s="12"/>
      <c r="D598" s="12"/>
      <c r="E598" s="56"/>
      <c r="F598" s="72"/>
      <c r="G598" s="7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56"/>
      <c r="B599" s="12"/>
      <c r="C599" s="12"/>
      <c r="D599" s="12"/>
      <c r="E599" s="56"/>
      <c r="F599" s="72"/>
      <c r="G599" s="7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56"/>
      <c r="B600" s="12"/>
      <c r="C600" s="12"/>
      <c r="D600" s="12"/>
      <c r="E600" s="56"/>
      <c r="F600" s="72"/>
      <c r="G600" s="7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56"/>
      <c r="B601" s="12"/>
      <c r="C601" s="12"/>
      <c r="D601" s="12"/>
      <c r="E601" s="56"/>
      <c r="F601" s="72"/>
      <c r="G601" s="7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56"/>
      <c r="B602" s="12"/>
      <c r="C602" s="12"/>
      <c r="D602" s="12"/>
      <c r="E602" s="56"/>
      <c r="F602" s="72"/>
      <c r="G602" s="7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56"/>
      <c r="B603" s="12"/>
      <c r="C603" s="12"/>
      <c r="D603" s="12"/>
      <c r="E603" s="56"/>
      <c r="F603" s="72"/>
      <c r="G603" s="7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56"/>
      <c r="B604" s="12"/>
      <c r="C604" s="12"/>
      <c r="D604" s="12"/>
      <c r="E604" s="56"/>
      <c r="F604" s="72"/>
      <c r="G604" s="7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56"/>
      <c r="B605" s="12"/>
      <c r="C605" s="12"/>
      <c r="D605" s="12"/>
      <c r="E605" s="56"/>
      <c r="F605" s="72"/>
      <c r="G605" s="7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56"/>
      <c r="B606" s="12"/>
      <c r="C606" s="12"/>
      <c r="D606" s="12"/>
      <c r="E606" s="56"/>
      <c r="F606" s="72"/>
      <c r="G606" s="7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56"/>
      <c r="B607" s="12"/>
      <c r="C607" s="12"/>
      <c r="D607" s="12"/>
      <c r="E607" s="56"/>
      <c r="F607" s="72"/>
      <c r="G607" s="7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56"/>
      <c r="B608" s="12"/>
      <c r="C608" s="12"/>
      <c r="D608" s="12"/>
      <c r="E608" s="56"/>
      <c r="F608" s="72"/>
      <c r="G608" s="7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56"/>
      <c r="B609" s="12"/>
      <c r="C609" s="12"/>
      <c r="D609" s="12"/>
      <c r="E609" s="56"/>
      <c r="F609" s="72"/>
      <c r="G609" s="7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56"/>
      <c r="B610" s="12"/>
      <c r="C610" s="12"/>
      <c r="D610" s="12"/>
      <c r="E610" s="56"/>
      <c r="F610" s="72"/>
      <c r="G610" s="7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56"/>
      <c r="B611" s="12"/>
      <c r="C611" s="12"/>
      <c r="D611" s="12"/>
      <c r="E611" s="56"/>
      <c r="F611" s="72"/>
      <c r="G611" s="7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56"/>
      <c r="B612" s="12"/>
      <c r="C612" s="12"/>
      <c r="D612" s="12"/>
      <c r="E612" s="56"/>
      <c r="F612" s="72"/>
      <c r="G612" s="7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56"/>
      <c r="B613" s="12"/>
      <c r="C613" s="12"/>
      <c r="D613" s="12"/>
      <c r="E613" s="56"/>
      <c r="F613" s="72"/>
      <c r="G613" s="7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56"/>
      <c r="B614" s="12"/>
      <c r="C614" s="12"/>
      <c r="D614" s="12"/>
      <c r="E614" s="56"/>
      <c r="F614" s="72"/>
      <c r="G614" s="7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56"/>
      <c r="B615" s="12"/>
      <c r="C615" s="12"/>
      <c r="D615" s="12"/>
      <c r="E615" s="56"/>
      <c r="F615" s="72"/>
      <c r="G615" s="7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56"/>
      <c r="B616" s="12"/>
      <c r="C616" s="12"/>
      <c r="D616" s="12"/>
      <c r="E616" s="56"/>
      <c r="F616" s="72"/>
      <c r="G616" s="7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56"/>
      <c r="B617" s="12"/>
      <c r="C617" s="12"/>
      <c r="D617" s="12"/>
      <c r="E617" s="56"/>
      <c r="F617" s="72"/>
      <c r="G617" s="7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56"/>
      <c r="B618" s="12"/>
      <c r="C618" s="12"/>
      <c r="D618" s="12"/>
      <c r="E618" s="56"/>
      <c r="F618" s="72"/>
      <c r="G618" s="7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56"/>
      <c r="B619" s="12"/>
      <c r="C619" s="12"/>
      <c r="D619" s="12"/>
      <c r="E619" s="56"/>
      <c r="F619" s="72"/>
      <c r="G619" s="7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56"/>
      <c r="B620" s="12"/>
      <c r="C620" s="12"/>
      <c r="D620" s="12"/>
      <c r="E620" s="56"/>
      <c r="F620" s="72"/>
      <c r="G620" s="7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56"/>
      <c r="B621" s="12"/>
      <c r="C621" s="12"/>
      <c r="D621" s="12"/>
      <c r="E621" s="56"/>
      <c r="F621" s="72"/>
      <c r="G621" s="7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56"/>
      <c r="B622" s="12"/>
      <c r="C622" s="12"/>
      <c r="D622" s="12"/>
      <c r="E622" s="56"/>
      <c r="F622" s="72"/>
      <c r="G622" s="7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56"/>
      <c r="B623" s="12"/>
      <c r="C623" s="12"/>
      <c r="D623" s="12"/>
      <c r="E623" s="56"/>
      <c r="F623" s="72"/>
      <c r="G623" s="7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56"/>
      <c r="B624" s="12"/>
      <c r="C624" s="12"/>
      <c r="D624" s="12"/>
      <c r="E624" s="56"/>
      <c r="F624" s="72"/>
      <c r="G624" s="7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56"/>
      <c r="B625" s="12"/>
      <c r="C625" s="12"/>
      <c r="D625" s="12"/>
      <c r="E625" s="56"/>
      <c r="F625" s="72"/>
      <c r="G625" s="7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56"/>
      <c r="B626" s="12"/>
      <c r="C626" s="12"/>
      <c r="D626" s="12"/>
      <c r="E626" s="56"/>
      <c r="F626" s="72"/>
      <c r="G626" s="7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56"/>
      <c r="B627" s="12"/>
      <c r="C627" s="12"/>
      <c r="D627" s="12"/>
      <c r="E627" s="56"/>
      <c r="F627" s="72"/>
      <c r="G627" s="7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56"/>
      <c r="B628" s="12"/>
      <c r="C628" s="12"/>
      <c r="D628" s="12"/>
      <c r="E628" s="56"/>
      <c r="F628" s="72"/>
      <c r="G628" s="7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56"/>
      <c r="B629" s="12"/>
      <c r="C629" s="12"/>
      <c r="D629" s="12"/>
      <c r="E629" s="56"/>
      <c r="F629" s="72"/>
      <c r="G629" s="7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56"/>
      <c r="B630" s="12"/>
      <c r="C630" s="12"/>
      <c r="D630" s="12"/>
      <c r="E630" s="56"/>
      <c r="F630" s="72"/>
      <c r="G630" s="7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56"/>
      <c r="B631" s="12"/>
      <c r="C631" s="12"/>
      <c r="D631" s="12"/>
      <c r="E631" s="56"/>
      <c r="F631" s="72"/>
      <c r="G631" s="7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56"/>
      <c r="B632" s="12"/>
      <c r="C632" s="12"/>
      <c r="D632" s="12"/>
      <c r="E632" s="56"/>
      <c r="F632" s="72"/>
      <c r="G632" s="7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56"/>
      <c r="B633" s="12"/>
      <c r="C633" s="12"/>
      <c r="D633" s="12"/>
      <c r="E633" s="56"/>
      <c r="F633" s="72"/>
      <c r="G633" s="7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56"/>
      <c r="B634" s="12"/>
      <c r="C634" s="12"/>
      <c r="D634" s="12"/>
      <c r="E634" s="56"/>
      <c r="F634" s="72"/>
      <c r="G634" s="7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56"/>
      <c r="B635" s="12"/>
      <c r="C635" s="12"/>
      <c r="D635" s="12"/>
      <c r="E635" s="56"/>
      <c r="F635" s="72"/>
      <c r="G635" s="7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56"/>
      <c r="B636" s="12"/>
      <c r="C636" s="12"/>
      <c r="D636" s="12"/>
      <c r="E636" s="56"/>
      <c r="F636" s="72"/>
      <c r="G636" s="7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56"/>
      <c r="B637" s="12"/>
      <c r="C637" s="12"/>
      <c r="D637" s="12"/>
      <c r="E637" s="56"/>
      <c r="F637" s="72"/>
      <c r="G637" s="7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56"/>
      <c r="B638" s="12"/>
      <c r="C638" s="12"/>
      <c r="D638" s="12"/>
      <c r="E638" s="56"/>
      <c r="F638" s="72"/>
      <c r="G638" s="7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56"/>
      <c r="B639" s="12"/>
      <c r="C639" s="12"/>
      <c r="D639" s="12"/>
      <c r="E639" s="56"/>
      <c r="F639" s="72"/>
      <c r="G639" s="7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56"/>
      <c r="B640" s="12"/>
      <c r="C640" s="12"/>
      <c r="D640" s="12"/>
      <c r="E640" s="56"/>
      <c r="F640" s="72"/>
      <c r="G640" s="7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56"/>
      <c r="B641" s="12"/>
      <c r="C641" s="12"/>
      <c r="D641" s="12"/>
      <c r="E641" s="56"/>
      <c r="F641" s="72"/>
      <c r="G641" s="7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56"/>
      <c r="B642" s="12"/>
      <c r="C642" s="12"/>
      <c r="D642" s="12"/>
      <c r="E642" s="56"/>
      <c r="F642" s="72"/>
      <c r="G642" s="7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56"/>
      <c r="B643" s="12"/>
      <c r="C643" s="12"/>
      <c r="D643" s="12"/>
      <c r="E643" s="56"/>
      <c r="F643" s="72"/>
      <c r="G643" s="7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56"/>
      <c r="B644" s="12"/>
      <c r="C644" s="12"/>
      <c r="D644" s="12"/>
      <c r="E644" s="56"/>
      <c r="F644" s="72"/>
      <c r="G644" s="7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56"/>
      <c r="B645" s="12"/>
      <c r="C645" s="12"/>
      <c r="D645" s="12"/>
      <c r="E645" s="56"/>
      <c r="F645" s="72"/>
      <c r="G645" s="7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56"/>
      <c r="B646" s="12"/>
      <c r="C646" s="12"/>
      <c r="D646" s="12"/>
      <c r="E646" s="56"/>
      <c r="F646" s="72"/>
      <c r="G646" s="7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56"/>
      <c r="B647" s="12"/>
      <c r="C647" s="12"/>
      <c r="D647" s="12"/>
      <c r="E647" s="56"/>
      <c r="F647" s="72"/>
      <c r="G647" s="7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56"/>
      <c r="B648" s="12"/>
      <c r="C648" s="12"/>
      <c r="D648" s="12"/>
      <c r="E648" s="56"/>
      <c r="F648" s="72"/>
      <c r="G648" s="7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56"/>
      <c r="B649" s="12"/>
      <c r="C649" s="12"/>
      <c r="D649" s="12"/>
      <c r="E649" s="56"/>
      <c r="F649" s="72"/>
      <c r="G649" s="7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56"/>
      <c r="B650" s="12"/>
      <c r="C650" s="12"/>
      <c r="D650" s="12"/>
      <c r="E650" s="56"/>
      <c r="F650" s="72"/>
      <c r="G650" s="7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56"/>
      <c r="B651" s="12"/>
      <c r="C651" s="12"/>
      <c r="D651" s="12"/>
      <c r="E651" s="56"/>
      <c r="F651" s="72"/>
      <c r="G651" s="7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56"/>
      <c r="B652" s="12"/>
      <c r="C652" s="12"/>
      <c r="D652" s="12"/>
      <c r="E652" s="56"/>
      <c r="F652" s="72"/>
      <c r="G652" s="7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56"/>
      <c r="B653" s="12"/>
      <c r="C653" s="12"/>
      <c r="D653" s="12"/>
      <c r="E653" s="56"/>
      <c r="F653" s="72"/>
      <c r="G653" s="7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56"/>
      <c r="B654" s="12"/>
      <c r="C654" s="12"/>
      <c r="D654" s="12"/>
      <c r="E654" s="56"/>
      <c r="F654" s="72"/>
      <c r="G654" s="7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56"/>
      <c r="B655" s="12"/>
      <c r="C655" s="12"/>
      <c r="D655" s="12"/>
      <c r="E655" s="56"/>
      <c r="F655" s="72"/>
      <c r="G655" s="7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56"/>
      <c r="B656" s="12"/>
      <c r="C656" s="12"/>
      <c r="D656" s="12"/>
      <c r="E656" s="56"/>
      <c r="F656" s="72"/>
      <c r="G656" s="7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56"/>
      <c r="B657" s="12"/>
      <c r="C657" s="12"/>
      <c r="D657" s="12"/>
      <c r="E657" s="56"/>
      <c r="F657" s="72"/>
      <c r="G657" s="7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56"/>
      <c r="B658" s="12"/>
      <c r="C658" s="12"/>
      <c r="D658" s="12"/>
      <c r="E658" s="56"/>
      <c r="F658" s="72"/>
      <c r="G658" s="7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56"/>
      <c r="B659" s="12"/>
      <c r="C659" s="12"/>
      <c r="D659" s="12"/>
      <c r="E659" s="56"/>
      <c r="F659" s="72"/>
      <c r="G659" s="7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56"/>
      <c r="B660" s="12"/>
      <c r="C660" s="12"/>
      <c r="D660" s="12"/>
      <c r="E660" s="56"/>
      <c r="F660" s="72"/>
      <c r="G660" s="7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56"/>
      <c r="B661" s="12"/>
      <c r="C661" s="12"/>
      <c r="D661" s="12"/>
      <c r="E661" s="56"/>
      <c r="F661" s="72"/>
      <c r="G661" s="7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56"/>
      <c r="B662" s="12"/>
      <c r="C662" s="12"/>
      <c r="D662" s="12"/>
      <c r="E662" s="56"/>
      <c r="F662" s="72"/>
      <c r="G662" s="7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56"/>
      <c r="B663" s="12"/>
      <c r="C663" s="12"/>
      <c r="D663" s="12"/>
      <c r="E663" s="56"/>
      <c r="F663" s="72"/>
      <c r="G663" s="7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56"/>
      <c r="B664" s="12"/>
      <c r="C664" s="12"/>
      <c r="D664" s="12"/>
      <c r="E664" s="56"/>
      <c r="F664" s="72"/>
      <c r="G664" s="7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56"/>
      <c r="B665" s="12"/>
      <c r="C665" s="12"/>
      <c r="D665" s="12"/>
      <c r="E665" s="56"/>
      <c r="F665" s="72"/>
      <c r="G665" s="7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56"/>
      <c r="B666" s="12"/>
      <c r="C666" s="12"/>
      <c r="D666" s="12"/>
      <c r="E666" s="56"/>
      <c r="F666" s="72"/>
      <c r="G666" s="7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56"/>
      <c r="B667" s="12"/>
      <c r="C667" s="12"/>
      <c r="D667" s="12"/>
      <c r="E667" s="56"/>
      <c r="F667" s="72"/>
      <c r="G667" s="7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56"/>
      <c r="B668" s="12"/>
      <c r="C668" s="12"/>
      <c r="D668" s="12"/>
      <c r="E668" s="56"/>
      <c r="F668" s="72"/>
      <c r="G668" s="7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56"/>
      <c r="B669" s="12"/>
      <c r="C669" s="12"/>
      <c r="D669" s="12"/>
      <c r="E669" s="56"/>
      <c r="F669" s="72"/>
      <c r="G669" s="7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56"/>
      <c r="B670" s="12"/>
      <c r="C670" s="12"/>
      <c r="D670" s="12"/>
      <c r="E670" s="56"/>
      <c r="F670" s="72"/>
      <c r="G670" s="7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56"/>
      <c r="B671" s="12"/>
      <c r="C671" s="12"/>
      <c r="D671" s="12"/>
      <c r="E671" s="56"/>
      <c r="F671" s="72"/>
      <c r="G671" s="7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56"/>
      <c r="B672" s="12"/>
      <c r="C672" s="12"/>
      <c r="D672" s="12"/>
      <c r="E672" s="56"/>
      <c r="F672" s="72"/>
      <c r="G672" s="7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56"/>
      <c r="B673" s="12"/>
      <c r="C673" s="12"/>
      <c r="D673" s="12"/>
      <c r="E673" s="56"/>
      <c r="F673" s="72"/>
      <c r="G673" s="7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56"/>
      <c r="B674" s="12"/>
      <c r="C674" s="12"/>
      <c r="D674" s="12"/>
      <c r="E674" s="56"/>
      <c r="F674" s="72"/>
      <c r="G674" s="7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56"/>
      <c r="B675" s="12"/>
      <c r="C675" s="12"/>
      <c r="D675" s="12"/>
      <c r="E675" s="56"/>
      <c r="F675" s="72"/>
      <c r="G675" s="7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56"/>
      <c r="B676" s="12"/>
      <c r="C676" s="12"/>
      <c r="D676" s="12"/>
      <c r="E676" s="56"/>
      <c r="F676" s="72"/>
      <c r="G676" s="7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56"/>
      <c r="B677" s="12"/>
      <c r="C677" s="12"/>
      <c r="D677" s="12"/>
      <c r="E677" s="56"/>
      <c r="F677" s="72"/>
      <c r="G677" s="7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56"/>
      <c r="B678" s="12"/>
      <c r="C678" s="12"/>
      <c r="D678" s="12"/>
      <c r="E678" s="56"/>
      <c r="F678" s="72"/>
      <c r="G678" s="7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56"/>
      <c r="B679" s="12"/>
      <c r="C679" s="12"/>
      <c r="D679" s="12"/>
      <c r="E679" s="56"/>
      <c r="F679" s="72"/>
      <c r="G679" s="7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56"/>
      <c r="B680" s="12"/>
      <c r="C680" s="12"/>
      <c r="D680" s="12"/>
      <c r="E680" s="56"/>
      <c r="F680" s="72"/>
      <c r="G680" s="7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56"/>
      <c r="B681" s="12"/>
      <c r="C681" s="12"/>
      <c r="D681" s="12"/>
      <c r="E681" s="56"/>
      <c r="F681" s="72"/>
      <c r="G681" s="7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56"/>
      <c r="B682" s="12"/>
      <c r="C682" s="12"/>
      <c r="D682" s="12"/>
      <c r="E682" s="56"/>
      <c r="F682" s="72"/>
      <c r="G682" s="7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56"/>
      <c r="B683" s="12"/>
      <c r="C683" s="12"/>
      <c r="D683" s="12"/>
      <c r="E683" s="56"/>
      <c r="F683" s="72"/>
      <c r="G683" s="7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56"/>
      <c r="B684" s="12"/>
      <c r="C684" s="12"/>
      <c r="D684" s="12"/>
      <c r="E684" s="56"/>
      <c r="F684" s="72"/>
      <c r="G684" s="7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56"/>
      <c r="B685" s="12"/>
      <c r="C685" s="12"/>
      <c r="D685" s="12"/>
      <c r="E685" s="56"/>
      <c r="F685" s="72"/>
      <c r="G685" s="7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56"/>
      <c r="B686" s="12"/>
      <c r="C686" s="12"/>
      <c r="D686" s="12"/>
      <c r="E686" s="56"/>
      <c r="F686" s="72"/>
      <c r="G686" s="7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56"/>
      <c r="B687" s="12"/>
      <c r="C687" s="12"/>
      <c r="D687" s="12"/>
      <c r="E687" s="56"/>
      <c r="F687" s="72"/>
      <c r="G687" s="7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56"/>
      <c r="B688" s="12"/>
      <c r="C688" s="12"/>
      <c r="D688" s="12"/>
      <c r="E688" s="56"/>
      <c r="F688" s="72"/>
      <c r="G688" s="7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56"/>
      <c r="B689" s="12"/>
      <c r="C689" s="12"/>
      <c r="D689" s="12"/>
      <c r="E689" s="56"/>
      <c r="F689" s="72"/>
      <c r="G689" s="7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56"/>
      <c r="B690" s="12"/>
      <c r="C690" s="12"/>
      <c r="D690" s="12"/>
      <c r="E690" s="56"/>
      <c r="F690" s="72"/>
      <c r="G690" s="7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56"/>
      <c r="B691" s="12"/>
      <c r="C691" s="12"/>
      <c r="D691" s="12"/>
      <c r="E691" s="56"/>
      <c r="F691" s="72"/>
      <c r="G691" s="7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56"/>
      <c r="B692" s="12"/>
      <c r="C692" s="12"/>
      <c r="D692" s="12"/>
      <c r="E692" s="56"/>
      <c r="F692" s="72"/>
      <c r="G692" s="7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56"/>
      <c r="B693" s="12"/>
      <c r="C693" s="12"/>
      <c r="D693" s="12"/>
      <c r="E693" s="56"/>
      <c r="F693" s="72"/>
      <c r="G693" s="7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56"/>
      <c r="B694" s="12"/>
      <c r="C694" s="12"/>
      <c r="D694" s="12"/>
      <c r="E694" s="56"/>
      <c r="F694" s="72"/>
      <c r="G694" s="7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56"/>
      <c r="B695" s="12"/>
      <c r="C695" s="12"/>
      <c r="D695" s="12"/>
      <c r="E695" s="56"/>
      <c r="F695" s="72"/>
      <c r="G695" s="7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56"/>
      <c r="B696" s="12"/>
      <c r="C696" s="12"/>
      <c r="D696" s="12"/>
      <c r="E696" s="56"/>
      <c r="F696" s="72"/>
      <c r="G696" s="7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56"/>
      <c r="B697" s="12"/>
      <c r="C697" s="12"/>
      <c r="D697" s="12"/>
      <c r="E697" s="56"/>
      <c r="F697" s="72"/>
      <c r="G697" s="7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56"/>
      <c r="B698" s="12"/>
      <c r="C698" s="12"/>
      <c r="D698" s="12"/>
      <c r="E698" s="56"/>
      <c r="F698" s="72"/>
      <c r="G698" s="7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56"/>
      <c r="B699" s="12"/>
      <c r="C699" s="12"/>
      <c r="D699" s="12"/>
      <c r="E699" s="56"/>
      <c r="F699" s="72"/>
      <c r="G699" s="7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56"/>
      <c r="B700" s="12"/>
      <c r="C700" s="12"/>
      <c r="D700" s="12"/>
      <c r="E700" s="56"/>
      <c r="F700" s="72"/>
      <c r="G700" s="7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56"/>
      <c r="B701" s="12"/>
      <c r="C701" s="12"/>
      <c r="D701" s="12"/>
      <c r="E701" s="56"/>
      <c r="F701" s="72"/>
      <c r="G701" s="7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56"/>
      <c r="B702" s="12"/>
      <c r="C702" s="12"/>
      <c r="D702" s="12"/>
      <c r="E702" s="56"/>
      <c r="F702" s="72"/>
      <c r="G702" s="7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56"/>
      <c r="B703" s="12"/>
      <c r="C703" s="12"/>
      <c r="D703" s="12"/>
      <c r="E703" s="56"/>
      <c r="F703" s="72"/>
      <c r="G703" s="7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56"/>
      <c r="B704" s="12"/>
      <c r="C704" s="12"/>
      <c r="D704" s="12"/>
      <c r="E704" s="56"/>
      <c r="F704" s="72"/>
      <c r="G704" s="7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56"/>
      <c r="B705" s="12"/>
      <c r="C705" s="12"/>
      <c r="D705" s="12"/>
      <c r="E705" s="56"/>
      <c r="F705" s="72"/>
      <c r="G705" s="7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56"/>
      <c r="B706" s="12"/>
      <c r="C706" s="12"/>
      <c r="D706" s="12"/>
      <c r="E706" s="56"/>
      <c r="F706" s="72"/>
      <c r="G706" s="7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56"/>
      <c r="B707" s="12"/>
      <c r="C707" s="12"/>
      <c r="D707" s="12"/>
      <c r="E707" s="56"/>
      <c r="F707" s="72"/>
      <c r="G707" s="7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56"/>
      <c r="B708" s="12"/>
      <c r="C708" s="12"/>
      <c r="D708" s="12"/>
      <c r="E708" s="56"/>
      <c r="F708" s="72"/>
      <c r="G708" s="7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56"/>
      <c r="B709" s="12"/>
      <c r="C709" s="12"/>
      <c r="D709" s="12"/>
      <c r="E709" s="56"/>
      <c r="F709" s="72"/>
      <c r="G709" s="7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56"/>
      <c r="B710" s="12"/>
      <c r="C710" s="12"/>
      <c r="D710" s="12"/>
      <c r="E710" s="56"/>
      <c r="F710" s="72"/>
      <c r="G710" s="7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56"/>
      <c r="B711" s="12"/>
      <c r="C711" s="12"/>
      <c r="D711" s="12"/>
      <c r="E711" s="56"/>
      <c r="F711" s="72"/>
      <c r="G711" s="7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56"/>
      <c r="B712" s="12"/>
      <c r="C712" s="12"/>
      <c r="D712" s="12"/>
      <c r="E712" s="56"/>
      <c r="F712" s="72"/>
      <c r="G712" s="7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56"/>
      <c r="B713" s="12"/>
      <c r="C713" s="12"/>
      <c r="D713" s="12"/>
      <c r="E713" s="56"/>
      <c r="F713" s="72"/>
      <c r="G713" s="7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56"/>
      <c r="B714" s="12"/>
      <c r="C714" s="12"/>
      <c r="D714" s="12"/>
      <c r="E714" s="56"/>
      <c r="F714" s="72"/>
      <c r="G714" s="7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56"/>
      <c r="B715" s="12"/>
      <c r="C715" s="12"/>
      <c r="D715" s="12"/>
      <c r="E715" s="56"/>
      <c r="F715" s="72"/>
      <c r="G715" s="7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56"/>
      <c r="B716" s="12"/>
      <c r="C716" s="12"/>
      <c r="D716" s="12"/>
      <c r="E716" s="56"/>
      <c r="F716" s="72"/>
      <c r="G716" s="7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56"/>
      <c r="B717" s="12"/>
      <c r="C717" s="12"/>
      <c r="D717" s="12"/>
      <c r="E717" s="56"/>
      <c r="F717" s="72"/>
      <c r="G717" s="7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56"/>
      <c r="B718" s="12"/>
      <c r="C718" s="12"/>
      <c r="D718" s="12"/>
      <c r="E718" s="56"/>
      <c r="F718" s="72"/>
      <c r="G718" s="7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56"/>
      <c r="B719" s="12"/>
      <c r="C719" s="12"/>
      <c r="D719" s="12"/>
      <c r="E719" s="56"/>
      <c r="F719" s="72"/>
      <c r="G719" s="7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56"/>
      <c r="B720" s="12"/>
      <c r="C720" s="12"/>
      <c r="D720" s="12"/>
      <c r="E720" s="56"/>
      <c r="F720" s="72"/>
      <c r="G720" s="7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56"/>
      <c r="B721" s="12"/>
      <c r="C721" s="12"/>
      <c r="D721" s="12"/>
      <c r="E721" s="56"/>
      <c r="F721" s="72"/>
      <c r="G721" s="7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56"/>
      <c r="B722" s="12"/>
      <c r="C722" s="12"/>
      <c r="D722" s="12"/>
      <c r="E722" s="56"/>
      <c r="F722" s="72"/>
      <c r="G722" s="7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56"/>
      <c r="B723" s="12"/>
      <c r="C723" s="12"/>
      <c r="D723" s="12"/>
      <c r="E723" s="56"/>
      <c r="F723" s="72"/>
      <c r="G723" s="7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56"/>
      <c r="B724" s="12"/>
      <c r="C724" s="12"/>
      <c r="D724" s="12"/>
      <c r="E724" s="56"/>
      <c r="F724" s="72"/>
      <c r="G724" s="7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56"/>
      <c r="B725" s="12"/>
      <c r="C725" s="12"/>
      <c r="D725" s="12"/>
      <c r="E725" s="56"/>
      <c r="F725" s="72"/>
      <c r="G725" s="7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56"/>
      <c r="B726" s="12"/>
      <c r="C726" s="12"/>
      <c r="D726" s="12"/>
      <c r="E726" s="56"/>
      <c r="F726" s="72"/>
      <c r="G726" s="7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56"/>
      <c r="B727" s="12"/>
      <c r="C727" s="12"/>
      <c r="D727" s="12"/>
      <c r="E727" s="56"/>
      <c r="F727" s="72"/>
      <c r="G727" s="7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56"/>
      <c r="B728" s="12"/>
      <c r="C728" s="12"/>
      <c r="D728" s="12"/>
      <c r="E728" s="56"/>
      <c r="F728" s="72"/>
      <c r="G728" s="7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56"/>
      <c r="B729" s="12"/>
      <c r="C729" s="12"/>
      <c r="D729" s="12"/>
      <c r="E729" s="56"/>
      <c r="F729" s="72"/>
      <c r="G729" s="7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56"/>
      <c r="B730" s="12"/>
      <c r="C730" s="12"/>
      <c r="D730" s="12"/>
      <c r="E730" s="56"/>
      <c r="F730" s="72"/>
      <c r="G730" s="7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56"/>
      <c r="B731" s="12"/>
      <c r="C731" s="12"/>
      <c r="D731" s="12"/>
      <c r="E731" s="56"/>
      <c r="F731" s="72"/>
      <c r="G731" s="7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56"/>
      <c r="B732" s="12"/>
      <c r="C732" s="12"/>
      <c r="D732" s="12"/>
      <c r="E732" s="56"/>
      <c r="F732" s="72"/>
      <c r="G732" s="7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56"/>
      <c r="B733" s="12"/>
      <c r="C733" s="12"/>
      <c r="D733" s="12"/>
      <c r="E733" s="56"/>
      <c r="F733" s="72"/>
      <c r="G733" s="7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56"/>
      <c r="B734" s="12"/>
      <c r="C734" s="12"/>
      <c r="D734" s="12"/>
      <c r="E734" s="56"/>
      <c r="F734" s="72"/>
      <c r="G734" s="7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56"/>
      <c r="B735" s="12"/>
      <c r="C735" s="12"/>
      <c r="D735" s="12"/>
      <c r="E735" s="56"/>
      <c r="F735" s="72"/>
      <c r="G735" s="7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56"/>
      <c r="B736" s="12"/>
      <c r="C736" s="12"/>
      <c r="D736" s="12"/>
      <c r="E736" s="56"/>
      <c r="F736" s="72"/>
      <c r="G736" s="7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56"/>
      <c r="B737" s="12"/>
      <c r="C737" s="12"/>
      <c r="D737" s="12"/>
      <c r="E737" s="56"/>
      <c r="F737" s="72"/>
      <c r="G737" s="7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56"/>
      <c r="B738" s="12"/>
      <c r="C738" s="12"/>
      <c r="D738" s="12"/>
      <c r="E738" s="56"/>
      <c r="F738" s="72"/>
      <c r="G738" s="7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56"/>
      <c r="B739" s="12"/>
      <c r="C739" s="12"/>
      <c r="D739" s="12"/>
      <c r="E739" s="56"/>
      <c r="F739" s="72"/>
      <c r="G739" s="7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56"/>
      <c r="B740" s="12"/>
      <c r="C740" s="12"/>
      <c r="D740" s="12"/>
      <c r="E740" s="56"/>
      <c r="F740" s="72"/>
      <c r="G740" s="7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56"/>
      <c r="B741" s="12"/>
      <c r="C741" s="12"/>
      <c r="D741" s="12"/>
      <c r="E741" s="56"/>
      <c r="F741" s="72"/>
      <c r="G741" s="7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56"/>
      <c r="B742" s="12"/>
      <c r="C742" s="12"/>
      <c r="D742" s="12"/>
      <c r="E742" s="56"/>
      <c r="F742" s="72"/>
      <c r="G742" s="7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56"/>
      <c r="B743" s="12"/>
      <c r="C743" s="12"/>
      <c r="D743" s="12"/>
      <c r="E743" s="56"/>
      <c r="F743" s="72"/>
      <c r="G743" s="7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56"/>
      <c r="B744" s="12"/>
      <c r="C744" s="12"/>
      <c r="D744" s="12"/>
      <c r="E744" s="56"/>
      <c r="F744" s="72"/>
      <c r="G744" s="7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56"/>
      <c r="B745" s="12"/>
      <c r="C745" s="12"/>
      <c r="D745" s="12"/>
      <c r="E745" s="56"/>
      <c r="F745" s="72"/>
      <c r="G745" s="7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56"/>
      <c r="B746" s="12"/>
      <c r="C746" s="12"/>
      <c r="D746" s="12"/>
      <c r="E746" s="56"/>
      <c r="F746" s="72"/>
      <c r="G746" s="7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56"/>
      <c r="B747" s="12"/>
      <c r="C747" s="12"/>
      <c r="D747" s="12"/>
      <c r="E747" s="56"/>
      <c r="F747" s="72"/>
      <c r="G747" s="7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56"/>
      <c r="B748" s="12"/>
      <c r="C748" s="12"/>
      <c r="D748" s="12"/>
      <c r="E748" s="56"/>
      <c r="F748" s="72"/>
      <c r="G748" s="7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56"/>
      <c r="B749" s="12"/>
      <c r="C749" s="12"/>
      <c r="D749" s="12"/>
      <c r="E749" s="56"/>
      <c r="F749" s="72"/>
      <c r="G749" s="7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56"/>
      <c r="B750" s="12"/>
      <c r="C750" s="12"/>
      <c r="D750" s="12"/>
      <c r="E750" s="56"/>
      <c r="F750" s="72"/>
      <c r="G750" s="7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56"/>
      <c r="B751" s="12"/>
      <c r="C751" s="12"/>
      <c r="D751" s="12"/>
      <c r="E751" s="56"/>
      <c r="F751" s="72"/>
      <c r="G751" s="7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56"/>
      <c r="B752" s="12"/>
      <c r="C752" s="12"/>
      <c r="D752" s="12"/>
      <c r="E752" s="56"/>
      <c r="F752" s="72"/>
      <c r="G752" s="7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56"/>
      <c r="B753" s="12"/>
      <c r="C753" s="12"/>
      <c r="D753" s="12"/>
      <c r="E753" s="56"/>
      <c r="F753" s="72"/>
      <c r="G753" s="7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56"/>
      <c r="B754" s="12"/>
      <c r="C754" s="12"/>
      <c r="D754" s="12"/>
      <c r="E754" s="56"/>
      <c r="F754" s="72"/>
      <c r="G754" s="7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56"/>
      <c r="B755" s="12"/>
      <c r="C755" s="12"/>
      <c r="D755" s="12"/>
      <c r="E755" s="56"/>
      <c r="F755" s="72"/>
      <c r="G755" s="7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56"/>
      <c r="B756" s="12"/>
      <c r="C756" s="12"/>
      <c r="D756" s="12"/>
      <c r="E756" s="56"/>
      <c r="F756" s="72"/>
      <c r="G756" s="7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56"/>
      <c r="B757" s="12"/>
      <c r="C757" s="12"/>
      <c r="D757" s="12"/>
      <c r="E757" s="56"/>
      <c r="F757" s="72"/>
      <c r="G757" s="7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56"/>
      <c r="B758" s="12"/>
      <c r="C758" s="12"/>
      <c r="D758" s="12"/>
      <c r="E758" s="56"/>
      <c r="F758" s="72"/>
      <c r="G758" s="7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56"/>
      <c r="B759" s="12"/>
      <c r="C759" s="12"/>
      <c r="D759" s="12"/>
      <c r="E759" s="56"/>
      <c r="F759" s="72"/>
      <c r="G759" s="7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56"/>
      <c r="B760" s="12"/>
      <c r="C760" s="12"/>
      <c r="D760" s="12"/>
      <c r="E760" s="56"/>
      <c r="F760" s="72"/>
      <c r="G760" s="7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56"/>
      <c r="B761" s="12"/>
      <c r="C761" s="12"/>
      <c r="D761" s="12"/>
      <c r="E761" s="56"/>
      <c r="F761" s="72"/>
      <c r="G761" s="7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56"/>
      <c r="B762" s="12"/>
      <c r="C762" s="12"/>
      <c r="D762" s="12"/>
      <c r="E762" s="56"/>
      <c r="F762" s="72"/>
      <c r="G762" s="7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56"/>
      <c r="B763" s="12"/>
      <c r="C763" s="12"/>
      <c r="D763" s="12"/>
      <c r="E763" s="56"/>
      <c r="F763" s="72"/>
      <c r="G763" s="7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56"/>
      <c r="B764" s="12"/>
      <c r="C764" s="12"/>
      <c r="D764" s="12"/>
      <c r="E764" s="56"/>
      <c r="F764" s="72"/>
      <c r="G764" s="7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56"/>
      <c r="B765" s="12"/>
      <c r="C765" s="12"/>
      <c r="D765" s="12"/>
      <c r="E765" s="56"/>
      <c r="F765" s="72"/>
      <c r="G765" s="7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56"/>
      <c r="B766" s="12"/>
      <c r="C766" s="12"/>
      <c r="D766" s="12"/>
      <c r="E766" s="56"/>
      <c r="F766" s="72"/>
      <c r="G766" s="7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56"/>
      <c r="B767" s="12"/>
      <c r="C767" s="12"/>
      <c r="D767" s="12"/>
      <c r="E767" s="56"/>
      <c r="F767" s="72"/>
      <c r="G767" s="7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56"/>
      <c r="B768" s="12"/>
      <c r="C768" s="12"/>
      <c r="D768" s="12"/>
      <c r="E768" s="56"/>
      <c r="F768" s="72"/>
      <c r="G768" s="7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56"/>
      <c r="B769" s="12"/>
      <c r="C769" s="12"/>
      <c r="D769" s="12"/>
      <c r="E769" s="56"/>
      <c r="F769" s="72"/>
      <c r="G769" s="7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56"/>
      <c r="B770" s="12"/>
      <c r="C770" s="12"/>
      <c r="D770" s="12"/>
      <c r="E770" s="56"/>
      <c r="F770" s="72"/>
      <c r="G770" s="7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56"/>
      <c r="B771" s="12"/>
      <c r="C771" s="12"/>
      <c r="D771" s="12"/>
      <c r="E771" s="56"/>
      <c r="F771" s="72"/>
      <c r="G771" s="7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56"/>
      <c r="B772" s="12"/>
      <c r="C772" s="12"/>
      <c r="D772" s="12"/>
      <c r="E772" s="56"/>
      <c r="F772" s="72"/>
      <c r="G772" s="7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56"/>
      <c r="B773" s="12"/>
      <c r="C773" s="12"/>
      <c r="D773" s="12"/>
      <c r="E773" s="56"/>
      <c r="F773" s="72"/>
      <c r="G773" s="7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56"/>
      <c r="B774" s="12"/>
      <c r="C774" s="12"/>
      <c r="D774" s="12"/>
      <c r="E774" s="56"/>
      <c r="F774" s="72"/>
      <c r="G774" s="7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56"/>
      <c r="B775" s="12"/>
      <c r="C775" s="12"/>
      <c r="D775" s="12"/>
      <c r="E775" s="56"/>
      <c r="F775" s="72"/>
      <c r="G775" s="7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56"/>
      <c r="B776" s="12"/>
      <c r="C776" s="12"/>
      <c r="D776" s="12"/>
      <c r="E776" s="56"/>
      <c r="F776" s="72"/>
      <c r="G776" s="7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56"/>
      <c r="B777" s="12"/>
      <c r="C777" s="12"/>
      <c r="D777" s="12"/>
      <c r="E777" s="56"/>
      <c r="F777" s="72"/>
      <c r="G777" s="7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56"/>
      <c r="B778" s="12"/>
      <c r="C778" s="12"/>
      <c r="D778" s="12"/>
      <c r="E778" s="56"/>
      <c r="F778" s="72"/>
      <c r="G778" s="7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56"/>
      <c r="B779" s="12"/>
      <c r="C779" s="12"/>
      <c r="D779" s="12"/>
      <c r="E779" s="56"/>
      <c r="F779" s="72"/>
      <c r="G779" s="7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56"/>
      <c r="B780" s="12"/>
      <c r="C780" s="12"/>
      <c r="D780" s="12"/>
      <c r="E780" s="56"/>
      <c r="F780" s="72"/>
      <c r="G780" s="7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56"/>
      <c r="B781" s="12"/>
      <c r="C781" s="12"/>
      <c r="D781" s="12"/>
      <c r="E781" s="56"/>
      <c r="F781" s="72"/>
      <c r="G781" s="7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56"/>
      <c r="B782" s="12"/>
      <c r="C782" s="12"/>
      <c r="D782" s="12"/>
      <c r="E782" s="56"/>
      <c r="F782" s="72"/>
      <c r="G782" s="7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56"/>
      <c r="B783" s="12"/>
      <c r="C783" s="12"/>
      <c r="D783" s="12"/>
      <c r="E783" s="56"/>
      <c r="F783" s="72"/>
      <c r="G783" s="7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56"/>
      <c r="B784" s="12"/>
      <c r="C784" s="12"/>
      <c r="D784" s="12"/>
      <c r="E784" s="56"/>
      <c r="F784" s="72"/>
      <c r="G784" s="7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56"/>
      <c r="B785" s="12"/>
      <c r="C785" s="12"/>
      <c r="D785" s="12"/>
      <c r="E785" s="56"/>
      <c r="F785" s="72"/>
      <c r="G785" s="7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56"/>
      <c r="B786" s="12"/>
      <c r="C786" s="12"/>
      <c r="D786" s="12"/>
      <c r="E786" s="56"/>
      <c r="F786" s="72"/>
      <c r="G786" s="7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56"/>
      <c r="B787" s="12"/>
      <c r="C787" s="12"/>
      <c r="D787" s="12"/>
      <c r="E787" s="56"/>
      <c r="F787" s="72"/>
      <c r="G787" s="7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56"/>
      <c r="B788" s="12"/>
      <c r="C788" s="12"/>
      <c r="D788" s="12"/>
      <c r="E788" s="56"/>
      <c r="F788" s="72"/>
      <c r="G788" s="7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56"/>
      <c r="B789" s="12"/>
      <c r="C789" s="12"/>
      <c r="D789" s="12"/>
      <c r="E789" s="56"/>
      <c r="F789" s="72"/>
      <c r="G789" s="7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56"/>
      <c r="B790" s="12"/>
      <c r="C790" s="12"/>
      <c r="D790" s="12"/>
      <c r="E790" s="56"/>
      <c r="F790" s="72"/>
      <c r="G790" s="7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56"/>
      <c r="B791" s="12"/>
      <c r="C791" s="12"/>
      <c r="D791" s="12"/>
      <c r="E791" s="56"/>
      <c r="F791" s="72"/>
      <c r="G791" s="7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56"/>
      <c r="B792" s="12"/>
      <c r="C792" s="12"/>
      <c r="D792" s="12"/>
      <c r="E792" s="56"/>
      <c r="F792" s="72"/>
      <c r="G792" s="7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56"/>
      <c r="B793" s="12"/>
      <c r="C793" s="12"/>
      <c r="D793" s="12"/>
      <c r="E793" s="56"/>
      <c r="F793" s="72"/>
      <c r="G793" s="7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56"/>
      <c r="B794" s="12"/>
      <c r="C794" s="12"/>
      <c r="D794" s="12"/>
      <c r="E794" s="56"/>
      <c r="F794" s="72"/>
      <c r="G794" s="7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56"/>
      <c r="B795" s="12"/>
      <c r="C795" s="12"/>
      <c r="D795" s="12"/>
      <c r="E795" s="56"/>
      <c r="F795" s="72"/>
      <c r="G795" s="7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56"/>
      <c r="B796" s="12"/>
      <c r="C796" s="12"/>
      <c r="D796" s="12"/>
      <c r="E796" s="56"/>
      <c r="F796" s="72"/>
      <c r="G796" s="7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56"/>
      <c r="B797" s="12"/>
      <c r="C797" s="12"/>
      <c r="D797" s="12"/>
      <c r="E797" s="56"/>
      <c r="F797" s="72"/>
      <c r="G797" s="7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56"/>
      <c r="B798" s="12"/>
      <c r="C798" s="12"/>
      <c r="D798" s="12"/>
      <c r="E798" s="56"/>
      <c r="F798" s="72"/>
      <c r="G798" s="7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56"/>
      <c r="B799" s="12"/>
      <c r="C799" s="12"/>
      <c r="D799" s="12"/>
      <c r="E799" s="56"/>
      <c r="F799" s="72"/>
      <c r="G799" s="7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56"/>
      <c r="B800" s="12"/>
      <c r="C800" s="12"/>
      <c r="D800" s="12"/>
      <c r="E800" s="56"/>
      <c r="F800" s="72"/>
      <c r="G800" s="7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56"/>
      <c r="B801" s="12"/>
      <c r="C801" s="12"/>
      <c r="D801" s="12"/>
      <c r="E801" s="56"/>
      <c r="F801" s="72"/>
      <c r="G801" s="7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56"/>
      <c r="B802" s="12"/>
      <c r="C802" s="12"/>
      <c r="D802" s="12"/>
      <c r="E802" s="56"/>
      <c r="F802" s="72"/>
      <c r="G802" s="7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56"/>
      <c r="B803" s="12"/>
      <c r="C803" s="12"/>
      <c r="D803" s="12"/>
      <c r="E803" s="56"/>
      <c r="F803" s="72"/>
      <c r="G803" s="7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56"/>
      <c r="B804" s="12"/>
      <c r="C804" s="12"/>
      <c r="D804" s="12"/>
      <c r="E804" s="56"/>
      <c r="F804" s="72"/>
      <c r="G804" s="7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56"/>
      <c r="B805" s="12"/>
      <c r="C805" s="12"/>
      <c r="D805" s="12"/>
      <c r="E805" s="56"/>
      <c r="F805" s="72"/>
      <c r="G805" s="7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56"/>
      <c r="B806" s="12"/>
      <c r="C806" s="12"/>
      <c r="D806" s="12"/>
      <c r="E806" s="56"/>
      <c r="F806" s="72"/>
      <c r="G806" s="7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56"/>
      <c r="B807" s="12"/>
      <c r="C807" s="12"/>
      <c r="D807" s="12"/>
      <c r="E807" s="56"/>
      <c r="F807" s="72"/>
      <c r="G807" s="7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56"/>
      <c r="B808" s="12"/>
      <c r="C808" s="12"/>
      <c r="D808" s="12"/>
      <c r="E808" s="56"/>
      <c r="F808" s="72"/>
      <c r="G808" s="7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56"/>
      <c r="B809" s="12"/>
      <c r="C809" s="12"/>
      <c r="D809" s="12"/>
      <c r="E809" s="56"/>
      <c r="F809" s="72"/>
      <c r="G809" s="7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56"/>
      <c r="B810" s="12"/>
      <c r="C810" s="12"/>
      <c r="D810" s="12"/>
      <c r="E810" s="56"/>
      <c r="F810" s="72"/>
      <c r="G810" s="7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56"/>
      <c r="B811" s="12"/>
      <c r="C811" s="12"/>
      <c r="D811" s="12"/>
      <c r="E811" s="56"/>
      <c r="F811" s="72"/>
      <c r="G811" s="7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56"/>
      <c r="B812" s="12"/>
      <c r="C812" s="12"/>
      <c r="D812" s="12"/>
      <c r="E812" s="56"/>
      <c r="F812" s="72"/>
      <c r="G812" s="7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56"/>
      <c r="B813" s="12"/>
      <c r="C813" s="12"/>
      <c r="D813" s="12"/>
      <c r="E813" s="56"/>
      <c r="F813" s="72"/>
      <c r="G813" s="7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56"/>
      <c r="B814" s="12"/>
      <c r="C814" s="12"/>
      <c r="D814" s="12"/>
      <c r="E814" s="56"/>
      <c r="F814" s="72"/>
      <c r="G814" s="7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56"/>
      <c r="B815" s="12"/>
      <c r="C815" s="12"/>
      <c r="D815" s="12"/>
      <c r="E815" s="56"/>
      <c r="F815" s="72"/>
      <c r="G815" s="7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56"/>
      <c r="B816" s="12"/>
      <c r="C816" s="12"/>
      <c r="D816" s="12"/>
      <c r="E816" s="56"/>
      <c r="F816" s="72"/>
      <c r="G816" s="7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56"/>
      <c r="B817" s="12"/>
      <c r="C817" s="12"/>
      <c r="D817" s="12"/>
      <c r="E817" s="56"/>
      <c r="F817" s="72"/>
      <c r="G817" s="7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56"/>
      <c r="B818" s="12"/>
      <c r="C818" s="12"/>
      <c r="D818" s="12"/>
      <c r="E818" s="56"/>
      <c r="F818" s="72"/>
      <c r="G818" s="7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56"/>
      <c r="B819" s="12"/>
      <c r="C819" s="12"/>
      <c r="D819" s="12"/>
      <c r="E819" s="56"/>
      <c r="F819" s="72"/>
      <c r="G819" s="7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56"/>
      <c r="B820" s="12"/>
      <c r="C820" s="12"/>
      <c r="D820" s="12"/>
      <c r="E820" s="56"/>
      <c r="F820" s="72"/>
      <c r="G820" s="7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56"/>
      <c r="B821" s="12"/>
      <c r="C821" s="12"/>
      <c r="D821" s="12"/>
      <c r="E821" s="56"/>
      <c r="F821" s="72"/>
      <c r="G821" s="7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56"/>
      <c r="B822" s="12"/>
      <c r="C822" s="12"/>
      <c r="D822" s="12"/>
      <c r="E822" s="56"/>
      <c r="F822" s="72"/>
      <c r="G822" s="7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56"/>
      <c r="B823" s="12"/>
      <c r="C823" s="12"/>
      <c r="D823" s="12"/>
      <c r="E823" s="56"/>
      <c r="F823" s="72"/>
      <c r="G823" s="7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56"/>
      <c r="B824" s="12"/>
      <c r="C824" s="12"/>
      <c r="D824" s="12"/>
      <c r="E824" s="56"/>
      <c r="F824" s="72"/>
      <c r="G824" s="7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56"/>
      <c r="B825" s="12"/>
      <c r="C825" s="12"/>
      <c r="D825" s="12"/>
      <c r="E825" s="56"/>
      <c r="F825" s="72"/>
      <c r="G825" s="7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56"/>
      <c r="B826" s="12"/>
      <c r="C826" s="12"/>
      <c r="D826" s="12"/>
      <c r="E826" s="56"/>
      <c r="F826" s="72"/>
      <c r="G826" s="7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56"/>
      <c r="B827" s="12"/>
      <c r="C827" s="12"/>
      <c r="D827" s="12"/>
      <c r="E827" s="56"/>
      <c r="F827" s="72"/>
      <c r="G827" s="7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56"/>
      <c r="B828" s="12"/>
      <c r="C828" s="12"/>
      <c r="D828" s="12"/>
      <c r="E828" s="56"/>
      <c r="F828" s="72"/>
      <c r="G828" s="7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56"/>
      <c r="B829" s="12"/>
      <c r="C829" s="12"/>
      <c r="D829" s="12"/>
      <c r="E829" s="56"/>
      <c r="F829" s="72"/>
      <c r="G829" s="7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56"/>
      <c r="B830" s="12"/>
      <c r="C830" s="12"/>
      <c r="D830" s="12"/>
      <c r="E830" s="56"/>
      <c r="F830" s="72"/>
      <c r="G830" s="7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56"/>
      <c r="B831" s="12"/>
      <c r="C831" s="12"/>
      <c r="D831" s="12"/>
      <c r="E831" s="56"/>
      <c r="F831" s="72"/>
      <c r="G831" s="7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56"/>
      <c r="B832" s="12"/>
      <c r="C832" s="12"/>
      <c r="D832" s="12"/>
      <c r="E832" s="56"/>
      <c r="F832" s="72"/>
      <c r="G832" s="7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56"/>
      <c r="B833" s="12"/>
      <c r="C833" s="12"/>
      <c r="D833" s="12"/>
      <c r="E833" s="56"/>
      <c r="F833" s="72"/>
      <c r="G833" s="7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56"/>
      <c r="B834" s="12"/>
      <c r="C834" s="12"/>
      <c r="D834" s="12"/>
      <c r="E834" s="56"/>
      <c r="F834" s="72"/>
      <c r="G834" s="7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56"/>
      <c r="B835" s="12"/>
      <c r="C835" s="12"/>
      <c r="D835" s="12"/>
      <c r="E835" s="56"/>
      <c r="F835" s="72"/>
      <c r="G835" s="7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56"/>
      <c r="B836" s="12"/>
      <c r="C836" s="12"/>
      <c r="D836" s="12"/>
      <c r="E836" s="56"/>
      <c r="F836" s="72"/>
      <c r="G836" s="7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56"/>
      <c r="B837" s="12"/>
      <c r="C837" s="12"/>
      <c r="D837" s="12"/>
      <c r="E837" s="56"/>
      <c r="F837" s="72"/>
      <c r="G837" s="7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56"/>
      <c r="B838" s="12"/>
      <c r="C838" s="12"/>
      <c r="D838" s="12"/>
      <c r="E838" s="56"/>
      <c r="F838" s="72"/>
      <c r="G838" s="7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56"/>
      <c r="B839" s="12"/>
      <c r="C839" s="12"/>
      <c r="D839" s="12"/>
      <c r="E839" s="56"/>
      <c r="F839" s="72"/>
      <c r="G839" s="7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56"/>
      <c r="B840" s="12"/>
      <c r="C840" s="12"/>
      <c r="D840" s="12"/>
      <c r="E840" s="56"/>
      <c r="F840" s="72"/>
      <c r="G840" s="7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56"/>
      <c r="B841" s="12"/>
      <c r="C841" s="12"/>
      <c r="D841" s="12"/>
      <c r="E841" s="56"/>
      <c r="F841" s="72"/>
      <c r="G841" s="7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56"/>
      <c r="B842" s="12"/>
      <c r="C842" s="12"/>
      <c r="D842" s="12"/>
      <c r="E842" s="56"/>
      <c r="F842" s="72"/>
      <c r="G842" s="7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56"/>
      <c r="B843" s="12"/>
      <c r="C843" s="12"/>
      <c r="D843" s="12"/>
      <c r="E843" s="56"/>
      <c r="F843" s="72"/>
      <c r="G843" s="7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56"/>
      <c r="B844" s="12"/>
      <c r="C844" s="12"/>
      <c r="D844" s="12"/>
      <c r="E844" s="56"/>
      <c r="F844" s="72"/>
      <c r="G844" s="7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56"/>
      <c r="B845" s="12"/>
      <c r="C845" s="12"/>
      <c r="D845" s="12"/>
      <c r="E845" s="56"/>
      <c r="F845" s="72"/>
      <c r="G845" s="7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56"/>
      <c r="B846" s="12"/>
      <c r="C846" s="12"/>
      <c r="D846" s="12"/>
      <c r="E846" s="56"/>
      <c r="F846" s="72"/>
      <c r="G846" s="7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56"/>
      <c r="B847" s="12"/>
      <c r="C847" s="12"/>
      <c r="D847" s="12"/>
      <c r="E847" s="56"/>
      <c r="F847" s="72"/>
      <c r="G847" s="7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56"/>
      <c r="B848" s="12"/>
      <c r="C848" s="12"/>
      <c r="D848" s="12"/>
      <c r="E848" s="56"/>
      <c r="F848" s="72"/>
      <c r="G848" s="7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56"/>
      <c r="B849" s="12"/>
      <c r="C849" s="12"/>
      <c r="D849" s="12"/>
      <c r="E849" s="56"/>
      <c r="F849" s="72"/>
      <c r="G849" s="7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56"/>
      <c r="B850" s="12"/>
      <c r="C850" s="12"/>
      <c r="D850" s="12"/>
      <c r="E850" s="56"/>
      <c r="F850" s="72"/>
      <c r="G850" s="7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56"/>
      <c r="B851" s="12"/>
      <c r="C851" s="12"/>
      <c r="D851" s="12"/>
      <c r="E851" s="56"/>
      <c r="F851" s="72"/>
      <c r="G851" s="7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56"/>
      <c r="B852" s="12"/>
      <c r="C852" s="12"/>
      <c r="D852" s="12"/>
      <c r="E852" s="56"/>
      <c r="F852" s="72"/>
      <c r="G852" s="7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56"/>
      <c r="B853" s="12"/>
      <c r="C853" s="12"/>
      <c r="D853" s="12"/>
      <c r="E853" s="56"/>
      <c r="F853" s="72"/>
      <c r="G853" s="7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56"/>
      <c r="B854" s="12"/>
      <c r="C854" s="12"/>
      <c r="D854" s="12"/>
      <c r="E854" s="56"/>
      <c r="F854" s="72"/>
      <c r="G854" s="7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56"/>
      <c r="B855" s="12"/>
      <c r="C855" s="12"/>
      <c r="D855" s="12"/>
      <c r="E855" s="56"/>
      <c r="F855" s="72"/>
      <c r="G855" s="7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56"/>
      <c r="B856" s="12"/>
      <c r="C856" s="12"/>
      <c r="D856" s="12"/>
      <c r="E856" s="56"/>
      <c r="F856" s="72"/>
      <c r="G856" s="7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56"/>
      <c r="B857" s="12"/>
      <c r="C857" s="12"/>
      <c r="D857" s="12"/>
      <c r="E857" s="56"/>
      <c r="F857" s="72"/>
      <c r="G857" s="7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56"/>
      <c r="B858" s="12"/>
      <c r="C858" s="12"/>
      <c r="D858" s="12"/>
      <c r="E858" s="56"/>
      <c r="F858" s="72"/>
      <c r="G858" s="7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56"/>
      <c r="B859" s="12"/>
      <c r="C859" s="12"/>
      <c r="D859" s="12"/>
      <c r="E859" s="56"/>
      <c r="F859" s="72"/>
      <c r="G859" s="7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56"/>
      <c r="B860" s="12"/>
      <c r="C860" s="12"/>
      <c r="D860" s="12"/>
      <c r="E860" s="56"/>
      <c r="F860" s="72"/>
      <c r="G860" s="7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56"/>
      <c r="B861" s="12"/>
      <c r="C861" s="12"/>
      <c r="D861" s="12"/>
      <c r="E861" s="56"/>
      <c r="F861" s="72"/>
      <c r="G861" s="7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56"/>
      <c r="B862" s="12"/>
      <c r="C862" s="12"/>
      <c r="D862" s="12"/>
      <c r="E862" s="56"/>
      <c r="F862" s="72"/>
      <c r="G862" s="7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56"/>
      <c r="B863" s="12"/>
      <c r="C863" s="12"/>
      <c r="D863" s="12"/>
      <c r="E863" s="56"/>
      <c r="F863" s="72"/>
      <c r="G863" s="7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56"/>
      <c r="B864" s="12"/>
      <c r="C864" s="12"/>
      <c r="D864" s="12"/>
      <c r="E864" s="56"/>
      <c r="F864" s="72"/>
      <c r="G864" s="7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56"/>
      <c r="B865" s="12"/>
      <c r="C865" s="12"/>
      <c r="D865" s="12"/>
      <c r="E865" s="56"/>
      <c r="F865" s="72"/>
      <c r="G865" s="7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56"/>
      <c r="B866" s="12"/>
      <c r="C866" s="12"/>
      <c r="D866" s="12"/>
      <c r="E866" s="56"/>
      <c r="F866" s="72"/>
      <c r="G866" s="7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56"/>
      <c r="B867" s="12"/>
      <c r="C867" s="12"/>
      <c r="D867" s="12"/>
      <c r="E867" s="56"/>
      <c r="F867" s="72"/>
      <c r="G867" s="7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56"/>
      <c r="B868" s="12"/>
      <c r="C868" s="12"/>
      <c r="D868" s="12"/>
      <c r="E868" s="56"/>
      <c r="F868" s="72"/>
      <c r="G868" s="7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56"/>
      <c r="B869" s="12"/>
      <c r="C869" s="12"/>
      <c r="D869" s="12"/>
      <c r="E869" s="56"/>
      <c r="F869" s="72"/>
      <c r="G869" s="7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56"/>
      <c r="B870" s="12"/>
      <c r="C870" s="12"/>
      <c r="D870" s="12"/>
      <c r="E870" s="56"/>
      <c r="F870" s="72"/>
      <c r="G870" s="7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56"/>
      <c r="B871" s="12"/>
      <c r="C871" s="12"/>
      <c r="D871" s="12"/>
      <c r="E871" s="56"/>
      <c r="F871" s="72"/>
      <c r="G871" s="7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56"/>
      <c r="B872" s="12"/>
      <c r="C872" s="12"/>
      <c r="D872" s="12"/>
      <c r="E872" s="56"/>
      <c r="F872" s="72"/>
      <c r="G872" s="7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56"/>
      <c r="B873" s="12"/>
      <c r="C873" s="12"/>
      <c r="D873" s="12"/>
      <c r="E873" s="56"/>
      <c r="F873" s="72"/>
      <c r="G873" s="7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56"/>
      <c r="B874" s="12"/>
      <c r="C874" s="12"/>
      <c r="D874" s="12"/>
      <c r="E874" s="56"/>
      <c r="F874" s="72"/>
      <c r="G874" s="7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56"/>
      <c r="B875" s="12"/>
      <c r="C875" s="12"/>
      <c r="D875" s="12"/>
      <c r="E875" s="56"/>
      <c r="F875" s="72"/>
      <c r="G875" s="7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56"/>
      <c r="B876" s="12"/>
      <c r="C876" s="12"/>
      <c r="D876" s="12"/>
      <c r="E876" s="56"/>
      <c r="F876" s="72"/>
      <c r="G876" s="7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56"/>
      <c r="B877" s="12"/>
      <c r="C877" s="12"/>
      <c r="D877" s="12"/>
      <c r="E877" s="56"/>
      <c r="F877" s="72"/>
      <c r="G877" s="7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56"/>
      <c r="B878" s="12"/>
      <c r="C878" s="12"/>
      <c r="D878" s="12"/>
      <c r="E878" s="56"/>
      <c r="F878" s="72"/>
      <c r="G878" s="7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56"/>
      <c r="B879" s="12"/>
      <c r="C879" s="12"/>
      <c r="D879" s="12"/>
      <c r="E879" s="56"/>
      <c r="F879" s="72"/>
      <c r="G879" s="7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56"/>
      <c r="B880" s="12"/>
      <c r="C880" s="12"/>
      <c r="D880" s="12"/>
      <c r="E880" s="56"/>
      <c r="F880" s="72"/>
      <c r="G880" s="7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56"/>
      <c r="B881" s="12"/>
      <c r="C881" s="12"/>
      <c r="D881" s="12"/>
      <c r="E881" s="56"/>
      <c r="F881" s="72"/>
      <c r="G881" s="7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56"/>
      <c r="B882" s="12"/>
      <c r="C882" s="12"/>
      <c r="D882" s="12"/>
      <c r="E882" s="56"/>
      <c r="F882" s="72"/>
      <c r="G882" s="7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56"/>
      <c r="B883" s="12"/>
      <c r="C883" s="12"/>
      <c r="D883" s="12"/>
      <c r="E883" s="56"/>
      <c r="F883" s="72"/>
      <c r="G883" s="7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56"/>
      <c r="B884" s="12"/>
      <c r="C884" s="12"/>
      <c r="D884" s="12"/>
      <c r="E884" s="56"/>
      <c r="F884" s="72"/>
      <c r="G884" s="7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56"/>
      <c r="B885" s="12"/>
      <c r="C885" s="12"/>
      <c r="D885" s="12"/>
      <c r="E885" s="56"/>
      <c r="F885" s="72"/>
      <c r="G885" s="7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56"/>
      <c r="B886" s="12"/>
      <c r="C886" s="12"/>
      <c r="D886" s="12"/>
      <c r="E886" s="56"/>
      <c r="F886" s="72"/>
      <c r="G886" s="7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56"/>
      <c r="B887" s="12"/>
      <c r="C887" s="12"/>
      <c r="D887" s="12"/>
      <c r="E887" s="56"/>
      <c r="F887" s="72"/>
      <c r="G887" s="7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56"/>
      <c r="B888" s="12"/>
      <c r="C888" s="12"/>
      <c r="D888" s="12"/>
      <c r="E888" s="56"/>
      <c r="F888" s="72"/>
      <c r="G888" s="7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56"/>
      <c r="B889" s="12"/>
      <c r="C889" s="12"/>
      <c r="D889" s="12"/>
      <c r="E889" s="56"/>
      <c r="F889" s="72"/>
      <c r="G889" s="7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56"/>
      <c r="B890" s="12"/>
      <c r="C890" s="12"/>
      <c r="D890" s="12"/>
      <c r="E890" s="56"/>
      <c r="F890" s="72"/>
      <c r="G890" s="7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56"/>
      <c r="B891" s="12"/>
      <c r="C891" s="12"/>
      <c r="D891" s="12"/>
      <c r="E891" s="56"/>
      <c r="F891" s="72"/>
      <c r="G891" s="7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56"/>
      <c r="B892" s="12"/>
      <c r="C892" s="12"/>
      <c r="D892" s="12"/>
      <c r="E892" s="56"/>
      <c r="F892" s="72"/>
      <c r="G892" s="7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56"/>
      <c r="B893" s="12"/>
      <c r="C893" s="12"/>
      <c r="D893" s="12"/>
      <c r="E893" s="56"/>
      <c r="F893" s="72"/>
      <c r="G893" s="7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56"/>
      <c r="B894" s="12"/>
      <c r="C894" s="12"/>
      <c r="D894" s="12"/>
      <c r="E894" s="56"/>
      <c r="F894" s="72"/>
      <c r="G894" s="7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56"/>
      <c r="B895" s="12"/>
      <c r="C895" s="12"/>
      <c r="D895" s="12"/>
      <c r="E895" s="56"/>
      <c r="F895" s="72"/>
      <c r="G895" s="7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56"/>
      <c r="B896" s="12"/>
      <c r="C896" s="12"/>
      <c r="D896" s="12"/>
      <c r="E896" s="56"/>
      <c r="F896" s="72"/>
      <c r="G896" s="7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56"/>
      <c r="B897" s="12"/>
      <c r="C897" s="12"/>
      <c r="D897" s="12"/>
      <c r="E897" s="56"/>
      <c r="F897" s="72"/>
      <c r="G897" s="7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56"/>
      <c r="B898" s="12"/>
      <c r="C898" s="12"/>
      <c r="D898" s="12"/>
      <c r="E898" s="56"/>
      <c r="F898" s="72"/>
      <c r="G898" s="7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56"/>
      <c r="B899" s="12"/>
      <c r="C899" s="12"/>
      <c r="D899" s="12"/>
      <c r="E899" s="56"/>
      <c r="F899" s="72"/>
      <c r="G899" s="7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56"/>
      <c r="B900" s="12"/>
      <c r="C900" s="12"/>
      <c r="D900" s="12"/>
      <c r="E900" s="56"/>
      <c r="F900" s="72"/>
      <c r="G900" s="7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56"/>
      <c r="B901" s="12"/>
      <c r="C901" s="12"/>
      <c r="D901" s="12"/>
      <c r="E901" s="56"/>
      <c r="F901" s="72"/>
      <c r="G901" s="7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56"/>
      <c r="B902" s="12"/>
      <c r="C902" s="12"/>
      <c r="D902" s="12"/>
      <c r="E902" s="56"/>
      <c r="F902" s="72"/>
      <c r="G902" s="7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56"/>
      <c r="B903" s="12"/>
      <c r="C903" s="12"/>
      <c r="D903" s="12"/>
      <c r="E903" s="56"/>
      <c r="F903" s="72"/>
      <c r="G903" s="7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56"/>
      <c r="B904" s="12"/>
      <c r="C904" s="12"/>
      <c r="D904" s="12"/>
      <c r="E904" s="56"/>
      <c r="F904" s="72"/>
      <c r="G904" s="7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56"/>
      <c r="B905" s="12"/>
      <c r="C905" s="12"/>
      <c r="D905" s="12"/>
      <c r="E905" s="56"/>
      <c r="F905" s="72"/>
      <c r="G905" s="7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56"/>
      <c r="B906" s="12"/>
      <c r="C906" s="12"/>
      <c r="D906" s="12"/>
      <c r="E906" s="56"/>
      <c r="F906" s="72"/>
      <c r="G906" s="7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56"/>
      <c r="B907" s="12"/>
      <c r="C907" s="12"/>
      <c r="D907" s="12"/>
      <c r="E907" s="56"/>
      <c r="F907" s="72"/>
      <c r="G907" s="7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56"/>
      <c r="B908" s="12"/>
      <c r="C908" s="12"/>
      <c r="D908" s="12"/>
      <c r="E908" s="56"/>
      <c r="F908" s="72"/>
      <c r="G908" s="7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56"/>
      <c r="B909" s="12"/>
      <c r="C909" s="12"/>
      <c r="D909" s="12"/>
      <c r="E909" s="56"/>
      <c r="F909" s="72"/>
      <c r="G909" s="7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56"/>
      <c r="B910" s="12"/>
      <c r="C910" s="12"/>
      <c r="D910" s="12"/>
      <c r="E910" s="56"/>
      <c r="F910" s="72"/>
      <c r="G910" s="7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56"/>
      <c r="B911" s="12"/>
      <c r="C911" s="12"/>
      <c r="D911" s="12"/>
      <c r="E911" s="56"/>
      <c r="F911" s="72"/>
      <c r="G911" s="7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56"/>
      <c r="B912" s="12"/>
      <c r="C912" s="12"/>
      <c r="D912" s="12"/>
      <c r="E912" s="56"/>
      <c r="F912" s="72"/>
      <c r="G912" s="7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56"/>
      <c r="B913" s="12"/>
      <c r="C913" s="12"/>
      <c r="D913" s="12"/>
      <c r="E913" s="56"/>
      <c r="F913" s="72"/>
      <c r="G913" s="7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56"/>
      <c r="B914" s="12"/>
      <c r="C914" s="12"/>
      <c r="D914" s="12"/>
      <c r="E914" s="56"/>
      <c r="F914" s="72"/>
      <c r="G914" s="7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56"/>
      <c r="B915" s="12"/>
      <c r="C915" s="12"/>
      <c r="D915" s="12"/>
      <c r="E915" s="56"/>
      <c r="F915" s="72"/>
      <c r="G915" s="7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56"/>
      <c r="B916" s="12"/>
      <c r="C916" s="12"/>
      <c r="D916" s="12"/>
      <c r="E916" s="56"/>
      <c r="F916" s="72"/>
      <c r="G916" s="7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56"/>
      <c r="B917" s="12"/>
      <c r="C917" s="12"/>
      <c r="D917" s="12"/>
      <c r="E917" s="56"/>
      <c r="F917" s="72"/>
      <c r="G917" s="7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56"/>
      <c r="B918" s="12"/>
      <c r="C918" s="12"/>
      <c r="D918" s="12"/>
      <c r="E918" s="56"/>
      <c r="F918" s="72"/>
      <c r="G918" s="7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56"/>
      <c r="B919" s="12"/>
      <c r="C919" s="12"/>
      <c r="D919" s="12"/>
      <c r="E919" s="56"/>
      <c r="F919" s="72"/>
      <c r="G919" s="7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56"/>
      <c r="B920" s="12"/>
      <c r="C920" s="12"/>
      <c r="D920" s="12"/>
      <c r="E920" s="56"/>
      <c r="F920" s="72"/>
      <c r="G920" s="7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56"/>
      <c r="B921" s="12"/>
      <c r="C921" s="12"/>
      <c r="D921" s="12"/>
      <c r="E921" s="56"/>
      <c r="F921" s="72"/>
      <c r="G921" s="7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56"/>
      <c r="B922" s="12"/>
      <c r="C922" s="12"/>
      <c r="D922" s="12"/>
      <c r="E922" s="56"/>
      <c r="F922" s="72"/>
      <c r="G922" s="7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56"/>
      <c r="B923" s="12"/>
      <c r="C923" s="12"/>
      <c r="D923" s="12"/>
      <c r="E923" s="56"/>
      <c r="F923" s="72"/>
      <c r="G923" s="7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56"/>
      <c r="B924" s="12"/>
      <c r="C924" s="12"/>
      <c r="D924" s="12"/>
      <c r="E924" s="56"/>
      <c r="F924" s="72"/>
      <c r="G924" s="7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56"/>
      <c r="B925" s="12"/>
      <c r="C925" s="12"/>
      <c r="D925" s="12"/>
      <c r="E925" s="56"/>
      <c r="F925" s="72"/>
      <c r="G925" s="7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56"/>
      <c r="B926" s="12"/>
      <c r="C926" s="12"/>
      <c r="D926" s="12"/>
      <c r="E926" s="56"/>
      <c r="F926" s="72"/>
      <c r="G926" s="7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56"/>
      <c r="B927" s="12"/>
      <c r="C927" s="12"/>
      <c r="D927" s="12"/>
      <c r="E927" s="56"/>
      <c r="F927" s="72"/>
      <c r="G927" s="7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56"/>
      <c r="B928" s="12"/>
      <c r="C928" s="12"/>
      <c r="D928" s="12"/>
      <c r="E928" s="56"/>
      <c r="F928" s="72"/>
      <c r="G928" s="7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56"/>
      <c r="B929" s="12"/>
      <c r="C929" s="12"/>
      <c r="D929" s="12"/>
      <c r="E929" s="56"/>
      <c r="F929" s="72"/>
      <c r="G929" s="7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56"/>
      <c r="B930" s="12"/>
      <c r="C930" s="12"/>
      <c r="D930" s="12"/>
      <c r="E930" s="56"/>
      <c r="F930" s="72"/>
      <c r="G930" s="7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56"/>
      <c r="B931" s="12"/>
      <c r="C931" s="12"/>
      <c r="D931" s="12"/>
      <c r="E931" s="56"/>
      <c r="F931" s="72"/>
      <c r="G931" s="7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56"/>
      <c r="B932" s="12"/>
      <c r="C932" s="12"/>
      <c r="D932" s="12"/>
      <c r="E932" s="56"/>
      <c r="F932" s="72"/>
      <c r="G932" s="7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56"/>
      <c r="B933" s="12"/>
      <c r="C933" s="12"/>
      <c r="D933" s="12"/>
      <c r="E933" s="56"/>
      <c r="F933" s="72"/>
      <c r="G933" s="7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56"/>
      <c r="B934" s="12"/>
      <c r="C934" s="12"/>
      <c r="D934" s="12"/>
      <c r="E934" s="56"/>
      <c r="F934" s="72"/>
      <c r="G934" s="7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56"/>
      <c r="B935" s="12"/>
      <c r="C935" s="12"/>
      <c r="D935" s="12"/>
      <c r="E935" s="56"/>
      <c r="F935" s="72"/>
      <c r="G935" s="7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56"/>
      <c r="B936" s="12"/>
      <c r="C936" s="12"/>
      <c r="D936" s="12"/>
      <c r="E936" s="56"/>
      <c r="F936" s="72"/>
      <c r="G936" s="7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56"/>
      <c r="B937" s="12"/>
      <c r="C937" s="12"/>
      <c r="D937" s="12"/>
      <c r="E937" s="56"/>
      <c r="F937" s="72"/>
      <c r="G937" s="7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56"/>
      <c r="B938" s="12"/>
      <c r="C938" s="12"/>
      <c r="D938" s="12"/>
      <c r="E938" s="56"/>
      <c r="F938" s="72"/>
      <c r="G938" s="7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56"/>
      <c r="B939" s="12"/>
      <c r="C939" s="12"/>
      <c r="D939" s="12"/>
      <c r="E939" s="56"/>
      <c r="F939" s="72"/>
      <c r="G939" s="7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56"/>
      <c r="B940" s="12"/>
      <c r="C940" s="12"/>
      <c r="D940" s="12"/>
      <c r="E940" s="56"/>
      <c r="F940" s="72"/>
      <c r="G940" s="7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56"/>
      <c r="B941" s="12"/>
      <c r="C941" s="12"/>
      <c r="D941" s="12"/>
      <c r="E941" s="56"/>
      <c r="F941" s="72"/>
      <c r="G941" s="7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56"/>
      <c r="B942" s="12"/>
      <c r="C942" s="12"/>
      <c r="D942" s="12"/>
      <c r="E942" s="56"/>
      <c r="F942" s="72"/>
      <c r="G942" s="7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56"/>
      <c r="B943" s="12"/>
      <c r="E943" s="56"/>
      <c r="F943" s="72"/>
      <c r="G943" s="7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56"/>
      <c r="B944" s="12"/>
      <c r="E944" s="56"/>
      <c r="F944" s="72"/>
      <c r="G944" s="7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56"/>
      <c r="B945" s="12"/>
      <c r="E945" s="56"/>
      <c r="F945" s="72"/>
      <c r="G945" s="7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56"/>
      <c r="B946" s="12"/>
      <c r="E946" s="56"/>
      <c r="F946" s="72"/>
      <c r="G946" s="7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56"/>
      <c r="B947" s="12"/>
      <c r="E947" s="56"/>
      <c r="F947" s="72"/>
      <c r="G947" s="7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56"/>
      <c r="B948" s="12"/>
      <c r="E948" s="56"/>
      <c r="F948" s="72"/>
      <c r="G948" s="7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56"/>
      <c r="B949" s="12"/>
      <c r="E949" s="56"/>
      <c r="F949" s="72"/>
      <c r="G949" s="7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56"/>
      <c r="B950" s="12"/>
      <c r="E950" s="56"/>
      <c r="F950" s="72"/>
      <c r="G950" s="7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56"/>
      <c r="B951" s="12"/>
      <c r="E951" s="56"/>
      <c r="F951" s="72"/>
      <c r="G951" s="7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56"/>
      <c r="B952" s="12"/>
      <c r="E952" s="56"/>
      <c r="F952" s="72"/>
      <c r="G952" s="7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56"/>
      <c r="B953" s="12"/>
      <c r="E953" s="56"/>
      <c r="F953" s="72"/>
      <c r="G953" s="7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56"/>
      <c r="B954" s="12"/>
      <c r="E954" s="56"/>
      <c r="F954" s="72"/>
      <c r="G954" s="7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56"/>
      <c r="B955" s="12"/>
      <c r="E955" s="56"/>
      <c r="F955" s="72"/>
      <c r="G955" s="7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56"/>
      <c r="B956" s="12"/>
      <c r="E956" s="56"/>
      <c r="F956" s="72"/>
      <c r="G956" s="7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56"/>
      <c r="B957" s="12"/>
      <c r="E957" s="56"/>
      <c r="F957" s="72"/>
      <c r="G957" s="7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56"/>
      <c r="B958" s="12"/>
      <c r="E958" s="56"/>
      <c r="F958" s="72"/>
      <c r="G958" s="7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56"/>
      <c r="B959" s="12"/>
      <c r="E959" s="56"/>
      <c r="F959" s="72"/>
      <c r="G959" s="7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56"/>
      <c r="B960" s="12"/>
      <c r="E960" s="56"/>
      <c r="F960" s="72"/>
      <c r="G960" s="7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56"/>
      <c r="B961" s="12"/>
      <c r="E961" s="56"/>
      <c r="F961" s="72"/>
      <c r="G961" s="7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56"/>
      <c r="B962" s="12"/>
      <c r="E962" s="56"/>
      <c r="F962" s="72"/>
      <c r="G962" s="7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56"/>
      <c r="B963" s="12"/>
      <c r="E963" s="56"/>
      <c r="F963" s="72"/>
      <c r="G963" s="7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56"/>
      <c r="B964" s="12"/>
      <c r="E964" s="56"/>
      <c r="F964" s="72"/>
      <c r="G964" s="7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56"/>
      <c r="B965" s="12"/>
      <c r="E965" s="56"/>
      <c r="F965" s="72"/>
      <c r="G965" s="7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56"/>
      <c r="B966" s="12"/>
      <c r="E966" s="56"/>
      <c r="F966" s="72"/>
      <c r="G966" s="7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56"/>
      <c r="B967" s="12"/>
      <c r="E967" s="56"/>
      <c r="F967" s="72"/>
      <c r="G967" s="7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56"/>
      <c r="B968" s="12"/>
      <c r="E968" s="56"/>
      <c r="F968" s="72"/>
      <c r="G968" s="7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56"/>
      <c r="B969" s="12"/>
      <c r="E969" s="56"/>
      <c r="F969" s="72"/>
      <c r="G969" s="7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56"/>
      <c r="B970" s="12"/>
      <c r="E970" s="56"/>
      <c r="F970" s="72"/>
      <c r="G970" s="7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56"/>
      <c r="B971" s="12"/>
      <c r="E971" s="56"/>
      <c r="F971" s="72"/>
      <c r="G971" s="7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56"/>
      <c r="B972" s="12"/>
      <c r="E972" s="56"/>
      <c r="F972" s="72"/>
      <c r="G972" s="7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56"/>
      <c r="B973" s="12"/>
      <c r="E973" s="56"/>
      <c r="F973" s="72"/>
      <c r="G973" s="7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56"/>
      <c r="B974" s="12"/>
      <c r="E974" s="56"/>
      <c r="F974" s="72"/>
      <c r="G974" s="7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56"/>
      <c r="B975" s="12"/>
      <c r="E975" s="56"/>
      <c r="F975" s="72"/>
      <c r="G975" s="7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56"/>
      <c r="B976" s="12"/>
      <c r="E976" s="56"/>
      <c r="F976" s="72"/>
      <c r="G976" s="7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56"/>
      <c r="B977" s="12"/>
      <c r="E977" s="56"/>
      <c r="F977" s="72"/>
      <c r="G977" s="7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56"/>
      <c r="B978" s="12"/>
      <c r="E978" s="56"/>
      <c r="F978" s="72"/>
      <c r="G978" s="7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56"/>
      <c r="B979" s="12"/>
      <c r="E979" s="56"/>
      <c r="F979" s="72"/>
      <c r="G979" s="7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56"/>
      <c r="B980" s="12"/>
      <c r="E980" s="56"/>
      <c r="F980" s="72"/>
      <c r="G980" s="7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56"/>
      <c r="B981" s="12"/>
      <c r="E981" s="56"/>
      <c r="F981" s="72"/>
      <c r="G981" s="7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56"/>
      <c r="B982" s="12"/>
      <c r="E982" s="56"/>
      <c r="F982" s="72"/>
      <c r="G982" s="7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56"/>
      <c r="B983" s="12"/>
      <c r="E983" s="56"/>
      <c r="F983" s="72"/>
      <c r="G983" s="7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56"/>
      <c r="B984" s="12"/>
      <c r="E984" s="56"/>
      <c r="F984" s="72"/>
      <c r="G984" s="7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56"/>
      <c r="B985" s="12"/>
      <c r="E985" s="56"/>
      <c r="F985" s="72"/>
      <c r="G985" s="7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56"/>
      <c r="B986" s="12"/>
      <c r="E986" s="56"/>
      <c r="F986" s="72"/>
      <c r="G986" s="7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56"/>
      <c r="B987" s="12"/>
      <c r="E987" s="56"/>
      <c r="F987" s="72"/>
      <c r="G987" s="7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56"/>
      <c r="B988" s="12"/>
      <c r="E988" s="56"/>
      <c r="F988" s="72"/>
      <c r="G988" s="7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56"/>
      <c r="B989" s="12"/>
      <c r="E989" s="56"/>
      <c r="F989" s="72"/>
      <c r="G989" s="7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56"/>
      <c r="B990" s="12"/>
      <c r="E990" s="56"/>
      <c r="F990" s="72"/>
      <c r="G990" s="7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56"/>
      <c r="B991" s="12"/>
      <c r="E991" s="56"/>
      <c r="F991" s="72"/>
      <c r="G991" s="7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56"/>
      <c r="B992" s="12"/>
      <c r="E992" s="56"/>
      <c r="F992" s="72"/>
      <c r="G992" s="7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56"/>
      <c r="B993" s="12"/>
      <c r="E993" s="56"/>
      <c r="F993" s="72"/>
      <c r="G993" s="7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56"/>
      <c r="B994" s="12"/>
      <c r="E994" s="56"/>
      <c r="F994" s="72"/>
      <c r="G994" s="7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56"/>
      <c r="B995" s="12"/>
      <c r="E995" s="56"/>
      <c r="F995" s="72"/>
      <c r="G995" s="7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56"/>
      <c r="B996" s="12"/>
      <c r="E996" s="56"/>
      <c r="F996" s="72"/>
      <c r="G996" s="73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56"/>
      <c r="B997" s="12"/>
      <c r="E997" s="56"/>
      <c r="F997" s="72"/>
      <c r="G997" s="73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56"/>
      <c r="B998" s="12"/>
      <c r="E998" s="56"/>
      <c r="F998" s="72"/>
      <c r="G998" s="73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56"/>
      <c r="B999" s="12"/>
      <c r="E999" s="56"/>
      <c r="F999" s="72"/>
      <c r="G999" s="73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56"/>
      <c r="B1000" s="12"/>
      <c r="E1000" s="56"/>
      <c r="F1000" s="72"/>
      <c r="G1000" s="73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56"/>
      <c r="B1001" s="12"/>
      <c r="E1001" s="56"/>
      <c r="F1001" s="72"/>
      <c r="G1001" s="73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56"/>
      <c r="B1002" s="12"/>
      <c r="E1002" s="56"/>
      <c r="F1002" s="72"/>
      <c r="G1002" s="73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56"/>
      <c r="B1003" s="12"/>
      <c r="E1003" s="56"/>
      <c r="F1003" s="72"/>
      <c r="G1003" s="73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56"/>
      <c r="B1004" s="12"/>
      <c r="E1004" s="56"/>
      <c r="F1004" s="72"/>
      <c r="G1004" s="73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56"/>
      <c r="B1005" s="12"/>
      <c r="E1005" s="56"/>
      <c r="F1005" s="72"/>
      <c r="G1005" s="73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>
      <c r="A1006" s="56"/>
      <c r="B1006" s="12"/>
      <c r="E1006" s="56"/>
      <c r="F1006" s="72"/>
      <c r="G1006" s="73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>
      <c r="A1007" s="56"/>
      <c r="B1007" s="12"/>
      <c r="E1007" s="56"/>
      <c r="F1007" s="72"/>
      <c r="G1007" s="73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>
      <c r="A1008" s="56"/>
      <c r="B1008" s="12"/>
      <c r="E1008" s="56"/>
      <c r="F1008" s="72"/>
      <c r="G1008" s="73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>
      <c r="A1009" s="56"/>
      <c r="B1009" s="12"/>
      <c r="E1009" s="56"/>
      <c r="F1009" s="72"/>
      <c r="G1009" s="73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</sheetData>
  <mergeCells count="3">
    <mergeCell ref="A1:G1"/>
    <mergeCell ref="A2:E3"/>
    <mergeCell ref="F2:G3"/>
  </mergeCells>
  <conditionalFormatting sqref="A5:A1009 E5:E1009">
    <cfRule type="beginsWith" dxfId="0" priority="1" operator="beginsWith" text="/410/0">
      <formula>LEFT((A5),LEN("/410/0"))=("/410/0")</formula>
    </cfRule>
  </conditionalFormatting>
  <conditionalFormatting sqref="A5:A1009 E5:E1009">
    <cfRule type="beginsWith" dxfId="1" priority="2" operator="beginsWith" text="/410/1">
      <formula>LEFT((A5),LEN("/410/1"))=("/410/1")</formula>
    </cfRule>
  </conditionalFormatting>
  <conditionalFormatting sqref="A5:A1009 E5:E1009">
    <cfRule type="beginsWith" dxfId="2" priority="3" operator="beginsWith" text="/410/2">
      <formula>LEFT((A5),LEN("/410/2"))=("/410/2")</formula>
    </cfRule>
  </conditionalFormatting>
  <conditionalFormatting sqref="A5:A1009 E5:E1009">
    <cfRule type="beginsWith" dxfId="3" priority="4" operator="beginsWith" text="/410/3">
      <formula>LEFT((A5),LEN("/410/3"))=("/410/3")</formula>
    </cfRule>
  </conditionalFormatting>
  <conditionalFormatting sqref="A5:A1009 E5:E1009">
    <cfRule type="beginsWith" dxfId="4" priority="5" operator="beginsWith" text="/410/4">
      <formula>LEFT((A5),LEN("/410/4"))=("/410/4")</formula>
    </cfRule>
  </conditionalFormatting>
  <conditionalFormatting sqref="A5:A1009 E5:E1009">
    <cfRule type="beginsWith" dxfId="5" priority="6" operator="beginsWith" text="/412/0">
      <formula>LEFT((A5),LEN("/412/0"))=("/412/0")</formula>
    </cfRule>
  </conditionalFormatting>
  <conditionalFormatting sqref="A5:A1009 E5:E1009">
    <cfRule type="beginsWith" dxfId="6" priority="7" operator="beginsWith" text="/412/1">
      <formula>LEFT((A5),LEN("/412/1"))=("/412/1")</formula>
    </cfRule>
  </conditionalFormatting>
  <conditionalFormatting sqref="A5:A1009 E5:E1009">
    <cfRule type="beginsWith" dxfId="7" priority="8" operator="beginsWith" text="/412/2">
      <formula>LEFT((A5),LEN("/412/2"))=("/412/2")</formula>
    </cfRule>
  </conditionalFormatting>
  <conditionalFormatting sqref="A5:A1009 E5:E1009">
    <cfRule type="beginsWith" dxfId="8" priority="9" operator="beginsWith" text="/410/0">
      <formula>LEFT((A5),LEN("/410/0"))=("/410/0")</formula>
    </cfRule>
  </conditionalFormatting>
  <conditionalFormatting sqref="A5:A1009 E5:E1009">
    <cfRule type="beginsWith" dxfId="9" priority="10" operator="beginsWith" text="/410/1">
      <formula>LEFT((A5),LEN("/410/1"))=("/410/1")</formula>
    </cfRule>
  </conditionalFormatting>
  <conditionalFormatting sqref="A5:A1009 E5:E1009">
    <cfRule type="beginsWith" dxfId="10" priority="11" operator="beginsWith" text="/410/2">
      <formula>LEFT((A5),LEN("/410/2"))=("/410/2")</formula>
    </cfRule>
  </conditionalFormatting>
  <conditionalFormatting sqref="A5:A1009 E5:E1009">
    <cfRule type="beginsWith" dxfId="11" priority="12" operator="beginsWith" text="/410/3">
      <formula>LEFT((A5),LEN("/410/3"))=("/410/3")</formula>
    </cfRule>
  </conditionalFormatting>
  <conditionalFormatting sqref="A5:A1009 E5:E1009">
    <cfRule type="beginsWith" dxfId="12" priority="13" operator="beginsWith" text="/410/4">
      <formula>LEFT((A5),LEN("/410/4"))=("/410/4")</formula>
    </cfRule>
  </conditionalFormatting>
  <dataValidations>
    <dataValidation type="list" allowBlank="1" showErrorMessage="1" sqref="C5:C72">
      <formula1>'Rooms and Types'!$D$3:$D$1001</formula1>
    </dataValidation>
    <dataValidation type="list" allowBlank="1" showErrorMessage="1" sqref="D5:D72">
      <formula1>'Rooms and Types'!$A$3:$A$1001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55.75"/>
    <col customWidth="1" min="3" max="3" width="14.75"/>
    <col customWidth="1" min="4" max="4" width="4.25"/>
    <col customWidth="1" min="5" max="5" width="16.25"/>
    <col customWidth="1" min="6" max="6" width="35.75"/>
    <col customWidth="1" min="7" max="7" width="13.0"/>
  </cols>
  <sheetData>
    <row r="1" ht="49.5" customHeight="1">
      <c r="A1" s="74" t="s">
        <v>775</v>
      </c>
      <c r="G1" s="5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27.75" customHeight="1">
      <c r="A2" s="75"/>
      <c r="B2" s="50"/>
      <c r="C2" s="75"/>
      <c r="G2" s="50"/>
      <c r="H2" s="49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 ht="28.5" customHeight="1">
      <c r="B3" s="50"/>
      <c r="G3" s="50"/>
      <c r="H3" s="49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</row>
    <row r="4">
      <c r="A4" s="76" t="s">
        <v>776</v>
      </c>
      <c r="B4" s="77" t="s">
        <v>777</v>
      </c>
      <c r="C4" s="76" t="s">
        <v>778</v>
      </c>
      <c r="D4" s="76" t="s">
        <v>629</v>
      </c>
      <c r="E4" s="76" t="s">
        <v>779</v>
      </c>
      <c r="F4" s="78" t="s">
        <v>780</v>
      </c>
      <c r="G4" s="77" t="s">
        <v>781</v>
      </c>
      <c r="H4" s="49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</row>
    <row r="5">
      <c r="A5" s="79" t="str">
        <f t="shared" ref="A5:A587" si="1">CONCATENATE(SUBSTITUTE(C5, "P/T", ""), "-", TEXT(D5, "00"))</f>
        <v>/410/001-01</v>
      </c>
      <c r="B5" s="80" t="str">
        <f>IFERROR(__xludf.DUMMYFUNCTION("CONCATENATE(VLOOKUP(C5,'Storage Locations'!$A:$C,2,FALSE),"" "",VLOOKUP(C5,'Storage Locations'!$A:$C,3,FALSE),"" || "",$E5, IF(G5 = ""Yes"",CONCATENATE("" "", REGEXREPLACE(RIGHT(A5,2), ""^0+"","""")),""""), IF(ISBLANK(F5),"""",CONCATENATE("": "", F5)))"),"Robotics Staff Cupboard || Shelf 1: Power Supplies, Batteries &amp; Cables")</f>
        <v>Robotics Staff Cupboard || Shelf 1: Power Supplies, Batteries &amp; Cables</v>
      </c>
      <c r="C5" s="81" t="s">
        <v>782</v>
      </c>
      <c r="D5" s="82">
        <v>1.0</v>
      </c>
      <c r="E5" s="83" t="s">
        <v>783</v>
      </c>
      <c r="F5" s="84" t="s">
        <v>784</v>
      </c>
      <c r="G5" s="85" t="s">
        <v>785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79" t="str">
        <f t="shared" si="1"/>
        <v>/410/001-02</v>
      </c>
      <c r="B6" s="80" t="str">
        <f>IFERROR(__xludf.DUMMYFUNCTION("CONCATENATE(VLOOKUP(C6,'Storage Locations'!$A:$C,2,FALSE),"" "",VLOOKUP(C6,'Storage Locations'!$A:$C,3,FALSE),"" || "",$E6, IF(G6 = ""Yes"",CONCATENATE("" "", REGEXREPLACE(RIGHT(A6,2), ""^0+"","""")),""""), IF(ISBLANK(F6),"""",CONCATENATE("": "", F6)))"),"Robotics Staff Cupboard || Shelf 2: Robotics Projects")</f>
        <v>Robotics Staff Cupboard || Shelf 2: Robotics Projects</v>
      </c>
      <c r="C6" s="81" t="s">
        <v>782</v>
      </c>
      <c r="D6" s="86">
        <v>2.0</v>
      </c>
      <c r="E6" s="83" t="s">
        <v>783</v>
      </c>
      <c r="F6" s="84" t="s">
        <v>786</v>
      </c>
      <c r="G6" s="85" t="s">
        <v>785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79" t="str">
        <f t="shared" si="1"/>
        <v>/410/001-03</v>
      </c>
      <c r="B7" s="80" t="str">
        <f>IFERROR(__xludf.DUMMYFUNCTION("CONCATENATE(VLOOKUP(C7,'Storage Locations'!$A:$C,2,FALSE),"" "",VLOOKUP(C7,'Storage Locations'!$A:$C,3,FALSE),"" || "",$E7, IF(G7 = ""Yes"",CONCATENATE("" "", REGEXREPLACE(RIGHT(A7,2), ""^0+"","""")),""""), IF(ISBLANK(F7),"""",CONCATENATE("": "", F7)))"),"Robotics Staff Cupboard || Shelf 3: Robotics Kits")</f>
        <v>Robotics Staff Cupboard || Shelf 3: Robotics Kits</v>
      </c>
      <c r="C7" s="81" t="s">
        <v>782</v>
      </c>
      <c r="D7" s="87">
        <v>3.0</v>
      </c>
      <c r="E7" s="83" t="s">
        <v>783</v>
      </c>
      <c r="F7" s="84" t="s">
        <v>787</v>
      </c>
      <c r="G7" s="85" t="s">
        <v>785</v>
      </c>
      <c r="H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79" t="str">
        <f t="shared" si="1"/>
        <v>/410/001-04</v>
      </c>
      <c r="B8" s="80" t="str">
        <f>IFERROR(__xludf.DUMMYFUNCTION("CONCATENATE(VLOOKUP(C8,'Storage Locations'!$A:$C,2,FALSE),"" "",VLOOKUP(C8,'Storage Locations'!$A:$C,3,FALSE),"" || "",$E8, IF(G8 = ""Yes"",CONCATENATE("" "", REGEXREPLACE(RIGHT(A8,2), ""^0+"","""")),""""), IF(ISBLANK(F8),"""",CONCATENATE("": "", F8)))"),"Robotics Staff Cupboard || Shelf 4: Miscellaneous Items")</f>
        <v>Robotics Staff Cupboard || Shelf 4: Miscellaneous Items</v>
      </c>
      <c r="C8" s="81" t="s">
        <v>782</v>
      </c>
      <c r="D8" s="88">
        <v>4.0</v>
      </c>
      <c r="E8" s="83" t="s">
        <v>783</v>
      </c>
      <c r="F8" s="84" t="s">
        <v>788</v>
      </c>
      <c r="G8" s="85" t="s">
        <v>785</v>
      </c>
      <c r="H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79" t="str">
        <f t="shared" si="1"/>
        <v>/410/001-05</v>
      </c>
      <c r="B9" s="80" t="str">
        <f>IFERROR(__xludf.DUMMYFUNCTION("CONCATENATE(VLOOKUP(C9,'Storage Locations'!$A:$C,2,FALSE),"" "",VLOOKUP(C9,'Storage Locations'!$A:$C,3,FALSE),"" || "",$E9, IF(G9 = ""Yes"",CONCATENATE("" "", REGEXREPLACE(RIGHT(A9,2), ""^0+"","""")),""""), IF(ISBLANK(F9),"""",CONCATENATE("": "", F9)))"),"Robotics Staff Cupboard || Shelf 5: Drone Equipment")</f>
        <v>Robotics Staff Cupboard || Shelf 5: Drone Equipment</v>
      </c>
      <c r="C9" s="81" t="s">
        <v>782</v>
      </c>
      <c r="D9" s="89">
        <v>5.0</v>
      </c>
      <c r="E9" s="83" t="s">
        <v>783</v>
      </c>
      <c r="F9" s="84" t="s">
        <v>789</v>
      </c>
      <c r="G9" s="85" t="s">
        <v>785</v>
      </c>
      <c r="H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79" t="str">
        <f t="shared" si="1"/>
        <v>/410/001-06</v>
      </c>
      <c r="B10" s="80" t="str">
        <f>IFERROR(__xludf.DUMMYFUNCTION("CONCATENATE(VLOOKUP(C10,'Storage Locations'!$A:$C,2,FALSE),"" "",VLOOKUP(C10,'Storage Locations'!$A:$C,3,FALSE),"" || "",$E10, IF(G10 = ""Yes"",CONCATENATE("" "", REGEXREPLACE(RIGHT(A10,2), ""^0+"","""")),""""), IF(ISBLANK(F10),"""",CONCATENATE("": "", F1"&amp;"0)))"),"Robotics Staff Cupboard || Top: Assorted PLA")</f>
        <v>Robotics Staff Cupboard || Top: Assorted PLA</v>
      </c>
      <c r="C10" s="81" t="s">
        <v>782</v>
      </c>
      <c r="D10" s="90">
        <v>6.0</v>
      </c>
      <c r="E10" s="83" t="s">
        <v>790</v>
      </c>
      <c r="F10" s="84" t="s">
        <v>791</v>
      </c>
      <c r="G10" s="85" t="s">
        <v>792</v>
      </c>
      <c r="H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91" t="str">
        <f t="shared" si="1"/>
        <v>/410/002-01</v>
      </c>
      <c r="B11" s="80" t="str">
        <f>IFERROR(__xludf.DUMMYFUNCTION("CONCATENATE(VLOOKUP(C11,'Storage Locations'!$A:$C,2,FALSE),"" "",VLOOKUP(C11,'Storage Locations'!$A:$C,3,FALSE),"" || "",$E11, IF(G11 = ""Yes"",CONCATENATE("" "", REGEXREPLACE(RIGHT(A11,2), ""^0+"","""")),""""), IF(ISBLANK(F11),"""",CONCATENATE("": "", F1"&amp;"1)))"),"Robotics Consumables Cupboard || Shelf 1: Miscellaneous Items")</f>
        <v>Robotics Consumables Cupboard || Shelf 1: Miscellaneous Items</v>
      </c>
      <c r="C11" s="92" t="s">
        <v>793</v>
      </c>
      <c r="D11" s="82">
        <v>1.0</v>
      </c>
      <c r="E11" s="83" t="s">
        <v>783</v>
      </c>
      <c r="F11" s="84" t="s">
        <v>788</v>
      </c>
      <c r="G11" s="85" t="s">
        <v>785</v>
      </c>
      <c r="H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91" t="str">
        <f t="shared" si="1"/>
        <v>/410/002-02</v>
      </c>
      <c r="B12" s="80" t="str">
        <f>IFERROR(__xludf.DUMMYFUNCTION("CONCATENATE(VLOOKUP(C12,'Storage Locations'!$A:$C,2,FALSE),"" "",VLOOKUP(C12,'Storage Locations'!$A:$C,3,FALSE),"" || "",$E12, IF(G12 = ""Yes"",CONCATENATE("" "", REGEXREPLACE(RIGHT(A12,2), ""^0+"","""")),""""), IF(ISBLANK(F12),"""",CONCATENATE("": "", F1"&amp;"2)))"),"Robotics Consumables Cupboard || Shelf 2: IT Supplies")</f>
        <v>Robotics Consumables Cupboard || Shelf 2: IT Supplies</v>
      </c>
      <c r="C12" s="92" t="s">
        <v>793</v>
      </c>
      <c r="D12" s="86">
        <v>2.0</v>
      </c>
      <c r="E12" s="83" t="s">
        <v>783</v>
      </c>
      <c r="F12" s="84" t="s">
        <v>794</v>
      </c>
      <c r="G12" s="85" t="s">
        <v>785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91" t="str">
        <f t="shared" si="1"/>
        <v>/410/002-03</v>
      </c>
      <c r="B13" s="80" t="str">
        <f>IFERROR(__xludf.DUMMYFUNCTION("CONCATENATE(VLOOKUP(C13,'Storage Locations'!$A:$C,2,FALSE),"" "",VLOOKUP(C13,'Storage Locations'!$A:$C,3,FALSE),"" || "",$E13, IF(G13 = ""Yes"",CONCATENATE("" "", REGEXREPLACE(RIGHT(A13,2), ""^0+"","""")),""""), IF(ISBLANK(F13),"""",CONCATENATE("": "", F1"&amp;"3)))"),"Robotics Consumables Cupboard || Shelf 3: Mechanical Components &amp; Actuators")</f>
        <v>Robotics Consumables Cupboard || Shelf 3: Mechanical Components &amp; Actuators</v>
      </c>
      <c r="C13" s="92" t="s">
        <v>793</v>
      </c>
      <c r="D13" s="87">
        <v>3.0</v>
      </c>
      <c r="E13" s="83" t="s">
        <v>783</v>
      </c>
      <c r="F13" s="84" t="s">
        <v>795</v>
      </c>
      <c r="G13" s="85" t="s">
        <v>785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91" t="str">
        <f t="shared" si="1"/>
        <v>/410/002-04</v>
      </c>
      <c r="B14" s="80" t="str">
        <f>IFERROR(__xludf.DUMMYFUNCTION("CONCATENATE(VLOOKUP(C14,'Storage Locations'!$A:$C,2,FALSE),"" "",VLOOKUP(C14,'Storage Locations'!$A:$C,3,FALSE),"" || "",$E14, IF(G14 = ""Yes"",CONCATENATE("" "", REGEXREPLACE(RIGHT(A14,2), ""^0+"","""")),""""), IF(ISBLANK(F14),"""",CONCATENATE("": "", F1"&amp;"4)))"),"Robotics Consumables Cupboard || Shelf 4: Electrical Components &amp; Sensors")</f>
        <v>Robotics Consumables Cupboard || Shelf 4: Electrical Components &amp; Sensors</v>
      </c>
      <c r="C14" s="92" t="s">
        <v>793</v>
      </c>
      <c r="D14" s="88">
        <v>4.0</v>
      </c>
      <c r="E14" s="83" t="s">
        <v>783</v>
      </c>
      <c r="F14" s="84" t="s">
        <v>796</v>
      </c>
      <c r="G14" s="85" t="s">
        <v>785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91" t="str">
        <f t="shared" si="1"/>
        <v>/410/002-05</v>
      </c>
      <c r="B15" s="80" t="str">
        <f>IFERROR(__xludf.DUMMYFUNCTION("CONCATENATE(VLOOKUP(C15,'Storage Locations'!$A:$C,2,FALSE),"" "",VLOOKUP(C15,'Storage Locations'!$A:$C,3,FALSE),"" || "",$E15, IF(G15 = ""Yes"",CONCATENATE("" "", REGEXREPLACE(RIGHT(A15,2), ""^0+"","""")),""""), IF(ISBLANK(F15),"""",CONCATENATE("": "", F1"&amp;"5)))"),"Robotics Consumables Cupboard || Shelf 5: Jumpers &amp; Cables")</f>
        <v>Robotics Consumables Cupboard || Shelf 5: Jumpers &amp; Cables</v>
      </c>
      <c r="C15" s="92" t="s">
        <v>793</v>
      </c>
      <c r="D15" s="89">
        <v>5.0</v>
      </c>
      <c r="E15" s="83" t="s">
        <v>783</v>
      </c>
      <c r="F15" s="84" t="s">
        <v>797</v>
      </c>
      <c r="G15" s="85" t="s">
        <v>785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91" t="str">
        <f t="shared" si="1"/>
        <v>/410/002-06</v>
      </c>
      <c r="B16" s="80" t="str">
        <f>IFERROR(__xludf.DUMMYFUNCTION("CONCATENATE(VLOOKUP(C16,'Storage Locations'!$A:$C,2,FALSE),"" "",VLOOKUP(C16,'Storage Locations'!$A:$C,3,FALSE),"" || "",$E16, IF(G16 = ""Yes"",CONCATENATE("" "", REGEXREPLACE(RIGHT(A16,2), ""^0+"","""")),""""), IF(ISBLANK(F16),"""",CONCATENATE("": "", F1"&amp;"6)))"),"Robotics Consumables Cupboard || Top: Assorted PLA")</f>
        <v>Robotics Consumables Cupboard || Top: Assorted PLA</v>
      </c>
      <c r="C16" s="92" t="s">
        <v>793</v>
      </c>
      <c r="D16" s="90">
        <v>6.0</v>
      </c>
      <c r="E16" s="83" t="s">
        <v>790</v>
      </c>
      <c r="F16" s="84" t="s">
        <v>791</v>
      </c>
      <c r="G16" s="85" t="s">
        <v>792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93" t="str">
        <f t="shared" si="1"/>
        <v>/410/003-01</v>
      </c>
      <c r="B17" s="80" t="str">
        <f>IFERROR(__xludf.DUMMYFUNCTION("CONCATENATE(VLOOKUP(C17,'Storage Locations'!$A:$C,2,FALSE),"" "",VLOOKUP(C17,'Storage Locations'!$A:$C,3,FALSE),"" || "",$E17, IF(G17 = ""Yes"",CONCATENATE("" "", REGEXREPLACE(RIGHT(A17,2), ""^0+"","""")),""""), IF(ISBLANK(F17),"""",CONCATENATE("": "", F1"&amp;"7)))"),"3D Printer Materials Cupboard || Shelf 1: Exotic Materials")</f>
        <v>3D Printer Materials Cupboard || Shelf 1: Exotic Materials</v>
      </c>
      <c r="C17" s="94" t="s">
        <v>798</v>
      </c>
      <c r="D17" s="82">
        <v>1.0</v>
      </c>
      <c r="E17" s="83" t="s">
        <v>783</v>
      </c>
      <c r="F17" s="84" t="s">
        <v>799</v>
      </c>
      <c r="G17" s="85" t="s">
        <v>785</v>
      </c>
      <c r="H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93" t="str">
        <f t="shared" si="1"/>
        <v>/410/003-02</v>
      </c>
      <c r="B18" s="80" t="str">
        <f>IFERROR(__xludf.DUMMYFUNCTION("CONCATENATE(VLOOKUP(C18,'Storage Locations'!$A:$C,2,FALSE),"" "",VLOOKUP(C18,'Storage Locations'!$A:$C,3,FALSE),"" || "",$E18, IF(G18 = ""Yes"",CONCATENATE("" "", REGEXREPLACE(RIGHT(A18,2), ""^0+"","""")),""""), IF(ISBLANK(F18),"""",CONCATENATE("": "", F1"&amp;"8)))"),"3D Printer Materials Cupboard || Shelf 2: QSR Support / Travs / Heads")</f>
        <v>3D Printer Materials Cupboard || Shelf 2: QSR Support / Travs / Heads</v>
      </c>
      <c r="C18" s="94" t="s">
        <v>798</v>
      </c>
      <c r="D18" s="86">
        <v>2.0</v>
      </c>
      <c r="E18" s="83" t="s">
        <v>783</v>
      </c>
      <c r="F18" s="84" t="s">
        <v>800</v>
      </c>
      <c r="G18" s="85" t="s">
        <v>785</v>
      </c>
      <c r="H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93" t="str">
        <f t="shared" si="1"/>
        <v>/410/003-03</v>
      </c>
      <c r="B19" s="80" t="str">
        <f>IFERROR(__xludf.DUMMYFUNCTION("CONCATENATE(VLOOKUP(C19,'Storage Locations'!$A:$C,2,FALSE),"" "",VLOOKUP(C19,'Storage Locations'!$A:$C,3,FALSE),"" || "",$E19, IF(G19 = ""Yes"",CONCATENATE("" "", REGEXREPLACE(RIGHT(A19,2), ""^0+"","""")),""""), IF(ISBLANK(F19),"""",CONCATENATE("": "", F1"&amp;"9)))"),"3D Printer Materials Cupboard || Shelf 3: Assorted Colour ASA")</f>
        <v>3D Printer Materials Cupboard || Shelf 3: Assorted Colour ASA</v>
      </c>
      <c r="C19" s="94" t="s">
        <v>798</v>
      </c>
      <c r="D19" s="87">
        <v>3.0</v>
      </c>
      <c r="E19" s="83" t="s">
        <v>783</v>
      </c>
      <c r="F19" s="84" t="s">
        <v>801</v>
      </c>
      <c r="G19" s="85" t="s">
        <v>785</v>
      </c>
      <c r="H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93" t="str">
        <f t="shared" si="1"/>
        <v>/410/003-04</v>
      </c>
      <c r="B20" s="80" t="str">
        <f>IFERROR(__xludf.DUMMYFUNCTION("CONCATENATE(VLOOKUP(C20,'Storage Locations'!$A:$C,2,FALSE),"" "",VLOOKUP(C20,'Storage Locations'!$A:$C,3,FALSE),"" || "",$E20, IF(G20 = ""Yes"",CONCATENATE("" "", REGEXREPLACE(RIGHT(A20,2), ""^0+"","""")),""""), IF(ISBLANK(F20),"""",CONCATENATE("": "", F2"&amp;"0)))"),"3D Printer Materials Cupboard || Shelf 4: Blue ASA")</f>
        <v>3D Printer Materials Cupboard || Shelf 4: Blue ASA</v>
      </c>
      <c r="C20" s="94" t="s">
        <v>798</v>
      </c>
      <c r="D20" s="88">
        <v>4.0</v>
      </c>
      <c r="E20" s="83" t="s">
        <v>783</v>
      </c>
      <c r="F20" s="84" t="s">
        <v>802</v>
      </c>
      <c r="G20" s="85" t="s">
        <v>785</v>
      </c>
      <c r="H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93" t="str">
        <f t="shared" si="1"/>
        <v>/410/003-05</v>
      </c>
      <c r="B21" s="80" t="str">
        <f>IFERROR(__xludf.DUMMYFUNCTION("CONCATENATE(VLOOKUP(C21,'Storage Locations'!$A:$C,2,FALSE),"" "",VLOOKUP(C21,'Storage Locations'!$A:$C,3,FALSE),"" || "",$E21, IF(G21 = ""Yes"",CONCATENATE("" "", REGEXREPLACE(RIGHT(A21,2), ""^0+"","""")),""""), IF(ISBLANK(F21),"""",CONCATENATE("": "", F2"&amp;"1)))"),"3D Printer Materials Cupboard || Shelf 5: ABS/Monochrome ASA")</f>
        <v>3D Printer Materials Cupboard || Shelf 5: ABS/Monochrome ASA</v>
      </c>
      <c r="C21" s="94" t="s">
        <v>798</v>
      </c>
      <c r="D21" s="89">
        <v>5.0</v>
      </c>
      <c r="E21" s="83" t="s">
        <v>783</v>
      </c>
      <c r="F21" s="84" t="s">
        <v>803</v>
      </c>
      <c r="G21" s="85" t="s">
        <v>785</v>
      </c>
      <c r="H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93" t="str">
        <f t="shared" si="1"/>
        <v>/410/003-06</v>
      </c>
      <c r="B22" s="80" t="str">
        <f>IFERROR(__xludf.DUMMYFUNCTION("CONCATENATE(VLOOKUP(C22,'Storage Locations'!$A:$C,2,FALSE),"" "",VLOOKUP(C22,'Storage Locations'!$A:$C,3,FALSE),"" || "",$E22, IF(G22 = ""Yes"",CONCATENATE("" "", REGEXREPLACE(RIGHT(A22,2), ""^0+"","""")),""""), IF(ISBLANK(F22),"""",CONCATENATE("": "", F2"&amp;"2)))"),"3D Printer Materials Cupboard || Top: Assorted PLA")</f>
        <v>3D Printer Materials Cupboard || Top: Assorted PLA</v>
      </c>
      <c r="C22" s="94" t="s">
        <v>798</v>
      </c>
      <c r="D22" s="90">
        <v>6.0</v>
      </c>
      <c r="E22" s="83" t="s">
        <v>790</v>
      </c>
      <c r="F22" s="84" t="s">
        <v>791</v>
      </c>
      <c r="G22" s="85" t="s">
        <v>792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95" t="str">
        <f t="shared" si="1"/>
        <v>/410/004-01</v>
      </c>
      <c r="B23" s="80" t="str">
        <f>IFERROR(__xludf.DUMMYFUNCTION("CONCATENATE(VLOOKUP(C23,'Storage Locations'!$A:$C,2,FALSE),"" "",VLOOKUP(C23,'Storage Locations'!$A:$C,3,FALSE),"" || "",$E23, IF(G23 = ""Yes"",CONCATENATE("" "", REGEXREPLACE(RIGHT(A23,2), ""^0+"","""")),""""), IF(ISBLANK(F23),"""",CONCATENATE("": "", F2"&amp;"3)))"),"South Wall Gap || Space: Large Dot Displays")</f>
        <v>South Wall Gap || Space: Large Dot Displays</v>
      </c>
      <c r="C23" s="96" t="s">
        <v>804</v>
      </c>
      <c r="D23" s="82">
        <v>1.0</v>
      </c>
      <c r="E23" s="83" t="s">
        <v>805</v>
      </c>
      <c r="F23" s="84" t="s">
        <v>806</v>
      </c>
      <c r="G23" s="85" t="s">
        <v>792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97" t="str">
        <f t="shared" si="1"/>
        <v>/410/005-31</v>
      </c>
      <c r="B24" s="80" t="str">
        <f>IFERROR(__xludf.DUMMYFUNCTION("CONCATENATE(VLOOKUP(C24,'Storage Locations'!$A:$C,2,FALSE),"" "",VLOOKUP(C24,'Storage Locations'!$A:$C,3,FALSE),"" || "",$E24, IF(G24 = ""Yes"",CONCATENATE("" "", REGEXREPLACE(RIGHT(A24,2), ""^0+"","""")),""""), IF(ISBLANK(F24),"""",CONCATENATE("": "", F2"&amp;"4)))"),"South Wall Lockers Locker Group || Locker/Safe 31: Locker 31")</f>
        <v>South Wall Lockers Locker Group || Locker/Safe 31: Locker 31</v>
      </c>
      <c r="C24" s="98" t="s">
        <v>807</v>
      </c>
      <c r="D24" s="99">
        <v>31.0</v>
      </c>
      <c r="E24" s="83" t="s">
        <v>808</v>
      </c>
      <c r="F24" s="84" t="s">
        <v>809</v>
      </c>
      <c r="G24" s="85" t="s">
        <v>785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97" t="str">
        <f t="shared" si="1"/>
        <v>/410/005-32</v>
      </c>
      <c r="B25" s="80" t="str">
        <f>IFERROR(__xludf.DUMMYFUNCTION("CONCATENATE(VLOOKUP(C25,'Storage Locations'!$A:$C,2,FALSE),"" "",VLOOKUP(C25,'Storage Locations'!$A:$C,3,FALSE),"" || "",$E25, IF(G25 = ""Yes"",CONCATENATE("" "", REGEXREPLACE(RIGHT(A25,2), ""^0+"","""")),""""), IF(ISBLANK(F25),"""",CONCATENATE("": "", F2"&amp;"5)))"),"South Wall Lockers Locker Group || Locker/Safe 32: Locker 32")</f>
        <v>South Wall Lockers Locker Group || Locker/Safe 32: Locker 32</v>
      </c>
      <c r="C25" s="98" t="s">
        <v>807</v>
      </c>
      <c r="D25" s="100">
        <v>32.0</v>
      </c>
      <c r="E25" s="83" t="s">
        <v>808</v>
      </c>
      <c r="F25" s="84" t="s">
        <v>810</v>
      </c>
      <c r="G25" s="85" t="s">
        <v>785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97" t="str">
        <f t="shared" si="1"/>
        <v>/410/005-33</v>
      </c>
      <c r="B26" s="80" t="str">
        <f>IFERROR(__xludf.DUMMYFUNCTION("CONCATENATE(VLOOKUP(C26,'Storage Locations'!$A:$C,2,FALSE),"" "",VLOOKUP(C26,'Storage Locations'!$A:$C,3,FALSE),"" || "",$E26, IF(G26 = ""Yes"",CONCATENATE("" "", REGEXREPLACE(RIGHT(A26,2), ""^0+"","""")),""""), IF(ISBLANK(F26),"""",CONCATENATE("": "", F2"&amp;"6)))"),"South Wall Lockers Locker Group || Locker/Safe 33: Locker 33")</f>
        <v>South Wall Lockers Locker Group || Locker/Safe 33: Locker 33</v>
      </c>
      <c r="C26" s="98" t="s">
        <v>807</v>
      </c>
      <c r="D26" s="101">
        <v>33.0</v>
      </c>
      <c r="E26" s="83" t="s">
        <v>808</v>
      </c>
      <c r="F26" s="84" t="s">
        <v>811</v>
      </c>
      <c r="G26" s="85" t="s">
        <v>785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97" t="str">
        <f t="shared" si="1"/>
        <v>/410/005-34</v>
      </c>
      <c r="B27" s="80" t="str">
        <f>IFERROR(__xludf.DUMMYFUNCTION("CONCATENATE(VLOOKUP(C27,'Storage Locations'!$A:$C,2,FALSE),"" "",VLOOKUP(C27,'Storage Locations'!$A:$C,3,FALSE),"" || "",$E27, IF(G27 = ""Yes"",CONCATENATE("" "", REGEXREPLACE(RIGHT(A27,2), ""^0+"","""")),""""), IF(ISBLANK(F27),"""",CONCATENATE("": "", F2"&amp;"7)))"),"South Wall Lockers Locker Group || Locker/Safe 34: Locker 34")</f>
        <v>South Wall Lockers Locker Group || Locker/Safe 34: Locker 34</v>
      </c>
      <c r="C27" s="98" t="s">
        <v>807</v>
      </c>
      <c r="D27" s="102">
        <v>34.0</v>
      </c>
      <c r="E27" s="83" t="s">
        <v>808</v>
      </c>
      <c r="F27" s="84" t="s">
        <v>812</v>
      </c>
      <c r="G27" s="85" t="s">
        <v>785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97" t="str">
        <f t="shared" si="1"/>
        <v>/410/005-35</v>
      </c>
      <c r="B28" s="80" t="str">
        <f>IFERROR(__xludf.DUMMYFUNCTION("CONCATENATE(VLOOKUP(C28,'Storage Locations'!$A:$C,2,FALSE),"" "",VLOOKUP(C28,'Storage Locations'!$A:$C,3,FALSE),"" || "",$E28, IF(G28 = ""Yes"",CONCATENATE("" "", REGEXREPLACE(RIGHT(A28,2), ""^0+"","""")),""""), IF(ISBLANK(F28),"""",CONCATENATE("": "", F2"&amp;"8)))"),"South Wall Lockers Locker Group || Locker/Safe 35: Locker 35")</f>
        <v>South Wall Lockers Locker Group || Locker/Safe 35: Locker 35</v>
      </c>
      <c r="C28" s="98" t="s">
        <v>807</v>
      </c>
      <c r="D28" s="103">
        <v>35.0</v>
      </c>
      <c r="E28" s="83" t="s">
        <v>808</v>
      </c>
      <c r="F28" s="84" t="s">
        <v>813</v>
      </c>
      <c r="G28" s="85" t="s">
        <v>785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97" t="str">
        <f t="shared" si="1"/>
        <v>/410/005-36</v>
      </c>
      <c r="B29" s="80" t="str">
        <f>IFERROR(__xludf.DUMMYFUNCTION("CONCATENATE(VLOOKUP(C29,'Storage Locations'!$A:$C,2,FALSE),"" "",VLOOKUP(C29,'Storage Locations'!$A:$C,3,FALSE),"" || "",$E29, IF(G29 = ""Yes"",CONCATENATE("" "", REGEXREPLACE(RIGHT(A29,2), ""^0+"","""")),""""), IF(ISBLANK(F29),"""",CONCATENATE("": "", F2"&amp;"9)))"),"South Wall Lockers Locker Group || Locker/Safe 36: Locker 36")</f>
        <v>South Wall Lockers Locker Group || Locker/Safe 36: Locker 36</v>
      </c>
      <c r="C29" s="98" t="s">
        <v>807</v>
      </c>
      <c r="D29" s="86">
        <v>36.0</v>
      </c>
      <c r="E29" s="83" t="s">
        <v>808</v>
      </c>
      <c r="F29" s="84" t="s">
        <v>814</v>
      </c>
      <c r="G29" s="85" t="s">
        <v>785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97" t="str">
        <f t="shared" si="1"/>
        <v>/410/005-37</v>
      </c>
      <c r="B30" s="80" t="str">
        <f>IFERROR(__xludf.DUMMYFUNCTION("CONCATENATE(VLOOKUP(C30,'Storage Locations'!$A:$C,2,FALSE),"" "",VLOOKUP(C30,'Storage Locations'!$A:$C,3,FALSE),"" || "",$E30, IF(G30 = ""Yes"",CONCATENATE("" "", REGEXREPLACE(RIGHT(A30,2), ""^0+"","""")),""""), IF(ISBLANK(F30),"""",CONCATENATE("": "", F3"&amp;"0)))"),"South Wall Lockers Locker Group || Locker/Safe 37: Locker 37")</f>
        <v>South Wall Lockers Locker Group || Locker/Safe 37: Locker 37</v>
      </c>
      <c r="C30" s="98" t="s">
        <v>807</v>
      </c>
      <c r="D30" s="87">
        <v>37.0</v>
      </c>
      <c r="E30" s="83" t="s">
        <v>808</v>
      </c>
      <c r="F30" s="84" t="s">
        <v>815</v>
      </c>
      <c r="G30" s="85" t="s">
        <v>785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97" t="str">
        <f t="shared" si="1"/>
        <v>/410/005-38</v>
      </c>
      <c r="B31" s="80" t="str">
        <f>IFERROR(__xludf.DUMMYFUNCTION("CONCATENATE(VLOOKUP(C31,'Storage Locations'!$A:$C,2,FALSE),"" "",VLOOKUP(C31,'Storage Locations'!$A:$C,3,FALSE),"" || "",$E31, IF(G31 = ""Yes"",CONCATENATE("" "", REGEXREPLACE(RIGHT(A31,2), ""^0+"","""")),""""), IF(ISBLANK(F31),"""",CONCATENATE("": "", F3"&amp;"1)))"),"South Wall Lockers Locker Group || Locker/Safe 38: Locker 38")</f>
        <v>South Wall Lockers Locker Group || Locker/Safe 38: Locker 38</v>
      </c>
      <c r="C31" s="98" t="s">
        <v>807</v>
      </c>
      <c r="D31" s="88">
        <v>38.0</v>
      </c>
      <c r="E31" s="83" t="s">
        <v>808</v>
      </c>
      <c r="F31" s="84" t="s">
        <v>816</v>
      </c>
      <c r="G31" s="85" t="s">
        <v>785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97" t="str">
        <f t="shared" si="1"/>
        <v>/410/005-39</v>
      </c>
      <c r="B32" s="80" t="str">
        <f>IFERROR(__xludf.DUMMYFUNCTION("CONCATENATE(VLOOKUP(C32,'Storage Locations'!$A:$C,2,FALSE),"" "",VLOOKUP(C32,'Storage Locations'!$A:$C,3,FALSE),"" || "",$E32, IF(G32 = ""Yes"",CONCATENATE("" "", REGEXREPLACE(RIGHT(A32,2), ""^0+"","""")),""""), IF(ISBLANK(F32),"""",CONCATENATE("": "", F3"&amp;"2)))"),"South Wall Lockers Locker Group || Locker/Safe 39: Locker 39")</f>
        <v>South Wall Lockers Locker Group || Locker/Safe 39: Locker 39</v>
      </c>
      <c r="C32" s="98" t="s">
        <v>807</v>
      </c>
      <c r="D32" s="89">
        <v>39.0</v>
      </c>
      <c r="E32" s="83" t="s">
        <v>808</v>
      </c>
      <c r="F32" s="84" t="s">
        <v>817</v>
      </c>
      <c r="G32" s="85" t="s">
        <v>785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97" t="str">
        <f t="shared" si="1"/>
        <v>/410/005-01</v>
      </c>
      <c r="B33" s="80" t="str">
        <f>IFERROR(__xludf.DUMMYFUNCTION("CONCATENATE(VLOOKUP(C33,'Storage Locations'!$A:$C,2,FALSE),"" "",VLOOKUP(C33,'Storage Locations'!$A:$C,3,FALSE),"" || "",$E33, IF(G33 = ""Yes"",CONCATENATE("" "", REGEXREPLACE(RIGHT(A33,2), ""^0+"","""")),""""), IF(ISBLANK(F33),"""",CONCATENATE("": "", F3"&amp;"3)))"),"South Wall Lockers Locker Group || Top 1: Wiring &amp; Soldering Supplies")</f>
        <v>South Wall Lockers Locker Group || Top 1: Wiring &amp; Soldering Supplies</v>
      </c>
      <c r="C33" s="98" t="s">
        <v>807</v>
      </c>
      <c r="D33" s="82">
        <v>1.0</v>
      </c>
      <c r="E33" s="83" t="s">
        <v>790</v>
      </c>
      <c r="F33" s="84" t="s">
        <v>818</v>
      </c>
      <c r="G33" s="85" t="s">
        <v>785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97" t="str">
        <f t="shared" si="1"/>
        <v>/410/005-02</v>
      </c>
      <c r="B34" s="80" t="str">
        <f>IFERROR(__xludf.DUMMYFUNCTION("CONCATENATE(VLOOKUP(C34,'Storage Locations'!$A:$C,2,FALSE),"" "",VLOOKUP(C34,'Storage Locations'!$A:$C,3,FALSE),"" || "",$E34, IF(G34 = ""Yes"",CONCATENATE("" "", REGEXREPLACE(RIGHT(A34,2), ""^0+"","""")),""""), IF(ISBLANK(F34),"""",CONCATENATE("": "", F3"&amp;"4)))"),"South Wall Lockers Locker Group || Top 2: Robot Racecourse Assembly Parts")</f>
        <v>South Wall Lockers Locker Group || Top 2: Robot Racecourse Assembly Parts</v>
      </c>
      <c r="C34" s="98" t="s">
        <v>807</v>
      </c>
      <c r="D34" s="86">
        <v>2.0</v>
      </c>
      <c r="E34" s="83" t="s">
        <v>790</v>
      </c>
      <c r="F34" s="84" t="s">
        <v>819</v>
      </c>
      <c r="G34" s="85" t="s">
        <v>785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04" t="str">
        <f t="shared" si="1"/>
        <v>/410/006-01</v>
      </c>
      <c r="B35" s="80" t="str">
        <f>IFERROR(__xludf.DUMMYFUNCTION("CONCATENATE(VLOOKUP(C35,'Storage Locations'!$A:$C,2,FALSE),"" "",VLOOKUP(C35,'Storage Locations'!$A:$C,3,FALSE),"" || "",$E35, IF(G35 = ""Yes"",CONCATENATE("" "", REGEXREPLACE(RIGHT(A35,2), ""^0+"","""")),""""), IF(ISBLANK(F35),"""",CONCATENATE("": "", F3"&amp;"5)))"),"PSU &amp; BNC Cables Hanger Set || Hanger 1: F-M USB Type A")</f>
        <v>PSU &amp; BNC Cables Hanger Set || Hanger 1: F-M USB Type A</v>
      </c>
      <c r="C35" s="105" t="s">
        <v>820</v>
      </c>
      <c r="D35" s="82">
        <v>1.0</v>
      </c>
      <c r="E35" s="83" t="s">
        <v>821</v>
      </c>
      <c r="F35" s="84" t="s">
        <v>822</v>
      </c>
      <c r="G35" s="85" t="s">
        <v>785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04" t="str">
        <f t="shared" si="1"/>
        <v>/410/006-02</v>
      </c>
      <c r="B36" s="80" t="str">
        <f>IFERROR(__xludf.DUMMYFUNCTION("CONCATENATE(VLOOKUP(C36,'Storage Locations'!$A:$C,2,FALSE),"" "",VLOOKUP(C36,'Storage Locations'!$A:$C,3,FALSE),"" || "",$E36, IF(G36 = ""Yes"",CONCATENATE("" "", REGEXREPLACE(RIGHT(A36,2), ""^0+"","""")),""""), IF(ISBLANK(F36),"""",CONCATENATE("": "", F3"&amp;"6)))"),"PSU &amp; BNC Cables Hanger Set || Hanger 2: USB Type A to USB Type B")</f>
        <v>PSU &amp; BNC Cables Hanger Set || Hanger 2: USB Type A to USB Type B</v>
      </c>
      <c r="C36" s="105" t="s">
        <v>820</v>
      </c>
      <c r="D36" s="86">
        <v>2.0</v>
      </c>
      <c r="E36" s="83" t="s">
        <v>821</v>
      </c>
      <c r="F36" s="84" t="s">
        <v>823</v>
      </c>
      <c r="G36" s="85" t="s">
        <v>785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04" t="str">
        <f t="shared" si="1"/>
        <v>/410/006-03</v>
      </c>
      <c r="B37" s="80" t="str">
        <f>IFERROR(__xludf.DUMMYFUNCTION("CONCATENATE(VLOOKUP(C37,'Storage Locations'!$A:$C,2,FALSE),"" "",VLOOKUP(C37,'Storage Locations'!$A:$C,3,FALSE),"" || "",$E37, IF(G37 = ""Yes"",CONCATENATE("" "", REGEXREPLACE(RIGHT(A37,2), ""^0+"","""")),""""), IF(ISBLANK(F37),"""",CONCATENATE("": "", F3"&amp;"7)))"),"PSU &amp; BNC Cables Hanger Set || Hanger 3: PSU Banana Connectors")</f>
        <v>PSU &amp; BNC Cables Hanger Set || Hanger 3: PSU Banana Connectors</v>
      </c>
      <c r="C37" s="105" t="s">
        <v>820</v>
      </c>
      <c r="D37" s="87">
        <v>3.0</v>
      </c>
      <c r="E37" s="83" t="s">
        <v>821</v>
      </c>
      <c r="F37" s="84" t="s">
        <v>824</v>
      </c>
      <c r="G37" s="85" t="s">
        <v>785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04" t="str">
        <f t="shared" si="1"/>
        <v>/410/006-04</v>
      </c>
      <c r="B38" s="80" t="str">
        <f>IFERROR(__xludf.DUMMYFUNCTION("CONCATENATE(VLOOKUP(C38,'Storage Locations'!$A:$C,2,FALSE),"" "",VLOOKUP(C38,'Storage Locations'!$A:$C,3,FALSE),"" || "",$E38, IF(G38 = ""Yes"",CONCATENATE("" "", REGEXREPLACE(RIGHT(A38,2), ""^0+"","""")),""""), IF(ISBLANK(F38),"""",CONCATENATE("": "", F3"&amp;"8)))"),"PSU &amp; BNC Cables Hanger Set || Hanger 4: M-M BNC Connector Cable")</f>
        <v>PSU &amp; BNC Cables Hanger Set || Hanger 4: M-M BNC Connector Cable</v>
      </c>
      <c r="C38" s="105" t="s">
        <v>820</v>
      </c>
      <c r="D38" s="88">
        <v>4.0</v>
      </c>
      <c r="E38" s="83" t="s">
        <v>821</v>
      </c>
      <c r="F38" s="84" t="s">
        <v>825</v>
      </c>
      <c r="G38" s="85" t="s">
        <v>785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04" t="str">
        <f t="shared" si="1"/>
        <v>/410/006-05</v>
      </c>
      <c r="B39" s="80" t="str">
        <f>IFERROR(__xludf.DUMMYFUNCTION("CONCATENATE(VLOOKUP(C39,'Storage Locations'!$A:$C,2,FALSE),"" "",VLOOKUP(C39,'Storage Locations'!$A:$C,3,FALSE),"" || "",$E39, IF(G39 = ""Yes"",CONCATENATE("" "", REGEXREPLACE(RIGHT(A39,2), ""^0+"","""")),""""), IF(ISBLANK(F39),"""",CONCATENATE("": "", F3"&amp;"9)))"),"PSU &amp; BNC Cables Hanger Set || Hanger 5: M-M BNC Connector Cable")</f>
        <v>PSU &amp; BNC Cables Hanger Set || Hanger 5: M-M BNC Connector Cable</v>
      </c>
      <c r="C39" s="105" t="s">
        <v>820</v>
      </c>
      <c r="D39" s="89">
        <v>5.0</v>
      </c>
      <c r="E39" s="83" t="s">
        <v>821</v>
      </c>
      <c r="F39" s="84" t="s">
        <v>825</v>
      </c>
      <c r="G39" s="85" t="s">
        <v>785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04" t="str">
        <f t="shared" si="1"/>
        <v>/410/006-06</v>
      </c>
      <c r="B40" s="80" t="str">
        <f>IFERROR(__xludf.DUMMYFUNCTION("CONCATENATE(VLOOKUP(C40,'Storage Locations'!$A:$C,2,FALSE),"" "",VLOOKUP(C40,'Storage Locations'!$A:$C,3,FALSE),"" || "",$E40, IF(G40 = ""Yes"",CONCATENATE("" "", REGEXREPLACE(RIGHT(A40,2), ""^0+"","""")),""""), IF(ISBLANK(F40),"""",CONCATENATE("": "", F4"&amp;"0)))"),"PSU &amp; BNC Cables Hanger Set || Hanger 6: M-M Bulkhead BNC Connector Cable")</f>
        <v>PSU &amp; BNC Cables Hanger Set || Hanger 6: M-M Bulkhead BNC Connector Cable</v>
      </c>
      <c r="C40" s="105" t="s">
        <v>820</v>
      </c>
      <c r="D40" s="90">
        <v>6.0</v>
      </c>
      <c r="E40" s="83" t="s">
        <v>821</v>
      </c>
      <c r="F40" s="84" t="s">
        <v>826</v>
      </c>
      <c r="G40" s="85" t="s">
        <v>785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04" t="str">
        <f t="shared" si="1"/>
        <v>/410/006-07</v>
      </c>
      <c r="B41" s="80" t="str">
        <f>IFERROR(__xludf.DUMMYFUNCTION("CONCATENATE(VLOOKUP(C41,'Storage Locations'!$A:$C,2,FALSE),"" "",VLOOKUP(C41,'Storage Locations'!$A:$C,3,FALSE),"" || "",$E41, IF(G41 = ""Yes"",CONCATENATE("" "", REGEXREPLACE(RIGHT(A41,2), ""^0+"","""")),""""), IF(ISBLANK(F41),"""",CONCATENATE("": "", F4"&amp;"1)))"),"PSU &amp; BNC Cables Hanger Set || Hanger 7: M BNC to Dual Banana Connector")</f>
        <v>PSU &amp; BNC Cables Hanger Set || Hanger 7: M BNC to Dual Banana Connector</v>
      </c>
      <c r="C41" s="105" t="s">
        <v>820</v>
      </c>
      <c r="D41" s="106">
        <v>7.0</v>
      </c>
      <c r="E41" s="83" t="s">
        <v>821</v>
      </c>
      <c r="F41" s="84" t="s">
        <v>827</v>
      </c>
      <c r="G41" s="85" t="s">
        <v>785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04" t="str">
        <f t="shared" si="1"/>
        <v>/410/006-08</v>
      </c>
      <c r="B42" s="80" t="str">
        <f>IFERROR(__xludf.DUMMYFUNCTION("CONCATENATE(VLOOKUP(C42,'Storage Locations'!$A:$C,2,FALSE),"" "",VLOOKUP(C42,'Storage Locations'!$A:$C,3,FALSE),"" || "",$E42, IF(G42 = ""Yes"",CONCATENATE("" "", REGEXREPLACE(RIGHT(A42,2), ""^0+"","""")),""""), IF(ISBLANK(F42),"""",CONCATENATE("": "", F4"&amp;"2)))"),"PSU &amp; BNC Cables Hanger Set || Hanger 8: M BNC to Dual Banana Connector")</f>
        <v>PSU &amp; BNC Cables Hanger Set || Hanger 8: M BNC to Dual Banana Connector</v>
      </c>
      <c r="C42" s="105" t="s">
        <v>820</v>
      </c>
      <c r="D42" s="107">
        <v>8.0</v>
      </c>
      <c r="E42" s="83" t="s">
        <v>821</v>
      </c>
      <c r="F42" s="84" t="s">
        <v>827</v>
      </c>
      <c r="G42" s="85" t="s">
        <v>785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04" t="str">
        <f t="shared" si="1"/>
        <v>/410/006-09</v>
      </c>
      <c r="B43" s="80" t="str">
        <f>IFERROR(__xludf.DUMMYFUNCTION("CONCATENATE(VLOOKUP(C43,'Storage Locations'!$A:$C,2,FALSE),"" "",VLOOKUP(C43,'Storage Locations'!$A:$C,3,FALSE),"" || "",$E43, IF(G43 = ""Yes"",CONCATENATE("" "", REGEXREPLACE(RIGHT(A43,2), ""^0+"","""")),""""), IF(ISBLANK(F43),"""",CONCATENATE("": "", F4"&amp;"3)))"),"PSU &amp; BNC Cables Hanger Set || Hanger 9: M BNC to Dual Banana Connector")</f>
        <v>PSU &amp; BNC Cables Hanger Set || Hanger 9: M BNC to Dual Banana Connector</v>
      </c>
      <c r="C43" s="105" t="s">
        <v>820</v>
      </c>
      <c r="D43" s="108">
        <v>9.0</v>
      </c>
      <c r="E43" s="83" t="s">
        <v>821</v>
      </c>
      <c r="F43" s="84" t="s">
        <v>827</v>
      </c>
      <c r="G43" s="85" t="s">
        <v>785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04" t="str">
        <f t="shared" si="1"/>
        <v>/410/006-10</v>
      </c>
      <c r="B44" s="80" t="str">
        <f>IFERROR(__xludf.DUMMYFUNCTION("CONCATENATE(VLOOKUP(C44,'Storage Locations'!$A:$C,2,FALSE),"" "",VLOOKUP(C44,'Storage Locations'!$A:$C,3,FALSE),"" || "",$E44, IF(G44 = ""Yes"",CONCATENATE("" "", REGEXREPLACE(RIGHT(A44,2), ""^0+"","""")),""""), IF(ISBLANK(F44),"""",CONCATENATE("": "", F4"&amp;"4)))"),"PSU &amp; BNC Cables Hanger Set || Hanger 10: M BNC to Dual Banana Connector")</f>
        <v>PSU &amp; BNC Cables Hanger Set || Hanger 10: M BNC to Dual Banana Connector</v>
      </c>
      <c r="C44" s="105" t="s">
        <v>820</v>
      </c>
      <c r="D44" s="109">
        <v>10.0</v>
      </c>
      <c r="E44" s="83" t="s">
        <v>821</v>
      </c>
      <c r="F44" s="84" t="s">
        <v>827</v>
      </c>
      <c r="G44" s="85" t="s">
        <v>785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04" t="str">
        <f t="shared" si="1"/>
        <v>/410/006-11</v>
      </c>
      <c r="B45" s="80" t="str">
        <f>IFERROR(__xludf.DUMMYFUNCTION("CONCATENATE(VLOOKUP(C45,'Storage Locations'!$A:$C,2,FALSE),"" "",VLOOKUP(C45,'Storage Locations'!$A:$C,3,FALSE),"" || "",$E45, IF(G45 = ""Yes"",CONCATENATE("" "", REGEXREPLACE(RIGHT(A45,2), ""^0+"","""")),""""), IF(ISBLANK(F45),"""",CONCATENATE("": "", F4"&amp;"5)))"),"PSU &amp; BNC Cables Hanger Set || Hanger 11: M BNC to Dual Crocodile Clip")</f>
        <v>PSU &amp; BNC Cables Hanger Set || Hanger 11: M BNC to Dual Crocodile Clip</v>
      </c>
      <c r="C45" s="105" t="s">
        <v>820</v>
      </c>
      <c r="D45" s="110">
        <v>11.0</v>
      </c>
      <c r="E45" s="83" t="s">
        <v>821</v>
      </c>
      <c r="F45" s="84" t="s">
        <v>828</v>
      </c>
      <c r="G45" s="85" t="s">
        <v>785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11" t="str">
        <f t="shared" si="1"/>
        <v>/410/007-01</v>
      </c>
      <c r="B46" s="80" t="str">
        <f>IFERROR(__xludf.DUMMYFUNCTION("CONCATENATE(VLOOKUP(C46,'Storage Locations'!$A:$C,2,FALSE),"" "",VLOOKUP(C46,'Storage Locations'!$A:$C,3,FALSE),"" || "",$E46, IF(G46 = ""Yes"",CONCATENATE("" "", REGEXREPLACE(RIGHT(A46,2), ""^0+"","""")),""""), IF(ISBLANK(F46),"""",CONCATENATE("": "", F4"&amp;"6)))"),"Entrance Gap || Space: Project Partitions &amp; Structures")</f>
        <v>Entrance Gap || Space: Project Partitions &amp; Structures</v>
      </c>
      <c r="C46" s="112" t="s">
        <v>829</v>
      </c>
      <c r="D46" s="82">
        <v>1.0</v>
      </c>
      <c r="E46" s="83" t="s">
        <v>805</v>
      </c>
      <c r="F46" s="84" t="s">
        <v>830</v>
      </c>
      <c r="G46" s="85" t="s">
        <v>792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13" t="str">
        <f t="shared" si="1"/>
        <v>/410/008-01</v>
      </c>
      <c r="B47" s="80" t="str">
        <f>IFERROR(__xludf.DUMMYFUNCTION("CONCATENATE(VLOOKUP(C47,'Storage Locations'!$A:$C,2,FALSE),"" "",VLOOKUP(C47,'Storage Locations'!$A:$C,3,FALSE),"" || "",$E47, IF(G47 = ""Yes"",CONCATENATE("" "", REGEXREPLACE(RIGHT(A47,2), ""^0+"","""")),""""), IF(ISBLANK(F47),"""",CONCATENATE("": "", F4"&amp;"7)))"),"Southeast Corner Cupboard || Shelf 1: Old/Failed Chargers &amp; AC Adaptors")</f>
        <v>Southeast Corner Cupboard || Shelf 1: Old/Failed Chargers &amp; AC Adaptors</v>
      </c>
      <c r="C47" s="114" t="s">
        <v>831</v>
      </c>
      <c r="D47" s="82">
        <v>1.0</v>
      </c>
      <c r="E47" s="83" t="s">
        <v>783</v>
      </c>
      <c r="F47" s="84" t="s">
        <v>832</v>
      </c>
      <c r="G47" s="85" t="s">
        <v>785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13" t="str">
        <f t="shared" si="1"/>
        <v>/410/008-02</v>
      </c>
      <c r="B48" s="80" t="str">
        <f>IFERROR(__xludf.DUMMYFUNCTION("CONCATENATE(VLOOKUP(C48,'Storage Locations'!$A:$C,2,FALSE),"" "",VLOOKUP(C48,'Storage Locations'!$A:$C,3,FALSE),"" || "",$E48, IF(G48 = ""Yes"",CONCATENATE("" "", REGEXREPLACE(RIGHT(A48,2), ""^0+"","""")),""""), IF(ISBLANK(F48),"""",CONCATENATE("": "", F4"&amp;"8)))"),"Southeast Corner Cupboard || Window Sill: Old Structural Project Components")</f>
        <v>Southeast Corner Cupboard || Window Sill: Old Structural Project Components</v>
      </c>
      <c r="C48" s="114" t="s">
        <v>831</v>
      </c>
      <c r="D48" s="86">
        <v>2.0</v>
      </c>
      <c r="E48" s="83" t="s">
        <v>833</v>
      </c>
      <c r="F48" s="84" t="s">
        <v>834</v>
      </c>
      <c r="G48" s="85" t="s">
        <v>792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79" t="str">
        <f t="shared" si="1"/>
        <v>/410/101-01</v>
      </c>
      <c r="B49" s="80" t="str">
        <f>IFERROR(__xludf.DUMMYFUNCTION("CONCATENATE(VLOOKUP(C49,'Storage Locations'!$A:$C,2,FALSE),"" "",VLOOKUP(C49,'Storage Locations'!$A:$C,3,FALSE),"" || "",$E49, IF(G49 = ""Yes"",CONCATENATE("" "", REGEXREPLACE(RIGHT(A49,2), ""^0+"","""")),""""), IF(ISBLANK(F49),"""",CONCATENATE("": "", F4"&amp;"9)))"),"Power Adaptors Cupboard || Shelf 1: Untested/Failed AC &amp; DC Power Adaptors")</f>
        <v>Power Adaptors Cupboard || Shelf 1: Untested/Failed AC &amp; DC Power Adaptors</v>
      </c>
      <c r="C49" s="115" t="s">
        <v>835</v>
      </c>
      <c r="D49" s="82">
        <v>1.0</v>
      </c>
      <c r="E49" s="83" t="s">
        <v>783</v>
      </c>
      <c r="F49" s="84" t="s">
        <v>836</v>
      </c>
      <c r="G49" s="85" t="s">
        <v>785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79" t="str">
        <f t="shared" si="1"/>
        <v>/410/101-02</v>
      </c>
      <c r="B50" s="80" t="str">
        <f>IFERROR(__xludf.DUMMYFUNCTION("CONCATENATE(VLOOKUP(C50,'Storage Locations'!$A:$C,2,FALSE),"" "",VLOOKUP(C50,'Storage Locations'!$A:$C,3,FALSE),"" || "",$E50, IF(G50 = ""Yes"",CONCATENATE("" "", REGEXREPLACE(RIGHT(A50,2), ""^0+"","""")),""""), IF(ISBLANK(F50),"""",CONCATENATE("": "", F5"&amp;"0)))"),"Power Adaptors Cupboard || Window Sill")</f>
        <v>Power Adaptors Cupboard || Window Sill</v>
      </c>
      <c r="C50" s="115" t="s">
        <v>835</v>
      </c>
      <c r="D50" s="86">
        <v>2.0</v>
      </c>
      <c r="E50" s="83" t="s">
        <v>833</v>
      </c>
      <c r="F50" s="84"/>
      <c r="G50" s="85" t="s">
        <v>792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91" t="str">
        <f t="shared" si="1"/>
        <v>/410/102-01</v>
      </c>
      <c r="B51" s="80" t="str">
        <f>IFERROR(__xludf.DUMMYFUNCTION("CONCATENATE(VLOOKUP(C51,'Storage Locations'!$A:$C,2,FALSE),"" "",VLOOKUP(C51,'Storage Locations'!$A:$C,3,FALSE),"" || "",$E51, IF(G51 = ""Yes"",CONCATENATE("" "", REGEXREPLACE(RIGHT(A51,2), ""^0+"","""")),""""), IF(ISBLANK(F51),"""",CONCATENATE("": "", F5"&amp;"1)))"),"Bench Cluster 1-8 Bench Cluster || Bench 1: Bench 1")</f>
        <v>Bench Cluster 1-8 Bench Cluster || Bench 1: Bench 1</v>
      </c>
      <c r="C51" s="116" t="s">
        <v>837</v>
      </c>
      <c r="D51" s="82">
        <v>1.0</v>
      </c>
      <c r="E51" s="83" t="s">
        <v>838</v>
      </c>
      <c r="F51" s="84" t="s">
        <v>839</v>
      </c>
      <c r="G51" s="85" t="s">
        <v>785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91" t="str">
        <f t="shared" si="1"/>
        <v>/410/102-02</v>
      </c>
      <c r="B52" s="80" t="str">
        <f>IFERROR(__xludf.DUMMYFUNCTION("CONCATENATE(VLOOKUP(C52,'Storage Locations'!$A:$C,2,FALSE),"" "",VLOOKUP(C52,'Storage Locations'!$A:$C,3,FALSE),"" || "",$E52, IF(G52 = ""Yes"",CONCATENATE("" "", REGEXREPLACE(RIGHT(A52,2), ""^0+"","""")),""""), IF(ISBLANK(F52),"""",CONCATENATE("": "", F5"&amp;"2)))"),"Bench Cluster 1-8 Bench Cluster || Bench 2: Bench 2")</f>
        <v>Bench Cluster 1-8 Bench Cluster || Bench 2: Bench 2</v>
      </c>
      <c r="C52" s="116" t="s">
        <v>837</v>
      </c>
      <c r="D52" s="86">
        <v>2.0</v>
      </c>
      <c r="E52" s="83" t="s">
        <v>838</v>
      </c>
      <c r="F52" s="84" t="s">
        <v>840</v>
      </c>
      <c r="G52" s="85" t="s">
        <v>785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91" t="str">
        <f t="shared" si="1"/>
        <v>/410/102-03</v>
      </c>
      <c r="B53" s="80" t="str">
        <f>IFERROR(__xludf.DUMMYFUNCTION("CONCATENATE(VLOOKUP(C53,'Storage Locations'!$A:$C,2,FALSE),"" "",VLOOKUP(C53,'Storage Locations'!$A:$C,3,FALSE),"" || "",$E53, IF(G53 = ""Yes"",CONCATENATE("" "", REGEXREPLACE(RIGHT(A53,2), ""^0+"","""")),""""), IF(ISBLANK(F53),"""",CONCATENATE("": "", F5"&amp;"3)))"),"Bench Cluster 1-8 Bench Cluster || Bench 3: Bench 3")</f>
        <v>Bench Cluster 1-8 Bench Cluster || Bench 3: Bench 3</v>
      </c>
      <c r="C53" s="116" t="s">
        <v>837</v>
      </c>
      <c r="D53" s="87">
        <v>3.0</v>
      </c>
      <c r="E53" s="83" t="s">
        <v>838</v>
      </c>
      <c r="F53" s="84" t="s">
        <v>841</v>
      </c>
      <c r="G53" s="85" t="s">
        <v>785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91" t="str">
        <f t="shared" si="1"/>
        <v>/410/102-04</v>
      </c>
      <c r="B54" s="80" t="str">
        <f>IFERROR(__xludf.DUMMYFUNCTION("CONCATENATE(VLOOKUP(C54,'Storage Locations'!$A:$C,2,FALSE),"" "",VLOOKUP(C54,'Storage Locations'!$A:$C,3,FALSE),"" || "",$E54, IF(G54 = ""Yes"",CONCATENATE("" "", REGEXREPLACE(RIGHT(A54,2), ""^0+"","""")),""""), IF(ISBLANK(F54),"""",CONCATENATE("": "", F5"&amp;"4)))"),"Bench Cluster 1-8 Bench Cluster || Bench 4: Bench 4")</f>
        <v>Bench Cluster 1-8 Bench Cluster || Bench 4: Bench 4</v>
      </c>
      <c r="C54" s="116" t="s">
        <v>837</v>
      </c>
      <c r="D54" s="88">
        <v>4.0</v>
      </c>
      <c r="E54" s="83" t="s">
        <v>838</v>
      </c>
      <c r="F54" s="84" t="s">
        <v>842</v>
      </c>
      <c r="G54" s="85" t="s">
        <v>785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91" t="str">
        <f t="shared" si="1"/>
        <v>/410/102-05</v>
      </c>
      <c r="B55" s="80" t="str">
        <f>IFERROR(__xludf.DUMMYFUNCTION("CONCATENATE(VLOOKUP(C55,'Storage Locations'!$A:$C,2,FALSE),"" "",VLOOKUP(C55,'Storage Locations'!$A:$C,3,FALSE),"" || "",$E55, IF(G55 = ""Yes"",CONCATENATE("" "", REGEXREPLACE(RIGHT(A55,2), ""^0+"","""")),""""), IF(ISBLANK(F55),"""",CONCATENATE("": "", F5"&amp;"5)))"),"Bench Cluster 1-8 Bench Cluster || Bench 5: Bench 5")</f>
        <v>Bench Cluster 1-8 Bench Cluster || Bench 5: Bench 5</v>
      </c>
      <c r="C55" s="116" t="s">
        <v>837</v>
      </c>
      <c r="D55" s="89">
        <v>5.0</v>
      </c>
      <c r="E55" s="83" t="s">
        <v>838</v>
      </c>
      <c r="F55" s="84" t="s">
        <v>843</v>
      </c>
      <c r="G55" s="85" t="s">
        <v>785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91" t="str">
        <f t="shared" si="1"/>
        <v>/410/102-06</v>
      </c>
      <c r="B56" s="80" t="str">
        <f>IFERROR(__xludf.DUMMYFUNCTION("CONCATENATE(VLOOKUP(C56,'Storage Locations'!$A:$C,2,FALSE),"" "",VLOOKUP(C56,'Storage Locations'!$A:$C,3,FALSE),"" || "",$E56, IF(G56 = ""Yes"",CONCATENATE("" "", REGEXREPLACE(RIGHT(A56,2), ""^0+"","""")),""""), IF(ISBLANK(F56),"""",CONCATENATE("": "", F5"&amp;"6)))"),"Bench Cluster 1-8 Bench Cluster || Bench 6: Bench 6")</f>
        <v>Bench Cluster 1-8 Bench Cluster || Bench 6: Bench 6</v>
      </c>
      <c r="C56" s="116" t="s">
        <v>837</v>
      </c>
      <c r="D56" s="90">
        <v>6.0</v>
      </c>
      <c r="E56" s="83" t="s">
        <v>838</v>
      </c>
      <c r="F56" s="84" t="s">
        <v>844</v>
      </c>
      <c r="G56" s="85" t="s">
        <v>785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91" t="str">
        <f t="shared" si="1"/>
        <v>/410/102-07</v>
      </c>
      <c r="B57" s="80" t="str">
        <f>IFERROR(__xludf.DUMMYFUNCTION("CONCATENATE(VLOOKUP(C57,'Storage Locations'!$A:$C,2,FALSE),"" "",VLOOKUP(C57,'Storage Locations'!$A:$C,3,FALSE),"" || "",$E57, IF(G57 = ""Yes"",CONCATENATE("" "", REGEXREPLACE(RIGHT(A57,2), ""^0+"","""")),""""), IF(ISBLANK(F57),"""",CONCATENATE("": "", F5"&amp;"7)))"),"Bench Cluster 1-8 Bench Cluster || Bench 7: Bench 7")</f>
        <v>Bench Cluster 1-8 Bench Cluster || Bench 7: Bench 7</v>
      </c>
      <c r="C57" s="116" t="s">
        <v>837</v>
      </c>
      <c r="D57" s="106">
        <v>7.0</v>
      </c>
      <c r="E57" s="83" t="s">
        <v>838</v>
      </c>
      <c r="F57" s="84" t="s">
        <v>845</v>
      </c>
      <c r="G57" s="85" t="s">
        <v>785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91" t="str">
        <f t="shared" si="1"/>
        <v>/410/102-08</v>
      </c>
      <c r="B58" s="80" t="str">
        <f>IFERROR(__xludf.DUMMYFUNCTION("CONCATENATE(VLOOKUP(C58,'Storage Locations'!$A:$C,2,FALSE),"" "",VLOOKUP(C58,'Storage Locations'!$A:$C,3,FALSE),"" || "",$E58, IF(G58 = ""Yes"",CONCATENATE("" "", REGEXREPLACE(RIGHT(A58,2), ""^0+"","""")),""""), IF(ISBLANK(F58),"""",CONCATENATE("": "", F5"&amp;"8)))"),"Bench Cluster 1-8 Bench Cluster || Bench 8: Bench 8")</f>
        <v>Bench Cluster 1-8 Bench Cluster || Bench 8: Bench 8</v>
      </c>
      <c r="C58" s="116" t="s">
        <v>837</v>
      </c>
      <c r="D58" s="107">
        <v>8.0</v>
      </c>
      <c r="E58" s="83" t="s">
        <v>838</v>
      </c>
      <c r="F58" s="84" t="s">
        <v>846</v>
      </c>
      <c r="G58" s="85" t="s">
        <v>785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93" t="str">
        <f t="shared" si="1"/>
        <v>/410/103-01</v>
      </c>
      <c r="B59" s="80" t="str">
        <f>IFERROR(__xludf.DUMMYFUNCTION("CONCATENATE(VLOOKUP(C59,'Storage Locations'!$A:$C,2,FALSE),"" "",VLOOKUP(C59,'Storage Locations'!$A:$C,3,FALSE),"" || "",$E59, IF(G59 = ""Yes"",CONCATENATE("" "", REGEXREPLACE(RIGHT(A59,2), ""^0+"","""")),""""), IF(ISBLANK(F59),"""",CONCATENATE("": "", F5"&amp;"9)))"),"Projector PC Desk || Top")</f>
        <v>Projector PC Desk || Top</v>
      </c>
      <c r="C59" s="117" t="s">
        <v>847</v>
      </c>
      <c r="D59" s="82">
        <v>1.0</v>
      </c>
      <c r="E59" s="83" t="s">
        <v>790</v>
      </c>
      <c r="F59" s="84"/>
      <c r="G59" s="85" t="s">
        <v>792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95" t="str">
        <f t="shared" si="1"/>
        <v>/410/104-01</v>
      </c>
      <c r="B60" s="80" t="str">
        <f>IFERROR(__xludf.DUMMYFUNCTION("CONCATENATE(VLOOKUP(C60,'Storage Locations'!$A:$C,2,FALSE),"" "",VLOOKUP(C60,'Storage Locations'!$A:$C,3,FALSE),"" || "",$E60, IF(G60 = ""Yes"",CONCATENATE("" "", REGEXREPLACE(RIGHT(A60,2), ""^0+"","""")),""""), IF(ISBLANK(F60),"""",CONCATENATE("": "", F6"&amp;"0)))"),"Project Enclosures and Boxes Cupboard || Shelf 1: Misc Boxes and Enclosures")</f>
        <v>Project Enclosures and Boxes Cupboard || Shelf 1: Misc Boxes and Enclosures</v>
      </c>
      <c r="C60" s="118" t="s">
        <v>848</v>
      </c>
      <c r="D60" s="82">
        <v>1.0</v>
      </c>
      <c r="E60" s="83" t="s">
        <v>783</v>
      </c>
      <c r="F60" s="84" t="s">
        <v>849</v>
      </c>
      <c r="G60" s="85" t="s">
        <v>785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95" t="str">
        <f t="shared" si="1"/>
        <v>/410/104-02</v>
      </c>
      <c r="B61" s="80" t="str">
        <f>IFERROR(__xludf.DUMMYFUNCTION("CONCATENATE(VLOOKUP(C61,'Storage Locations'!$A:$C,2,FALSE),"" "",VLOOKUP(C61,'Storage Locations'!$A:$C,3,FALSE),"" || "",$E61, IF(G61 = ""Yes"",CONCATENATE("" "", REGEXREPLACE(RIGHT(A61,2), ""^0+"","""")),""""), IF(ISBLANK(F61),"""",CONCATENATE("": "", F6"&amp;"1)))"),"Project Enclosures and Boxes Cupboard || Window Sill")</f>
        <v>Project Enclosures and Boxes Cupboard || Window Sill</v>
      </c>
      <c r="C61" s="118" t="s">
        <v>848</v>
      </c>
      <c r="D61" s="86">
        <v>2.0</v>
      </c>
      <c r="E61" s="83" t="s">
        <v>833</v>
      </c>
      <c r="F61" s="84"/>
      <c r="G61" s="85" t="s">
        <v>792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97" t="str">
        <f t="shared" si="1"/>
        <v>/410/105-01</v>
      </c>
      <c r="B62" s="80" t="str">
        <f>IFERROR(__xludf.DUMMYFUNCTION("CONCATENATE(VLOOKUP(C62,'Storage Locations'!$A:$C,2,FALSE),"" "",VLOOKUP(C62,'Storage Locations'!$A:$C,3,FALSE),"" || "",$E62, IF(G62 = ""Yes"",CONCATENATE("" "", REGEXREPLACE(RIGHT(A62,2), ""^0+"","""")),""""), IF(ISBLANK(F62),"""",CONCATENATE("": "", F6"&amp;"2)))"),"Nut &amp; Bolt Organiser 1 Cabinet || Organiser 1")</f>
        <v>Nut &amp; Bolt Organiser 1 Cabinet || Organiser 1</v>
      </c>
      <c r="C62" s="119" t="s">
        <v>850</v>
      </c>
      <c r="D62" s="82">
        <v>1.0</v>
      </c>
      <c r="E62" s="83" t="s">
        <v>851</v>
      </c>
      <c r="F62" s="120"/>
      <c r="G62" s="85" t="s">
        <v>785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97" t="str">
        <f t="shared" si="1"/>
        <v>/410/105-02</v>
      </c>
      <c r="B63" s="80" t="str">
        <f>IFERROR(__xludf.DUMMYFUNCTION("CONCATENATE(VLOOKUP(C63,'Storage Locations'!$A:$C,2,FALSE),"" "",VLOOKUP(C63,'Storage Locations'!$A:$C,3,FALSE),"" || "",$E63, IF(G63 = ""Yes"",CONCATENATE("" "", REGEXREPLACE(RIGHT(A63,2), ""^0+"","""")),""""), IF(ISBLANK(F63),"""",CONCATENATE("": "", F6"&amp;"3)))"),"Nut &amp; Bolt Organiser 1 Cabinet || Organiser 2")</f>
        <v>Nut &amp; Bolt Organiser 1 Cabinet || Organiser 2</v>
      </c>
      <c r="C63" s="119" t="s">
        <v>850</v>
      </c>
      <c r="D63" s="86">
        <v>2.0</v>
      </c>
      <c r="E63" s="83" t="s">
        <v>851</v>
      </c>
      <c r="F63" s="120"/>
      <c r="G63" s="85" t="s">
        <v>785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97" t="str">
        <f t="shared" si="1"/>
        <v>/410/105-03</v>
      </c>
      <c r="B64" s="80" t="str">
        <f>IFERROR(__xludf.DUMMYFUNCTION("CONCATENATE(VLOOKUP(C64,'Storage Locations'!$A:$C,2,FALSE),"" "",VLOOKUP(C64,'Storage Locations'!$A:$C,3,FALSE),"" || "",$E64, IF(G64 = ""Yes"",CONCATENATE("" "", REGEXREPLACE(RIGHT(A64,2), ""^0+"","""")),""""), IF(ISBLANK(F64),"""",CONCATENATE("": "", F6"&amp;"4)))"),"Nut &amp; Bolt Organiser 1 Cabinet || Organiser 3")</f>
        <v>Nut &amp; Bolt Organiser 1 Cabinet || Organiser 3</v>
      </c>
      <c r="C64" s="119" t="s">
        <v>850</v>
      </c>
      <c r="D64" s="87">
        <v>3.0</v>
      </c>
      <c r="E64" s="83" t="s">
        <v>851</v>
      </c>
      <c r="F64" s="120"/>
      <c r="G64" s="85" t="s">
        <v>785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97" t="str">
        <f t="shared" si="1"/>
        <v>/410/105-04</v>
      </c>
      <c r="B65" s="80" t="str">
        <f>IFERROR(__xludf.DUMMYFUNCTION("CONCATENATE(VLOOKUP(C65,'Storage Locations'!$A:$C,2,FALSE),"" "",VLOOKUP(C65,'Storage Locations'!$A:$C,3,FALSE),"" || "",$E65, IF(G65 = ""Yes"",CONCATENATE("" "", REGEXREPLACE(RIGHT(A65,2), ""^0+"","""")),""""), IF(ISBLANK(F65),"""",CONCATENATE("": "", F6"&amp;"5)))"),"Nut &amp; Bolt Organiser 1 Cabinet || Organiser 4")</f>
        <v>Nut &amp; Bolt Organiser 1 Cabinet || Organiser 4</v>
      </c>
      <c r="C65" s="119" t="s">
        <v>850</v>
      </c>
      <c r="D65" s="88">
        <v>4.0</v>
      </c>
      <c r="E65" s="83" t="s">
        <v>851</v>
      </c>
      <c r="F65" s="120"/>
      <c r="G65" s="85" t="s">
        <v>785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97" t="str">
        <f t="shared" si="1"/>
        <v>/410/105-05</v>
      </c>
      <c r="B66" s="80" t="str">
        <f>IFERROR(__xludf.DUMMYFUNCTION("CONCATENATE(VLOOKUP(C66,'Storage Locations'!$A:$C,2,FALSE),"" "",VLOOKUP(C66,'Storage Locations'!$A:$C,3,FALSE),"" || "",$E66, IF(G66 = ""Yes"",CONCATENATE("" "", REGEXREPLACE(RIGHT(A66,2), ""^0+"","""")),""""), IF(ISBLANK(F66),"""",CONCATENATE("": "", F6"&amp;"6)))"),"Nut &amp; Bolt Organiser 1 Cabinet || Organiser 5")</f>
        <v>Nut &amp; Bolt Organiser 1 Cabinet || Organiser 5</v>
      </c>
      <c r="C66" s="119" t="s">
        <v>850</v>
      </c>
      <c r="D66" s="89">
        <v>5.0</v>
      </c>
      <c r="E66" s="83" t="s">
        <v>851</v>
      </c>
      <c r="F66" s="120"/>
      <c r="G66" s="85" t="s">
        <v>785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97" t="str">
        <f t="shared" si="1"/>
        <v>/410/105-06</v>
      </c>
      <c r="B67" s="80" t="str">
        <f>IFERROR(__xludf.DUMMYFUNCTION("CONCATENATE(VLOOKUP(C67,'Storage Locations'!$A:$C,2,FALSE),"" "",VLOOKUP(C67,'Storage Locations'!$A:$C,3,FALSE),"" || "",$E67, IF(G67 = ""Yes"",CONCATENATE("" "", REGEXREPLACE(RIGHT(A67,2), ""^0+"","""")),""""), IF(ISBLANK(F67),"""",CONCATENATE("": "", F6"&amp;"7)))"),"Nut &amp; Bolt Organiser 1 Cabinet || Organiser 6")</f>
        <v>Nut &amp; Bolt Organiser 1 Cabinet || Organiser 6</v>
      </c>
      <c r="C67" s="119" t="s">
        <v>850</v>
      </c>
      <c r="D67" s="90">
        <v>6.0</v>
      </c>
      <c r="E67" s="83" t="s">
        <v>851</v>
      </c>
      <c r="F67" s="120"/>
      <c r="G67" s="85" t="s">
        <v>785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97" t="str">
        <f t="shared" si="1"/>
        <v>/410/105-07</v>
      </c>
      <c r="B68" s="80" t="str">
        <f>IFERROR(__xludf.DUMMYFUNCTION("CONCATENATE(VLOOKUP(C68,'Storage Locations'!$A:$C,2,FALSE),"" "",VLOOKUP(C68,'Storage Locations'!$A:$C,3,FALSE),"" || "",$E68, IF(G68 = ""Yes"",CONCATENATE("" "", REGEXREPLACE(RIGHT(A68,2), ""^0+"","""")),""""), IF(ISBLANK(F68),"""",CONCATENATE("": "", F6"&amp;"8)))"),"Nut &amp; Bolt Organiser 1 Cabinet || Organiser 7")</f>
        <v>Nut &amp; Bolt Organiser 1 Cabinet || Organiser 7</v>
      </c>
      <c r="C68" s="119" t="s">
        <v>850</v>
      </c>
      <c r="D68" s="106">
        <v>7.0</v>
      </c>
      <c r="E68" s="83" t="s">
        <v>851</v>
      </c>
      <c r="F68" s="120"/>
      <c r="G68" s="85" t="s">
        <v>785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97" t="str">
        <f t="shared" si="1"/>
        <v>/410/105-08</v>
      </c>
      <c r="B69" s="80" t="str">
        <f>IFERROR(__xludf.DUMMYFUNCTION("CONCATENATE(VLOOKUP(C69,'Storage Locations'!$A:$C,2,FALSE),"" "",VLOOKUP(C69,'Storage Locations'!$A:$C,3,FALSE),"" || "",$E69, IF(G69 = ""Yes"",CONCATENATE("" "", REGEXREPLACE(RIGHT(A69,2), ""^0+"","""")),""""), IF(ISBLANK(F69),"""",CONCATENATE("": "", F6"&amp;"9)))"),"Nut &amp; Bolt Organiser 1 Cabinet || Organiser 8")</f>
        <v>Nut &amp; Bolt Organiser 1 Cabinet || Organiser 8</v>
      </c>
      <c r="C69" s="119" t="s">
        <v>850</v>
      </c>
      <c r="D69" s="107">
        <v>8.0</v>
      </c>
      <c r="E69" s="83" t="s">
        <v>851</v>
      </c>
      <c r="F69" s="120"/>
      <c r="G69" s="85" t="s">
        <v>785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97" t="str">
        <f t="shared" si="1"/>
        <v>/410/105-09</v>
      </c>
      <c r="B70" s="80" t="str">
        <f>IFERROR(__xludf.DUMMYFUNCTION("CONCATENATE(VLOOKUP(C70,'Storage Locations'!$A:$C,2,FALSE),"" "",VLOOKUP(C70,'Storage Locations'!$A:$C,3,FALSE),"" || "",$E70, IF(G70 = ""Yes"",CONCATENATE("" "", REGEXREPLACE(RIGHT(A70,2), ""^0+"","""")),""""), IF(ISBLANK(F70),"""",CONCATENATE("": "", F7"&amp;"0)))"),"Nut &amp; Bolt Organiser 1 Cabinet || Organiser 9")</f>
        <v>Nut &amp; Bolt Organiser 1 Cabinet || Organiser 9</v>
      </c>
      <c r="C70" s="119" t="s">
        <v>850</v>
      </c>
      <c r="D70" s="108">
        <v>9.0</v>
      </c>
      <c r="E70" s="83" t="s">
        <v>851</v>
      </c>
      <c r="F70" s="120"/>
      <c r="G70" s="85" t="s">
        <v>785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97" t="str">
        <f t="shared" si="1"/>
        <v>/410/105-10</v>
      </c>
      <c r="B71" s="80" t="str">
        <f>IFERROR(__xludf.DUMMYFUNCTION("CONCATENATE(VLOOKUP(C71,'Storage Locations'!$A:$C,2,FALSE),"" "",VLOOKUP(C71,'Storage Locations'!$A:$C,3,FALSE),"" || "",$E71, IF(G71 = ""Yes"",CONCATENATE("" "", REGEXREPLACE(RIGHT(A71,2), ""^0+"","""")),""""), IF(ISBLANK(F71),"""",CONCATENATE("": "", F7"&amp;"1)))"),"Nut &amp; Bolt Organiser 1 Cabinet || Organiser 10")</f>
        <v>Nut &amp; Bolt Organiser 1 Cabinet || Organiser 10</v>
      </c>
      <c r="C71" s="119" t="s">
        <v>850</v>
      </c>
      <c r="D71" s="109">
        <v>10.0</v>
      </c>
      <c r="E71" s="83" t="s">
        <v>851</v>
      </c>
      <c r="F71" s="120"/>
      <c r="G71" s="85" t="s">
        <v>785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97" t="str">
        <f t="shared" si="1"/>
        <v>/410/105-11</v>
      </c>
      <c r="B72" s="80" t="str">
        <f>IFERROR(__xludf.DUMMYFUNCTION("CONCATENATE(VLOOKUP(C72,'Storage Locations'!$A:$C,2,FALSE),"" "",VLOOKUP(C72,'Storage Locations'!$A:$C,3,FALSE),"" || "",$E72, IF(G72 = ""Yes"",CONCATENATE("" "", REGEXREPLACE(RIGHT(A72,2), ""^0+"","""")),""""), IF(ISBLANK(F72),"""",CONCATENATE("": "", F7"&amp;"2)))"),"Nut &amp; Bolt Organiser 1 Cabinet || Organiser 11")</f>
        <v>Nut &amp; Bolt Organiser 1 Cabinet || Organiser 11</v>
      </c>
      <c r="C72" s="119" t="s">
        <v>850</v>
      </c>
      <c r="D72" s="110">
        <v>11.0</v>
      </c>
      <c r="E72" s="83" t="s">
        <v>851</v>
      </c>
      <c r="F72" s="120"/>
      <c r="G72" s="85" t="s">
        <v>785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97" t="str">
        <f t="shared" si="1"/>
        <v>/410/105-12</v>
      </c>
      <c r="B73" s="80" t="str">
        <f>IFERROR(__xludf.DUMMYFUNCTION("CONCATENATE(VLOOKUP(C73,'Storage Locations'!$A:$C,2,FALSE),"" "",VLOOKUP(C73,'Storage Locations'!$A:$C,3,FALSE),"" || "",$E73, IF(G73 = ""Yes"",CONCATENATE("" "", REGEXREPLACE(RIGHT(A73,2), ""^0+"","""")),""""), IF(ISBLANK(F73),"""",CONCATENATE("": "", F7"&amp;"3)))"),"Nut &amp; Bolt Organiser 1 Cabinet || Organiser 12")</f>
        <v>Nut &amp; Bolt Organiser 1 Cabinet || Organiser 12</v>
      </c>
      <c r="C73" s="119" t="s">
        <v>850</v>
      </c>
      <c r="D73" s="121">
        <v>12.0</v>
      </c>
      <c r="E73" s="83" t="s">
        <v>851</v>
      </c>
      <c r="F73" s="120"/>
      <c r="G73" s="85" t="s">
        <v>785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97" t="str">
        <f t="shared" si="1"/>
        <v>/410/105-13</v>
      </c>
      <c r="B74" s="80" t="str">
        <f>IFERROR(__xludf.DUMMYFUNCTION("CONCATENATE(VLOOKUP(C74,'Storage Locations'!$A:$C,2,FALSE),"" "",VLOOKUP(C74,'Storage Locations'!$A:$C,3,FALSE),"" || "",$E74, IF(G74 = ""Yes"",CONCATENATE("" "", REGEXREPLACE(RIGHT(A74,2), ""^0+"","""")),""""), IF(ISBLANK(F74),"""",CONCATENATE("": "", F7"&amp;"4)))"),"Nut &amp; Bolt Organiser 1 Cabinet || Organiser 13")</f>
        <v>Nut &amp; Bolt Organiser 1 Cabinet || Organiser 13</v>
      </c>
      <c r="C74" s="119" t="s">
        <v>850</v>
      </c>
      <c r="D74" s="122">
        <v>13.0</v>
      </c>
      <c r="E74" s="83" t="s">
        <v>851</v>
      </c>
      <c r="F74" s="120"/>
      <c r="G74" s="85" t="s">
        <v>785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97" t="str">
        <f t="shared" si="1"/>
        <v>/410/105-14</v>
      </c>
      <c r="B75" s="80" t="str">
        <f>IFERROR(__xludf.DUMMYFUNCTION("CONCATENATE(VLOOKUP(C75,'Storage Locations'!$A:$C,2,FALSE),"" "",VLOOKUP(C75,'Storage Locations'!$A:$C,3,FALSE),"" || "",$E75, IF(G75 = ""Yes"",CONCATENATE("" "", REGEXREPLACE(RIGHT(A75,2), ""^0+"","""")),""""), IF(ISBLANK(F75),"""",CONCATENATE("": "", F7"&amp;"5)))"),"Nut &amp; Bolt Organiser 1 Cabinet || Organiser 14")</f>
        <v>Nut &amp; Bolt Organiser 1 Cabinet || Organiser 14</v>
      </c>
      <c r="C75" s="119" t="s">
        <v>850</v>
      </c>
      <c r="D75" s="99">
        <v>14.0</v>
      </c>
      <c r="E75" s="83" t="s">
        <v>851</v>
      </c>
      <c r="F75" s="120"/>
      <c r="G75" s="85" t="s">
        <v>785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97" t="str">
        <f t="shared" si="1"/>
        <v>/410/105-15</v>
      </c>
      <c r="B76" s="80" t="str">
        <f>IFERROR(__xludf.DUMMYFUNCTION("CONCATENATE(VLOOKUP(C76,'Storage Locations'!$A:$C,2,FALSE),"" "",VLOOKUP(C76,'Storage Locations'!$A:$C,3,FALSE),"" || "",$E76, IF(G76 = ""Yes"",CONCATENATE("" "", REGEXREPLACE(RIGHT(A76,2), ""^0+"","""")),""""), IF(ISBLANK(F76),"""",CONCATENATE("": "", F7"&amp;"6)))"),"Nut &amp; Bolt Organiser 1 Cabinet || Organiser 15")</f>
        <v>Nut &amp; Bolt Organiser 1 Cabinet || Organiser 15</v>
      </c>
      <c r="C76" s="119" t="s">
        <v>850</v>
      </c>
      <c r="D76" s="100">
        <v>15.0</v>
      </c>
      <c r="E76" s="83" t="s">
        <v>851</v>
      </c>
      <c r="F76" s="120"/>
      <c r="G76" s="85" t="s">
        <v>785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97" t="str">
        <f t="shared" si="1"/>
        <v>/410/105-16</v>
      </c>
      <c r="B77" s="80" t="str">
        <f>IFERROR(__xludf.DUMMYFUNCTION("CONCATENATE(VLOOKUP(C77,'Storage Locations'!$A:$C,2,FALSE),"" "",VLOOKUP(C77,'Storage Locations'!$A:$C,3,FALSE),"" || "",$E77, IF(G77 = ""Yes"",CONCATENATE("" "", REGEXREPLACE(RIGHT(A77,2), ""^0+"","""")),""""), IF(ISBLANK(F77),"""",CONCATENATE("": "", F7"&amp;"7)))"),"Nut &amp; Bolt Organiser 1 Cabinet || Organiser 16")</f>
        <v>Nut &amp; Bolt Organiser 1 Cabinet || Organiser 16</v>
      </c>
      <c r="C77" s="119" t="s">
        <v>850</v>
      </c>
      <c r="D77" s="101">
        <v>16.0</v>
      </c>
      <c r="E77" s="83" t="s">
        <v>851</v>
      </c>
      <c r="F77" s="120"/>
      <c r="G77" s="85" t="s">
        <v>785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97" t="str">
        <f t="shared" si="1"/>
        <v>/410/105-17</v>
      </c>
      <c r="B78" s="80" t="str">
        <f>IFERROR(__xludf.DUMMYFUNCTION("CONCATENATE(VLOOKUP(C78,'Storage Locations'!$A:$C,2,FALSE),"" "",VLOOKUP(C78,'Storage Locations'!$A:$C,3,FALSE),"" || "",$E78, IF(G78 = ""Yes"",CONCATENATE("" "", REGEXREPLACE(RIGHT(A78,2), ""^0+"","""")),""""), IF(ISBLANK(F78),"""",CONCATENATE("": "", F7"&amp;"8)))"),"Nut &amp; Bolt Organiser 1 Cabinet || Organiser 17")</f>
        <v>Nut &amp; Bolt Organiser 1 Cabinet || Organiser 17</v>
      </c>
      <c r="C78" s="119" t="s">
        <v>850</v>
      </c>
      <c r="D78" s="102">
        <v>17.0</v>
      </c>
      <c r="E78" s="83" t="s">
        <v>851</v>
      </c>
      <c r="F78" s="120"/>
      <c r="G78" s="85" t="s">
        <v>785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97" t="str">
        <f t="shared" si="1"/>
        <v>/410/105-18</v>
      </c>
      <c r="B79" s="80" t="str">
        <f>IFERROR(__xludf.DUMMYFUNCTION("CONCATENATE(VLOOKUP(C79,'Storage Locations'!$A:$C,2,FALSE),"" "",VLOOKUP(C79,'Storage Locations'!$A:$C,3,FALSE),"" || "",$E79, IF(G79 = ""Yes"",CONCATENATE("" "", REGEXREPLACE(RIGHT(A79,2), ""^0+"","""")),""""), IF(ISBLANK(F79),"""",CONCATENATE("": "", F7"&amp;"9)))"),"Nut &amp; Bolt Organiser 1 Cabinet || Organiser 18")</f>
        <v>Nut &amp; Bolt Organiser 1 Cabinet || Organiser 18</v>
      </c>
      <c r="C79" s="119" t="s">
        <v>850</v>
      </c>
      <c r="D79" s="82">
        <v>18.0</v>
      </c>
      <c r="E79" s="83" t="s">
        <v>851</v>
      </c>
      <c r="F79" s="120"/>
      <c r="G79" s="85" t="s">
        <v>785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97" t="str">
        <f t="shared" si="1"/>
        <v>/410/105-19</v>
      </c>
      <c r="B80" s="80" t="str">
        <f>IFERROR(__xludf.DUMMYFUNCTION("CONCATENATE(VLOOKUP(C80,'Storage Locations'!$A:$C,2,FALSE),"" "",VLOOKUP(C80,'Storage Locations'!$A:$C,3,FALSE),"" || "",$E80, IF(G80 = ""Yes"",CONCATENATE("" "", REGEXREPLACE(RIGHT(A80,2), ""^0+"","""")),""""), IF(ISBLANK(F80),"""",CONCATENATE("": "", F8"&amp;"0)))"),"Nut &amp; Bolt Organiser 1 Cabinet || Organiser 19")</f>
        <v>Nut &amp; Bolt Organiser 1 Cabinet || Organiser 19</v>
      </c>
      <c r="C80" s="119" t="s">
        <v>850</v>
      </c>
      <c r="D80" s="86">
        <v>19.0</v>
      </c>
      <c r="E80" s="83" t="s">
        <v>851</v>
      </c>
      <c r="F80" s="120"/>
      <c r="G80" s="85" t="s">
        <v>785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97" t="str">
        <f t="shared" si="1"/>
        <v>/410/105-20</v>
      </c>
      <c r="B81" s="80" t="str">
        <f>IFERROR(__xludf.DUMMYFUNCTION("CONCATENATE(VLOOKUP(C81,'Storage Locations'!$A:$C,2,FALSE),"" "",VLOOKUP(C81,'Storage Locations'!$A:$C,3,FALSE),"" || "",$E81, IF(G81 = ""Yes"",CONCATENATE("" "", REGEXREPLACE(RIGHT(A81,2), ""^0+"","""")),""""), IF(ISBLANK(F81),"""",CONCATENATE("": "", F8"&amp;"1)))"),"Nut &amp; Bolt Organiser 1 Cabinet || Organiser 20")</f>
        <v>Nut &amp; Bolt Organiser 1 Cabinet || Organiser 20</v>
      </c>
      <c r="C81" s="119" t="s">
        <v>850</v>
      </c>
      <c r="D81" s="87">
        <v>20.0</v>
      </c>
      <c r="E81" s="83" t="s">
        <v>851</v>
      </c>
      <c r="F81" s="120"/>
      <c r="G81" s="85" t="s">
        <v>785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97" t="str">
        <f t="shared" si="1"/>
        <v>/410/105-21</v>
      </c>
      <c r="B82" s="80" t="str">
        <f>IFERROR(__xludf.DUMMYFUNCTION("CONCATENATE(VLOOKUP(C82,'Storage Locations'!$A:$C,2,FALSE),"" "",VLOOKUP(C82,'Storage Locations'!$A:$C,3,FALSE),"" || "",$E82, IF(G82 = ""Yes"",CONCATENATE("" "", REGEXREPLACE(RIGHT(A82,2), ""^0+"","""")),""""), IF(ISBLANK(F82),"""",CONCATENATE("": "", F8"&amp;"2)))"),"Nut &amp; Bolt Organiser 1 Cabinet || Organiser 21")</f>
        <v>Nut &amp; Bolt Organiser 1 Cabinet || Organiser 21</v>
      </c>
      <c r="C82" s="119" t="s">
        <v>850</v>
      </c>
      <c r="D82" s="88">
        <v>21.0</v>
      </c>
      <c r="E82" s="83" t="s">
        <v>851</v>
      </c>
      <c r="F82" s="120"/>
      <c r="G82" s="85" t="s">
        <v>785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97" t="str">
        <f t="shared" si="1"/>
        <v>/410/105-22</v>
      </c>
      <c r="B83" s="80" t="str">
        <f>IFERROR(__xludf.DUMMYFUNCTION("CONCATENATE(VLOOKUP(C83,'Storage Locations'!$A:$C,2,FALSE),"" "",VLOOKUP(C83,'Storage Locations'!$A:$C,3,FALSE),"" || "",$E83, IF(G83 = ""Yes"",CONCATENATE("" "", REGEXREPLACE(RIGHT(A83,2), ""^0+"","""")),""""), IF(ISBLANK(F83),"""",CONCATENATE("": "", F8"&amp;"3)))"),"Nut &amp; Bolt Organiser 1 Cabinet || Organiser 22")</f>
        <v>Nut &amp; Bolt Organiser 1 Cabinet || Organiser 22</v>
      </c>
      <c r="C83" s="119" t="s">
        <v>850</v>
      </c>
      <c r="D83" s="89">
        <v>22.0</v>
      </c>
      <c r="E83" s="83" t="s">
        <v>851</v>
      </c>
      <c r="F83" s="120"/>
      <c r="G83" s="85" t="s">
        <v>785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97" t="str">
        <f t="shared" si="1"/>
        <v>/410/105-23</v>
      </c>
      <c r="B84" s="80" t="str">
        <f>IFERROR(__xludf.DUMMYFUNCTION("CONCATENATE(VLOOKUP(C84,'Storage Locations'!$A:$C,2,FALSE),"" "",VLOOKUP(C84,'Storage Locations'!$A:$C,3,FALSE),"" || "",$E84, IF(G84 = ""Yes"",CONCATENATE("" "", REGEXREPLACE(RIGHT(A84,2), ""^0+"","""")),""""), IF(ISBLANK(F84),"""",CONCATENATE("": "", F8"&amp;"4)))"),"Nut &amp; Bolt Organiser 1 Cabinet || Organiser 23")</f>
        <v>Nut &amp; Bolt Organiser 1 Cabinet || Organiser 23</v>
      </c>
      <c r="C84" s="119" t="s">
        <v>850</v>
      </c>
      <c r="D84" s="90">
        <v>23.0</v>
      </c>
      <c r="E84" s="83" t="s">
        <v>851</v>
      </c>
      <c r="F84" s="120"/>
      <c r="G84" s="85" t="s">
        <v>785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97" t="str">
        <f t="shared" si="1"/>
        <v>/410/105-24</v>
      </c>
      <c r="B85" s="80" t="str">
        <f>IFERROR(__xludf.DUMMYFUNCTION("CONCATENATE(VLOOKUP(C85,'Storage Locations'!$A:$C,2,FALSE),"" "",VLOOKUP(C85,'Storage Locations'!$A:$C,3,FALSE),"" || "",$E85, IF(G85 = ""Yes"",CONCATENATE("" "", REGEXREPLACE(RIGHT(A85,2), ""^0+"","""")),""""), IF(ISBLANK(F85),"""",CONCATENATE("": "", F8"&amp;"5)))"),"Nut &amp; Bolt Organiser 1 Cabinet || Organiser 24")</f>
        <v>Nut &amp; Bolt Organiser 1 Cabinet || Organiser 24</v>
      </c>
      <c r="C85" s="119" t="s">
        <v>850</v>
      </c>
      <c r="D85" s="106">
        <v>24.0</v>
      </c>
      <c r="E85" s="83" t="s">
        <v>851</v>
      </c>
      <c r="F85" s="120"/>
      <c r="G85" s="85" t="s">
        <v>785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97" t="str">
        <f t="shared" si="1"/>
        <v>/410/105-25</v>
      </c>
      <c r="B86" s="80" t="str">
        <f>IFERROR(__xludf.DUMMYFUNCTION("CONCATENATE(VLOOKUP(C86,'Storage Locations'!$A:$C,2,FALSE),"" "",VLOOKUP(C86,'Storage Locations'!$A:$C,3,FALSE),"" || "",$E86, IF(G86 = ""Yes"",CONCATENATE("" "", REGEXREPLACE(RIGHT(A86,2), ""^0+"","""")),""""), IF(ISBLANK(F86),"""",CONCATENATE("": "", F8"&amp;"6)))"),"Nut &amp; Bolt Organiser 1 Cabinet || Organiser 25")</f>
        <v>Nut &amp; Bolt Organiser 1 Cabinet || Organiser 25</v>
      </c>
      <c r="C86" s="119" t="s">
        <v>850</v>
      </c>
      <c r="D86" s="107">
        <v>25.0</v>
      </c>
      <c r="E86" s="83" t="s">
        <v>851</v>
      </c>
      <c r="F86" s="120"/>
      <c r="G86" s="85" t="s">
        <v>785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97" t="str">
        <f t="shared" si="1"/>
        <v>/410/105-26</v>
      </c>
      <c r="B87" s="80" t="str">
        <f>IFERROR(__xludf.DUMMYFUNCTION("CONCATENATE(VLOOKUP(C87,'Storage Locations'!$A:$C,2,FALSE),"" "",VLOOKUP(C87,'Storage Locations'!$A:$C,3,FALSE),"" || "",$E87, IF(G87 = ""Yes"",CONCATENATE("" "", REGEXREPLACE(RIGHT(A87,2), ""^0+"","""")),""""), IF(ISBLANK(F87),"""",CONCATENATE("": "", F8"&amp;"7)))"),"Nut &amp; Bolt Organiser 1 Cabinet || Organiser 26")</f>
        <v>Nut &amp; Bolt Organiser 1 Cabinet || Organiser 26</v>
      </c>
      <c r="C87" s="119" t="s">
        <v>850</v>
      </c>
      <c r="D87" s="108">
        <v>26.0</v>
      </c>
      <c r="E87" s="83" t="s">
        <v>851</v>
      </c>
      <c r="F87" s="120"/>
      <c r="G87" s="85" t="s">
        <v>785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97" t="str">
        <f t="shared" si="1"/>
        <v>/410/105-27</v>
      </c>
      <c r="B88" s="80" t="str">
        <f>IFERROR(__xludf.DUMMYFUNCTION("CONCATENATE(VLOOKUP(C88,'Storage Locations'!$A:$C,2,FALSE),"" "",VLOOKUP(C88,'Storage Locations'!$A:$C,3,FALSE),"" || "",$E88, IF(G88 = ""Yes"",CONCATENATE("" "", REGEXREPLACE(RIGHT(A88,2), ""^0+"","""")),""""), IF(ISBLANK(F88),"""",CONCATENATE("": "", F8"&amp;"8)))"),"Nut &amp; Bolt Organiser 1 Cabinet || Organiser 27")</f>
        <v>Nut &amp; Bolt Organiser 1 Cabinet || Organiser 27</v>
      </c>
      <c r="C88" s="119" t="s">
        <v>850</v>
      </c>
      <c r="D88" s="109">
        <v>27.0</v>
      </c>
      <c r="E88" s="83" t="s">
        <v>851</v>
      </c>
      <c r="F88" s="120"/>
      <c r="G88" s="85" t="s">
        <v>785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97" t="str">
        <f t="shared" si="1"/>
        <v>/410/105-28</v>
      </c>
      <c r="B89" s="80" t="str">
        <f>IFERROR(__xludf.DUMMYFUNCTION("CONCATENATE(VLOOKUP(C89,'Storage Locations'!$A:$C,2,FALSE),"" "",VLOOKUP(C89,'Storage Locations'!$A:$C,3,FALSE),"" || "",$E89, IF(G89 = ""Yes"",CONCATENATE("" "", REGEXREPLACE(RIGHT(A89,2), ""^0+"","""")),""""), IF(ISBLANK(F89),"""",CONCATENATE("": "", F8"&amp;"9)))"),"Nut &amp; Bolt Organiser 1 Cabinet || Organiser 28")</f>
        <v>Nut &amp; Bolt Organiser 1 Cabinet || Organiser 28</v>
      </c>
      <c r="C89" s="119" t="s">
        <v>850</v>
      </c>
      <c r="D89" s="110">
        <v>28.0</v>
      </c>
      <c r="E89" s="83" t="s">
        <v>851</v>
      </c>
      <c r="F89" s="120"/>
      <c r="G89" s="85" t="s">
        <v>785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97" t="str">
        <f t="shared" si="1"/>
        <v>/410/105-29</v>
      </c>
      <c r="B90" s="80" t="str">
        <f>IFERROR(__xludf.DUMMYFUNCTION("CONCATENATE(VLOOKUP(C90,'Storage Locations'!$A:$C,2,FALSE),"" "",VLOOKUP(C90,'Storage Locations'!$A:$C,3,FALSE),"" || "",$E90, IF(G90 = ""Yes"",CONCATENATE("" "", REGEXREPLACE(RIGHT(A90,2), ""^0+"","""")),""""), IF(ISBLANK(F90),"""",CONCATENATE("": "", F9"&amp;"0)))"),"Nut &amp; Bolt Organiser 1 Cabinet || Organiser 29")</f>
        <v>Nut &amp; Bolt Organiser 1 Cabinet || Organiser 29</v>
      </c>
      <c r="C90" s="119" t="s">
        <v>850</v>
      </c>
      <c r="D90" s="121">
        <v>29.0</v>
      </c>
      <c r="E90" s="83" t="s">
        <v>851</v>
      </c>
      <c r="F90" s="120"/>
      <c r="G90" s="85" t="s">
        <v>785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97" t="str">
        <f t="shared" si="1"/>
        <v>/410/105-30</v>
      </c>
      <c r="B91" s="80" t="str">
        <f>IFERROR(__xludf.DUMMYFUNCTION("CONCATENATE(VLOOKUP(C91,'Storage Locations'!$A:$C,2,FALSE),"" "",VLOOKUP(C91,'Storage Locations'!$A:$C,3,FALSE),"" || "",$E91, IF(G91 = ""Yes"",CONCATENATE("" "", REGEXREPLACE(RIGHT(A91,2), ""^0+"","""")),""""), IF(ISBLANK(F91),"""",CONCATENATE("": "", F9"&amp;"1)))"),"Nut &amp; Bolt Organiser 1 Cabinet || Organiser 30")</f>
        <v>Nut &amp; Bolt Organiser 1 Cabinet || Organiser 30</v>
      </c>
      <c r="C91" s="119" t="s">
        <v>850</v>
      </c>
      <c r="D91" s="122">
        <v>30.0</v>
      </c>
      <c r="E91" s="83" t="s">
        <v>851</v>
      </c>
      <c r="F91" s="120"/>
      <c r="G91" s="85" t="s">
        <v>785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97" t="str">
        <f t="shared" si="1"/>
        <v>/410/105-31</v>
      </c>
      <c r="B92" s="80" t="str">
        <f>IFERROR(__xludf.DUMMYFUNCTION("CONCATENATE(VLOOKUP(C92,'Storage Locations'!$A:$C,2,FALSE),"" "",VLOOKUP(C92,'Storage Locations'!$A:$C,3,FALSE),"" || "",$E92, IF(G92 = ""Yes"",CONCATENATE("" "", REGEXREPLACE(RIGHT(A92,2), ""^0+"","""")),""""), IF(ISBLANK(F92),"""",CONCATENATE("": "", F9"&amp;"2)))"),"Nut &amp; Bolt Organiser 1 Cabinet || Organiser 31")</f>
        <v>Nut &amp; Bolt Organiser 1 Cabinet || Organiser 31</v>
      </c>
      <c r="C92" s="119" t="s">
        <v>850</v>
      </c>
      <c r="D92" s="99">
        <v>31.0</v>
      </c>
      <c r="E92" s="83" t="s">
        <v>851</v>
      </c>
      <c r="F92" s="120"/>
      <c r="G92" s="85" t="s">
        <v>785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97" t="str">
        <f t="shared" si="1"/>
        <v>/410/105-32</v>
      </c>
      <c r="B93" s="80" t="str">
        <f>IFERROR(__xludf.DUMMYFUNCTION("CONCATENATE(VLOOKUP(C93,'Storage Locations'!$A:$C,2,FALSE),"" "",VLOOKUP(C93,'Storage Locations'!$A:$C,3,FALSE),"" || "",$E93, IF(G93 = ""Yes"",CONCATENATE("" "", REGEXREPLACE(RIGHT(A93,2), ""^0+"","""")),""""), IF(ISBLANK(F93),"""",CONCATENATE("": "", F9"&amp;"3)))"),"Nut &amp; Bolt Organiser 1 Cabinet || Organiser 32")</f>
        <v>Nut &amp; Bolt Organiser 1 Cabinet || Organiser 32</v>
      </c>
      <c r="C93" s="119" t="s">
        <v>850</v>
      </c>
      <c r="D93" s="100">
        <v>32.0</v>
      </c>
      <c r="E93" s="83" t="s">
        <v>851</v>
      </c>
      <c r="F93" s="120"/>
      <c r="G93" s="85" t="s">
        <v>785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97" t="str">
        <f t="shared" si="1"/>
        <v>/410/105-33</v>
      </c>
      <c r="B94" s="80" t="str">
        <f>IFERROR(__xludf.DUMMYFUNCTION("CONCATENATE(VLOOKUP(C94,'Storage Locations'!$A:$C,2,FALSE),"" "",VLOOKUP(C94,'Storage Locations'!$A:$C,3,FALSE),"" || "",$E94, IF(G94 = ""Yes"",CONCATENATE("" "", REGEXREPLACE(RIGHT(A94,2), ""^0+"","""")),""""), IF(ISBLANK(F94),"""",CONCATENATE("": "", F9"&amp;"4)))"),"Nut &amp; Bolt Organiser 1 Cabinet || Organiser 33")</f>
        <v>Nut &amp; Bolt Organiser 1 Cabinet || Organiser 33</v>
      </c>
      <c r="C94" s="119" t="s">
        <v>850</v>
      </c>
      <c r="D94" s="101">
        <v>33.0</v>
      </c>
      <c r="E94" s="83" t="s">
        <v>851</v>
      </c>
      <c r="F94" s="120"/>
      <c r="G94" s="85" t="s">
        <v>785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97" t="str">
        <f t="shared" si="1"/>
        <v>/410/105-34</v>
      </c>
      <c r="B95" s="80" t="str">
        <f>IFERROR(__xludf.DUMMYFUNCTION("CONCATENATE(VLOOKUP(C95,'Storage Locations'!$A:$C,2,FALSE),"" "",VLOOKUP(C95,'Storage Locations'!$A:$C,3,FALSE),"" || "",$E95, IF(G95 = ""Yes"",CONCATENATE("" "", REGEXREPLACE(RIGHT(A95,2), ""^0+"","""")),""""), IF(ISBLANK(F95),"""",CONCATENATE("": "", F9"&amp;"5)))"),"Nut &amp; Bolt Organiser 1 Cabinet || Organiser 34")</f>
        <v>Nut &amp; Bolt Organiser 1 Cabinet || Organiser 34</v>
      </c>
      <c r="C95" s="119" t="s">
        <v>850</v>
      </c>
      <c r="D95" s="102">
        <v>34.0</v>
      </c>
      <c r="E95" s="83" t="s">
        <v>851</v>
      </c>
      <c r="F95" s="120"/>
      <c r="G95" s="85" t="s">
        <v>785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97" t="str">
        <f t="shared" si="1"/>
        <v>/410/105-35</v>
      </c>
      <c r="B96" s="80" t="str">
        <f>IFERROR(__xludf.DUMMYFUNCTION("CONCATENATE(VLOOKUP(C96,'Storage Locations'!$A:$C,2,FALSE),"" "",VLOOKUP(C96,'Storage Locations'!$A:$C,3,FALSE),"" || "",$E96, IF(G96 = ""Yes"",CONCATENATE("" "", REGEXREPLACE(RIGHT(A96,2), ""^0+"","""")),""""), IF(ISBLANK(F96),"""",CONCATENATE("": "", F9"&amp;"6)))"),"Nut &amp; Bolt Organiser 1 Cabinet || Organiser 35")</f>
        <v>Nut &amp; Bolt Organiser 1 Cabinet || Organiser 35</v>
      </c>
      <c r="C96" s="119" t="s">
        <v>850</v>
      </c>
      <c r="D96" s="103">
        <v>35.0</v>
      </c>
      <c r="E96" s="83" t="s">
        <v>851</v>
      </c>
      <c r="F96" s="120"/>
      <c r="G96" s="85" t="s">
        <v>785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97" t="str">
        <f t="shared" si="1"/>
        <v>/410/105-36</v>
      </c>
      <c r="B97" s="80" t="str">
        <f>IFERROR(__xludf.DUMMYFUNCTION("CONCATENATE(VLOOKUP(C97,'Storage Locations'!$A:$C,2,FALSE),"" "",VLOOKUP(C97,'Storage Locations'!$A:$C,3,FALSE),"" || "",$E97, IF(G97 = ""Yes"",CONCATENATE("" "", REGEXREPLACE(RIGHT(A97,2), ""^0+"","""")),""""), IF(ISBLANK(F97),"""",CONCATENATE("": "", F9"&amp;"7)))"),"Nut &amp; Bolt Organiser 1 Cabinet || Organiser 36")</f>
        <v>Nut &amp; Bolt Organiser 1 Cabinet || Organiser 36</v>
      </c>
      <c r="C97" s="119" t="s">
        <v>850</v>
      </c>
      <c r="D97" s="86">
        <v>36.0</v>
      </c>
      <c r="E97" s="83" t="s">
        <v>851</v>
      </c>
      <c r="F97" s="120"/>
      <c r="G97" s="85" t="s">
        <v>785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97" t="str">
        <f t="shared" si="1"/>
        <v>/410/105-37</v>
      </c>
      <c r="B98" s="80" t="str">
        <f>IFERROR(__xludf.DUMMYFUNCTION("CONCATENATE(VLOOKUP(C98,'Storage Locations'!$A:$C,2,FALSE),"" "",VLOOKUP(C98,'Storage Locations'!$A:$C,3,FALSE),"" || "",$E98, IF(G98 = ""Yes"",CONCATENATE("" "", REGEXREPLACE(RIGHT(A98,2), ""^0+"","""")),""""), IF(ISBLANK(F98),"""",CONCATENATE("": "", F9"&amp;"8)))"),"Nut &amp; Bolt Organiser 1 Cabinet || Organiser 37")</f>
        <v>Nut &amp; Bolt Organiser 1 Cabinet || Organiser 37</v>
      </c>
      <c r="C98" s="119" t="s">
        <v>850</v>
      </c>
      <c r="D98" s="87">
        <v>37.0</v>
      </c>
      <c r="E98" s="83" t="s">
        <v>851</v>
      </c>
      <c r="F98" s="120"/>
      <c r="G98" s="85" t="s">
        <v>785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97" t="str">
        <f t="shared" si="1"/>
        <v>/410/105-38</v>
      </c>
      <c r="B99" s="80" t="str">
        <f>IFERROR(__xludf.DUMMYFUNCTION("CONCATENATE(VLOOKUP(C99,'Storage Locations'!$A:$C,2,FALSE),"" "",VLOOKUP(C99,'Storage Locations'!$A:$C,3,FALSE),"" || "",$E99, IF(G99 = ""Yes"",CONCATENATE("" "", REGEXREPLACE(RIGHT(A99,2), ""^0+"","""")),""""), IF(ISBLANK(F99),"""",CONCATENATE("": "", F9"&amp;"9)))"),"Nut &amp; Bolt Organiser 1 Cabinet || Organiser 38")</f>
        <v>Nut &amp; Bolt Organiser 1 Cabinet || Organiser 38</v>
      </c>
      <c r="C99" s="119" t="s">
        <v>850</v>
      </c>
      <c r="D99" s="88">
        <v>38.0</v>
      </c>
      <c r="E99" s="83" t="s">
        <v>851</v>
      </c>
      <c r="F99" s="120"/>
      <c r="G99" s="85" t="s">
        <v>785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97" t="str">
        <f t="shared" si="1"/>
        <v>/410/105-39</v>
      </c>
      <c r="B100" s="80" t="str">
        <f>IFERROR(__xludf.DUMMYFUNCTION("CONCATENATE(VLOOKUP(C100,'Storage Locations'!$A:$C,2,FALSE),"" "",VLOOKUP(C100,'Storage Locations'!$A:$C,3,FALSE),"" || "",$E100, IF(G100 = ""Yes"",CONCATENATE("" "", REGEXREPLACE(RIGHT(A100,2), ""^0+"","""")),""""), IF(ISBLANK(F100),"""",CONCATENATE("": "&amp;""", F100)))"),"Nut &amp; Bolt Organiser 1 Cabinet || Organiser 39")</f>
        <v>Nut &amp; Bolt Organiser 1 Cabinet || Organiser 39</v>
      </c>
      <c r="C100" s="119" t="s">
        <v>850</v>
      </c>
      <c r="D100" s="89">
        <v>39.0</v>
      </c>
      <c r="E100" s="83" t="s">
        <v>851</v>
      </c>
      <c r="F100" s="120"/>
      <c r="G100" s="85" t="s">
        <v>785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97" t="str">
        <f t="shared" si="1"/>
        <v>/410/105-40</v>
      </c>
      <c r="B101" s="80" t="str">
        <f>IFERROR(__xludf.DUMMYFUNCTION("CONCATENATE(VLOOKUP(C101,'Storage Locations'!$A:$C,2,FALSE),"" "",VLOOKUP(C101,'Storage Locations'!$A:$C,3,FALSE),"" || "",$E101, IF(G101 = ""Yes"",CONCATENATE("" "", REGEXREPLACE(RIGHT(A101,2), ""^0+"","""")),""""), IF(ISBLANK(F101),"""",CONCATENATE("": "&amp;""", F101)))"),"Nut &amp; Bolt Organiser 1 Cabinet || Organiser 40")</f>
        <v>Nut &amp; Bolt Organiser 1 Cabinet || Organiser 40</v>
      </c>
      <c r="C101" s="119" t="s">
        <v>850</v>
      </c>
      <c r="D101" s="90">
        <v>40.0</v>
      </c>
      <c r="E101" s="83" t="s">
        <v>851</v>
      </c>
      <c r="F101" s="120"/>
      <c r="G101" s="85" t="s">
        <v>785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97" t="str">
        <f t="shared" si="1"/>
        <v>/410/105-41</v>
      </c>
      <c r="B102" s="80" t="str">
        <f>IFERROR(__xludf.DUMMYFUNCTION("CONCATENATE(VLOOKUP(C102,'Storage Locations'!$A:$C,2,FALSE),"" "",VLOOKUP(C102,'Storage Locations'!$A:$C,3,FALSE),"" || "",$E102, IF(G102 = ""Yes"",CONCATENATE("" "", REGEXREPLACE(RIGHT(A102,2), ""^0+"","""")),""""), IF(ISBLANK(F102),"""",CONCATENATE("": "&amp;""", F102)))"),"Nut &amp; Bolt Organiser 1 Cabinet || Organiser 41")</f>
        <v>Nut &amp; Bolt Organiser 1 Cabinet || Organiser 41</v>
      </c>
      <c r="C102" s="119" t="s">
        <v>850</v>
      </c>
      <c r="D102" s="106">
        <v>41.0</v>
      </c>
      <c r="E102" s="83" t="s">
        <v>851</v>
      </c>
      <c r="F102" s="120"/>
      <c r="G102" s="85" t="s">
        <v>785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97" t="str">
        <f t="shared" si="1"/>
        <v>/410/105-42</v>
      </c>
      <c r="B103" s="80" t="str">
        <f>IFERROR(__xludf.DUMMYFUNCTION("CONCATENATE(VLOOKUP(C103,'Storage Locations'!$A:$C,2,FALSE),"" "",VLOOKUP(C103,'Storage Locations'!$A:$C,3,FALSE),"" || "",$E103, IF(G103 = ""Yes"",CONCATENATE("" "", REGEXREPLACE(RIGHT(A103,2), ""^0+"","""")),""""), IF(ISBLANK(F103),"""",CONCATENATE("": "&amp;""", F103)))"),"Nut &amp; Bolt Organiser 1 Cabinet || Organiser 42")</f>
        <v>Nut &amp; Bolt Organiser 1 Cabinet || Organiser 42</v>
      </c>
      <c r="C103" s="119" t="s">
        <v>850</v>
      </c>
      <c r="D103" s="107">
        <v>42.0</v>
      </c>
      <c r="E103" s="83" t="s">
        <v>851</v>
      </c>
      <c r="F103" s="120"/>
      <c r="G103" s="85" t="s">
        <v>785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97" t="str">
        <f t="shared" si="1"/>
        <v>/410/105-43</v>
      </c>
      <c r="B104" s="80" t="str">
        <f>IFERROR(__xludf.DUMMYFUNCTION("CONCATENATE(VLOOKUP(C104,'Storage Locations'!$A:$C,2,FALSE),"" "",VLOOKUP(C104,'Storage Locations'!$A:$C,3,FALSE),"" || "",$E104, IF(G104 = ""Yes"",CONCATENATE("" "", REGEXREPLACE(RIGHT(A104,2), ""^0+"","""")),""""), IF(ISBLANK(F104),"""",CONCATENATE("": "&amp;""", F104)))"),"Nut &amp; Bolt Organiser 1 Cabinet || Organiser 43")</f>
        <v>Nut &amp; Bolt Organiser 1 Cabinet || Organiser 43</v>
      </c>
      <c r="C104" s="119" t="s">
        <v>850</v>
      </c>
      <c r="D104" s="108">
        <v>43.0</v>
      </c>
      <c r="E104" s="83" t="s">
        <v>851</v>
      </c>
      <c r="F104" s="120"/>
      <c r="G104" s="85" t="s">
        <v>785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97" t="str">
        <f t="shared" si="1"/>
        <v>/410/105-44</v>
      </c>
      <c r="B105" s="80" t="str">
        <f>IFERROR(__xludf.DUMMYFUNCTION("CONCATENATE(VLOOKUP(C105,'Storage Locations'!$A:$C,2,FALSE),"" "",VLOOKUP(C105,'Storage Locations'!$A:$C,3,FALSE),"" || "",$E105, IF(G105 = ""Yes"",CONCATENATE("" "", REGEXREPLACE(RIGHT(A105,2), ""^0+"","""")),""""), IF(ISBLANK(F105),"""",CONCATENATE("": "&amp;""", F105)))"),"Nut &amp; Bolt Organiser 1 Cabinet || Organiser 44")</f>
        <v>Nut &amp; Bolt Organiser 1 Cabinet || Organiser 44</v>
      </c>
      <c r="C105" s="119" t="s">
        <v>850</v>
      </c>
      <c r="D105" s="109">
        <v>44.0</v>
      </c>
      <c r="E105" s="83" t="s">
        <v>851</v>
      </c>
      <c r="F105" s="120"/>
      <c r="G105" s="85" t="s">
        <v>785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97" t="str">
        <f t="shared" si="1"/>
        <v>/410/105-45</v>
      </c>
      <c r="B106" s="80" t="str">
        <f>IFERROR(__xludf.DUMMYFUNCTION("CONCATENATE(VLOOKUP(C106,'Storage Locations'!$A:$C,2,FALSE),"" "",VLOOKUP(C106,'Storage Locations'!$A:$C,3,FALSE),"" || "",$E106, IF(G106 = ""Yes"",CONCATENATE("" "", REGEXREPLACE(RIGHT(A106,2), ""^0+"","""")),""""), IF(ISBLANK(F106),"""",CONCATENATE("": "&amp;""", F106)))"),"Nut &amp; Bolt Organiser 1 Cabinet || Organiser 45")</f>
        <v>Nut &amp; Bolt Organiser 1 Cabinet || Organiser 45</v>
      </c>
      <c r="C106" s="119" t="s">
        <v>850</v>
      </c>
      <c r="D106" s="110">
        <v>45.0</v>
      </c>
      <c r="E106" s="83" t="s">
        <v>851</v>
      </c>
      <c r="F106" s="120"/>
      <c r="G106" s="85" t="s">
        <v>785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97" t="str">
        <f t="shared" si="1"/>
        <v>/410/105-46</v>
      </c>
      <c r="B107" s="80" t="str">
        <f>IFERROR(__xludf.DUMMYFUNCTION("CONCATENATE(VLOOKUP(C107,'Storage Locations'!$A:$C,2,FALSE),"" "",VLOOKUP(C107,'Storage Locations'!$A:$C,3,FALSE),"" || "",$E107, IF(G107 = ""Yes"",CONCATENATE("" "", REGEXREPLACE(RIGHT(A107,2), ""^0+"","""")),""""), IF(ISBLANK(F107),"""",CONCATENATE("": "&amp;""", F107)))"),"Nut &amp; Bolt Organiser 1 Cabinet || Organiser 46")</f>
        <v>Nut &amp; Bolt Organiser 1 Cabinet || Organiser 46</v>
      </c>
      <c r="C107" s="119" t="s">
        <v>850</v>
      </c>
      <c r="D107" s="121">
        <v>46.0</v>
      </c>
      <c r="E107" s="83" t="s">
        <v>851</v>
      </c>
      <c r="F107" s="120"/>
      <c r="G107" s="85" t="s">
        <v>785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97" t="str">
        <f t="shared" si="1"/>
        <v>/410/105-47</v>
      </c>
      <c r="B108" s="80" t="str">
        <f>IFERROR(__xludf.DUMMYFUNCTION("CONCATENATE(VLOOKUP(C108,'Storage Locations'!$A:$C,2,FALSE),"" "",VLOOKUP(C108,'Storage Locations'!$A:$C,3,FALSE),"" || "",$E108, IF(G108 = ""Yes"",CONCATENATE("" "", REGEXREPLACE(RIGHT(A108,2), ""^0+"","""")),""""), IF(ISBLANK(F108),"""",CONCATENATE("": "&amp;""", F108)))"),"Nut &amp; Bolt Organiser 1 Cabinet || Organiser 47")</f>
        <v>Nut &amp; Bolt Organiser 1 Cabinet || Organiser 47</v>
      </c>
      <c r="C108" s="119" t="s">
        <v>850</v>
      </c>
      <c r="D108" s="122">
        <v>47.0</v>
      </c>
      <c r="E108" s="83" t="s">
        <v>851</v>
      </c>
      <c r="F108" s="120"/>
      <c r="G108" s="85" t="s">
        <v>785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04" t="str">
        <f t="shared" si="1"/>
        <v>/410/106-01</v>
      </c>
      <c r="B109" s="80" t="str">
        <f>IFERROR(__xludf.DUMMYFUNCTION("CONCATENATE(VLOOKUP(C109,'Storage Locations'!$A:$C,2,FALSE),"" "",VLOOKUP(C109,'Storage Locations'!$A:$C,3,FALSE),"" || "",$E109, IF(G109 = ""Yes"",CONCATENATE("" "", REGEXREPLACE(RIGHT(A109,2), ""^0+"","""")),""""), IF(ISBLANK(F109),"""",CONCATENATE("": "&amp;""", F109)))"),"Resistor Organiser 1 Cabinet || Organiser 1")</f>
        <v>Resistor Organiser 1 Cabinet || Organiser 1</v>
      </c>
      <c r="C109" s="123" t="s">
        <v>852</v>
      </c>
      <c r="D109" s="82">
        <v>1.0</v>
      </c>
      <c r="E109" s="83" t="s">
        <v>851</v>
      </c>
      <c r="F109" s="120"/>
      <c r="G109" s="85" t="s">
        <v>785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04" t="str">
        <f t="shared" si="1"/>
        <v>/410/106-02</v>
      </c>
      <c r="B110" s="80" t="str">
        <f>IFERROR(__xludf.DUMMYFUNCTION("CONCATENATE(VLOOKUP(C110,'Storage Locations'!$A:$C,2,FALSE),"" "",VLOOKUP(C110,'Storage Locations'!$A:$C,3,FALSE),"" || "",$E110, IF(G110 = ""Yes"",CONCATENATE("" "", REGEXREPLACE(RIGHT(A110,2), ""^0+"","""")),""""), IF(ISBLANK(F110),"""",CONCATENATE("": "&amp;""", F110)))"),"Resistor Organiser 1 Cabinet || Organiser 2")</f>
        <v>Resistor Organiser 1 Cabinet || Organiser 2</v>
      </c>
      <c r="C110" s="123" t="s">
        <v>852</v>
      </c>
      <c r="D110" s="86">
        <v>2.0</v>
      </c>
      <c r="E110" s="83" t="s">
        <v>851</v>
      </c>
      <c r="F110" s="120"/>
      <c r="G110" s="85" t="s">
        <v>785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04" t="str">
        <f t="shared" si="1"/>
        <v>/410/106-03</v>
      </c>
      <c r="B111" s="80" t="str">
        <f>IFERROR(__xludf.DUMMYFUNCTION("CONCATENATE(VLOOKUP(C111,'Storage Locations'!$A:$C,2,FALSE),"" "",VLOOKUP(C111,'Storage Locations'!$A:$C,3,FALSE),"" || "",$E111, IF(G111 = ""Yes"",CONCATENATE("" "", REGEXREPLACE(RIGHT(A111,2), ""^0+"","""")),""""), IF(ISBLANK(F111),"""",CONCATENATE("": "&amp;""", F111)))"),"Resistor Organiser 1 Cabinet || Organiser 3")</f>
        <v>Resistor Organiser 1 Cabinet || Organiser 3</v>
      </c>
      <c r="C111" s="123" t="s">
        <v>852</v>
      </c>
      <c r="D111" s="87">
        <v>3.0</v>
      </c>
      <c r="E111" s="83" t="s">
        <v>851</v>
      </c>
      <c r="F111" s="120"/>
      <c r="G111" s="85" t="s">
        <v>785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04" t="str">
        <f t="shared" si="1"/>
        <v>/410/106-04</v>
      </c>
      <c r="B112" s="80" t="str">
        <f>IFERROR(__xludf.DUMMYFUNCTION("CONCATENATE(VLOOKUP(C112,'Storage Locations'!$A:$C,2,FALSE),"" "",VLOOKUP(C112,'Storage Locations'!$A:$C,3,FALSE),"" || "",$E112, IF(G112 = ""Yes"",CONCATENATE("" "", REGEXREPLACE(RIGHT(A112,2), ""^0+"","""")),""""), IF(ISBLANK(F112),"""",CONCATENATE("": "&amp;""", F112)))"),"Resistor Organiser 1 Cabinet || Organiser 4")</f>
        <v>Resistor Organiser 1 Cabinet || Organiser 4</v>
      </c>
      <c r="C112" s="123" t="s">
        <v>852</v>
      </c>
      <c r="D112" s="88">
        <v>4.0</v>
      </c>
      <c r="E112" s="83" t="s">
        <v>851</v>
      </c>
      <c r="F112" s="120"/>
      <c r="G112" s="85" t="s">
        <v>785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04" t="str">
        <f t="shared" si="1"/>
        <v>/410/106-05</v>
      </c>
      <c r="B113" s="80" t="str">
        <f>IFERROR(__xludf.DUMMYFUNCTION("CONCATENATE(VLOOKUP(C113,'Storage Locations'!$A:$C,2,FALSE),"" "",VLOOKUP(C113,'Storage Locations'!$A:$C,3,FALSE),"" || "",$E113, IF(G113 = ""Yes"",CONCATENATE("" "", REGEXREPLACE(RIGHT(A113,2), ""^0+"","""")),""""), IF(ISBLANK(F113),"""",CONCATENATE("": "&amp;""", F113)))"),"Resistor Organiser 1 Cabinet || Organiser 5")</f>
        <v>Resistor Organiser 1 Cabinet || Organiser 5</v>
      </c>
      <c r="C113" s="123" t="s">
        <v>852</v>
      </c>
      <c r="D113" s="89">
        <v>5.0</v>
      </c>
      <c r="E113" s="83" t="s">
        <v>851</v>
      </c>
      <c r="F113" s="120"/>
      <c r="G113" s="85" t="s">
        <v>785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04" t="str">
        <f t="shared" si="1"/>
        <v>/410/106-06</v>
      </c>
      <c r="B114" s="80" t="str">
        <f>IFERROR(__xludf.DUMMYFUNCTION("CONCATENATE(VLOOKUP(C114,'Storage Locations'!$A:$C,2,FALSE),"" "",VLOOKUP(C114,'Storage Locations'!$A:$C,3,FALSE),"" || "",$E114, IF(G114 = ""Yes"",CONCATENATE("" "", REGEXREPLACE(RIGHT(A114,2), ""^0+"","""")),""""), IF(ISBLANK(F114),"""",CONCATENATE("": "&amp;""", F114)))"),"Resistor Organiser 1 Cabinet || Organiser 6")</f>
        <v>Resistor Organiser 1 Cabinet || Organiser 6</v>
      </c>
      <c r="C114" s="123" t="s">
        <v>852</v>
      </c>
      <c r="D114" s="90">
        <v>6.0</v>
      </c>
      <c r="E114" s="83" t="s">
        <v>851</v>
      </c>
      <c r="F114" s="120"/>
      <c r="G114" s="85" t="s">
        <v>785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04" t="str">
        <f t="shared" si="1"/>
        <v>/410/106-07</v>
      </c>
      <c r="B115" s="80" t="str">
        <f>IFERROR(__xludf.DUMMYFUNCTION("CONCATENATE(VLOOKUP(C115,'Storage Locations'!$A:$C,2,FALSE),"" "",VLOOKUP(C115,'Storage Locations'!$A:$C,3,FALSE),"" || "",$E115, IF(G115 = ""Yes"",CONCATENATE("" "", REGEXREPLACE(RIGHT(A115,2), ""^0+"","""")),""""), IF(ISBLANK(F115),"""",CONCATENATE("": "&amp;""", F115)))"),"Resistor Organiser 1 Cabinet || Organiser 7")</f>
        <v>Resistor Organiser 1 Cabinet || Organiser 7</v>
      </c>
      <c r="C115" s="123" t="s">
        <v>852</v>
      </c>
      <c r="D115" s="106">
        <v>7.0</v>
      </c>
      <c r="E115" s="83" t="s">
        <v>851</v>
      </c>
      <c r="F115" s="120"/>
      <c r="G115" s="85" t="s">
        <v>785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04" t="str">
        <f t="shared" si="1"/>
        <v>/410/106-08</v>
      </c>
      <c r="B116" s="80" t="str">
        <f>IFERROR(__xludf.DUMMYFUNCTION("CONCATENATE(VLOOKUP(C116,'Storage Locations'!$A:$C,2,FALSE),"" "",VLOOKUP(C116,'Storage Locations'!$A:$C,3,FALSE),"" || "",$E116, IF(G116 = ""Yes"",CONCATENATE("" "", REGEXREPLACE(RIGHT(A116,2), ""^0+"","""")),""""), IF(ISBLANK(F116),"""",CONCATENATE("": "&amp;""", F116)))"),"Resistor Organiser 1 Cabinet || Organiser 8")</f>
        <v>Resistor Organiser 1 Cabinet || Organiser 8</v>
      </c>
      <c r="C116" s="123" t="s">
        <v>852</v>
      </c>
      <c r="D116" s="107">
        <v>8.0</v>
      </c>
      <c r="E116" s="83" t="s">
        <v>851</v>
      </c>
      <c r="F116" s="120"/>
      <c r="G116" s="85" t="s">
        <v>785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04" t="str">
        <f t="shared" si="1"/>
        <v>/410/106-09</v>
      </c>
      <c r="B117" s="80" t="str">
        <f>IFERROR(__xludf.DUMMYFUNCTION("CONCATENATE(VLOOKUP(C117,'Storage Locations'!$A:$C,2,FALSE),"" "",VLOOKUP(C117,'Storage Locations'!$A:$C,3,FALSE),"" || "",$E117, IF(G117 = ""Yes"",CONCATENATE("" "", REGEXREPLACE(RIGHT(A117,2), ""^0+"","""")),""""), IF(ISBLANK(F117),"""",CONCATENATE("": "&amp;""", F117)))"),"Resistor Organiser 1 Cabinet || Organiser 9")</f>
        <v>Resistor Organiser 1 Cabinet || Organiser 9</v>
      </c>
      <c r="C117" s="123" t="s">
        <v>852</v>
      </c>
      <c r="D117" s="108">
        <v>9.0</v>
      </c>
      <c r="E117" s="83" t="s">
        <v>851</v>
      </c>
      <c r="F117" s="120"/>
      <c r="G117" s="85" t="s">
        <v>785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04" t="str">
        <f t="shared" si="1"/>
        <v>/410/106-10</v>
      </c>
      <c r="B118" s="80" t="str">
        <f>IFERROR(__xludf.DUMMYFUNCTION("CONCATENATE(VLOOKUP(C118,'Storage Locations'!$A:$C,2,FALSE),"" "",VLOOKUP(C118,'Storage Locations'!$A:$C,3,FALSE),"" || "",$E118, IF(G118 = ""Yes"",CONCATENATE("" "", REGEXREPLACE(RIGHT(A118,2), ""^0+"","""")),""""), IF(ISBLANK(F118),"""",CONCATENATE("": "&amp;""", F118)))"),"Resistor Organiser 1 Cabinet || Organiser 10")</f>
        <v>Resistor Organiser 1 Cabinet || Organiser 10</v>
      </c>
      <c r="C118" s="123" t="s">
        <v>852</v>
      </c>
      <c r="D118" s="109">
        <v>10.0</v>
      </c>
      <c r="E118" s="83" t="s">
        <v>851</v>
      </c>
      <c r="F118" s="120"/>
      <c r="G118" s="85" t="s">
        <v>785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04" t="str">
        <f t="shared" si="1"/>
        <v>/410/106-11</v>
      </c>
      <c r="B119" s="80" t="str">
        <f>IFERROR(__xludf.DUMMYFUNCTION("CONCATENATE(VLOOKUP(C119,'Storage Locations'!$A:$C,2,FALSE),"" "",VLOOKUP(C119,'Storage Locations'!$A:$C,3,FALSE),"" || "",$E119, IF(G119 = ""Yes"",CONCATENATE("" "", REGEXREPLACE(RIGHT(A119,2), ""^0+"","""")),""""), IF(ISBLANK(F119),"""",CONCATENATE("": "&amp;""", F119)))"),"Resistor Organiser 1 Cabinet || Organiser 11")</f>
        <v>Resistor Organiser 1 Cabinet || Organiser 11</v>
      </c>
      <c r="C119" s="123" t="s">
        <v>852</v>
      </c>
      <c r="D119" s="110">
        <v>11.0</v>
      </c>
      <c r="E119" s="83" t="s">
        <v>851</v>
      </c>
      <c r="F119" s="120"/>
      <c r="G119" s="85" t="s">
        <v>785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04" t="str">
        <f t="shared" si="1"/>
        <v>/410/106-12</v>
      </c>
      <c r="B120" s="80" t="str">
        <f>IFERROR(__xludf.DUMMYFUNCTION("CONCATENATE(VLOOKUP(C120,'Storage Locations'!$A:$C,2,FALSE),"" "",VLOOKUP(C120,'Storage Locations'!$A:$C,3,FALSE),"" || "",$E120, IF(G120 = ""Yes"",CONCATENATE("" "", REGEXREPLACE(RIGHT(A120,2), ""^0+"","""")),""""), IF(ISBLANK(F120),"""",CONCATENATE("": "&amp;""", F120)))"),"Resistor Organiser 1 Cabinet || Organiser 12")</f>
        <v>Resistor Organiser 1 Cabinet || Organiser 12</v>
      </c>
      <c r="C120" s="123" t="s">
        <v>852</v>
      </c>
      <c r="D120" s="121">
        <v>12.0</v>
      </c>
      <c r="E120" s="83" t="s">
        <v>851</v>
      </c>
      <c r="F120" s="120"/>
      <c r="G120" s="85" t="s">
        <v>785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04" t="str">
        <f t="shared" si="1"/>
        <v>/410/106-13</v>
      </c>
      <c r="B121" s="80" t="str">
        <f>IFERROR(__xludf.DUMMYFUNCTION("CONCATENATE(VLOOKUP(C121,'Storage Locations'!$A:$C,2,FALSE),"" "",VLOOKUP(C121,'Storage Locations'!$A:$C,3,FALSE),"" || "",$E121, IF(G121 = ""Yes"",CONCATENATE("" "", REGEXREPLACE(RIGHT(A121,2), ""^0+"","""")),""""), IF(ISBLANK(F121),"""",CONCATENATE("": "&amp;""", F121)))"),"Resistor Organiser 1 Cabinet || Organiser 13")</f>
        <v>Resistor Organiser 1 Cabinet || Organiser 13</v>
      </c>
      <c r="C121" s="123" t="s">
        <v>852</v>
      </c>
      <c r="D121" s="122">
        <v>13.0</v>
      </c>
      <c r="E121" s="83" t="s">
        <v>851</v>
      </c>
      <c r="F121" s="120"/>
      <c r="G121" s="85" t="s">
        <v>785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04" t="str">
        <f t="shared" si="1"/>
        <v>/410/106-14</v>
      </c>
      <c r="B122" s="80" t="str">
        <f>IFERROR(__xludf.DUMMYFUNCTION("CONCATENATE(VLOOKUP(C122,'Storage Locations'!$A:$C,2,FALSE),"" "",VLOOKUP(C122,'Storage Locations'!$A:$C,3,FALSE),"" || "",$E122, IF(G122 = ""Yes"",CONCATENATE("" "", REGEXREPLACE(RIGHT(A122,2), ""^0+"","""")),""""), IF(ISBLANK(F122),"""",CONCATENATE("": "&amp;""", F122)))"),"Resistor Organiser 1 Cabinet || Organiser 14")</f>
        <v>Resistor Organiser 1 Cabinet || Organiser 14</v>
      </c>
      <c r="C122" s="123" t="s">
        <v>852</v>
      </c>
      <c r="D122" s="99">
        <v>14.0</v>
      </c>
      <c r="E122" s="83" t="s">
        <v>851</v>
      </c>
      <c r="F122" s="120"/>
      <c r="G122" s="85" t="s">
        <v>785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04" t="str">
        <f t="shared" si="1"/>
        <v>/410/106-15</v>
      </c>
      <c r="B123" s="80" t="str">
        <f>IFERROR(__xludf.DUMMYFUNCTION("CONCATENATE(VLOOKUP(C123,'Storage Locations'!$A:$C,2,FALSE),"" "",VLOOKUP(C123,'Storage Locations'!$A:$C,3,FALSE),"" || "",$E123, IF(G123 = ""Yes"",CONCATENATE("" "", REGEXREPLACE(RIGHT(A123,2), ""^0+"","""")),""""), IF(ISBLANK(F123),"""",CONCATENATE("": "&amp;""", F123)))"),"Resistor Organiser 1 Cabinet || Organiser 15")</f>
        <v>Resistor Organiser 1 Cabinet || Organiser 15</v>
      </c>
      <c r="C123" s="123" t="s">
        <v>852</v>
      </c>
      <c r="D123" s="100">
        <v>15.0</v>
      </c>
      <c r="E123" s="83" t="s">
        <v>851</v>
      </c>
      <c r="F123" s="120"/>
      <c r="G123" s="85" t="s">
        <v>785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04" t="str">
        <f t="shared" si="1"/>
        <v>/410/106-16</v>
      </c>
      <c r="B124" s="80" t="str">
        <f>IFERROR(__xludf.DUMMYFUNCTION("CONCATENATE(VLOOKUP(C124,'Storage Locations'!$A:$C,2,FALSE),"" "",VLOOKUP(C124,'Storage Locations'!$A:$C,3,FALSE),"" || "",$E124, IF(G124 = ""Yes"",CONCATENATE("" "", REGEXREPLACE(RIGHT(A124,2), ""^0+"","""")),""""), IF(ISBLANK(F124),"""",CONCATENATE("": "&amp;""", F124)))"),"Resistor Organiser 1 Cabinet || Organiser 16")</f>
        <v>Resistor Organiser 1 Cabinet || Organiser 16</v>
      </c>
      <c r="C124" s="123" t="s">
        <v>852</v>
      </c>
      <c r="D124" s="101">
        <v>16.0</v>
      </c>
      <c r="E124" s="83" t="s">
        <v>851</v>
      </c>
      <c r="F124" s="120"/>
      <c r="G124" s="85" t="s">
        <v>785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04" t="str">
        <f t="shared" si="1"/>
        <v>/410/106-17</v>
      </c>
      <c r="B125" s="80" t="str">
        <f>IFERROR(__xludf.DUMMYFUNCTION("CONCATENATE(VLOOKUP(C125,'Storage Locations'!$A:$C,2,FALSE),"" "",VLOOKUP(C125,'Storage Locations'!$A:$C,3,FALSE),"" || "",$E125, IF(G125 = ""Yes"",CONCATENATE("" "", REGEXREPLACE(RIGHT(A125,2), ""^0+"","""")),""""), IF(ISBLANK(F125),"""",CONCATENATE("": "&amp;""", F125)))"),"Resistor Organiser 1 Cabinet || Organiser 17")</f>
        <v>Resistor Organiser 1 Cabinet || Organiser 17</v>
      </c>
      <c r="C125" s="123" t="s">
        <v>852</v>
      </c>
      <c r="D125" s="102">
        <v>17.0</v>
      </c>
      <c r="E125" s="83" t="s">
        <v>851</v>
      </c>
      <c r="F125" s="120"/>
      <c r="G125" s="85" t="s">
        <v>785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04" t="str">
        <f t="shared" si="1"/>
        <v>/410/106-18</v>
      </c>
      <c r="B126" s="80" t="str">
        <f>IFERROR(__xludf.DUMMYFUNCTION("CONCATENATE(VLOOKUP(C126,'Storage Locations'!$A:$C,2,FALSE),"" "",VLOOKUP(C126,'Storage Locations'!$A:$C,3,FALSE),"" || "",$E126, IF(G126 = ""Yes"",CONCATENATE("" "", REGEXREPLACE(RIGHT(A126,2), ""^0+"","""")),""""), IF(ISBLANK(F126),"""",CONCATENATE("": "&amp;""", F126)))"),"Resistor Organiser 1 Cabinet || Organiser 18")</f>
        <v>Resistor Organiser 1 Cabinet || Organiser 18</v>
      </c>
      <c r="C126" s="123" t="s">
        <v>852</v>
      </c>
      <c r="D126" s="82">
        <v>18.0</v>
      </c>
      <c r="E126" s="83" t="s">
        <v>851</v>
      </c>
      <c r="F126" s="120"/>
      <c r="G126" s="85" t="s">
        <v>785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04" t="str">
        <f t="shared" si="1"/>
        <v>/410/106-19</v>
      </c>
      <c r="B127" s="80" t="str">
        <f>IFERROR(__xludf.DUMMYFUNCTION("CONCATENATE(VLOOKUP(C127,'Storage Locations'!$A:$C,2,FALSE),"" "",VLOOKUP(C127,'Storage Locations'!$A:$C,3,FALSE),"" || "",$E127, IF(G127 = ""Yes"",CONCATENATE("" "", REGEXREPLACE(RIGHT(A127,2), ""^0+"","""")),""""), IF(ISBLANK(F127),"""",CONCATENATE("": "&amp;""", F127)))"),"Resistor Organiser 1 Cabinet || Organiser 19")</f>
        <v>Resistor Organiser 1 Cabinet || Organiser 19</v>
      </c>
      <c r="C127" s="123" t="s">
        <v>852</v>
      </c>
      <c r="D127" s="86">
        <v>19.0</v>
      </c>
      <c r="E127" s="83" t="s">
        <v>851</v>
      </c>
      <c r="F127" s="120"/>
      <c r="G127" s="85" t="s">
        <v>785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04" t="str">
        <f t="shared" si="1"/>
        <v>/410/106-20</v>
      </c>
      <c r="B128" s="80" t="str">
        <f>IFERROR(__xludf.DUMMYFUNCTION("CONCATENATE(VLOOKUP(C128,'Storage Locations'!$A:$C,2,FALSE),"" "",VLOOKUP(C128,'Storage Locations'!$A:$C,3,FALSE),"" || "",$E128, IF(G128 = ""Yes"",CONCATENATE("" "", REGEXREPLACE(RIGHT(A128,2), ""^0+"","""")),""""), IF(ISBLANK(F128),"""",CONCATENATE("": "&amp;""", F128)))"),"Resistor Organiser 1 Cabinet || Organiser 20")</f>
        <v>Resistor Organiser 1 Cabinet || Organiser 20</v>
      </c>
      <c r="C128" s="123" t="s">
        <v>852</v>
      </c>
      <c r="D128" s="87">
        <v>20.0</v>
      </c>
      <c r="E128" s="83" t="s">
        <v>851</v>
      </c>
      <c r="F128" s="120"/>
      <c r="G128" s="85" t="s">
        <v>785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04" t="str">
        <f t="shared" si="1"/>
        <v>/410/106-21</v>
      </c>
      <c r="B129" s="80" t="str">
        <f>IFERROR(__xludf.DUMMYFUNCTION("CONCATENATE(VLOOKUP(C129,'Storage Locations'!$A:$C,2,FALSE),"" "",VLOOKUP(C129,'Storage Locations'!$A:$C,3,FALSE),"" || "",$E129, IF(G129 = ""Yes"",CONCATENATE("" "", REGEXREPLACE(RIGHT(A129,2), ""^0+"","""")),""""), IF(ISBLANK(F129),"""",CONCATENATE("": "&amp;""", F129)))"),"Resistor Organiser 1 Cabinet || Organiser 21")</f>
        <v>Resistor Organiser 1 Cabinet || Organiser 21</v>
      </c>
      <c r="C129" s="123" t="s">
        <v>852</v>
      </c>
      <c r="D129" s="88">
        <v>21.0</v>
      </c>
      <c r="E129" s="83" t="s">
        <v>851</v>
      </c>
      <c r="F129" s="120"/>
      <c r="G129" s="85" t="s">
        <v>785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04" t="str">
        <f t="shared" si="1"/>
        <v>/410/106-22</v>
      </c>
      <c r="B130" s="80" t="str">
        <f>IFERROR(__xludf.DUMMYFUNCTION("CONCATENATE(VLOOKUP(C130,'Storage Locations'!$A:$C,2,FALSE),"" "",VLOOKUP(C130,'Storage Locations'!$A:$C,3,FALSE),"" || "",$E130, IF(G130 = ""Yes"",CONCATENATE("" "", REGEXREPLACE(RIGHT(A130,2), ""^0+"","""")),""""), IF(ISBLANK(F130),"""",CONCATENATE("": "&amp;""", F130)))"),"Resistor Organiser 1 Cabinet || Organiser 22")</f>
        <v>Resistor Organiser 1 Cabinet || Organiser 22</v>
      </c>
      <c r="C130" s="123" t="s">
        <v>852</v>
      </c>
      <c r="D130" s="89">
        <v>22.0</v>
      </c>
      <c r="E130" s="83" t="s">
        <v>851</v>
      </c>
      <c r="F130" s="120"/>
      <c r="G130" s="85" t="s">
        <v>785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04" t="str">
        <f t="shared" si="1"/>
        <v>/410/106-23</v>
      </c>
      <c r="B131" s="80" t="str">
        <f>IFERROR(__xludf.DUMMYFUNCTION("CONCATENATE(VLOOKUP(C131,'Storage Locations'!$A:$C,2,FALSE),"" "",VLOOKUP(C131,'Storage Locations'!$A:$C,3,FALSE),"" || "",$E131, IF(G131 = ""Yes"",CONCATENATE("" "", REGEXREPLACE(RIGHT(A131,2), ""^0+"","""")),""""), IF(ISBLANK(F131),"""",CONCATENATE("": "&amp;""", F131)))"),"Resistor Organiser 1 Cabinet || Organiser 23")</f>
        <v>Resistor Organiser 1 Cabinet || Organiser 23</v>
      </c>
      <c r="C131" s="123" t="s">
        <v>852</v>
      </c>
      <c r="D131" s="90">
        <v>23.0</v>
      </c>
      <c r="E131" s="83" t="s">
        <v>851</v>
      </c>
      <c r="F131" s="120"/>
      <c r="G131" s="85" t="s">
        <v>785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04" t="str">
        <f t="shared" si="1"/>
        <v>/410/106-24</v>
      </c>
      <c r="B132" s="80" t="str">
        <f>IFERROR(__xludf.DUMMYFUNCTION("CONCATENATE(VLOOKUP(C132,'Storage Locations'!$A:$C,2,FALSE),"" "",VLOOKUP(C132,'Storage Locations'!$A:$C,3,FALSE),"" || "",$E132, IF(G132 = ""Yes"",CONCATENATE("" "", REGEXREPLACE(RIGHT(A132,2), ""^0+"","""")),""""), IF(ISBLANK(F132),"""",CONCATENATE("": "&amp;""", F132)))"),"Resistor Organiser 1 Cabinet || Organiser 24")</f>
        <v>Resistor Organiser 1 Cabinet || Organiser 24</v>
      </c>
      <c r="C132" s="123" t="s">
        <v>852</v>
      </c>
      <c r="D132" s="106">
        <v>24.0</v>
      </c>
      <c r="E132" s="83" t="s">
        <v>851</v>
      </c>
      <c r="F132" s="120"/>
      <c r="G132" s="85" t="s">
        <v>785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04" t="str">
        <f t="shared" si="1"/>
        <v>/410/106-25</v>
      </c>
      <c r="B133" s="80" t="str">
        <f>IFERROR(__xludf.DUMMYFUNCTION("CONCATENATE(VLOOKUP(C133,'Storage Locations'!$A:$C,2,FALSE),"" "",VLOOKUP(C133,'Storage Locations'!$A:$C,3,FALSE),"" || "",$E133, IF(G133 = ""Yes"",CONCATENATE("" "", REGEXREPLACE(RIGHT(A133,2), ""^0+"","""")),""""), IF(ISBLANK(F133),"""",CONCATENATE("": "&amp;""", F133)))"),"Resistor Organiser 1 Cabinet || Organiser 25")</f>
        <v>Resistor Organiser 1 Cabinet || Organiser 25</v>
      </c>
      <c r="C133" s="123" t="s">
        <v>852</v>
      </c>
      <c r="D133" s="107">
        <v>25.0</v>
      </c>
      <c r="E133" s="83" t="s">
        <v>851</v>
      </c>
      <c r="F133" s="120"/>
      <c r="G133" s="85" t="s">
        <v>785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04" t="str">
        <f t="shared" si="1"/>
        <v>/410/106-26</v>
      </c>
      <c r="B134" s="80" t="str">
        <f>IFERROR(__xludf.DUMMYFUNCTION("CONCATENATE(VLOOKUP(C134,'Storage Locations'!$A:$C,2,FALSE),"" "",VLOOKUP(C134,'Storage Locations'!$A:$C,3,FALSE),"" || "",$E134, IF(G134 = ""Yes"",CONCATENATE("" "", REGEXREPLACE(RIGHT(A134,2), ""^0+"","""")),""""), IF(ISBLANK(F134),"""",CONCATENATE("": "&amp;""", F134)))"),"Resistor Organiser 1 Cabinet || Organiser 26")</f>
        <v>Resistor Organiser 1 Cabinet || Organiser 26</v>
      </c>
      <c r="C134" s="123" t="s">
        <v>852</v>
      </c>
      <c r="D134" s="108">
        <v>26.0</v>
      </c>
      <c r="E134" s="83" t="s">
        <v>851</v>
      </c>
      <c r="F134" s="120"/>
      <c r="G134" s="85" t="s">
        <v>785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04" t="str">
        <f t="shared" si="1"/>
        <v>/410/106-27</v>
      </c>
      <c r="B135" s="80" t="str">
        <f>IFERROR(__xludf.DUMMYFUNCTION("CONCATENATE(VLOOKUP(C135,'Storage Locations'!$A:$C,2,FALSE),"" "",VLOOKUP(C135,'Storage Locations'!$A:$C,3,FALSE),"" || "",$E135, IF(G135 = ""Yes"",CONCATENATE("" "", REGEXREPLACE(RIGHT(A135,2), ""^0+"","""")),""""), IF(ISBLANK(F135),"""",CONCATENATE("": "&amp;""", F135)))"),"Resistor Organiser 1 Cabinet || Organiser 27")</f>
        <v>Resistor Organiser 1 Cabinet || Organiser 27</v>
      </c>
      <c r="C135" s="123" t="s">
        <v>852</v>
      </c>
      <c r="D135" s="109">
        <v>27.0</v>
      </c>
      <c r="E135" s="83" t="s">
        <v>851</v>
      </c>
      <c r="F135" s="120"/>
      <c r="G135" s="85" t="s">
        <v>785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04" t="str">
        <f t="shared" si="1"/>
        <v>/410/106-28</v>
      </c>
      <c r="B136" s="80" t="str">
        <f>IFERROR(__xludf.DUMMYFUNCTION("CONCATENATE(VLOOKUP(C136,'Storage Locations'!$A:$C,2,FALSE),"" "",VLOOKUP(C136,'Storage Locations'!$A:$C,3,FALSE),"" || "",$E136, IF(G136 = ""Yes"",CONCATENATE("" "", REGEXREPLACE(RIGHT(A136,2), ""^0+"","""")),""""), IF(ISBLANK(F136),"""",CONCATENATE("": "&amp;""", F136)))"),"Resistor Organiser 1 Cabinet || Organiser 28")</f>
        <v>Resistor Organiser 1 Cabinet || Organiser 28</v>
      </c>
      <c r="C136" s="123" t="s">
        <v>852</v>
      </c>
      <c r="D136" s="110">
        <v>28.0</v>
      </c>
      <c r="E136" s="83" t="s">
        <v>851</v>
      </c>
      <c r="F136" s="120"/>
      <c r="G136" s="85" t="s">
        <v>785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04" t="str">
        <f t="shared" si="1"/>
        <v>/410/106-29</v>
      </c>
      <c r="B137" s="80" t="str">
        <f>IFERROR(__xludf.DUMMYFUNCTION("CONCATENATE(VLOOKUP(C137,'Storage Locations'!$A:$C,2,FALSE),"" "",VLOOKUP(C137,'Storage Locations'!$A:$C,3,FALSE),"" || "",$E137, IF(G137 = ""Yes"",CONCATENATE("" "", REGEXREPLACE(RIGHT(A137,2), ""^0+"","""")),""""), IF(ISBLANK(F137),"""",CONCATENATE("": "&amp;""", F137)))"),"Resistor Organiser 1 Cabinet || Organiser 29")</f>
        <v>Resistor Organiser 1 Cabinet || Organiser 29</v>
      </c>
      <c r="C137" s="123" t="s">
        <v>852</v>
      </c>
      <c r="D137" s="121">
        <v>29.0</v>
      </c>
      <c r="E137" s="83" t="s">
        <v>851</v>
      </c>
      <c r="F137" s="120"/>
      <c r="G137" s="85" t="s">
        <v>785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04" t="str">
        <f t="shared" si="1"/>
        <v>/410/106-30</v>
      </c>
      <c r="B138" s="80" t="str">
        <f>IFERROR(__xludf.DUMMYFUNCTION("CONCATENATE(VLOOKUP(C138,'Storage Locations'!$A:$C,2,FALSE),"" "",VLOOKUP(C138,'Storage Locations'!$A:$C,3,FALSE),"" || "",$E138, IF(G138 = ""Yes"",CONCATENATE("" "", REGEXREPLACE(RIGHT(A138,2), ""^0+"","""")),""""), IF(ISBLANK(F138),"""",CONCATENATE("": "&amp;""", F138)))"),"Resistor Organiser 1 Cabinet || Organiser 30")</f>
        <v>Resistor Organiser 1 Cabinet || Organiser 30</v>
      </c>
      <c r="C138" s="123" t="s">
        <v>852</v>
      </c>
      <c r="D138" s="122">
        <v>30.0</v>
      </c>
      <c r="E138" s="83" t="s">
        <v>851</v>
      </c>
      <c r="F138" s="120"/>
      <c r="G138" s="85" t="s">
        <v>785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04" t="str">
        <f t="shared" si="1"/>
        <v>/410/106-31</v>
      </c>
      <c r="B139" s="80" t="str">
        <f>IFERROR(__xludf.DUMMYFUNCTION("CONCATENATE(VLOOKUP(C139,'Storage Locations'!$A:$C,2,FALSE),"" "",VLOOKUP(C139,'Storage Locations'!$A:$C,3,FALSE),"" || "",$E139, IF(G139 = ""Yes"",CONCATENATE("" "", REGEXREPLACE(RIGHT(A139,2), ""^0+"","""")),""""), IF(ISBLANK(F139),"""",CONCATENATE("": "&amp;""", F139)))"),"Resistor Organiser 1 Cabinet || Organiser 31")</f>
        <v>Resistor Organiser 1 Cabinet || Organiser 31</v>
      </c>
      <c r="C139" s="123" t="s">
        <v>852</v>
      </c>
      <c r="D139" s="99">
        <v>31.0</v>
      </c>
      <c r="E139" s="83" t="s">
        <v>851</v>
      </c>
      <c r="F139" s="120"/>
      <c r="G139" s="85" t="s">
        <v>785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04" t="str">
        <f t="shared" si="1"/>
        <v>/410/106-32</v>
      </c>
      <c r="B140" s="80" t="str">
        <f>IFERROR(__xludf.DUMMYFUNCTION("CONCATENATE(VLOOKUP(C140,'Storage Locations'!$A:$C,2,FALSE),"" "",VLOOKUP(C140,'Storage Locations'!$A:$C,3,FALSE),"" || "",$E140, IF(G140 = ""Yes"",CONCATENATE("" "", REGEXREPLACE(RIGHT(A140,2), ""^0+"","""")),""""), IF(ISBLANK(F140),"""",CONCATENATE("": "&amp;""", F140)))"),"Resistor Organiser 1 Cabinet || Organiser 32")</f>
        <v>Resistor Organiser 1 Cabinet || Organiser 32</v>
      </c>
      <c r="C140" s="123" t="s">
        <v>852</v>
      </c>
      <c r="D140" s="100">
        <v>32.0</v>
      </c>
      <c r="E140" s="83" t="s">
        <v>851</v>
      </c>
      <c r="F140" s="120"/>
      <c r="G140" s="85" t="s">
        <v>785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04" t="str">
        <f t="shared" si="1"/>
        <v>/410/106-33</v>
      </c>
      <c r="B141" s="80" t="str">
        <f>IFERROR(__xludf.DUMMYFUNCTION("CONCATENATE(VLOOKUP(C141,'Storage Locations'!$A:$C,2,FALSE),"" "",VLOOKUP(C141,'Storage Locations'!$A:$C,3,FALSE),"" || "",$E141, IF(G141 = ""Yes"",CONCATENATE("" "", REGEXREPLACE(RIGHT(A141,2), ""^0+"","""")),""""), IF(ISBLANK(F141),"""",CONCATENATE("": "&amp;""", F141)))"),"Resistor Organiser 1 Cabinet || Organiser 33")</f>
        <v>Resistor Organiser 1 Cabinet || Organiser 33</v>
      </c>
      <c r="C141" s="123" t="s">
        <v>852</v>
      </c>
      <c r="D141" s="101">
        <v>33.0</v>
      </c>
      <c r="E141" s="83" t="s">
        <v>851</v>
      </c>
      <c r="F141" s="120"/>
      <c r="G141" s="85" t="s">
        <v>785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04" t="str">
        <f t="shared" si="1"/>
        <v>/410/106-34</v>
      </c>
      <c r="B142" s="80" t="str">
        <f>IFERROR(__xludf.DUMMYFUNCTION("CONCATENATE(VLOOKUP(C142,'Storage Locations'!$A:$C,2,FALSE),"" "",VLOOKUP(C142,'Storage Locations'!$A:$C,3,FALSE),"" || "",$E142, IF(G142 = ""Yes"",CONCATENATE("" "", REGEXREPLACE(RIGHT(A142,2), ""^0+"","""")),""""), IF(ISBLANK(F142),"""",CONCATENATE("": "&amp;""", F142)))"),"Resistor Organiser 1 Cabinet || Organiser 34")</f>
        <v>Resistor Organiser 1 Cabinet || Organiser 34</v>
      </c>
      <c r="C142" s="123" t="s">
        <v>852</v>
      </c>
      <c r="D142" s="102">
        <v>34.0</v>
      </c>
      <c r="E142" s="83" t="s">
        <v>851</v>
      </c>
      <c r="F142" s="120"/>
      <c r="G142" s="85" t="s">
        <v>785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04" t="str">
        <f t="shared" si="1"/>
        <v>/410/106-35</v>
      </c>
      <c r="B143" s="80" t="str">
        <f>IFERROR(__xludf.DUMMYFUNCTION("CONCATENATE(VLOOKUP(C143,'Storage Locations'!$A:$C,2,FALSE),"" "",VLOOKUP(C143,'Storage Locations'!$A:$C,3,FALSE),"" || "",$E143, IF(G143 = ""Yes"",CONCATENATE("" "", REGEXREPLACE(RIGHT(A143,2), ""^0+"","""")),""""), IF(ISBLANK(F143),"""",CONCATENATE("": "&amp;""", F143)))"),"Resistor Organiser 1 Cabinet || Organiser 35")</f>
        <v>Resistor Organiser 1 Cabinet || Organiser 35</v>
      </c>
      <c r="C143" s="123" t="s">
        <v>852</v>
      </c>
      <c r="D143" s="103">
        <v>35.0</v>
      </c>
      <c r="E143" s="83" t="s">
        <v>851</v>
      </c>
      <c r="F143" s="120"/>
      <c r="G143" s="85" t="s">
        <v>785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04" t="str">
        <f t="shared" si="1"/>
        <v>/410/106-36</v>
      </c>
      <c r="B144" s="80" t="str">
        <f>IFERROR(__xludf.DUMMYFUNCTION("CONCATENATE(VLOOKUP(C144,'Storage Locations'!$A:$C,2,FALSE),"" "",VLOOKUP(C144,'Storage Locations'!$A:$C,3,FALSE),"" || "",$E144, IF(G144 = ""Yes"",CONCATENATE("" "", REGEXREPLACE(RIGHT(A144,2), ""^0+"","""")),""""), IF(ISBLANK(F144),"""",CONCATENATE("": "&amp;""", F144)))"),"Resistor Organiser 1 Cabinet || Organiser 36")</f>
        <v>Resistor Organiser 1 Cabinet || Organiser 36</v>
      </c>
      <c r="C144" s="123" t="s">
        <v>852</v>
      </c>
      <c r="D144" s="86">
        <v>36.0</v>
      </c>
      <c r="E144" s="83" t="s">
        <v>851</v>
      </c>
      <c r="F144" s="120"/>
      <c r="G144" s="85" t="s">
        <v>785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04" t="str">
        <f t="shared" si="1"/>
        <v>/410/106-37</v>
      </c>
      <c r="B145" s="80" t="str">
        <f>IFERROR(__xludf.DUMMYFUNCTION("CONCATENATE(VLOOKUP(C145,'Storage Locations'!$A:$C,2,FALSE),"" "",VLOOKUP(C145,'Storage Locations'!$A:$C,3,FALSE),"" || "",$E145, IF(G145 = ""Yes"",CONCATENATE("" "", REGEXREPLACE(RIGHT(A145,2), ""^0+"","""")),""""), IF(ISBLANK(F145),"""",CONCATENATE("": "&amp;""", F145)))"),"Resistor Organiser 1 Cabinet || Organiser 37")</f>
        <v>Resistor Organiser 1 Cabinet || Organiser 37</v>
      </c>
      <c r="C145" s="123" t="s">
        <v>852</v>
      </c>
      <c r="D145" s="87">
        <v>37.0</v>
      </c>
      <c r="E145" s="83" t="s">
        <v>851</v>
      </c>
      <c r="F145" s="120"/>
      <c r="G145" s="85" t="s">
        <v>785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04" t="str">
        <f t="shared" si="1"/>
        <v>/410/106-38</v>
      </c>
      <c r="B146" s="80" t="str">
        <f>IFERROR(__xludf.DUMMYFUNCTION("CONCATENATE(VLOOKUP(C146,'Storage Locations'!$A:$C,2,FALSE),"" "",VLOOKUP(C146,'Storage Locations'!$A:$C,3,FALSE),"" || "",$E146, IF(G146 = ""Yes"",CONCATENATE("" "", REGEXREPLACE(RIGHT(A146,2), ""^0+"","""")),""""), IF(ISBLANK(F146),"""",CONCATENATE("": "&amp;""", F146)))"),"Resistor Organiser 1 Cabinet || Organiser 38")</f>
        <v>Resistor Organiser 1 Cabinet || Organiser 38</v>
      </c>
      <c r="C146" s="123" t="s">
        <v>852</v>
      </c>
      <c r="D146" s="88">
        <v>38.0</v>
      </c>
      <c r="E146" s="83" t="s">
        <v>851</v>
      </c>
      <c r="F146" s="120"/>
      <c r="G146" s="85" t="s">
        <v>785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04" t="str">
        <f t="shared" si="1"/>
        <v>/410/106-39</v>
      </c>
      <c r="B147" s="80" t="str">
        <f>IFERROR(__xludf.DUMMYFUNCTION("CONCATENATE(VLOOKUP(C147,'Storage Locations'!$A:$C,2,FALSE),"" "",VLOOKUP(C147,'Storage Locations'!$A:$C,3,FALSE),"" || "",$E147, IF(G147 = ""Yes"",CONCATENATE("" "", REGEXREPLACE(RIGHT(A147,2), ""^0+"","""")),""""), IF(ISBLANK(F147),"""",CONCATENATE("": "&amp;""", F147)))"),"Resistor Organiser 1 Cabinet || Organiser 39")</f>
        <v>Resistor Organiser 1 Cabinet || Organiser 39</v>
      </c>
      <c r="C147" s="123" t="s">
        <v>852</v>
      </c>
      <c r="D147" s="89">
        <v>39.0</v>
      </c>
      <c r="E147" s="83" t="s">
        <v>851</v>
      </c>
      <c r="F147" s="120"/>
      <c r="G147" s="85" t="s">
        <v>785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04" t="str">
        <f t="shared" si="1"/>
        <v>/410/106-40</v>
      </c>
      <c r="B148" s="80" t="str">
        <f>IFERROR(__xludf.DUMMYFUNCTION("CONCATENATE(VLOOKUP(C148,'Storage Locations'!$A:$C,2,FALSE),"" "",VLOOKUP(C148,'Storage Locations'!$A:$C,3,FALSE),"" || "",$E148, IF(G148 = ""Yes"",CONCATENATE("" "", REGEXREPLACE(RIGHT(A148,2), ""^0+"","""")),""""), IF(ISBLANK(F148),"""",CONCATENATE("": "&amp;""", F148)))"),"Resistor Organiser 1 Cabinet || Organiser 40")</f>
        <v>Resistor Organiser 1 Cabinet || Organiser 40</v>
      </c>
      <c r="C148" s="123" t="s">
        <v>852</v>
      </c>
      <c r="D148" s="90">
        <v>40.0</v>
      </c>
      <c r="E148" s="83" t="s">
        <v>851</v>
      </c>
      <c r="F148" s="120"/>
      <c r="G148" s="85" t="s">
        <v>785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04" t="str">
        <f t="shared" si="1"/>
        <v>/410/106-41</v>
      </c>
      <c r="B149" s="80" t="str">
        <f>IFERROR(__xludf.DUMMYFUNCTION("CONCATENATE(VLOOKUP(C149,'Storage Locations'!$A:$C,2,FALSE),"" "",VLOOKUP(C149,'Storage Locations'!$A:$C,3,FALSE),"" || "",$E149, IF(G149 = ""Yes"",CONCATENATE("" "", REGEXREPLACE(RIGHT(A149,2), ""^0+"","""")),""""), IF(ISBLANK(F149),"""",CONCATENATE("": "&amp;""", F149)))"),"Resistor Organiser 1 Cabinet || Organiser 41")</f>
        <v>Resistor Organiser 1 Cabinet || Organiser 41</v>
      </c>
      <c r="C149" s="123" t="s">
        <v>852</v>
      </c>
      <c r="D149" s="106">
        <v>41.0</v>
      </c>
      <c r="E149" s="83" t="s">
        <v>851</v>
      </c>
      <c r="F149" s="120"/>
      <c r="G149" s="85" t="s">
        <v>785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04" t="str">
        <f t="shared" si="1"/>
        <v>/410/106-42</v>
      </c>
      <c r="B150" s="80" t="str">
        <f>IFERROR(__xludf.DUMMYFUNCTION("CONCATENATE(VLOOKUP(C150,'Storage Locations'!$A:$C,2,FALSE),"" "",VLOOKUP(C150,'Storage Locations'!$A:$C,3,FALSE),"" || "",$E150, IF(G150 = ""Yes"",CONCATENATE("" "", REGEXREPLACE(RIGHT(A150,2), ""^0+"","""")),""""), IF(ISBLANK(F150),"""",CONCATENATE("": "&amp;""", F150)))"),"Resistor Organiser 1 Cabinet || Organiser 42")</f>
        <v>Resistor Organiser 1 Cabinet || Organiser 42</v>
      </c>
      <c r="C150" s="123" t="s">
        <v>852</v>
      </c>
      <c r="D150" s="107">
        <v>42.0</v>
      </c>
      <c r="E150" s="83" t="s">
        <v>851</v>
      </c>
      <c r="F150" s="120"/>
      <c r="G150" s="85" t="s">
        <v>785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04" t="str">
        <f t="shared" si="1"/>
        <v>/410/106-43</v>
      </c>
      <c r="B151" s="80" t="str">
        <f>IFERROR(__xludf.DUMMYFUNCTION("CONCATENATE(VLOOKUP(C151,'Storage Locations'!$A:$C,2,FALSE),"" "",VLOOKUP(C151,'Storage Locations'!$A:$C,3,FALSE),"" || "",$E151, IF(G151 = ""Yes"",CONCATENATE("" "", REGEXREPLACE(RIGHT(A151,2), ""^0+"","""")),""""), IF(ISBLANK(F151),"""",CONCATENATE("": "&amp;""", F151)))"),"Resistor Organiser 1 Cabinet || Organiser 43")</f>
        <v>Resistor Organiser 1 Cabinet || Organiser 43</v>
      </c>
      <c r="C151" s="123" t="s">
        <v>852</v>
      </c>
      <c r="D151" s="108">
        <v>43.0</v>
      </c>
      <c r="E151" s="83" t="s">
        <v>851</v>
      </c>
      <c r="F151" s="120"/>
      <c r="G151" s="85" t="s">
        <v>785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04" t="str">
        <f t="shared" si="1"/>
        <v>/410/106-44</v>
      </c>
      <c r="B152" s="80" t="str">
        <f>IFERROR(__xludf.DUMMYFUNCTION("CONCATENATE(VLOOKUP(C152,'Storage Locations'!$A:$C,2,FALSE),"" "",VLOOKUP(C152,'Storage Locations'!$A:$C,3,FALSE),"" || "",$E152, IF(G152 = ""Yes"",CONCATENATE("" "", REGEXREPLACE(RIGHT(A152,2), ""^0+"","""")),""""), IF(ISBLANK(F152),"""",CONCATENATE("": "&amp;""", F152)))"),"Resistor Organiser 1 Cabinet || Organiser 44")</f>
        <v>Resistor Organiser 1 Cabinet || Organiser 44</v>
      </c>
      <c r="C152" s="123" t="s">
        <v>852</v>
      </c>
      <c r="D152" s="109">
        <v>44.0</v>
      </c>
      <c r="E152" s="83" t="s">
        <v>851</v>
      </c>
      <c r="F152" s="120"/>
      <c r="G152" s="85" t="s">
        <v>785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04" t="str">
        <f t="shared" si="1"/>
        <v>/410/106-45</v>
      </c>
      <c r="B153" s="80" t="str">
        <f>IFERROR(__xludf.DUMMYFUNCTION("CONCATENATE(VLOOKUP(C153,'Storage Locations'!$A:$C,2,FALSE),"" "",VLOOKUP(C153,'Storage Locations'!$A:$C,3,FALSE),"" || "",$E153, IF(G153 = ""Yes"",CONCATENATE("" "", REGEXREPLACE(RIGHT(A153,2), ""^0+"","""")),""""), IF(ISBLANK(F153),"""",CONCATENATE("": "&amp;""", F153)))"),"Resistor Organiser 1 Cabinet || Organiser 45")</f>
        <v>Resistor Organiser 1 Cabinet || Organiser 45</v>
      </c>
      <c r="C153" s="123" t="s">
        <v>852</v>
      </c>
      <c r="D153" s="110">
        <v>45.0</v>
      </c>
      <c r="E153" s="83" t="s">
        <v>851</v>
      </c>
      <c r="F153" s="120"/>
      <c r="G153" s="85" t="s">
        <v>785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04" t="str">
        <f t="shared" si="1"/>
        <v>/410/106-46</v>
      </c>
      <c r="B154" s="80" t="str">
        <f>IFERROR(__xludf.DUMMYFUNCTION("CONCATENATE(VLOOKUP(C154,'Storage Locations'!$A:$C,2,FALSE),"" "",VLOOKUP(C154,'Storage Locations'!$A:$C,3,FALSE),"" || "",$E154, IF(G154 = ""Yes"",CONCATENATE("" "", REGEXREPLACE(RIGHT(A154,2), ""^0+"","""")),""""), IF(ISBLANK(F154),"""",CONCATENATE("": "&amp;""", F154)))"),"Resistor Organiser 1 Cabinet || Organiser 46")</f>
        <v>Resistor Organiser 1 Cabinet || Organiser 46</v>
      </c>
      <c r="C154" s="123" t="s">
        <v>852</v>
      </c>
      <c r="D154" s="121">
        <v>46.0</v>
      </c>
      <c r="E154" s="83" t="s">
        <v>851</v>
      </c>
      <c r="F154" s="120"/>
      <c r="G154" s="85" t="s">
        <v>785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04" t="str">
        <f t="shared" si="1"/>
        <v>/410/106-47</v>
      </c>
      <c r="B155" s="80" t="str">
        <f>IFERROR(__xludf.DUMMYFUNCTION("CONCATENATE(VLOOKUP(C155,'Storage Locations'!$A:$C,2,FALSE),"" "",VLOOKUP(C155,'Storage Locations'!$A:$C,3,FALSE),"" || "",$E155, IF(G155 = ""Yes"",CONCATENATE("" "", REGEXREPLACE(RIGHT(A155,2), ""^0+"","""")),""""), IF(ISBLANK(F155),"""",CONCATENATE("": "&amp;""", F155)))"),"Resistor Organiser 1 Cabinet || Organiser 47")</f>
        <v>Resistor Organiser 1 Cabinet || Organiser 47</v>
      </c>
      <c r="C155" s="123" t="s">
        <v>852</v>
      </c>
      <c r="D155" s="122">
        <v>47.0</v>
      </c>
      <c r="E155" s="83" t="s">
        <v>851</v>
      </c>
      <c r="F155" s="120"/>
      <c r="G155" s="85" t="s">
        <v>785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04" t="str">
        <f t="shared" si="1"/>
        <v>/410/106-48</v>
      </c>
      <c r="B156" s="80" t="str">
        <f>IFERROR(__xludf.DUMMYFUNCTION("CONCATENATE(VLOOKUP(C156,'Storage Locations'!$A:$C,2,FALSE),"" "",VLOOKUP(C156,'Storage Locations'!$A:$C,3,FALSE),"" || "",$E156, IF(G156 = ""Yes"",CONCATENATE("" "", REGEXREPLACE(RIGHT(A156,2), ""^0+"","""")),""""), IF(ISBLANK(F156),"""",CONCATENATE("": "&amp;""", F156)))"),"Resistor Organiser 1 Cabinet || Organiser 48")</f>
        <v>Resistor Organiser 1 Cabinet || Organiser 48</v>
      </c>
      <c r="C156" s="123" t="s">
        <v>852</v>
      </c>
      <c r="D156" s="99">
        <v>48.0</v>
      </c>
      <c r="E156" s="83" t="s">
        <v>851</v>
      </c>
      <c r="F156" s="120"/>
      <c r="G156" s="85" t="s">
        <v>785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04" t="str">
        <f t="shared" si="1"/>
        <v>/410/106-49</v>
      </c>
      <c r="B157" s="80" t="str">
        <f>IFERROR(__xludf.DUMMYFUNCTION("CONCATENATE(VLOOKUP(C157,'Storage Locations'!$A:$C,2,FALSE),"" "",VLOOKUP(C157,'Storage Locations'!$A:$C,3,FALSE),"" || "",$E157, IF(G157 = ""Yes"",CONCATENATE("" "", REGEXREPLACE(RIGHT(A157,2), ""^0+"","""")),""""), IF(ISBLANK(F157),"""",CONCATENATE("": "&amp;""", F157)))"),"Resistor Organiser 1 Cabinet || Organiser 49")</f>
        <v>Resistor Organiser 1 Cabinet || Organiser 49</v>
      </c>
      <c r="C157" s="123" t="s">
        <v>852</v>
      </c>
      <c r="D157" s="100">
        <v>49.0</v>
      </c>
      <c r="E157" s="83" t="s">
        <v>851</v>
      </c>
      <c r="F157" s="120"/>
      <c r="G157" s="85" t="s">
        <v>785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04" t="str">
        <f t="shared" si="1"/>
        <v>/410/106-50</v>
      </c>
      <c r="B158" s="80" t="str">
        <f>IFERROR(__xludf.DUMMYFUNCTION("CONCATENATE(VLOOKUP(C158,'Storage Locations'!$A:$C,2,FALSE),"" "",VLOOKUP(C158,'Storage Locations'!$A:$C,3,FALSE),"" || "",$E158, IF(G158 = ""Yes"",CONCATENATE("" "", REGEXREPLACE(RIGHT(A158,2), ""^0+"","""")),""""), IF(ISBLANK(F158),"""",CONCATENATE("": "&amp;""", F158)))"),"Resistor Organiser 1 Cabinet || Organiser 50")</f>
        <v>Resistor Organiser 1 Cabinet || Organiser 50</v>
      </c>
      <c r="C158" s="123" t="s">
        <v>852</v>
      </c>
      <c r="D158" s="101">
        <v>50.0</v>
      </c>
      <c r="E158" s="83" t="s">
        <v>851</v>
      </c>
      <c r="F158" s="120"/>
      <c r="G158" s="85" t="s">
        <v>785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04" t="str">
        <f t="shared" si="1"/>
        <v>/410/106-51</v>
      </c>
      <c r="B159" s="80" t="str">
        <f>IFERROR(__xludf.DUMMYFUNCTION("CONCATENATE(VLOOKUP(C159,'Storage Locations'!$A:$C,2,FALSE),"" "",VLOOKUP(C159,'Storage Locations'!$A:$C,3,FALSE),"" || "",$E159, IF(G159 = ""Yes"",CONCATENATE("" "", REGEXREPLACE(RIGHT(A159,2), ""^0+"","""")),""""), IF(ISBLANK(F159),"""",CONCATENATE("": "&amp;""", F159)))"),"Resistor Organiser 1 Cabinet || Organiser 51")</f>
        <v>Resistor Organiser 1 Cabinet || Organiser 51</v>
      </c>
      <c r="C159" s="123" t="s">
        <v>852</v>
      </c>
      <c r="D159" s="102">
        <v>51.0</v>
      </c>
      <c r="E159" s="83" t="s">
        <v>851</v>
      </c>
      <c r="F159" s="120"/>
      <c r="G159" s="85" t="s">
        <v>785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04" t="str">
        <f t="shared" si="1"/>
        <v>/410/106-52</v>
      </c>
      <c r="B160" s="80" t="str">
        <f>IFERROR(__xludf.DUMMYFUNCTION("CONCATENATE(VLOOKUP(C160,'Storage Locations'!$A:$C,2,FALSE),"" "",VLOOKUP(C160,'Storage Locations'!$A:$C,3,FALSE),"" || "",$E160, IF(G160 = ""Yes"",CONCATENATE("" "", REGEXREPLACE(RIGHT(A160,2), ""^0+"","""")),""""), IF(ISBLANK(F160),"""",CONCATENATE("": "&amp;""", F160)))"),"Resistor Organiser 1 Cabinet || Organiser 52")</f>
        <v>Resistor Organiser 1 Cabinet || Organiser 52</v>
      </c>
      <c r="C160" s="123" t="s">
        <v>852</v>
      </c>
      <c r="D160" s="103">
        <v>52.0</v>
      </c>
      <c r="E160" s="83" t="s">
        <v>851</v>
      </c>
      <c r="F160" s="120"/>
      <c r="G160" s="85" t="s">
        <v>785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04" t="str">
        <f t="shared" si="1"/>
        <v>/410/106-53</v>
      </c>
      <c r="B161" s="80" t="str">
        <f>IFERROR(__xludf.DUMMYFUNCTION("CONCATENATE(VLOOKUP(C161,'Storage Locations'!$A:$C,2,FALSE),"" "",VLOOKUP(C161,'Storage Locations'!$A:$C,3,FALSE),"" || "",$E161, IF(G161 = ""Yes"",CONCATENATE("" "", REGEXREPLACE(RIGHT(A161,2), ""^0+"","""")),""""), IF(ISBLANK(F161),"""",CONCATENATE("": "&amp;""", F161)))"),"Resistor Organiser 1 Cabinet || Organiser 53")</f>
        <v>Resistor Organiser 1 Cabinet || Organiser 53</v>
      </c>
      <c r="C161" s="123" t="s">
        <v>852</v>
      </c>
      <c r="D161" s="86">
        <v>53.0</v>
      </c>
      <c r="E161" s="83" t="s">
        <v>851</v>
      </c>
      <c r="F161" s="120"/>
      <c r="G161" s="85" t="s">
        <v>785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04" t="str">
        <f t="shared" si="1"/>
        <v>/410/106-54</v>
      </c>
      <c r="B162" s="80" t="str">
        <f>IFERROR(__xludf.DUMMYFUNCTION("CONCATENATE(VLOOKUP(C162,'Storage Locations'!$A:$C,2,FALSE),"" "",VLOOKUP(C162,'Storage Locations'!$A:$C,3,FALSE),"" || "",$E162, IF(G162 = ""Yes"",CONCATENATE("" "", REGEXREPLACE(RIGHT(A162,2), ""^0+"","""")),""""), IF(ISBLANK(F162),"""",CONCATENATE("": "&amp;""", F162)))"),"Resistor Organiser 1 Cabinet || Organiser 54")</f>
        <v>Resistor Organiser 1 Cabinet || Organiser 54</v>
      </c>
      <c r="C162" s="123" t="s">
        <v>852</v>
      </c>
      <c r="D162" s="87">
        <v>54.0</v>
      </c>
      <c r="E162" s="83" t="s">
        <v>851</v>
      </c>
      <c r="F162" s="120"/>
      <c r="G162" s="85" t="s">
        <v>785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04" t="str">
        <f t="shared" si="1"/>
        <v>/410/106-55</v>
      </c>
      <c r="B163" s="80" t="str">
        <f>IFERROR(__xludf.DUMMYFUNCTION("CONCATENATE(VLOOKUP(C163,'Storage Locations'!$A:$C,2,FALSE),"" "",VLOOKUP(C163,'Storage Locations'!$A:$C,3,FALSE),"" || "",$E163, IF(G163 = ""Yes"",CONCATENATE("" "", REGEXREPLACE(RIGHT(A163,2), ""^0+"","""")),""""), IF(ISBLANK(F163),"""",CONCATENATE("": "&amp;""", F163)))"),"Resistor Organiser 1 Cabinet || Organiser 55")</f>
        <v>Resistor Organiser 1 Cabinet || Organiser 55</v>
      </c>
      <c r="C163" s="123" t="s">
        <v>852</v>
      </c>
      <c r="D163" s="88">
        <v>55.0</v>
      </c>
      <c r="E163" s="83" t="s">
        <v>851</v>
      </c>
      <c r="F163" s="120"/>
      <c r="G163" s="85" t="s">
        <v>785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04" t="str">
        <f t="shared" si="1"/>
        <v>/410/106-56</v>
      </c>
      <c r="B164" s="80" t="str">
        <f>IFERROR(__xludf.DUMMYFUNCTION("CONCATENATE(VLOOKUP(C164,'Storage Locations'!$A:$C,2,FALSE),"" "",VLOOKUP(C164,'Storage Locations'!$A:$C,3,FALSE),"" || "",$E164, IF(G164 = ""Yes"",CONCATENATE("" "", REGEXREPLACE(RIGHT(A164,2), ""^0+"","""")),""""), IF(ISBLANK(F164),"""",CONCATENATE("": "&amp;""", F164)))"),"Resistor Organiser 1 Cabinet || Organiser 56")</f>
        <v>Resistor Organiser 1 Cabinet || Organiser 56</v>
      </c>
      <c r="C164" s="123" t="s">
        <v>852</v>
      </c>
      <c r="D164" s="89">
        <v>56.0</v>
      </c>
      <c r="E164" s="83" t="s">
        <v>851</v>
      </c>
      <c r="F164" s="120"/>
      <c r="G164" s="85" t="s">
        <v>785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04" t="str">
        <f t="shared" si="1"/>
        <v>/410/106-57</v>
      </c>
      <c r="B165" s="80" t="str">
        <f>IFERROR(__xludf.DUMMYFUNCTION("CONCATENATE(VLOOKUP(C165,'Storage Locations'!$A:$C,2,FALSE),"" "",VLOOKUP(C165,'Storage Locations'!$A:$C,3,FALSE),"" || "",$E165, IF(G165 = ""Yes"",CONCATENATE("" "", REGEXREPLACE(RIGHT(A165,2), ""^0+"","""")),""""), IF(ISBLANK(F165),"""",CONCATENATE("": "&amp;""", F165)))"),"Resistor Organiser 1 Cabinet || Organiser 57")</f>
        <v>Resistor Organiser 1 Cabinet || Organiser 57</v>
      </c>
      <c r="C165" s="123" t="s">
        <v>852</v>
      </c>
      <c r="D165" s="90">
        <v>57.0</v>
      </c>
      <c r="E165" s="83" t="s">
        <v>851</v>
      </c>
      <c r="F165" s="120"/>
      <c r="G165" s="85" t="s">
        <v>785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04" t="str">
        <f t="shared" si="1"/>
        <v>/410/106-58</v>
      </c>
      <c r="B166" s="80" t="str">
        <f>IFERROR(__xludf.DUMMYFUNCTION("CONCATENATE(VLOOKUP(C166,'Storage Locations'!$A:$C,2,FALSE),"" "",VLOOKUP(C166,'Storage Locations'!$A:$C,3,FALSE),"" || "",$E166, IF(G166 = ""Yes"",CONCATENATE("" "", REGEXREPLACE(RIGHT(A166,2), ""^0+"","""")),""""), IF(ISBLANK(F166),"""",CONCATENATE("": "&amp;""", F166)))"),"Resistor Organiser 1 Cabinet || Organiser 58")</f>
        <v>Resistor Organiser 1 Cabinet || Organiser 58</v>
      </c>
      <c r="C166" s="123" t="s">
        <v>852</v>
      </c>
      <c r="D166" s="106">
        <v>58.0</v>
      </c>
      <c r="E166" s="83" t="s">
        <v>851</v>
      </c>
      <c r="F166" s="120"/>
      <c r="G166" s="85" t="s">
        <v>785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04" t="str">
        <f t="shared" si="1"/>
        <v>/410/106-59</v>
      </c>
      <c r="B167" s="80" t="str">
        <f>IFERROR(__xludf.DUMMYFUNCTION("CONCATENATE(VLOOKUP(C167,'Storage Locations'!$A:$C,2,FALSE),"" "",VLOOKUP(C167,'Storage Locations'!$A:$C,3,FALSE),"" || "",$E167, IF(G167 = ""Yes"",CONCATENATE("" "", REGEXREPLACE(RIGHT(A167,2), ""^0+"","""")),""""), IF(ISBLANK(F167),"""",CONCATENATE("": "&amp;""", F167)))"),"Resistor Organiser 1 Cabinet || Organiser 59")</f>
        <v>Resistor Organiser 1 Cabinet || Organiser 59</v>
      </c>
      <c r="C167" s="123" t="s">
        <v>852</v>
      </c>
      <c r="D167" s="107">
        <v>59.0</v>
      </c>
      <c r="E167" s="83" t="s">
        <v>851</v>
      </c>
      <c r="F167" s="120"/>
      <c r="G167" s="85" t="s">
        <v>785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04" t="str">
        <f t="shared" si="1"/>
        <v>/410/106-60</v>
      </c>
      <c r="B168" s="80" t="str">
        <f>IFERROR(__xludf.DUMMYFUNCTION("CONCATENATE(VLOOKUP(C168,'Storage Locations'!$A:$C,2,FALSE),"" "",VLOOKUP(C168,'Storage Locations'!$A:$C,3,FALSE),"" || "",$E168, IF(G168 = ""Yes"",CONCATENATE("" "", REGEXREPLACE(RIGHT(A168,2), ""^0+"","""")),""""), IF(ISBLANK(F168),"""",CONCATENATE("": "&amp;""", F168)))"),"Resistor Organiser 1 Cabinet || Organiser 60")</f>
        <v>Resistor Organiser 1 Cabinet || Organiser 60</v>
      </c>
      <c r="C168" s="123" t="s">
        <v>852</v>
      </c>
      <c r="D168" s="108">
        <v>60.0</v>
      </c>
      <c r="E168" s="83" t="s">
        <v>851</v>
      </c>
      <c r="F168" s="120"/>
      <c r="G168" s="85" t="s">
        <v>785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11" t="str">
        <f t="shared" si="1"/>
        <v>/410/107-01</v>
      </c>
      <c r="B169" s="80" t="str">
        <f>IFERROR(__xludf.DUMMYFUNCTION("CONCATENATE(VLOOKUP(C169,'Storage Locations'!$A:$C,2,FALSE),"" "",VLOOKUP(C169,'Storage Locations'!$A:$C,3,FALSE),"" || "",$E169, IF(G169 = ""Yes"",CONCATENATE("" "", REGEXREPLACE(RIGHT(A169,2), ""^0+"","""")),""""), IF(ISBLANK(F169),"""",CONCATENATE("": "&amp;""", F169)))"),"Resistor Organiser 2 Cabinet || Organiser 1")</f>
        <v>Resistor Organiser 2 Cabinet || Organiser 1</v>
      </c>
      <c r="C169" s="124" t="s">
        <v>853</v>
      </c>
      <c r="D169" s="82">
        <v>1.0</v>
      </c>
      <c r="E169" s="83" t="s">
        <v>851</v>
      </c>
      <c r="F169" s="120"/>
      <c r="G169" s="85" t="s">
        <v>785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11" t="str">
        <f t="shared" si="1"/>
        <v>/410/107-02</v>
      </c>
      <c r="B170" s="80" t="str">
        <f>IFERROR(__xludf.DUMMYFUNCTION("CONCATENATE(VLOOKUP(C170,'Storage Locations'!$A:$C,2,FALSE),"" "",VLOOKUP(C170,'Storage Locations'!$A:$C,3,FALSE),"" || "",$E170, IF(G170 = ""Yes"",CONCATENATE("" "", REGEXREPLACE(RIGHT(A170,2), ""^0+"","""")),""""), IF(ISBLANK(F170),"""",CONCATENATE("": "&amp;""", F170)))"),"Resistor Organiser 2 Cabinet || Organiser 2")</f>
        <v>Resistor Organiser 2 Cabinet || Organiser 2</v>
      </c>
      <c r="C170" s="124" t="s">
        <v>853</v>
      </c>
      <c r="D170" s="86">
        <v>2.0</v>
      </c>
      <c r="E170" s="83" t="s">
        <v>851</v>
      </c>
      <c r="F170" s="120"/>
      <c r="G170" s="85" t="s">
        <v>785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11" t="str">
        <f t="shared" si="1"/>
        <v>/410/107-03</v>
      </c>
      <c r="B171" s="80" t="str">
        <f>IFERROR(__xludf.DUMMYFUNCTION("CONCATENATE(VLOOKUP(C171,'Storage Locations'!$A:$C,2,FALSE),"" "",VLOOKUP(C171,'Storage Locations'!$A:$C,3,FALSE),"" || "",$E171, IF(G171 = ""Yes"",CONCATENATE("" "", REGEXREPLACE(RIGHT(A171,2), ""^0+"","""")),""""), IF(ISBLANK(F171),"""",CONCATENATE("": "&amp;""", F171)))"),"Resistor Organiser 2 Cabinet || Organiser 3")</f>
        <v>Resistor Organiser 2 Cabinet || Organiser 3</v>
      </c>
      <c r="C171" s="124" t="s">
        <v>853</v>
      </c>
      <c r="D171" s="87">
        <v>3.0</v>
      </c>
      <c r="E171" s="83" t="s">
        <v>851</v>
      </c>
      <c r="F171" s="120"/>
      <c r="G171" s="85" t="s">
        <v>785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11" t="str">
        <f t="shared" si="1"/>
        <v>/410/107-04</v>
      </c>
      <c r="B172" s="80" t="str">
        <f>IFERROR(__xludf.DUMMYFUNCTION("CONCATENATE(VLOOKUP(C172,'Storage Locations'!$A:$C,2,FALSE),"" "",VLOOKUP(C172,'Storage Locations'!$A:$C,3,FALSE),"" || "",$E172, IF(G172 = ""Yes"",CONCATENATE("" "", REGEXREPLACE(RIGHT(A172,2), ""^0+"","""")),""""), IF(ISBLANK(F172),"""",CONCATENATE("": "&amp;""", F172)))"),"Resistor Organiser 2 Cabinet || Organiser 4")</f>
        <v>Resistor Organiser 2 Cabinet || Organiser 4</v>
      </c>
      <c r="C172" s="124" t="s">
        <v>853</v>
      </c>
      <c r="D172" s="88">
        <v>4.0</v>
      </c>
      <c r="E172" s="83" t="s">
        <v>851</v>
      </c>
      <c r="F172" s="120"/>
      <c r="G172" s="85" t="s">
        <v>785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11" t="str">
        <f t="shared" si="1"/>
        <v>/410/107-05</v>
      </c>
      <c r="B173" s="80" t="str">
        <f>IFERROR(__xludf.DUMMYFUNCTION("CONCATENATE(VLOOKUP(C173,'Storage Locations'!$A:$C,2,FALSE),"" "",VLOOKUP(C173,'Storage Locations'!$A:$C,3,FALSE),"" || "",$E173, IF(G173 = ""Yes"",CONCATENATE("" "", REGEXREPLACE(RIGHT(A173,2), ""^0+"","""")),""""), IF(ISBLANK(F173),"""",CONCATENATE("": "&amp;""", F173)))"),"Resistor Organiser 2 Cabinet || Organiser 5")</f>
        <v>Resistor Organiser 2 Cabinet || Organiser 5</v>
      </c>
      <c r="C173" s="124" t="s">
        <v>853</v>
      </c>
      <c r="D173" s="89">
        <v>5.0</v>
      </c>
      <c r="E173" s="83" t="s">
        <v>851</v>
      </c>
      <c r="F173" s="120"/>
      <c r="G173" s="85" t="s">
        <v>785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11" t="str">
        <f t="shared" si="1"/>
        <v>/410/107-06</v>
      </c>
      <c r="B174" s="80" t="str">
        <f>IFERROR(__xludf.DUMMYFUNCTION("CONCATENATE(VLOOKUP(C174,'Storage Locations'!$A:$C,2,FALSE),"" "",VLOOKUP(C174,'Storage Locations'!$A:$C,3,FALSE),"" || "",$E174, IF(G174 = ""Yes"",CONCATENATE("" "", REGEXREPLACE(RIGHT(A174,2), ""^0+"","""")),""""), IF(ISBLANK(F174),"""",CONCATENATE("": "&amp;""", F174)))"),"Resistor Organiser 2 Cabinet || Organiser 6")</f>
        <v>Resistor Organiser 2 Cabinet || Organiser 6</v>
      </c>
      <c r="C174" s="124" t="s">
        <v>853</v>
      </c>
      <c r="D174" s="90">
        <v>6.0</v>
      </c>
      <c r="E174" s="83" t="s">
        <v>851</v>
      </c>
      <c r="F174" s="120"/>
      <c r="G174" s="85" t="s">
        <v>785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11" t="str">
        <f t="shared" si="1"/>
        <v>/410/107-07</v>
      </c>
      <c r="B175" s="80" t="str">
        <f>IFERROR(__xludf.DUMMYFUNCTION("CONCATENATE(VLOOKUP(C175,'Storage Locations'!$A:$C,2,FALSE),"" "",VLOOKUP(C175,'Storage Locations'!$A:$C,3,FALSE),"" || "",$E175, IF(G175 = ""Yes"",CONCATENATE("" "", REGEXREPLACE(RIGHT(A175,2), ""^0+"","""")),""""), IF(ISBLANK(F175),"""",CONCATENATE("": "&amp;""", F175)))"),"Resistor Organiser 2 Cabinet || Organiser 7")</f>
        <v>Resistor Organiser 2 Cabinet || Organiser 7</v>
      </c>
      <c r="C175" s="124" t="s">
        <v>853</v>
      </c>
      <c r="D175" s="106">
        <v>7.0</v>
      </c>
      <c r="E175" s="83" t="s">
        <v>851</v>
      </c>
      <c r="F175" s="120"/>
      <c r="G175" s="85" t="s">
        <v>785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11" t="str">
        <f t="shared" si="1"/>
        <v>/410/107-08</v>
      </c>
      <c r="B176" s="80" t="str">
        <f>IFERROR(__xludf.DUMMYFUNCTION("CONCATENATE(VLOOKUP(C176,'Storage Locations'!$A:$C,2,FALSE),"" "",VLOOKUP(C176,'Storage Locations'!$A:$C,3,FALSE),"" || "",$E176, IF(G176 = ""Yes"",CONCATENATE("" "", REGEXREPLACE(RIGHT(A176,2), ""^0+"","""")),""""), IF(ISBLANK(F176),"""",CONCATENATE("": "&amp;""", F176)))"),"Resistor Organiser 2 Cabinet || Organiser 8")</f>
        <v>Resistor Organiser 2 Cabinet || Organiser 8</v>
      </c>
      <c r="C176" s="124" t="s">
        <v>853</v>
      </c>
      <c r="D176" s="107">
        <v>8.0</v>
      </c>
      <c r="E176" s="83" t="s">
        <v>851</v>
      </c>
      <c r="F176" s="120"/>
      <c r="G176" s="85" t="s">
        <v>785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11" t="str">
        <f t="shared" si="1"/>
        <v>/410/107-09</v>
      </c>
      <c r="B177" s="80" t="str">
        <f>IFERROR(__xludf.DUMMYFUNCTION("CONCATENATE(VLOOKUP(C177,'Storage Locations'!$A:$C,2,FALSE),"" "",VLOOKUP(C177,'Storage Locations'!$A:$C,3,FALSE),"" || "",$E177, IF(G177 = ""Yes"",CONCATENATE("" "", REGEXREPLACE(RIGHT(A177,2), ""^0+"","""")),""""), IF(ISBLANK(F177),"""",CONCATENATE("": "&amp;""", F177)))"),"Resistor Organiser 2 Cabinet || Organiser 9")</f>
        <v>Resistor Organiser 2 Cabinet || Organiser 9</v>
      </c>
      <c r="C177" s="124" t="s">
        <v>853</v>
      </c>
      <c r="D177" s="108">
        <v>9.0</v>
      </c>
      <c r="E177" s="83" t="s">
        <v>851</v>
      </c>
      <c r="F177" s="120"/>
      <c r="G177" s="85" t="s">
        <v>785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11" t="str">
        <f t="shared" si="1"/>
        <v>/410/107-10</v>
      </c>
      <c r="B178" s="80" t="str">
        <f>IFERROR(__xludf.DUMMYFUNCTION("CONCATENATE(VLOOKUP(C178,'Storage Locations'!$A:$C,2,FALSE),"" "",VLOOKUP(C178,'Storage Locations'!$A:$C,3,FALSE),"" || "",$E178, IF(G178 = ""Yes"",CONCATENATE("" "", REGEXREPLACE(RIGHT(A178,2), ""^0+"","""")),""""), IF(ISBLANK(F178),"""",CONCATENATE("": "&amp;""", F178)))"),"Resistor Organiser 2 Cabinet || Organiser 10")</f>
        <v>Resistor Organiser 2 Cabinet || Organiser 10</v>
      </c>
      <c r="C178" s="124" t="s">
        <v>853</v>
      </c>
      <c r="D178" s="109">
        <v>10.0</v>
      </c>
      <c r="E178" s="83" t="s">
        <v>851</v>
      </c>
      <c r="F178" s="120"/>
      <c r="G178" s="85" t="s">
        <v>785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11" t="str">
        <f t="shared" si="1"/>
        <v>/410/107-11</v>
      </c>
      <c r="B179" s="80" t="str">
        <f>IFERROR(__xludf.DUMMYFUNCTION("CONCATENATE(VLOOKUP(C179,'Storage Locations'!$A:$C,2,FALSE),"" "",VLOOKUP(C179,'Storage Locations'!$A:$C,3,FALSE),"" || "",$E179, IF(G179 = ""Yes"",CONCATENATE("" "", REGEXREPLACE(RIGHT(A179,2), ""^0+"","""")),""""), IF(ISBLANK(F179),"""",CONCATENATE("": "&amp;""", F179)))"),"Resistor Organiser 2 Cabinet || Organiser 11")</f>
        <v>Resistor Organiser 2 Cabinet || Organiser 11</v>
      </c>
      <c r="C179" s="124" t="s">
        <v>853</v>
      </c>
      <c r="D179" s="110">
        <v>11.0</v>
      </c>
      <c r="E179" s="83" t="s">
        <v>851</v>
      </c>
      <c r="F179" s="120"/>
      <c r="G179" s="85" t="s">
        <v>785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11" t="str">
        <f t="shared" si="1"/>
        <v>/410/107-12</v>
      </c>
      <c r="B180" s="80" t="str">
        <f>IFERROR(__xludf.DUMMYFUNCTION("CONCATENATE(VLOOKUP(C180,'Storage Locations'!$A:$C,2,FALSE),"" "",VLOOKUP(C180,'Storage Locations'!$A:$C,3,FALSE),"" || "",$E180, IF(G180 = ""Yes"",CONCATENATE("" "", REGEXREPLACE(RIGHT(A180,2), ""^0+"","""")),""""), IF(ISBLANK(F180),"""",CONCATENATE("": "&amp;""", F180)))"),"Resistor Organiser 2 Cabinet || Organiser 12")</f>
        <v>Resistor Organiser 2 Cabinet || Organiser 12</v>
      </c>
      <c r="C180" s="124" t="s">
        <v>853</v>
      </c>
      <c r="D180" s="121">
        <v>12.0</v>
      </c>
      <c r="E180" s="83" t="s">
        <v>851</v>
      </c>
      <c r="F180" s="120"/>
      <c r="G180" s="85" t="s">
        <v>785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11" t="str">
        <f t="shared" si="1"/>
        <v>/410/107-13</v>
      </c>
      <c r="B181" s="80" t="str">
        <f>IFERROR(__xludf.DUMMYFUNCTION("CONCATENATE(VLOOKUP(C181,'Storage Locations'!$A:$C,2,FALSE),"" "",VLOOKUP(C181,'Storage Locations'!$A:$C,3,FALSE),"" || "",$E181, IF(G181 = ""Yes"",CONCATENATE("" "", REGEXREPLACE(RIGHT(A181,2), ""^0+"","""")),""""), IF(ISBLANK(F181),"""",CONCATENATE("": "&amp;""", F181)))"),"Resistor Organiser 2 Cabinet || Organiser 13")</f>
        <v>Resistor Organiser 2 Cabinet || Organiser 13</v>
      </c>
      <c r="C181" s="124" t="s">
        <v>853</v>
      </c>
      <c r="D181" s="122">
        <v>13.0</v>
      </c>
      <c r="E181" s="83" t="s">
        <v>851</v>
      </c>
      <c r="F181" s="120"/>
      <c r="G181" s="85" t="s">
        <v>785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11" t="str">
        <f t="shared" si="1"/>
        <v>/410/107-14</v>
      </c>
      <c r="B182" s="80" t="str">
        <f>IFERROR(__xludf.DUMMYFUNCTION("CONCATENATE(VLOOKUP(C182,'Storage Locations'!$A:$C,2,FALSE),"" "",VLOOKUP(C182,'Storage Locations'!$A:$C,3,FALSE),"" || "",$E182, IF(G182 = ""Yes"",CONCATENATE("" "", REGEXREPLACE(RIGHT(A182,2), ""^0+"","""")),""""), IF(ISBLANK(F182),"""",CONCATENATE("": "&amp;""", F182)))"),"Resistor Organiser 2 Cabinet || Organiser 14")</f>
        <v>Resistor Organiser 2 Cabinet || Organiser 14</v>
      </c>
      <c r="C182" s="124" t="s">
        <v>853</v>
      </c>
      <c r="D182" s="99">
        <v>14.0</v>
      </c>
      <c r="E182" s="83" t="s">
        <v>851</v>
      </c>
      <c r="F182" s="120"/>
      <c r="G182" s="85" t="s">
        <v>785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11" t="str">
        <f t="shared" si="1"/>
        <v>/410/107-15</v>
      </c>
      <c r="B183" s="80" t="str">
        <f>IFERROR(__xludf.DUMMYFUNCTION("CONCATENATE(VLOOKUP(C183,'Storage Locations'!$A:$C,2,FALSE),"" "",VLOOKUP(C183,'Storage Locations'!$A:$C,3,FALSE),"" || "",$E183, IF(G183 = ""Yes"",CONCATENATE("" "", REGEXREPLACE(RIGHT(A183,2), ""^0+"","""")),""""), IF(ISBLANK(F183),"""",CONCATENATE("": "&amp;""", F183)))"),"Resistor Organiser 2 Cabinet || Organiser 15")</f>
        <v>Resistor Organiser 2 Cabinet || Organiser 15</v>
      </c>
      <c r="C183" s="124" t="s">
        <v>853</v>
      </c>
      <c r="D183" s="100">
        <v>15.0</v>
      </c>
      <c r="E183" s="83" t="s">
        <v>851</v>
      </c>
      <c r="F183" s="120"/>
      <c r="G183" s="85" t="s">
        <v>785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11" t="str">
        <f t="shared" si="1"/>
        <v>/410/107-16</v>
      </c>
      <c r="B184" s="80" t="str">
        <f>IFERROR(__xludf.DUMMYFUNCTION("CONCATENATE(VLOOKUP(C184,'Storage Locations'!$A:$C,2,FALSE),"" "",VLOOKUP(C184,'Storage Locations'!$A:$C,3,FALSE),"" || "",$E184, IF(G184 = ""Yes"",CONCATENATE("" "", REGEXREPLACE(RIGHT(A184,2), ""^0+"","""")),""""), IF(ISBLANK(F184),"""",CONCATENATE("": "&amp;""", F184)))"),"Resistor Organiser 2 Cabinet || Organiser 16")</f>
        <v>Resistor Organiser 2 Cabinet || Organiser 16</v>
      </c>
      <c r="C184" s="124" t="s">
        <v>853</v>
      </c>
      <c r="D184" s="101">
        <v>16.0</v>
      </c>
      <c r="E184" s="83" t="s">
        <v>851</v>
      </c>
      <c r="F184" s="120"/>
      <c r="G184" s="85" t="s">
        <v>785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11" t="str">
        <f t="shared" si="1"/>
        <v>/410/107-17</v>
      </c>
      <c r="B185" s="80" t="str">
        <f>IFERROR(__xludf.DUMMYFUNCTION("CONCATENATE(VLOOKUP(C185,'Storage Locations'!$A:$C,2,FALSE),"" "",VLOOKUP(C185,'Storage Locations'!$A:$C,3,FALSE),"" || "",$E185, IF(G185 = ""Yes"",CONCATENATE("" "", REGEXREPLACE(RIGHT(A185,2), ""^0+"","""")),""""), IF(ISBLANK(F185),"""",CONCATENATE("": "&amp;""", F185)))"),"Resistor Organiser 2 Cabinet || Organiser 17")</f>
        <v>Resistor Organiser 2 Cabinet || Organiser 17</v>
      </c>
      <c r="C185" s="124" t="s">
        <v>853</v>
      </c>
      <c r="D185" s="102">
        <v>17.0</v>
      </c>
      <c r="E185" s="83" t="s">
        <v>851</v>
      </c>
      <c r="F185" s="120"/>
      <c r="G185" s="85" t="s">
        <v>785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11" t="str">
        <f t="shared" si="1"/>
        <v>/410/107-18</v>
      </c>
      <c r="B186" s="80" t="str">
        <f>IFERROR(__xludf.DUMMYFUNCTION("CONCATENATE(VLOOKUP(C186,'Storage Locations'!$A:$C,2,FALSE),"" "",VLOOKUP(C186,'Storage Locations'!$A:$C,3,FALSE),"" || "",$E186, IF(G186 = ""Yes"",CONCATENATE("" "", REGEXREPLACE(RIGHT(A186,2), ""^0+"","""")),""""), IF(ISBLANK(F186),"""",CONCATENATE("": "&amp;""", F186)))"),"Resistor Organiser 2 Cabinet || Organiser 18")</f>
        <v>Resistor Organiser 2 Cabinet || Organiser 18</v>
      </c>
      <c r="C186" s="124" t="s">
        <v>853</v>
      </c>
      <c r="D186" s="82">
        <v>18.0</v>
      </c>
      <c r="E186" s="83" t="s">
        <v>851</v>
      </c>
      <c r="F186" s="120"/>
      <c r="G186" s="85" t="s">
        <v>785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11" t="str">
        <f t="shared" si="1"/>
        <v>/410/107-19</v>
      </c>
      <c r="B187" s="80" t="str">
        <f>IFERROR(__xludf.DUMMYFUNCTION("CONCATENATE(VLOOKUP(C187,'Storage Locations'!$A:$C,2,FALSE),"" "",VLOOKUP(C187,'Storage Locations'!$A:$C,3,FALSE),"" || "",$E187, IF(G187 = ""Yes"",CONCATENATE("" "", REGEXREPLACE(RIGHT(A187,2), ""^0+"","""")),""""), IF(ISBLANK(F187),"""",CONCATENATE("": "&amp;""", F187)))"),"Resistor Organiser 2 Cabinet || Organiser 19")</f>
        <v>Resistor Organiser 2 Cabinet || Organiser 19</v>
      </c>
      <c r="C187" s="124" t="s">
        <v>853</v>
      </c>
      <c r="D187" s="86">
        <v>19.0</v>
      </c>
      <c r="E187" s="83" t="s">
        <v>851</v>
      </c>
      <c r="F187" s="120"/>
      <c r="G187" s="85" t="s">
        <v>785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11" t="str">
        <f t="shared" si="1"/>
        <v>/410/107-20</v>
      </c>
      <c r="B188" s="80" t="str">
        <f>IFERROR(__xludf.DUMMYFUNCTION("CONCATENATE(VLOOKUP(C188,'Storage Locations'!$A:$C,2,FALSE),"" "",VLOOKUP(C188,'Storage Locations'!$A:$C,3,FALSE),"" || "",$E188, IF(G188 = ""Yes"",CONCATENATE("" "", REGEXREPLACE(RIGHT(A188,2), ""^0+"","""")),""""), IF(ISBLANK(F188),"""",CONCATENATE("": "&amp;""", F188)))"),"Resistor Organiser 2 Cabinet || Organiser 20")</f>
        <v>Resistor Organiser 2 Cabinet || Organiser 20</v>
      </c>
      <c r="C188" s="124" t="s">
        <v>853</v>
      </c>
      <c r="D188" s="87">
        <v>20.0</v>
      </c>
      <c r="E188" s="83" t="s">
        <v>851</v>
      </c>
      <c r="F188" s="120"/>
      <c r="G188" s="85" t="s">
        <v>785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11" t="str">
        <f t="shared" si="1"/>
        <v>/410/107-21</v>
      </c>
      <c r="B189" s="80" t="str">
        <f>IFERROR(__xludf.DUMMYFUNCTION("CONCATENATE(VLOOKUP(C189,'Storage Locations'!$A:$C,2,FALSE),"" "",VLOOKUP(C189,'Storage Locations'!$A:$C,3,FALSE),"" || "",$E189, IF(G189 = ""Yes"",CONCATENATE("" "", REGEXREPLACE(RIGHT(A189,2), ""^0+"","""")),""""), IF(ISBLANK(F189),"""",CONCATENATE("": "&amp;""", F189)))"),"Resistor Organiser 2 Cabinet || Organiser 21")</f>
        <v>Resistor Organiser 2 Cabinet || Organiser 21</v>
      </c>
      <c r="C189" s="124" t="s">
        <v>853</v>
      </c>
      <c r="D189" s="88">
        <v>21.0</v>
      </c>
      <c r="E189" s="83" t="s">
        <v>851</v>
      </c>
      <c r="F189" s="120"/>
      <c r="G189" s="85" t="s">
        <v>785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11" t="str">
        <f t="shared" si="1"/>
        <v>/410/107-22</v>
      </c>
      <c r="B190" s="80" t="str">
        <f>IFERROR(__xludf.DUMMYFUNCTION("CONCATENATE(VLOOKUP(C190,'Storage Locations'!$A:$C,2,FALSE),"" "",VLOOKUP(C190,'Storage Locations'!$A:$C,3,FALSE),"" || "",$E190, IF(G190 = ""Yes"",CONCATENATE("" "", REGEXREPLACE(RIGHT(A190,2), ""^0+"","""")),""""), IF(ISBLANK(F190),"""",CONCATENATE("": "&amp;""", F190)))"),"Resistor Organiser 2 Cabinet || Organiser 22")</f>
        <v>Resistor Organiser 2 Cabinet || Organiser 22</v>
      </c>
      <c r="C190" s="124" t="s">
        <v>853</v>
      </c>
      <c r="D190" s="89">
        <v>22.0</v>
      </c>
      <c r="E190" s="83" t="s">
        <v>851</v>
      </c>
      <c r="F190" s="120"/>
      <c r="G190" s="85" t="s">
        <v>785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11" t="str">
        <f t="shared" si="1"/>
        <v>/410/107-23</v>
      </c>
      <c r="B191" s="80" t="str">
        <f>IFERROR(__xludf.DUMMYFUNCTION("CONCATENATE(VLOOKUP(C191,'Storage Locations'!$A:$C,2,FALSE),"" "",VLOOKUP(C191,'Storage Locations'!$A:$C,3,FALSE),"" || "",$E191, IF(G191 = ""Yes"",CONCATENATE("" "", REGEXREPLACE(RIGHT(A191,2), ""^0+"","""")),""""), IF(ISBLANK(F191),"""",CONCATENATE("": "&amp;""", F191)))"),"Resistor Organiser 2 Cabinet || Organiser 23")</f>
        <v>Resistor Organiser 2 Cabinet || Organiser 23</v>
      </c>
      <c r="C191" s="124" t="s">
        <v>853</v>
      </c>
      <c r="D191" s="90">
        <v>23.0</v>
      </c>
      <c r="E191" s="83" t="s">
        <v>851</v>
      </c>
      <c r="F191" s="120"/>
      <c r="G191" s="85" t="s">
        <v>785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11" t="str">
        <f t="shared" si="1"/>
        <v>/410/107-24</v>
      </c>
      <c r="B192" s="80" t="str">
        <f>IFERROR(__xludf.DUMMYFUNCTION("CONCATENATE(VLOOKUP(C192,'Storage Locations'!$A:$C,2,FALSE),"" "",VLOOKUP(C192,'Storage Locations'!$A:$C,3,FALSE),"" || "",$E192, IF(G192 = ""Yes"",CONCATENATE("" "", REGEXREPLACE(RIGHT(A192,2), ""^0+"","""")),""""), IF(ISBLANK(F192),"""",CONCATENATE("": "&amp;""", F192)))"),"Resistor Organiser 2 Cabinet || Organiser 24")</f>
        <v>Resistor Organiser 2 Cabinet || Organiser 24</v>
      </c>
      <c r="C192" s="124" t="s">
        <v>853</v>
      </c>
      <c r="D192" s="106">
        <v>24.0</v>
      </c>
      <c r="E192" s="83" t="s">
        <v>851</v>
      </c>
      <c r="F192" s="120"/>
      <c r="G192" s="85" t="s">
        <v>785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11" t="str">
        <f t="shared" si="1"/>
        <v>/410/107-25</v>
      </c>
      <c r="B193" s="80" t="str">
        <f>IFERROR(__xludf.DUMMYFUNCTION("CONCATENATE(VLOOKUP(C193,'Storage Locations'!$A:$C,2,FALSE),"" "",VLOOKUP(C193,'Storage Locations'!$A:$C,3,FALSE),"" || "",$E193, IF(G193 = ""Yes"",CONCATENATE("" "", REGEXREPLACE(RIGHT(A193,2), ""^0+"","""")),""""), IF(ISBLANK(F193),"""",CONCATENATE("": "&amp;""", F193)))"),"Resistor Organiser 2 Cabinet || Organiser 25")</f>
        <v>Resistor Organiser 2 Cabinet || Organiser 25</v>
      </c>
      <c r="C193" s="124" t="s">
        <v>853</v>
      </c>
      <c r="D193" s="107">
        <v>25.0</v>
      </c>
      <c r="E193" s="83" t="s">
        <v>851</v>
      </c>
      <c r="F193" s="120"/>
      <c r="G193" s="85" t="s">
        <v>785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11" t="str">
        <f t="shared" si="1"/>
        <v>/410/107-26</v>
      </c>
      <c r="B194" s="80" t="str">
        <f>IFERROR(__xludf.DUMMYFUNCTION("CONCATENATE(VLOOKUP(C194,'Storage Locations'!$A:$C,2,FALSE),"" "",VLOOKUP(C194,'Storage Locations'!$A:$C,3,FALSE),"" || "",$E194, IF(G194 = ""Yes"",CONCATENATE("" "", REGEXREPLACE(RIGHT(A194,2), ""^0+"","""")),""""), IF(ISBLANK(F194),"""",CONCATENATE("": "&amp;""", F194)))"),"Resistor Organiser 2 Cabinet || Organiser 26")</f>
        <v>Resistor Organiser 2 Cabinet || Organiser 26</v>
      </c>
      <c r="C194" s="124" t="s">
        <v>853</v>
      </c>
      <c r="D194" s="108">
        <v>26.0</v>
      </c>
      <c r="E194" s="83" t="s">
        <v>851</v>
      </c>
      <c r="F194" s="120"/>
      <c r="G194" s="85" t="s">
        <v>785</v>
      </c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11" t="str">
        <f t="shared" si="1"/>
        <v>/410/107-27</v>
      </c>
      <c r="B195" s="80" t="str">
        <f>IFERROR(__xludf.DUMMYFUNCTION("CONCATENATE(VLOOKUP(C195,'Storage Locations'!$A:$C,2,FALSE),"" "",VLOOKUP(C195,'Storage Locations'!$A:$C,3,FALSE),"" || "",$E195, IF(G195 = ""Yes"",CONCATENATE("" "", REGEXREPLACE(RIGHT(A195,2), ""^0+"","""")),""""), IF(ISBLANK(F195),"""",CONCATENATE("": "&amp;""", F195)))"),"Resistor Organiser 2 Cabinet || Organiser 27")</f>
        <v>Resistor Organiser 2 Cabinet || Organiser 27</v>
      </c>
      <c r="C195" s="124" t="s">
        <v>853</v>
      </c>
      <c r="D195" s="109">
        <v>27.0</v>
      </c>
      <c r="E195" s="83" t="s">
        <v>851</v>
      </c>
      <c r="F195" s="120"/>
      <c r="G195" s="85" t="s">
        <v>785</v>
      </c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11" t="str">
        <f t="shared" si="1"/>
        <v>/410/107-28</v>
      </c>
      <c r="B196" s="80" t="str">
        <f>IFERROR(__xludf.DUMMYFUNCTION("CONCATENATE(VLOOKUP(C196,'Storage Locations'!$A:$C,2,FALSE),"" "",VLOOKUP(C196,'Storage Locations'!$A:$C,3,FALSE),"" || "",$E196, IF(G196 = ""Yes"",CONCATENATE("" "", REGEXREPLACE(RIGHT(A196,2), ""^0+"","""")),""""), IF(ISBLANK(F196),"""",CONCATENATE("": "&amp;""", F196)))"),"Resistor Organiser 2 Cabinet || Organiser 28")</f>
        <v>Resistor Organiser 2 Cabinet || Organiser 28</v>
      </c>
      <c r="C196" s="124" t="s">
        <v>853</v>
      </c>
      <c r="D196" s="110">
        <v>28.0</v>
      </c>
      <c r="E196" s="83" t="s">
        <v>851</v>
      </c>
      <c r="F196" s="120"/>
      <c r="G196" s="85" t="s">
        <v>785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11" t="str">
        <f t="shared" si="1"/>
        <v>/410/107-29</v>
      </c>
      <c r="B197" s="80" t="str">
        <f>IFERROR(__xludf.DUMMYFUNCTION("CONCATENATE(VLOOKUP(C197,'Storage Locations'!$A:$C,2,FALSE),"" "",VLOOKUP(C197,'Storage Locations'!$A:$C,3,FALSE),"" || "",$E197, IF(G197 = ""Yes"",CONCATENATE("" "", REGEXREPLACE(RIGHT(A197,2), ""^0+"","""")),""""), IF(ISBLANK(F197),"""",CONCATENATE("": "&amp;""", F197)))"),"Resistor Organiser 2 Cabinet || Organiser 29")</f>
        <v>Resistor Organiser 2 Cabinet || Organiser 29</v>
      </c>
      <c r="C197" s="124" t="s">
        <v>853</v>
      </c>
      <c r="D197" s="121">
        <v>29.0</v>
      </c>
      <c r="E197" s="83" t="s">
        <v>851</v>
      </c>
      <c r="F197" s="120"/>
      <c r="G197" s="85" t="s">
        <v>785</v>
      </c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11" t="str">
        <f t="shared" si="1"/>
        <v>/410/107-30</v>
      </c>
      <c r="B198" s="80" t="str">
        <f>IFERROR(__xludf.DUMMYFUNCTION("CONCATENATE(VLOOKUP(C198,'Storage Locations'!$A:$C,2,FALSE),"" "",VLOOKUP(C198,'Storage Locations'!$A:$C,3,FALSE),"" || "",$E198, IF(G198 = ""Yes"",CONCATENATE("" "", REGEXREPLACE(RIGHT(A198,2), ""^0+"","""")),""""), IF(ISBLANK(F198),"""",CONCATENATE("": "&amp;""", F198)))"),"Resistor Organiser 2 Cabinet || Organiser 30")</f>
        <v>Resistor Organiser 2 Cabinet || Organiser 30</v>
      </c>
      <c r="C198" s="124" t="s">
        <v>853</v>
      </c>
      <c r="D198" s="122">
        <v>30.0</v>
      </c>
      <c r="E198" s="83" t="s">
        <v>851</v>
      </c>
      <c r="F198" s="120"/>
      <c r="G198" s="85" t="s">
        <v>785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11" t="str">
        <f t="shared" si="1"/>
        <v>/410/107-31</v>
      </c>
      <c r="B199" s="80" t="str">
        <f>IFERROR(__xludf.DUMMYFUNCTION("CONCATENATE(VLOOKUP(C199,'Storage Locations'!$A:$C,2,FALSE),"" "",VLOOKUP(C199,'Storage Locations'!$A:$C,3,FALSE),"" || "",$E199, IF(G199 = ""Yes"",CONCATENATE("" "", REGEXREPLACE(RIGHT(A199,2), ""^0+"","""")),""""), IF(ISBLANK(F199),"""",CONCATENATE("": "&amp;""", F199)))"),"Resistor Organiser 2 Cabinet || Organiser 31")</f>
        <v>Resistor Organiser 2 Cabinet || Organiser 31</v>
      </c>
      <c r="C199" s="124" t="s">
        <v>853</v>
      </c>
      <c r="D199" s="99">
        <v>31.0</v>
      </c>
      <c r="E199" s="83" t="s">
        <v>851</v>
      </c>
      <c r="F199" s="120"/>
      <c r="G199" s="85" t="s">
        <v>785</v>
      </c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11" t="str">
        <f t="shared" si="1"/>
        <v>/410/107-32</v>
      </c>
      <c r="B200" s="80" t="str">
        <f>IFERROR(__xludf.DUMMYFUNCTION("CONCATENATE(VLOOKUP(C200,'Storage Locations'!$A:$C,2,FALSE),"" "",VLOOKUP(C200,'Storage Locations'!$A:$C,3,FALSE),"" || "",$E200, IF(G200 = ""Yes"",CONCATENATE("" "", REGEXREPLACE(RIGHT(A200,2), ""^0+"","""")),""""), IF(ISBLANK(F200),"""",CONCATENATE("": "&amp;""", F200)))"),"Resistor Organiser 2 Cabinet || Organiser 32")</f>
        <v>Resistor Organiser 2 Cabinet || Organiser 32</v>
      </c>
      <c r="C200" s="124" t="s">
        <v>853</v>
      </c>
      <c r="D200" s="100">
        <v>32.0</v>
      </c>
      <c r="E200" s="83" t="s">
        <v>851</v>
      </c>
      <c r="F200" s="120"/>
      <c r="G200" s="85" t="s">
        <v>785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11" t="str">
        <f t="shared" si="1"/>
        <v>/410/107-33</v>
      </c>
      <c r="B201" s="80" t="str">
        <f>IFERROR(__xludf.DUMMYFUNCTION("CONCATENATE(VLOOKUP(C201,'Storage Locations'!$A:$C,2,FALSE),"" "",VLOOKUP(C201,'Storage Locations'!$A:$C,3,FALSE),"" || "",$E201, IF(G201 = ""Yes"",CONCATENATE("" "", REGEXREPLACE(RIGHT(A201,2), ""^0+"","""")),""""), IF(ISBLANK(F201),"""",CONCATENATE("": "&amp;""", F201)))"),"Resistor Organiser 2 Cabinet || Organiser 33")</f>
        <v>Resistor Organiser 2 Cabinet || Organiser 33</v>
      </c>
      <c r="C201" s="124" t="s">
        <v>853</v>
      </c>
      <c r="D201" s="101">
        <v>33.0</v>
      </c>
      <c r="E201" s="83" t="s">
        <v>851</v>
      </c>
      <c r="F201" s="120"/>
      <c r="G201" s="85" t="s">
        <v>785</v>
      </c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11" t="str">
        <f t="shared" si="1"/>
        <v>/410/107-34</v>
      </c>
      <c r="B202" s="80" t="str">
        <f>IFERROR(__xludf.DUMMYFUNCTION("CONCATENATE(VLOOKUP(C202,'Storage Locations'!$A:$C,2,FALSE),"" "",VLOOKUP(C202,'Storage Locations'!$A:$C,3,FALSE),"" || "",$E202, IF(G202 = ""Yes"",CONCATENATE("" "", REGEXREPLACE(RIGHT(A202,2), ""^0+"","""")),""""), IF(ISBLANK(F202),"""",CONCATENATE("": "&amp;""", F202)))"),"Resistor Organiser 2 Cabinet || Organiser 34")</f>
        <v>Resistor Organiser 2 Cabinet || Organiser 34</v>
      </c>
      <c r="C202" s="124" t="s">
        <v>853</v>
      </c>
      <c r="D202" s="102">
        <v>34.0</v>
      </c>
      <c r="E202" s="83" t="s">
        <v>851</v>
      </c>
      <c r="F202" s="120"/>
      <c r="G202" s="85" t="s">
        <v>785</v>
      </c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11" t="str">
        <f t="shared" si="1"/>
        <v>/410/107-35</v>
      </c>
      <c r="B203" s="80" t="str">
        <f>IFERROR(__xludf.DUMMYFUNCTION("CONCATENATE(VLOOKUP(C203,'Storage Locations'!$A:$C,2,FALSE),"" "",VLOOKUP(C203,'Storage Locations'!$A:$C,3,FALSE),"" || "",$E203, IF(G203 = ""Yes"",CONCATENATE("" "", REGEXREPLACE(RIGHT(A203,2), ""^0+"","""")),""""), IF(ISBLANK(F203),"""",CONCATENATE("": "&amp;""", F203)))"),"Resistor Organiser 2 Cabinet || Organiser 35")</f>
        <v>Resistor Organiser 2 Cabinet || Organiser 35</v>
      </c>
      <c r="C203" s="124" t="s">
        <v>853</v>
      </c>
      <c r="D203" s="103">
        <v>35.0</v>
      </c>
      <c r="E203" s="83" t="s">
        <v>851</v>
      </c>
      <c r="F203" s="120"/>
      <c r="G203" s="85" t="s">
        <v>785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11" t="str">
        <f t="shared" si="1"/>
        <v>/410/107-36</v>
      </c>
      <c r="B204" s="80" t="str">
        <f>IFERROR(__xludf.DUMMYFUNCTION("CONCATENATE(VLOOKUP(C204,'Storage Locations'!$A:$C,2,FALSE),"" "",VLOOKUP(C204,'Storage Locations'!$A:$C,3,FALSE),"" || "",$E204, IF(G204 = ""Yes"",CONCATENATE("" "", REGEXREPLACE(RIGHT(A204,2), ""^0+"","""")),""""), IF(ISBLANK(F204),"""",CONCATENATE("": "&amp;""", F204)))"),"Resistor Organiser 2 Cabinet || Organiser 36")</f>
        <v>Resistor Organiser 2 Cabinet || Organiser 36</v>
      </c>
      <c r="C204" s="124" t="s">
        <v>853</v>
      </c>
      <c r="D204" s="86">
        <v>36.0</v>
      </c>
      <c r="E204" s="83" t="s">
        <v>851</v>
      </c>
      <c r="F204" s="120"/>
      <c r="G204" s="85" t="s">
        <v>785</v>
      </c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11" t="str">
        <f t="shared" si="1"/>
        <v>/410/107-37</v>
      </c>
      <c r="B205" s="80" t="str">
        <f>IFERROR(__xludf.DUMMYFUNCTION("CONCATENATE(VLOOKUP(C205,'Storage Locations'!$A:$C,2,FALSE),"" "",VLOOKUP(C205,'Storage Locations'!$A:$C,3,FALSE),"" || "",$E205, IF(G205 = ""Yes"",CONCATENATE("" "", REGEXREPLACE(RIGHT(A205,2), ""^0+"","""")),""""), IF(ISBLANK(F205),"""",CONCATENATE("": "&amp;""", F205)))"),"Resistor Organiser 2 Cabinet || Organiser 37")</f>
        <v>Resistor Organiser 2 Cabinet || Organiser 37</v>
      </c>
      <c r="C205" s="124" t="s">
        <v>853</v>
      </c>
      <c r="D205" s="87">
        <v>37.0</v>
      </c>
      <c r="E205" s="83" t="s">
        <v>851</v>
      </c>
      <c r="F205" s="120"/>
      <c r="G205" s="85" t="s">
        <v>785</v>
      </c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11" t="str">
        <f t="shared" si="1"/>
        <v>/410/107-38</v>
      </c>
      <c r="B206" s="80" t="str">
        <f>IFERROR(__xludf.DUMMYFUNCTION("CONCATENATE(VLOOKUP(C206,'Storage Locations'!$A:$C,2,FALSE),"" "",VLOOKUP(C206,'Storage Locations'!$A:$C,3,FALSE),"" || "",$E206, IF(G206 = ""Yes"",CONCATENATE("" "", REGEXREPLACE(RIGHT(A206,2), ""^0+"","""")),""""), IF(ISBLANK(F206),"""",CONCATENATE("": "&amp;""", F206)))"),"Resistor Organiser 2 Cabinet || Organiser 38")</f>
        <v>Resistor Organiser 2 Cabinet || Organiser 38</v>
      </c>
      <c r="C206" s="124" t="s">
        <v>853</v>
      </c>
      <c r="D206" s="88">
        <v>38.0</v>
      </c>
      <c r="E206" s="83" t="s">
        <v>851</v>
      </c>
      <c r="F206" s="120"/>
      <c r="G206" s="85" t="s">
        <v>785</v>
      </c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11" t="str">
        <f t="shared" si="1"/>
        <v>/410/107-39</v>
      </c>
      <c r="B207" s="80" t="str">
        <f>IFERROR(__xludf.DUMMYFUNCTION("CONCATENATE(VLOOKUP(C207,'Storage Locations'!$A:$C,2,FALSE),"" "",VLOOKUP(C207,'Storage Locations'!$A:$C,3,FALSE),"" || "",$E207, IF(G207 = ""Yes"",CONCATENATE("" "", REGEXREPLACE(RIGHT(A207,2), ""^0+"","""")),""""), IF(ISBLANK(F207),"""",CONCATENATE("": "&amp;""", F207)))"),"Resistor Organiser 2 Cabinet || Organiser 39")</f>
        <v>Resistor Organiser 2 Cabinet || Organiser 39</v>
      </c>
      <c r="C207" s="124" t="s">
        <v>853</v>
      </c>
      <c r="D207" s="89">
        <v>39.0</v>
      </c>
      <c r="E207" s="83" t="s">
        <v>851</v>
      </c>
      <c r="F207" s="120"/>
      <c r="G207" s="85" t="s">
        <v>785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11" t="str">
        <f t="shared" si="1"/>
        <v>/410/107-40</v>
      </c>
      <c r="B208" s="80" t="str">
        <f>IFERROR(__xludf.DUMMYFUNCTION("CONCATENATE(VLOOKUP(C208,'Storage Locations'!$A:$C,2,FALSE),"" "",VLOOKUP(C208,'Storage Locations'!$A:$C,3,FALSE),"" || "",$E208, IF(G208 = ""Yes"",CONCATENATE("" "", REGEXREPLACE(RIGHT(A208,2), ""^0+"","""")),""""), IF(ISBLANK(F208),"""",CONCATENATE("": "&amp;""", F208)))"),"Resistor Organiser 2 Cabinet || Organiser 40")</f>
        <v>Resistor Organiser 2 Cabinet || Organiser 40</v>
      </c>
      <c r="C208" s="124" t="s">
        <v>853</v>
      </c>
      <c r="D208" s="90">
        <v>40.0</v>
      </c>
      <c r="E208" s="83" t="s">
        <v>851</v>
      </c>
      <c r="F208" s="120"/>
      <c r="G208" s="85" t="s">
        <v>785</v>
      </c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11" t="str">
        <f t="shared" si="1"/>
        <v>/410/107-41</v>
      </c>
      <c r="B209" s="80" t="str">
        <f>IFERROR(__xludf.DUMMYFUNCTION("CONCATENATE(VLOOKUP(C209,'Storage Locations'!$A:$C,2,FALSE),"" "",VLOOKUP(C209,'Storage Locations'!$A:$C,3,FALSE),"" || "",$E209, IF(G209 = ""Yes"",CONCATENATE("" "", REGEXREPLACE(RIGHT(A209,2), ""^0+"","""")),""""), IF(ISBLANK(F209),"""",CONCATENATE("": "&amp;""", F209)))"),"Resistor Organiser 2 Cabinet || Organiser 41")</f>
        <v>Resistor Organiser 2 Cabinet || Organiser 41</v>
      </c>
      <c r="C209" s="124" t="s">
        <v>853</v>
      </c>
      <c r="D209" s="106">
        <v>41.0</v>
      </c>
      <c r="E209" s="83" t="s">
        <v>851</v>
      </c>
      <c r="F209" s="120"/>
      <c r="G209" s="85" t="s">
        <v>785</v>
      </c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11" t="str">
        <f t="shared" si="1"/>
        <v>/410/107-42</v>
      </c>
      <c r="B210" s="80" t="str">
        <f>IFERROR(__xludf.DUMMYFUNCTION("CONCATENATE(VLOOKUP(C210,'Storage Locations'!$A:$C,2,FALSE),"" "",VLOOKUP(C210,'Storage Locations'!$A:$C,3,FALSE),"" || "",$E210, IF(G210 = ""Yes"",CONCATENATE("" "", REGEXREPLACE(RIGHT(A210,2), ""^0+"","""")),""""), IF(ISBLANK(F210),"""",CONCATENATE("": "&amp;""", F210)))"),"Resistor Organiser 2 Cabinet || Organiser 42")</f>
        <v>Resistor Organiser 2 Cabinet || Organiser 42</v>
      </c>
      <c r="C210" s="124" t="s">
        <v>853</v>
      </c>
      <c r="D210" s="107">
        <v>42.0</v>
      </c>
      <c r="E210" s="83" t="s">
        <v>851</v>
      </c>
      <c r="F210" s="120"/>
      <c r="G210" s="85" t="s">
        <v>785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11" t="str">
        <f t="shared" si="1"/>
        <v>/410/107-43</v>
      </c>
      <c r="B211" s="80" t="str">
        <f>IFERROR(__xludf.DUMMYFUNCTION("CONCATENATE(VLOOKUP(C211,'Storage Locations'!$A:$C,2,FALSE),"" "",VLOOKUP(C211,'Storage Locations'!$A:$C,3,FALSE),"" || "",$E211, IF(G211 = ""Yes"",CONCATENATE("" "", REGEXREPLACE(RIGHT(A211,2), ""^0+"","""")),""""), IF(ISBLANK(F211),"""",CONCATENATE("": "&amp;""", F211)))"),"Resistor Organiser 2 Cabinet || Organiser 43")</f>
        <v>Resistor Organiser 2 Cabinet || Organiser 43</v>
      </c>
      <c r="C211" s="124" t="s">
        <v>853</v>
      </c>
      <c r="D211" s="108">
        <v>43.0</v>
      </c>
      <c r="E211" s="83" t="s">
        <v>851</v>
      </c>
      <c r="F211" s="120"/>
      <c r="G211" s="85" t="s">
        <v>785</v>
      </c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11" t="str">
        <f t="shared" si="1"/>
        <v>/410/107-44</v>
      </c>
      <c r="B212" s="80" t="str">
        <f>IFERROR(__xludf.DUMMYFUNCTION("CONCATENATE(VLOOKUP(C212,'Storage Locations'!$A:$C,2,FALSE),"" "",VLOOKUP(C212,'Storage Locations'!$A:$C,3,FALSE),"" || "",$E212, IF(G212 = ""Yes"",CONCATENATE("" "", REGEXREPLACE(RIGHT(A212,2), ""^0+"","""")),""""), IF(ISBLANK(F212),"""",CONCATENATE("": "&amp;""", F212)))"),"Resistor Organiser 2 Cabinet || Organiser 44")</f>
        <v>Resistor Organiser 2 Cabinet || Organiser 44</v>
      </c>
      <c r="C212" s="124" t="s">
        <v>853</v>
      </c>
      <c r="D212" s="109">
        <v>44.0</v>
      </c>
      <c r="E212" s="83" t="s">
        <v>851</v>
      </c>
      <c r="F212" s="120"/>
      <c r="G212" s="85" t="s">
        <v>785</v>
      </c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11" t="str">
        <f t="shared" si="1"/>
        <v>/410/107-45</v>
      </c>
      <c r="B213" s="80" t="str">
        <f>IFERROR(__xludf.DUMMYFUNCTION("CONCATENATE(VLOOKUP(C213,'Storage Locations'!$A:$C,2,FALSE),"" "",VLOOKUP(C213,'Storage Locations'!$A:$C,3,FALSE),"" || "",$E213, IF(G213 = ""Yes"",CONCATENATE("" "", REGEXREPLACE(RIGHT(A213,2), ""^0+"","""")),""""), IF(ISBLANK(F213),"""",CONCATENATE("": "&amp;""", F213)))"),"Resistor Organiser 2 Cabinet || Organiser 45")</f>
        <v>Resistor Organiser 2 Cabinet || Organiser 45</v>
      </c>
      <c r="C213" s="124" t="s">
        <v>853</v>
      </c>
      <c r="D213" s="110">
        <v>45.0</v>
      </c>
      <c r="E213" s="83" t="s">
        <v>851</v>
      </c>
      <c r="F213" s="120"/>
      <c r="G213" s="85" t="s">
        <v>785</v>
      </c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11" t="str">
        <f t="shared" si="1"/>
        <v>/410/107-46</v>
      </c>
      <c r="B214" s="80" t="str">
        <f>IFERROR(__xludf.DUMMYFUNCTION("CONCATENATE(VLOOKUP(C214,'Storage Locations'!$A:$C,2,FALSE),"" "",VLOOKUP(C214,'Storage Locations'!$A:$C,3,FALSE),"" || "",$E214, IF(G214 = ""Yes"",CONCATENATE("" "", REGEXREPLACE(RIGHT(A214,2), ""^0+"","""")),""""), IF(ISBLANK(F214),"""",CONCATENATE("": "&amp;""", F214)))"),"Resistor Organiser 2 Cabinet || Organiser 46")</f>
        <v>Resistor Organiser 2 Cabinet || Organiser 46</v>
      </c>
      <c r="C214" s="124" t="s">
        <v>853</v>
      </c>
      <c r="D214" s="121">
        <v>46.0</v>
      </c>
      <c r="E214" s="83" t="s">
        <v>851</v>
      </c>
      <c r="F214" s="120"/>
      <c r="G214" s="85" t="s">
        <v>785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11" t="str">
        <f t="shared" si="1"/>
        <v>/410/107-47</v>
      </c>
      <c r="B215" s="80" t="str">
        <f>IFERROR(__xludf.DUMMYFUNCTION("CONCATENATE(VLOOKUP(C215,'Storage Locations'!$A:$C,2,FALSE),"" "",VLOOKUP(C215,'Storage Locations'!$A:$C,3,FALSE),"" || "",$E215, IF(G215 = ""Yes"",CONCATENATE("" "", REGEXREPLACE(RIGHT(A215,2), ""^0+"","""")),""""), IF(ISBLANK(F215),"""",CONCATENATE("": "&amp;""", F215)))"),"Resistor Organiser 2 Cabinet || Organiser 47")</f>
        <v>Resistor Organiser 2 Cabinet || Organiser 47</v>
      </c>
      <c r="C215" s="124" t="s">
        <v>853</v>
      </c>
      <c r="D215" s="122">
        <v>47.0</v>
      </c>
      <c r="E215" s="83" t="s">
        <v>851</v>
      </c>
      <c r="F215" s="120"/>
      <c r="G215" s="85" t="s">
        <v>785</v>
      </c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11" t="str">
        <f t="shared" si="1"/>
        <v>/410/107-48</v>
      </c>
      <c r="B216" s="80" t="str">
        <f>IFERROR(__xludf.DUMMYFUNCTION("CONCATENATE(VLOOKUP(C216,'Storage Locations'!$A:$C,2,FALSE),"" "",VLOOKUP(C216,'Storage Locations'!$A:$C,3,FALSE),"" || "",$E216, IF(G216 = ""Yes"",CONCATENATE("" "", REGEXREPLACE(RIGHT(A216,2), ""^0+"","""")),""""), IF(ISBLANK(F216),"""",CONCATENATE("": "&amp;""", F216)))"),"Resistor Organiser 2 Cabinet || Organiser 48")</f>
        <v>Resistor Organiser 2 Cabinet || Organiser 48</v>
      </c>
      <c r="C216" s="124" t="s">
        <v>853</v>
      </c>
      <c r="D216" s="99">
        <v>48.0</v>
      </c>
      <c r="E216" s="83" t="s">
        <v>851</v>
      </c>
      <c r="F216" s="120"/>
      <c r="G216" s="85" t="s">
        <v>785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11" t="str">
        <f t="shared" si="1"/>
        <v>/410/107-49</v>
      </c>
      <c r="B217" s="80" t="str">
        <f>IFERROR(__xludf.DUMMYFUNCTION("CONCATENATE(VLOOKUP(C217,'Storage Locations'!$A:$C,2,FALSE),"" "",VLOOKUP(C217,'Storage Locations'!$A:$C,3,FALSE),"" || "",$E217, IF(G217 = ""Yes"",CONCATENATE("" "", REGEXREPLACE(RIGHT(A217,2), ""^0+"","""")),""""), IF(ISBLANK(F217),"""",CONCATENATE("": "&amp;""", F217)))"),"Resistor Organiser 2 Cabinet || Organiser 49")</f>
        <v>Resistor Organiser 2 Cabinet || Organiser 49</v>
      </c>
      <c r="C217" s="124" t="s">
        <v>853</v>
      </c>
      <c r="D217" s="100">
        <v>49.0</v>
      </c>
      <c r="E217" s="83" t="s">
        <v>851</v>
      </c>
      <c r="F217" s="120"/>
      <c r="G217" s="85" t="s">
        <v>785</v>
      </c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11" t="str">
        <f t="shared" si="1"/>
        <v>/410/107-50</v>
      </c>
      <c r="B218" s="80" t="str">
        <f>IFERROR(__xludf.DUMMYFUNCTION("CONCATENATE(VLOOKUP(C218,'Storage Locations'!$A:$C,2,FALSE),"" "",VLOOKUP(C218,'Storage Locations'!$A:$C,3,FALSE),"" || "",$E218, IF(G218 = ""Yes"",CONCATENATE("" "", REGEXREPLACE(RIGHT(A218,2), ""^0+"","""")),""""), IF(ISBLANK(F218),"""",CONCATENATE("": "&amp;""", F218)))"),"Resistor Organiser 2 Cabinet || Organiser 50")</f>
        <v>Resistor Organiser 2 Cabinet || Organiser 50</v>
      </c>
      <c r="C218" s="124" t="s">
        <v>853</v>
      </c>
      <c r="D218" s="101">
        <v>50.0</v>
      </c>
      <c r="E218" s="83" t="s">
        <v>851</v>
      </c>
      <c r="F218" s="120"/>
      <c r="G218" s="85" t="s">
        <v>785</v>
      </c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11" t="str">
        <f t="shared" si="1"/>
        <v>/410/107-51</v>
      </c>
      <c r="B219" s="80" t="str">
        <f>IFERROR(__xludf.DUMMYFUNCTION("CONCATENATE(VLOOKUP(C219,'Storage Locations'!$A:$C,2,FALSE),"" "",VLOOKUP(C219,'Storage Locations'!$A:$C,3,FALSE),"" || "",$E219, IF(G219 = ""Yes"",CONCATENATE("" "", REGEXREPLACE(RIGHT(A219,2), ""^0+"","""")),""""), IF(ISBLANK(F219),"""",CONCATENATE("": "&amp;""", F219)))"),"Resistor Organiser 2 Cabinet || Organiser 51")</f>
        <v>Resistor Organiser 2 Cabinet || Organiser 51</v>
      </c>
      <c r="C219" s="124" t="s">
        <v>853</v>
      </c>
      <c r="D219" s="102">
        <v>51.0</v>
      </c>
      <c r="E219" s="83" t="s">
        <v>851</v>
      </c>
      <c r="F219" s="120"/>
      <c r="G219" s="85" t="s">
        <v>785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11" t="str">
        <f t="shared" si="1"/>
        <v>/410/107-52</v>
      </c>
      <c r="B220" s="80" t="str">
        <f>IFERROR(__xludf.DUMMYFUNCTION("CONCATENATE(VLOOKUP(C220,'Storage Locations'!$A:$C,2,FALSE),"" "",VLOOKUP(C220,'Storage Locations'!$A:$C,3,FALSE),"" || "",$E220, IF(G220 = ""Yes"",CONCATENATE("" "", REGEXREPLACE(RIGHT(A220,2), ""^0+"","""")),""""), IF(ISBLANK(F220),"""",CONCATENATE("": "&amp;""", F220)))"),"Resistor Organiser 2 Cabinet || Organiser 52")</f>
        <v>Resistor Organiser 2 Cabinet || Organiser 52</v>
      </c>
      <c r="C220" s="124" t="s">
        <v>853</v>
      </c>
      <c r="D220" s="103">
        <v>52.0</v>
      </c>
      <c r="E220" s="83" t="s">
        <v>851</v>
      </c>
      <c r="F220" s="120"/>
      <c r="G220" s="85" t="s">
        <v>785</v>
      </c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11" t="str">
        <f t="shared" si="1"/>
        <v>/410/107-53</v>
      </c>
      <c r="B221" s="80" t="str">
        <f>IFERROR(__xludf.DUMMYFUNCTION("CONCATENATE(VLOOKUP(C221,'Storage Locations'!$A:$C,2,FALSE),"" "",VLOOKUP(C221,'Storage Locations'!$A:$C,3,FALSE),"" || "",$E221, IF(G221 = ""Yes"",CONCATENATE("" "", REGEXREPLACE(RIGHT(A221,2), ""^0+"","""")),""""), IF(ISBLANK(F221),"""",CONCATENATE("": "&amp;""", F221)))"),"Resistor Organiser 2 Cabinet || Organiser 53")</f>
        <v>Resistor Organiser 2 Cabinet || Organiser 53</v>
      </c>
      <c r="C221" s="124" t="s">
        <v>853</v>
      </c>
      <c r="D221" s="86">
        <v>53.0</v>
      </c>
      <c r="E221" s="83" t="s">
        <v>851</v>
      </c>
      <c r="F221" s="120"/>
      <c r="G221" s="85" t="s">
        <v>785</v>
      </c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11" t="str">
        <f t="shared" si="1"/>
        <v>/410/107-54</v>
      </c>
      <c r="B222" s="80" t="str">
        <f>IFERROR(__xludf.DUMMYFUNCTION("CONCATENATE(VLOOKUP(C222,'Storage Locations'!$A:$C,2,FALSE),"" "",VLOOKUP(C222,'Storage Locations'!$A:$C,3,FALSE),"" || "",$E222, IF(G222 = ""Yes"",CONCATENATE("" "", REGEXREPLACE(RIGHT(A222,2), ""^0+"","""")),""""), IF(ISBLANK(F222),"""",CONCATENATE("": "&amp;""", F222)))"),"Resistor Organiser 2 Cabinet || Organiser 54")</f>
        <v>Resistor Organiser 2 Cabinet || Organiser 54</v>
      </c>
      <c r="C222" s="124" t="s">
        <v>853</v>
      </c>
      <c r="D222" s="87">
        <v>54.0</v>
      </c>
      <c r="E222" s="83" t="s">
        <v>851</v>
      </c>
      <c r="F222" s="120"/>
      <c r="G222" s="85" t="s">
        <v>785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11" t="str">
        <f t="shared" si="1"/>
        <v>/410/107-55</v>
      </c>
      <c r="B223" s="80" t="str">
        <f>IFERROR(__xludf.DUMMYFUNCTION("CONCATENATE(VLOOKUP(C223,'Storage Locations'!$A:$C,2,FALSE),"" "",VLOOKUP(C223,'Storage Locations'!$A:$C,3,FALSE),"" || "",$E223, IF(G223 = ""Yes"",CONCATENATE("" "", REGEXREPLACE(RIGHT(A223,2), ""^0+"","""")),""""), IF(ISBLANK(F223),"""",CONCATENATE("": "&amp;""", F223)))"),"Resistor Organiser 2 Cabinet || Organiser 55")</f>
        <v>Resistor Organiser 2 Cabinet || Organiser 55</v>
      </c>
      <c r="C223" s="124" t="s">
        <v>853</v>
      </c>
      <c r="D223" s="88">
        <v>55.0</v>
      </c>
      <c r="E223" s="83" t="s">
        <v>851</v>
      </c>
      <c r="F223" s="120"/>
      <c r="G223" s="85" t="s">
        <v>785</v>
      </c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11" t="str">
        <f t="shared" si="1"/>
        <v>/410/107-56</v>
      </c>
      <c r="B224" s="80" t="str">
        <f>IFERROR(__xludf.DUMMYFUNCTION("CONCATENATE(VLOOKUP(C224,'Storage Locations'!$A:$C,2,FALSE),"" "",VLOOKUP(C224,'Storage Locations'!$A:$C,3,FALSE),"" || "",$E224, IF(G224 = ""Yes"",CONCATENATE("" "", REGEXREPLACE(RIGHT(A224,2), ""^0+"","""")),""""), IF(ISBLANK(F224),"""",CONCATENATE("": "&amp;""", F224)))"),"Resistor Organiser 2 Cabinet || Organiser 56")</f>
        <v>Resistor Organiser 2 Cabinet || Organiser 56</v>
      </c>
      <c r="C224" s="124" t="s">
        <v>853</v>
      </c>
      <c r="D224" s="89">
        <v>56.0</v>
      </c>
      <c r="E224" s="83" t="s">
        <v>851</v>
      </c>
      <c r="F224" s="120"/>
      <c r="G224" s="85" t="s">
        <v>785</v>
      </c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11" t="str">
        <f t="shared" si="1"/>
        <v>/410/107-57</v>
      </c>
      <c r="B225" s="80" t="str">
        <f>IFERROR(__xludf.DUMMYFUNCTION("CONCATENATE(VLOOKUP(C225,'Storage Locations'!$A:$C,2,FALSE),"" "",VLOOKUP(C225,'Storage Locations'!$A:$C,3,FALSE),"" || "",$E225, IF(G225 = ""Yes"",CONCATENATE("" "", REGEXREPLACE(RIGHT(A225,2), ""^0+"","""")),""""), IF(ISBLANK(F225),"""",CONCATENATE("": "&amp;""", F225)))"),"Resistor Organiser 2 Cabinet || Organiser 57")</f>
        <v>Resistor Organiser 2 Cabinet || Organiser 57</v>
      </c>
      <c r="C225" s="124" t="s">
        <v>853</v>
      </c>
      <c r="D225" s="90">
        <v>57.0</v>
      </c>
      <c r="E225" s="83" t="s">
        <v>851</v>
      </c>
      <c r="F225" s="120"/>
      <c r="G225" s="85" t="s">
        <v>785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11" t="str">
        <f t="shared" si="1"/>
        <v>/410/107-58</v>
      </c>
      <c r="B226" s="80" t="str">
        <f>IFERROR(__xludf.DUMMYFUNCTION("CONCATENATE(VLOOKUP(C226,'Storage Locations'!$A:$C,2,FALSE),"" "",VLOOKUP(C226,'Storage Locations'!$A:$C,3,FALSE),"" || "",$E226, IF(G226 = ""Yes"",CONCATENATE("" "", REGEXREPLACE(RIGHT(A226,2), ""^0+"","""")),""""), IF(ISBLANK(F226),"""",CONCATENATE("": "&amp;""", F226)))"),"Resistor Organiser 2 Cabinet || Organiser 58")</f>
        <v>Resistor Organiser 2 Cabinet || Organiser 58</v>
      </c>
      <c r="C226" s="124" t="s">
        <v>853</v>
      </c>
      <c r="D226" s="106">
        <v>58.0</v>
      </c>
      <c r="E226" s="83" t="s">
        <v>851</v>
      </c>
      <c r="F226" s="120"/>
      <c r="G226" s="85" t="s">
        <v>785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11" t="str">
        <f t="shared" si="1"/>
        <v>/410/107-59</v>
      </c>
      <c r="B227" s="80" t="str">
        <f>IFERROR(__xludf.DUMMYFUNCTION("CONCATENATE(VLOOKUP(C227,'Storage Locations'!$A:$C,2,FALSE),"" "",VLOOKUP(C227,'Storage Locations'!$A:$C,3,FALSE),"" || "",$E227, IF(G227 = ""Yes"",CONCATENATE("" "", REGEXREPLACE(RIGHT(A227,2), ""^0+"","""")),""""), IF(ISBLANK(F227),"""",CONCATENATE("": "&amp;""", F227)))"),"Resistor Organiser 2 Cabinet || Organiser 59")</f>
        <v>Resistor Organiser 2 Cabinet || Organiser 59</v>
      </c>
      <c r="C227" s="124" t="s">
        <v>853</v>
      </c>
      <c r="D227" s="107">
        <v>59.0</v>
      </c>
      <c r="E227" s="83" t="s">
        <v>851</v>
      </c>
      <c r="F227" s="120"/>
      <c r="G227" s="85" t="s">
        <v>785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11" t="str">
        <f t="shared" si="1"/>
        <v>/410/107-60</v>
      </c>
      <c r="B228" s="80" t="str">
        <f>IFERROR(__xludf.DUMMYFUNCTION("CONCATENATE(VLOOKUP(C228,'Storage Locations'!$A:$C,2,FALSE),"" "",VLOOKUP(C228,'Storage Locations'!$A:$C,3,FALSE),"" || "",$E228, IF(G228 = ""Yes"",CONCATENATE("" "", REGEXREPLACE(RIGHT(A228,2), ""^0+"","""")),""""), IF(ISBLANK(F228),"""",CONCATENATE("": "&amp;""", F228)))"),"Resistor Organiser 2 Cabinet || Organiser 60")</f>
        <v>Resistor Organiser 2 Cabinet || Organiser 60</v>
      </c>
      <c r="C228" s="124" t="s">
        <v>853</v>
      </c>
      <c r="D228" s="108">
        <v>60.0</v>
      </c>
      <c r="E228" s="83" t="s">
        <v>851</v>
      </c>
      <c r="F228" s="120"/>
      <c r="G228" s="85" t="s">
        <v>785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79" t="str">
        <f t="shared" si="1"/>
        <v>/410/201-01</v>
      </c>
      <c r="B229" s="80" t="str">
        <f>IFERROR(__xludf.DUMMYFUNCTION("CONCATENATE(VLOOKUP(C229,'Storage Locations'!$A:$C,2,FALSE),"" "",VLOOKUP(C229,'Storage Locations'!$A:$C,3,FALSE),"" || "",$E229, IF(G229 = ""Yes"",CONCATENATE("" "", REGEXREPLACE(RIGHT(A229,2), ""^0+"","""")),""""), IF(ISBLANK(F229),"""",CONCATENATE("": "&amp;""", F229)))"),"Ribbon Cable Cupboard || Shelf 1: Ribbon Cable and Copper Wire Spools")</f>
        <v>Ribbon Cable Cupboard || Shelf 1: Ribbon Cable and Copper Wire Spools</v>
      </c>
      <c r="C229" s="81" t="s">
        <v>854</v>
      </c>
      <c r="D229" s="82">
        <v>1.0</v>
      </c>
      <c r="E229" s="83" t="s">
        <v>783</v>
      </c>
      <c r="F229" s="84" t="s">
        <v>855</v>
      </c>
      <c r="G229" s="85" t="s">
        <v>785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79" t="str">
        <f t="shared" si="1"/>
        <v>/410/201-02</v>
      </c>
      <c r="B230" s="80" t="str">
        <f>IFERROR(__xludf.DUMMYFUNCTION("CONCATENATE(VLOOKUP(C230,'Storage Locations'!$A:$C,2,FALSE),"" "",VLOOKUP(C230,'Storage Locations'!$A:$C,3,FALSE),"" || "",$E230, IF(G230 = ""Yes"",CONCATENATE("" "", REGEXREPLACE(RIGHT(A230,2), ""^0+"","""")),""""), IF(ISBLANK(F230),"""",CONCATENATE("": "&amp;""", F230)))"),"Ribbon Cable Cupboard || Window Sill")</f>
        <v>Ribbon Cable Cupboard || Window Sill</v>
      </c>
      <c r="C230" s="81" t="s">
        <v>854</v>
      </c>
      <c r="D230" s="86">
        <v>2.0</v>
      </c>
      <c r="E230" s="83" t="s">
        <v>833</v>
      </c>
      <c r="F230" s="84"/>
      <c r="G230" s="85" t="s">
        <v>792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91" t="str">
        <f t="shared" si="1"/>
        <v>/410/202-09</v>
      </c>
      <c r="B231" s="80" t="str">
        <f>IFERROR(__xludf.DUMMYFUNCTION("CONCATENATE(VLOOKUP(C231,'Storage Locations'!$A:$C,2,FALSE),"" "",VLOOKUP(C231,'Storage Locations'!$A:$C,3,FALSE),"" || "",$E231, IF(G231 = ""Yes"",CONCATENATE("" "", REGEXREPLACE(RIGHT(A231,2), ""^0+"","""")),""""), IF(ISBLANK(F231),"""",CONCATENATE("": "&amp;""", F231)))"),"Bench Cluster 9,10,13,14 Bench Cluster || Bench 9: Bench 9")</f>
        <v>Bench Cluster 9,10,13,14 Bench Cluster || Bench 9: Bench 9</v>
      </c>
      <c r="C231" s="92" t="s">
        <v>856</v>
      </c>
      <c r="D231" s="108">
        <v>9.0</v>
      </c>
      <c r="E231" s="83" t="s">
        <v>838</v>
      </c>
      <c r="F231" s="84" t="s">
        <v>857</v>
      </c>
      <c r="G231" s="85" t="s">
        <v>785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91" t="str">
        <f t="shared" si="1"/>
        <v>/410/202-10</v>
      </c>
      <c r="B232" s="80" t="str">
        <f>IFERROR(__xludf.DUMMYFUNCTION("CONCATENATE(VLOOKUP(C232,'Storage Locations'!$A:$C,2,FALSE),"" "",VLOOKUP(C232,'Storage Locations'!$A:$C,3,FALSE),"" || "",$E232, IF(G232 = ""Yes"",CONCATENATE("" "", REGEXREPLACE(RIGHT(A232,2), ""^0+"","""")),""""), IF(ISBLANK(F232),"""",CONCATENATE("": "&amp;""", F232)))"),"Bench Cluster 9,10,13,14 Bench Cluster || Bench 10: Bench 10")</f>
        <v>Bench Cluster 9,10,13,14 Bench Cluster || Bench 10: Bench 10</v>
      </c>
      <c r="C232" s="92" t="s">
        <v>856</v>
      </c>
      <c r="D232" s="109">
        <v>10.0</v>
      </c>
      <c r="E232" s="83" t="s">
        <v>838</v>
      </c>
      <c r="F232" s="84" t="s">
        <v>858</v>
      </c>
      <c r="G232" s="85" t="s">
        <v>785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91" t="str">
        <f t="shared" si="1"/>
        <v>/410/202-13</v>
      </c>
      <c r="B233" s="80" t="str">
        <f>IFERROR(__xludf.DUMMYFUNCTION("CONCATENATE(VLOOKUP(C233,'Storage Locations'!$A:$C,2,FALSE),"" "",VLOOKUP(C233,'Storage Locations'!$A:$C,3,FALSE),"" || "",$E233, IF(G233 = ""Yes"",CONCATENATE("" "", REGEXREPLACE(RIGHT(A233,2), ""^0+"","""")),""""), IF(ISBLANK(F233),"""",CONCATENATE("": "&amp;""", F233)))"),"Bench Cluster 9,10,13,14 Bench Cluster || Bench 13: Bench 13")</f>
        <v>Bench Cluster 9,10,13,14 Bench Cluster || Bench 13: Bench 13</v>
      </c>
      <c r="C233" s="92" t="s">
        <v>856</v>
      </c>
      <c r="D233" s="122">
        <v>13.0</v>
      </c>
      <c r="E233" s="83" t="s">
        <v>838</v>
      </c>
      <c r="F233" s="84" t="s">
        <v>859</v>
      </c>
      <c r="G233" s="85" t="s">
        <v>785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91" t="str">
        <f t="shared" si="1"/>
        <v>/410/202-14</v>
      </c>
      <c r="B234" s="80" t="str">
        <f>IFERROR(__xludf.DUMMYFUNCTION("CONCATENATE(VLOOKUP(C234,'Storage Locations'!$A:$C,2,FALSE),"" "",VLOOKUP(C234,'Storage Locations'!$A:$C,3,FALSE),"" || "",$E234, IF(G234 = ""Yes"",CONCATENATE("" "", REGEXREPLACE(RIGHT(A234,2), ""^0+"","""")),""""), IF(ISBLANK(F234),"""",CONCATENATE("": "&amp;""", F234)))"),"Bench Cluster 9,10,13,14 Bench Cluster || Bench 14: Bench 14")</f>
        <v>Bench Cluster 9,10,13,14 Bench Cluster || Bench 14: Bench 14</v>
      </c>
      <c r="C234" s="92" t="s">
        <v>856</v>
      </c>
      <c r="D234" s="99">
        <v>14.0</v>
      </c>
      <c r="E234" s="83" t="s">
        <v>838</v>
      </c>
      <c r="F234" s="84" t="s">
        <v>860</v>
      </c>
      <c r="G234" s="85" t="s">
        <v>785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93" t="str">
        <f t="shared" si="1"/>
        <v>/410/203-01</v>
      </c>
      <c r="B235" s="80" t="str">
        <f>IFERROR(__xludf.DUMMYFUNCTION("CONCATENATE(VLOOKUP(C235,'Storage Locations'!$A:$C,2,FALSE),"" "",VLOOKUP(C235,'Storage Locations'!$A:$C,3,FALSE),"" || "",$E235, IF(G235 = ""Yes"",CONCATENATE("" "", REGEXREPLACE(RIGHT(A235,2), ""^0+"","""")),""""), IF(ISBLANK(F235),"""",CONCATENATE("": "&amp;""", F235)))"),"Bench Tools &amp; Lab Spares Drawer Unit || Drawer 1: Spare Lab Bench Tools")</f>
        <v>Bench Tools &amp; Lab Spares Drawer Unit || Drawer 1: Spare Lab Bench Tools</v>
      </c>
      <c r="C235" s="94" t="s">
        <v>861</v>
      </c>
      <c r="D235" s="82">
        <v>1.0</v>
      </c>
      <c r="E235" s="83" t="s">
        <v>862</v>
      </c>
      <c r="F235" s="84" t="s">
        <v>863</v>
      </c>
      <c r="G235" s="85" t="s">
        <v>785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93" t="str">
        <f t="shared" si="1"/>
        <v>/410/203-02</v>
      </c>
      <c r="B236" s="80" t="str">
        <f>IFERROR(__xludf.DUMMYFUNCTION("CONCATENATE(VLOOKUP(C236,'Storage Locations'!$A:$C,2,FALSE),"" "",VLOOKUP(C236,'Storage Locations'!$A:$C,3,FALSE),"" || "",$E236, IF(G236 = ""Yes"",CONCATENATE("" "", REGEXREPLACE(RIGHT(A236,2), ""^0+"","""")),""""), IF(ISBLANK(F236),"""",CONCATENATE("": "&amp;""", F236)))"),"Bench Tools &amp; Lab Spares Drawer Unit || Drawer 2: 3D Printer Material Processing Accesories &amp; Spare Lab Bench Tools")</f>
        <v>Bench Tools &amp; Lab Spares Drawer Unit || Drawer 2: 3D Printer Material Processing Accesories &amp; Spare Lab Bench Tools</v>
      </c>
      <c r="C236" s="94" t="s">
        <v>861</v>
      </c>
      <c r="D236" s="86">
        <v>2.0</v>
      </c>
      <c r="E236" s="83" t="s">
        <v>862</v>
      </c>
      <c r="F236" s="84" t="s">
        <v>864</v>
      </c>
      <c r="G236" s="85" t="s">
        <v>785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93" t="str">
        <f t="shared" si="1"/>
        <v>/410/203-03</v>
      </c>
      <c r="B237" s="80" t="str">
        <f>IFERROR(__xludf.DUMMYFUNCTION("CONCATENATE(VLOOKUP(C237,'Storage Locations'!$A:$C,2,FALSE),"" "",VLOOKUP(C237,'Storage Locations'!$A:$C,3,FALSE),"" || "",$E237, IF(G237 = ""Yes"",CONCATENATE("" "", REGEXREPLACE(RIGHT(A237,2), ""^0+"","""")),""""), IF(ISBLANK(F237),"""",CONCATENATE("": "&amp;""", F237)))"),"Bench Tools &amp; Lab Spares Drawer Unit || Drawer 3: Measurement and Cutting Tools")</f>
        <v>Bench Tools &amp; Lab Spares Drawer Unit || Drawer 3: Measurement and Cutting Tools</v>
      </c>
      <c r="C237" s="94" t="s">
        <v>861</v>
      </c>
      <c r="D237" s="87">
        <v>3.0</v>
      </c>
      <c r="E237" s="83" t="s">
        <v>862</v>
      </c>
      <c r="F237" s="84" t="s">
        <v>865</v>
      </c>
      <c r="G237" s="85" t="s">
        <v>785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93" t="str">
        <f t="shared" si="1"/>
        <v>/410/203-04</v>
      </c>
      <c r="B238" s="80" t="str">
        <f>IFERROR(__xludf.DUMMYFUNCTION("CONCATENATE(VLOOKUP(C238,'Storage Locations'!$A:$C,2,FALSE),"" "",VLOOKUP(C238,'Storage Locations'!$A:$C,3,FALSE),"" || "",$E238, IF(G238 = ""Yes"",CONCATENATE("" "", REGEXREPLACE(RIGHT(A238,2), ""^0+"","""")),""""), IF(ISBLANK(F238),"""",CONCATENATE("": "&amp;""", F238)))"),"Bench Tools &amp; Lab Spares Drawer Unit || Drawer 4: Distributed Circuits")</f>
        <v>Bench Tools &amp; Lab Spares Drawer Unit || Drawer 4: Distributed Circuits</v>
      </c>
      <c r="C238" s="94" t="s">
        <v>861</v>
      </c>
      <c r="D238" s="88">
        <v>4.0</v>
      </c>
      <c r="E238" s="83" t="s">
        <v>862</v>
      </c>
      <c r="F238" s="84" t="s">
        <v>866</v>
      </c>
      <c r="G238" s="85" t="s">
        <v>785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93" t="str">
        <f t="shared" si="1"/>
        <v>/410/203-05</v>
      </c>
      <c r="B239" s="80" t="str">
        <f>IFERROR(__xludf.DUMMYFUNCTION("CONCATENATE(VLOOKUP(C239,'Storage Locations'!$A:$C,2,FALSE),"" "",VLOOKUP(C239,'Storage Locations'!$A:$C,3,FALSE),"" || "",$E239, IF(G239 = ""Yes"",CONCATENATE("" "", REGEXREPLACE(RIGHT(A239,2), ""^0+"","""")),""""), IF(ISBLANK(F239),"""",CONCATENATE("": "&amp;""", F239)))"),"Bench Tools &amp; Lab Spares Drawer Unit || Top")</f>
        <v>Bench Tools &amp; Lab Spares Drawer Unit || Top</v>
      </c>
      <c r="C239" s="94" t="s">
        <v>861</v>
      </c>
      <c r="D239" s="89">
        <v>5.0</v>
      </c>
      <c r="E239" s="83" t="s">
        <v>790</v>
      </c>
      <c r="F239" s="84"/>
      <c r="G239" s="85" t="s">
        <v>792</v>
      </c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95" t="str">
        <f t="shared" si="1"/>
        <v>/410/204-01</v>
      </c>
      <c r="B240" s="80" t="str">
        <f>IFERROR(__xludf.DUMMYFUNCTION("CONCATENATE(VLOOKUP(C240,'Storage Locations'!$A:$C,2,FALSE),"" "",VLOOKUP(C240,'Storage Locations'!$A:$C,3,FALSE),"" || "",$E240, IF(G240 = ""Yes"",CONCATENATE("" "", REGEXREPLACE(RIGHT(A240,2), ""^0+"","""")),""""), IF(ISBLANK(F240),"""",CONCATENATE("": "&amp;""", F240)))"),"Robotics Arena Parts &amp; Stationery Cupboard || Shelf 1: Webcams, Webcam Accesories &amp; Misc Stationery")</f>
        <v>Robotics Arena Parts &amp; Stationery Cupboard || Shelf 1: Webcams, Webcam Accesories &amp; Misc Stationery</v>
      </c>
      <c r="C240" s="96" t="s">
        <v>867</v>
      </c>
      <c r="D240" s="82">
        <v>1.0</v>
      </c>
      <c r="E240" s="83" t="s">
        <v>783</v>
      </c>
      <c r="F240" s="84" t="s">
        <v>868</v>
      </c>
      <c r="G240" s="85" t="s">
        <v>785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95" t="str">
        <f t="shared" si="1"/>
        <v>/410/204-02</v>
      </c>
      <c r="B241" s="80" t="str">
        <f>IFERROR(__xludf.DUMMYFUNCTION("CONCATENATE(VLOOKUP(C241,'Storage Locations'!$A:$C,2,FALSE),"" "",VLOOKUP(C241,'Storage Locations'!$A:$C,3,FALSE),"" || "",$E241, IF(G241 = ""Yes"",CONCATENATE("" "", REGEXREPLACE(RIGHT(A241,2), ""^0+"","""")),""""), IF(ISBLANK(F241),"""",CONCATENATE("": "&amp;""", F241)))"),"Robotics Arena Parts &amp; Stationery Cupboard || Shelf 2: Robotics Arena Accesories")</f>
        <v>Robotics Arena Parts &amp; Stationery Cupboard || Shelf 2: Robotics Arena Accesories</v>
      </c>
      <c r="C241" s="96" t="s">
        <v>867</v>
      </c>
      <c r="D241" s="86">
        <v>2.0</v>
      </c>
      <c r="E241" s="83" t="s">
        <v>783</v>
      </c>
      <c r="F241" s="84" t="s">
        <v>869</v>
      </c>
      <c r="G241" s="85" t="s">
        <v>785</v>
      </c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95" t="str">
        <f t="shared" si="1"/>
        <v>/410/204-03</v>
      </c>
      <c r="B242" s="80" t="str">
        <f>IFERROR(__xludf.DUMMYFUNCTION("CONCATENATE(VLOOKUP(C242,'Storage Locations'!$A:$C,2,FALSE),"" "",VLOOKUP(C242,'Storage Locations'!$A:$C,3,FALSE),"" || "",$E242, IF(G242 = ""Yes"",CONCATENATE("" "", REGEXREPLACE(RIGHT(A242,2), ""^0+"","""")),""""), IF(ISBLANK(F242),"""",CONCATENATE("": "&amp;""", F242)))"),"Robotics Arena Parts &amp; Stationery Cupboard || Top")</f>
        <v>Robotics Arena Parts &amp; Stationery Cupboard || Top</v>
      </c>
      <c r="C242" s="96" t="s">
        <v>867</v>
      </c>
      <c r="D242" s="87">
        <v>3.0</v>
      </c>
      <c r="E242" s="83" t="s">
        <v>790</v>
      </c>
      <c r="F242" s="84"/>
      <c r="G242" s="85" t="s">
        <v>792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97" t="str">
        <f t="shared" si="1"/>
        <v>/410/205-01</v>
      </c>
      <c r="B243" s="80" t="str">
        <f>IFERROR(__xludf.DUMMYFUNCTION("CONCATENATE(VLOOKUP(C243,'Storage Locations'!$A:$C,2,FALSE),"" "",VLOOKUP(C243,'Storage Locations'!$A:$C,3,FALSE),"" || "",$E243, IF(G243 = ""Yes"",CONCATENATE("" "", REGEXREPLACE(RIGHT(A243,2), ""^0+"","""")),""""), IF(ISBLANK(F243),"""",CONCATENATE("": "&amp;""", F243)))"),"Temporary Project Components Cupboard || Shelf 1")</f>
        <v>Temporary Project Components Cupboard || Shelf 1</v>
      </c>
      <c r="C243" s="98" t="s">
        <v>870</v>
      </c>
      <c r="D243" s="82">
        <v>1.0</v>
      </c>
      <c r="E243" s="83" t="s">
        <v>783</v>
      </c>
      <c r="F243" s="84"/>
      <c r="G243" s="85" t="s">
        <v>785</v>
      </c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97" t="str">
        <f t="shared" si="1"/>
        <v>/410/205-02</v>
      </c>
      <c r="B244" s="80" t="str">
        <f>IFERROR(__xludf.DUMMYFUNCTION("CONCATENATE(VLOOKUP(C244,'Storage Locations'!$A:$C,2,FALSE),"" "",VLOOKUP(C244,'Storage Locations'!$A:$C,3,FALSE),"" || "",$E244, IF(G244 = ""Yes"",CONCATENATE("" "", REGEXREPLACE(RIGHT(A244,2), ""^0+"","""")),""""), IF(ISBLANK(F244),"""",CONCATENATE("": "&amp;""", F244)))"),"Temporary Project Components Cupboard || Top")</f>
        <v>Temporary Project Components Cupboard || Top</v>
      </c>
      <c r="C244" s="98" t="s">
        <v>870</v>
      </c>
      <c r="D244" s="86">
        <v>2.0</v>
      </c>
      <c r="E244" s="83" t="s">
        <v>790</v>
      </c>
      <c r="F244" s="84"/>
      <c r="G244" s="85" t="s">
        <v>792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04" t="str">
        <f t="shared" si="1"/>
        <v>/410/206-01</v>
      </c>
      <c r="B245" s="80" t="str">
        <f>IFERROR(__xludf.DUMMYFUNCTION("CONCATENATE(VLOOKUP(C245,'Storage Locations'!$A:$C,2,FALSE),"" "",VLOOKUP(C245,'Storage Locations'!$A:$C,3,FALSE),"" || "",$E245, IF(G245 = ""Yes"",CONCATENATE("" "", REGEXREPLACE(RIGHT(A245,2), ""^0+"","""")),""""), IF(ISBLANK(F245),"""",CONCATENATE("": "&amp;""", F245)))"),"RPRK &amp; RDaC Project Spares Cupboard || Shelf 1: Robotics Kit Inventory and Spare Parts")</f>
        <v>RPRK &amp; RDaC Project Spares Cupboard || Shelf 1: Robotics Kit Inventory and Spare Parts</v>
      </c>
      <c r="C245" s="105" t="s">
        <v>871</v>
      </c>
      <c r="D245" s="82">
        <v>1.0</v>
      </c>
      <c r="E245" s="83" t="s">
        <v>783</v>
      </c>
      <c r="F245" s="84" t="s">
        <v>872</v>
      </c>
      <c r="G245" s="85" t="s">
        <v>785</v>
      </c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04" t="str">
        <f t="shared" si="1"/>
        <v>/410/206-02</v>
      </c>
      <c r="B246" s="80" t="str">
        <f>IFERROR(__xludf.DUMMYFUNCTION("CONCATENATE(VLOOKUP(C246,'Storage Locations'!$A:$C,2,FALSE),"" "",VLOOKUP(C246,'Storage Locations'!$A:$C,3,FALSE),"" || "",$E246, IF(G246 = ""Yes"",CONCATENATE("" "", REGEXREPLACE(RIGHT(A246,2), ""^0+"","""")),""""), IF(ISBLANK(F246),"""",CONCATENATE("": "&amp;""", F246)))"),"RPRK &amp; RDaC Project Spares Cupboard || Top")</f>
        <v>RPRK &amp; RDaC Project Spares Cupboard || Top</v>
      </c>
      <c r="C246" s="105" t="s">
        <v>871</v>
      </c>
      <c r="D246" s="86">
        <v>2.0</v>
      </c>
      <c r="E246" s="83" t="s">
        <v>790</v>
      </c>
      <c r="F246" s="84"/>
      <c r="G246" s="85" t="s">
        <v>792</v>
      </c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11" t="str">
        <f t="shared" si="1"/>
        <v>/410/207-01</v>
      </c>
      <c r="B247" s="80" t="str">
        <f>IFERROR(__xludf.DUMMYFUNCTION("CONCATENATE(VLOOKUP(C247,'Storage Locations'!$A:$C,2,FALSE),"" "",VLOOKUP(C247,'Storage Locations'!$A:$C,3,FALSE),"" || "",$E247, IF(G247 = ""Yes"",CONCATENATE("" "", REGEXREPLACE(RIGHT(A247,2), ""^0+"","""")),""""), IF(ISBLANK(F247),"""",CONCATENATE("": "&amp;""", F247)))"),"West Wall Lockers Locker Group || Locker/Safe 1: Locker 1")</f>
        <v>West Wall Lockers Locker Group || Locker/Safe 1: Locker 1</v>
      </c>
      <c r="C247" s="112" t="s">
        <v>873</v>
      </c>
      <c r="D247" s="82">
        <v>1.0</v>
      </c>
      <c r="E247" s="83" t="s">
        <v>808</v>
      </c>
      <c r="F247" s="84" t="s">
        <v>874</v>
      </c>
      <c r="G247" s="85" t="s">
        <v>785</v>
      </c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11" t="str">
        <f t="shared" si="1"/>
        <v>/410/207-02</v>
      </c>
      <c r="B248" s="80" t="str">
        <f>IFERROR(__xludf.DUMMYFUNCTION("CONCATENATE(VLOOKUP(C248,'Storage Locations'!$A:$C,2,FALSE),"" "",VLOOKUP(C248,'Storage Locations'!$A:$C,3,FALSE),"" || "",$E248, IF(G248 = ""Yes"",CONCATENATE("" "", REGEXREPLACE(RIGHT(A248,2), ""^0+"","""")),""""), IF(ISBLANK(F248),"""",CONCATENATE("": "&amp;""", F248)))"),"West Wall Lockers Locker Group || Locker/Safe 2: Locker 2")</f>
        <v>West Wall Lockers Locker Group || Locker/Safe 2: Locker 2</v>
      </c>
      <c r="C248" s="112" t="s">
        <v>873</v>
      </c>
      <c r="D248" s="86">
        <v>2.0</v>
      </c>
      <c r="E248" s="83" t="s">
        <v>808</v>
      </c>
      <c r="F248" s="84" t="s">
        <v>875</v>
      </c>
      <c r="G248" s="85" t="s">
        <v>785</v>
      </c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11" t="str">
        <f t="shared" si="1"/>
        <v>/410/207-03</v>
      </c>
      <c r="B249" s="80" t="str">
        <f>IFERROR(__xludf.DUMMYFUNCTION("CONCATENATE(VLOOKUP(C249,'Storage Locations'!$A:$C,2,FALSE),"" "",VLOOKUP(C249,'Storage Locations'!$A:$C,3,FALSE),"" || "",$E249, IF(G249 = ""Yes"",CONCATENATE("" "", REGEXREPLACE(RIGHT(A249,2), ""^0+"","""")),""""), IF(ISBLANK(F249),"""",CONCATENATE("": "&amp;""", F249)))"),"West Wall Lockers Locker Group || Locker/Safe 3: Locker 3")</f>
        <v>West Wall Lockers Locker Group || Locker/Safe 3: Locker 3</v>
      </c>
      <c r="C249" s="112" t="s">
        <v>873</v>
      </c>
      <c r="D249" s="87">
        <v>3.0</v>
      </c>
      <c r="E249" s="83" t="s">
        <v>808</v>
      </c>
      <c r="F249" s="84" t="s">
        <v>876</v>
      </c>
      <c r="G249" s="85" t="s">
        <v>785</v>
      </c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11" t="str">
        <f t="shared" si="1"/>
        <v>/410/207-04</v>
      </c>
      <c r="B250" s="80" t="str">
        <f>IFERROR(__xludf.DUMMYFUNCTION("CONCATENATE(VLOOKUP(C250,'Storage Locations'!$A:$C,2,FALSE),"" "",VLOOKUP(C250,'Storage Locations'!$A:$C,3,FALSE),"" || "",$E250, IF(G250 = ""Yes"",CONCATENATE("" "", REGEXREPLACE(RIGHT(A250,2), ""^0+"","""")),""""), IF(ISBLANK(F250),"""",CONCATENATE("": "&amp;""", F250)))"),"West Wall Lockers Locker Group || Locker/Safe 4: Locker 4")</f>
        <v>West Wall Lockers Locker Group || Locker/Safe 4: Locker 4</v>
      </c>
      <c r="C250" s="112" t="s">
        <v>873</v>
      </c>
      <c r="D250" s="88">
        <v>4.0</v>
      </c>
      <c r="E250" s="83" t="s">
        <v>808</v>
      </c>
      <c r="F250" s="84" t="s">
        <v>877</v>
      </c>
      <c r="G250" s="85" t="s">
        <v>785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11" t="str">
        <f t="shared" si="1"/>
        <v>/410/207-05</v>
      </c>
      <c r="B251" s="80" t="str">
        <f>IFERROR(__xludf.DUMMYFUNCTION("CONCATENATE(VLOOKUP(C251,'Storage Locations'!$A:$C,2,FALSE),"" "",VLOOKUP(C251,'Storage Locations'!$A:$C,3,FALSE),"" || "",$E251, IF(G251 = ""Yes"",CONCATENATE("" "", REGEXREPLACE(RIGHT(A251,2), ""^0+"","""")),""""), IF(ISBLANK(F251),"""",CONCATENATE("": "&amp;""", F251)))"),"West Wall Lockers Locker Group || Locker/Safe 5: Locker 5")</f>
        <v>West Wall Lockers Locker Group || Locker/Safe 5: Locker 5</v>
      </c>
      <c r="C251" s="112" t="s">
        <v>873</v>
      </c>
      <c r="D251" s="89">
        <v>5.0</v>
      </c>
      <c r="E251" s="83" t="s">
        <v>808</v>
      </c>
      <c r="F251" s="84" t="s">
        <v>878</v>
      </c>
      <c r="G251" s="85" t="s">
        <v>785</v>
      </c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11" t="str">
        <f t="shared" si="1"/>
        <v>/410/207-06</v>
      </c>
      <c r="B252" s="80" t="str">
        <f>IFERROR(__xludf.DUMMYFUNCTION("CONCATENATE(VLOOKUP(C252,'Storage Locations'!$A:$C,2,FALSE),"" "",VLOOKUP(C252,'Storage Locations'!$A:$C,3,FALSE),"" || "",$E252, IF(G252 = ""Yes"",CONCATENATE("" "", REGEXREPLACE(RIGHT(A252,2), ""^0+"","""")),""""), IF(ISBLANK(F252),"""",CONCATENATE("": "&amp;""", F252)))"),"West Wall Lockers Locker Group || Locker/Safe 6: Locker 6")</f>
        <v>West Wall Lockers Locker Group || Locker/Safe 6: Locker 6</v>
      </c>
      <c r="C252" s="112" t="s">
        <v>873</v>
      </c>
      <c r="D252" s="90">
        <v>6.0</v>
      </c>
      <c r="E252" s="83" t="s">
        <v>808</v>
      </c>
      <c r="F252" s="84" t="s">
        <v>879</v>
      </c>
      <c r="G252" s="85" t="s">
        <v>785</v>
      </c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11" t="str">
        <f t="shared" si="1"/>
        <v>/410/207-07</v>
      </c>
      <c r="B253" s="80" t="str">
        <f>IFERROR(__xludf.DUMMYFUNCTION("CONCATENATE(VLOOKUP(C253,'Storage Locations'!$A:$C,2,FALSE),"" "",VLOOKUP(C253,'Storage Locations'!$A:$C,3,FALSE),"" || "",$E253, IF(G253 = ""Yes"",CONCATENATE("" "", REGEXREPLACE(RIGHT(A253,2), ""^0+"","""")),""""), IF(ISBLANK(F253),"""",CONCATENATE("": "&amp;""", F253)))"),"West Wall Lockers Locker Group || Locker/Safe 7: Locker 7")</f>
        <v>West Wall Lockers Locker Group || Locker/Safe 7: Locker 7</v>
      </c>
      <c r="C253" s="112" t="s">
        <v>873</v>
      </c>
      <c r="D253" s="106">
        <v>7.0</v>
      </c>
      <c r="E253" s="83" t="s">
        <v>808</v>
      </c>
      <c r="F253" s="84" t="s">
        <v>880</v>
      </c>
      <c r="G253" s="85" t="s">
        <v>785</v>
      </c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11" t="str">
        <f t="shared" si="1"/>
        <v>/410/207-08</v>
      </c>
      <c r="B254" s="80" t="str">
        <f>IFERROR(__xludf.DUMMYFUNCTION("CONCATENATE(VLOOKUP(C254,'Storage Locations'!$A:$C,2,FALSE),"" "",VLOOKUP(C254,'Storage Locations'!$A:$C,3,FALSE),"" || "",$E254, IF(G254 = ""Yes"",CONCATENATE("" "", REGEXREPLACE(RIGHT(A254,2), ""^0+"","""")),""""), IF(ISBLANK(F254),"""",CONCATENATE("": "&amp;""", F254)))"),"West Wall Lockers Locker Group || Locker/Safe 8: Locker 8")</f>
        <v>West Wall Lockers Locker Group || Locker/Safe 8: Locker 8</v>
      </c>
      <c r="C254" s="112" t="s">
        <v>873</v>
      </c>
      <c r="D254" s="107">
        <v>8.0</v>
      </c>
      <c r="E254" s="83" t="s">
        <v>808</v>
      </c>
      <c r="F254" s="84" t="s">
        <v>881</v>
      </c>
      <c r="G254" s="85" t="s">
        <v>785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11" t="str">
        <f t="shared" si="1"/>
        <v>/410/207-09</v>
      </c>
      <c r="B255" s="80" t="str">
        <f>IFERROR(__xludf.DUMMYFUNCTION("CONCATENATE(VLOOKUP(C255,'Storage Locations'!$A:$C,2,FALSE),"" "",VLOOKUP(C255,'Storage Locations'!$A:$C,3,FALSE),"" || "",$E255, IF(G255 = ""Yes"",CONCATENATE("" "", REGEXREPLACE(RIGHT(A255,2), ""^0+"","""")),""""), IF(ISBLANK(F255),"""",CONCATENATE("": "&amp;""", F255)))"),"West Wall Lockers Locker Group || Locker/Safe 9: Locker 9")</f>
        <v>West Wall Lockers Locker Group || Locker/Safe 9: Locker 9</v>
      </c>
      <c r="C255" s="112" t="s">
        <v>873</v>
      </c>
      <c r="D255" s="108">
        <v>9.0</v>
      </c>
      <c r="E255" s="83" t="s">
        <v>808</v>
      </c>
      <c r="F255" s="84" t="s">
        <v>882</v>
      </c>
      <c r="G255" s="85" t="s">
        <v>785</v>
      </c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11" t="str">
        <f t="shared" si="1"/>
        <v>/410/207-10</v>
      </c>
      <c r="B256" s="80" t="str">
        <f>IFERROR(__xludf.DUMMYFUNCTION("CONCATENATE(VLOOKUP(C256,'Storage Locations'!$A:$C,2,FALSE),"" "",VLOOKUP(C256,'Storage Locations'!$A:$C,3,FALSE),"" || "",$E256, IF(G256 = ""Yes"",CONCATENATE("" "", REGEXREPLACE(RIGHT(A256,2), ""^0+"","""")),""""), IF(ISBLANK(F256),"""",CONCATENATE("": "&amp;""", F256)))"),"West Wall Lockers Locker Group || Locker/Safe 10: Locker 10")</f>
        <v>West Wall Lockers Locker Group || Locker/Safe 10: Locker 10</v>
      </c>
      <c r="C256" s="112" t="s">
        <v>873</v>
      </c>
      <c r="D256" s="109">
        <v>10.0</v>
      </c>
      <c r="E256" s="83" t="s">
        <v>808</v>
      </c>
      <c r="F256" s="84" t="s">
        <v>883</v>
      </c>
      <c r="G256" s="85" t="s">
        <v>785</v>
      </c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11" t="str">
        <f t="shared" si="1"/>
        <v>/410/207-11</v>
      </c>
      <c r="B257" s="80" t="str">
        <f>IFERROR(__xludf.DUMMYFUNCTION("CONCATENATE(VLOOKUP(C257,'Storage Locations'!$A:$C,2,FALSE),"" "",VLOOKUP(C257,'Storage Locations'!$A:$C,3,FALSE),"" || "",$E257, IF(G257 = ""Yes"",CONCATENATE("" "", REGEXREPLACE(RIGHT(A257,2), ""^0+"","""")),""""), IF(ISBLANK(F257),"""",CONCATENATE("": "&amp;""", F257)))"),"West Wall Lockers Locker Group || Locker/Safe 11: Locker 11")</f>
        <v>West Wall Lockers Locker Group || Locker/Safe 11: Locker 11</v>
      </c>
      <c r="C257" s="112" t="s">
        <v>873</v>
      </c>
      <c r="D257" s="110">
        <v>11.0</v>
      </c>
      <c r="E257" s="83" t="s">
        <v>808</v>
      </c>
      <c r="F257" s="84" t="s">
        <v>884</v>
      </c>
      <c r="G257" s="85" t="s">
        <v>785</v>
      </c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11" t="str">
        <f t="shared" si="1"/>
        <v>/410/207-12</v>
      </c>
      <c r="B258" s="80" t="str">
        <f>IFERROR(__xludf.DUMMYFUNCTION("CONCATENATE(VLOOKUP(C258,'Storage Locations'!$A:$C,2,FALSE),"" "",VLOOKUP(C258,'Storage Locations'!$A:$C,3,FALSE),"" || "",$E258, IF(G258 = ""Yes"",CONCATENATE("" "", REGEXREPLACE(RIGHT(A258,2), ""^0+"","""")),""""), IF(ISBLANK(F258),"""",CONCATENATE("": "&amp;""", F258)))"),"West Wall Lockers Locker Group || Locker/Safe 12: Locker 12")</f>
        <v>West Wall Lockers Locker Group || Locker/Safe 12: Locker 12</v>
      </c>
      <c r="C258" s="112" t="s">
        <v>873</v>
      </c>
      <c r="D258" s="121">
        <v>12.0</v>
      </c>
      <c r="E258" s="83" t="s">
        <v>808</v>
      </c>
      <c r="F258" s="84" t="s">
        <v>885</v>
      </c>
      <c r="G258" s="85" t="s">
        <v>785</v>
      </c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11" t="str">
        <f t="shared" si="1"/>
        <v>/410/207-13</v>
      </c>
      <c r="B259" s="80" t="str">
        <f>IFERROR(__xludf.DUMMYFUNCTION("CONCATENATE(VLOOKUP(C259,'Storage Locations'!$A:$C,2,FALSE),"" "",VLOOKUP(C259,'Storage Locations'!$A:$C,3,FALSE),"" || "",$E259, IF(G259 = ""Yes"",CONCATENATE("" "", REGEXREPLACE(RIGHT(A259,2), ""^0+"","""")),""""), IF(ISBLANK(F259),"""",CONCATENATE("": "&amp;""", F259)))"),"West Wall Lockers Locker Group || Locker/Safe 13: Locker 13")</f>
        <v>West Wall Lockers Locker Group || Locker/Safe 13: Locker 13</v>
      </c>
      <c r="C259" s="112" t="s">
        <v>873</v>
      </c>
      <c r="D259" s="122">
        <v>13.0</v>
      </c>
      <c r="E259" s="83" t="s">
        <v>808</v>
      </c>
      <c r="F259" s="84" t="s">
        <v>886</v>
      </c>
      <c r="G259" s="85" t="s">
        <v>785</v>
      </c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11" t="str">
        <f t="shared" si="1"/>
        <v>/410/207-14</v>
      </c>
      <c r="B260" s="80" t="str">
        <f>IFERROR(__xludf.DUMMYFUNCTION("CONCATENATE(VLOOKUP(C260,'Storage Locations'!$A:$C,2,FALSE),"" "",VLOOKUP(C260,'Storage Locations'!$A:$C,3,FALSE),"" || "",$E260, IF(G260 = ""Yes"",CONCATENATE("" "", REGEXREPLACE(RIGHT(A260,2), ""^0+"","""")),""""), IF(ISBLANK(F260),"""",CONCATENATE("": "&amp;""", F260)))"),"West Wall Lockers Locker Group || Locker/Safe 14: Locker 14")</f>
        <v>West Wall Lockers Locker Group || Locker/Safe 14: Locker 14</v>
      </c>
      <c r="C260" s="112" t="s">
        <v>873</v>
      </c>
      <c r="D260" s="99">
        <v>14.0</v>
      </c>
      <c r="E260" s="83" t="s">
        <v>808</v>
      </c>
      <c r="F260" s="84" t="s">
        <v>887</v>
      </c>
      <c r="G260" s="85" t="s">
        <v>785</v>
      </c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11" t="str">
        <f t="shared" si="1"/>
        <v>/410/207-15</v>
      </c>
      <c r="B261" s="80" t="str">
        <f>IFERROR(__xludf.DUMMYFUNCTION("CONCATENATE(VLOOKUP(C261,'Storage Locations'!$A:$C,2,FALSE),"" "",VLOOKUP(C261,'Storage Locations'!$A:$C,3,FALSE),"" || "",$E261, IF(G261 = ""Yes"",CONCATENATE("" "", REGEXREPLACE(RIGHT(A261,2), ""^0+"","""")),""""), IF(ISBLANK(F261),"""",CONCATENATE("": "&amp;""", F261)))"),"West Wall Lockers Locker Group || Locker/Safe 15: Locker 15")</f>
        <v>West Wall Lockers Locker Group || Locker/Safe 15: Locker 15</v>
      </c>
      <c r="C261" s="112" t="s">
        <v>873</v>
      </c>
      <c r="D261" s="100">
        <v>15.0</v>
      </c>
      <c r="E261" s="83" t="s">
        <v>808</v>
      </c>
      <c r="F261" s="84" t="s">
        <v>888</v>
      </c>
      <c r="G261" s="85" t="s">
        <v>785</v>
      </c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11" t="str">
        <f t="shared" si="1"/>
        <v>/410/207-16</v>
      </c>
      <c r="B262" s="80" t="str">
        <f>IFERROR(__xludf.DUMMYFUNCTION("CONCATENATE(VLOOKUP(C262,'Storage Locations'!$A:$C,2,FALSE),"" "",VLOOKUP(C262,'Storage Locations'!$A:$C,3,FALSE),"" || "",$E262, IF(G262 = ""Yes"",CONCATENATE("" "", REGEXREPLACE(RIGHT(A262,2), ""^0+"","""")),""""), IF(ISBLANK(F262),"""",CONCATENATE("": "&amp;""", F262)))"),"West Wall Lockers Locker Group || Locker/Safe 16: Locker 16")</f>
        <v>West Wall Lockers Locker Group || Locker/Safe 16: Locker 16</v>
      </c>
      <c r="C262" s="112" t="s">
        <v>873</v>
      </c>
      <c r="D262" s="101">
        <v>16.0</v>
      </c>
      <c r="E262" s="83" t="s">
        <v>808</v>
      </c>
      <c r="F262" s="84" t="s">
        <v>889</v>
      </c>
      <c r="G262" s="85" t="s">
        <v>785</v>
      </c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11" t="str">
        <f t="shared" si="1"/>
        <v>/410/207-17</v>
      </c>
      <c r="B263" s="80" t="str">
        <f>IFERROR(__xludf.DUMMYFUNCTION("CONCATENATE(VLOOKUP(C263,'Storage Locations'!$A:$C,2,FALSE),"" "",VLOOKUP(C263,'Storage Locations'!$A:$C,3,FALSE),"" || "",$E263, IF(G263 = ""Yes"",CONCATENATE("" "", REGEXREPLACE(RIGHT(A263,2), ""^0+"","""")),""""), IF(ISBLANK(F263),"""",CONCATENATE("": "&amp;""", F263)))"),"West Wall Lockers Locker Group || Locker/Safe 17: Locker 17")</f>
        <v>West Wall Lockers Locker Group || Locker/Safe 17: Locker 17</v>
      </c>
      <c r="C263" s="112" t="s">
        <v>873</v>
      </c>
      <c r="D263" s="102">
        <v>17.0</v>
      </c>
      <c r="E263" s="83" t="s">
        <v>808</v>
      </c>
      <c r="F263" s="84" t="s">
        <v>890</v>
      </c>
      <c r="G263" s="85" t="s">
        <v>785</v>
      </c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11" t="str">
        <f t="shared" si="1"/>
        <v>/410/207-18</v>
      </c>
      <c r="B264" s="80" t="str">
        <f>IFERROR(__xludf.DUMMYFUNCTION("CONCATENATE(VLOOKUP(C264,'Storage Locations'!$A:$C,2,FALSE),"" "",VLOOKUP(C264,'Storage Locations'!$A:$C,3,FALSE),"" || "",$E264, IF(G264 = ""Yes"",CONCATENATE("" "", REGEXREPLACE(RIGHT(A264,2), ""^0+"","""")),""""), IF(ISBLANK(F264),"""",CONCATENATE("": "&amp;""", F264)))"),"West Wall Lockers Locker Group || Locker/Safe 18: Locker 18")</f>
        <v>West Wall Lockers Locker Group || Locker/Safe 18: Locker 18</v>
      </c>
      <c r="C264" s="112" t="s">
        <v>873</v>
      </c>
      <c r="D264" s="82">
        <v>18.0</v>
      </c>
      <c r="E264" s="83" t="s">
        <v>808</v>
      </c>
      <c r="F264" s="84" t="s">
        <v>891</v>
      </c>
      <c r="G264" s="85" t="s">
        <v>785</v>
      </c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11" t="str">
        <f t="shared" si="1"/>
        <v>/410/207-19</v>
      </c>
      <c r="B265" s="80" t="str">
        <f>IFERROR(__xludf.DUMMYFUNCTION("CONCATENATE(VLOOKUP(C265,'Storage Locations'!$A:$C,2,FALSE),"" "",VLOOKUP(C265,'Storage Locations'!$A:$C,3,FALSE),"" || "",$E265, IF(G265 = ""Yes"",CONCATENATE("" "", REGEXREPLACE(RIGHT(A265,2), ""^0+"","""")),""""), IF(ISBLANK(F265),"""",CONCATENATE("": "&amp;""", F265)))"),"West Wall Lockers Locker Group || Locker/Safe 19: Locker 19")</f>
        <v>West Wall Lockers Locker Group || Locker/Safe 19: Locker 19</v>
      </c>
      <c r="C265" s="112" t="s">
        <v>873</v>
      </c>
      <c r="D265" s="86">
        <v>19.0</v>
      </c>
      <c r="E265" s="83" t="s">
        <v>808</v>
      </c>
      <c r="F265" s="84" t="s">
        <v>892</v>
      </c>
      <c r="G265" s="85" t="s">
        <v>785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11" t="str">
        <f t="shared" si="1"/>
        <v>/410/207-20</v>
      </c>
      <c r="B266" s="80" t="str">
        <f>IFERROR(__xludf.DUMMYFUNCTION("CONCATENATE(VLOOKUP(C266,'Storage Locations'!$A:$C,2,FALSE),"" "",VLOOKUP(C266,'Storage Locations'!$A:$C,3,FALSE),"" || "",$E266, IF(G266 = ""Yes"",CONCATENATE("" "", REGEXREPLACE(RIGHT(A266,2), ""^0+"","""")),""""), IF(ISBLANK(F266),"""",CONCATENATE("": "&amp;""", F266)))"),"West Wall Lockers Locker Group || Locker/Safe 20: Locker 20")</f>
        <v>West Wall Lockers Locker Group || Locker/Safe 20: Locker 20</v>
      </c>
      <c r="C266" s="112" t="s">
        <v>873</v>
      </c>
      <c r="D266" s="87">
        <v>20.0</v>
      </c>
      <c r="E266" s="83" t="s">
        <v>808</v>
      </c>
      <c r="F266" s="84" t="s">
        <v>893</v>
      </c>
      <c r="G266" s="85" t="s">
        <v>785</v>
      </c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11" t="str">
        <f t="shared" si="1"/>
        <v>/410/207-21</v>
      </c>
      <c r="B267" s="80" t="str">
        <f>IFERROR(__xludf.DUMMYFUNCTION("CONCATENATE(VLOOKUP(C267,'Storage Locations'!$A:$C,2,FALSE),"" "",VLOOKUP(C267,'Storage Locations'!$A:$C,3,FALSE),"" || "",$E267, IF(G267 = ""Yes"",CONCATENATE("" "", REGEXREPLACE(RIGHT(A267,2), ""^0+"","""")),""""), IF(ISBLANK(F267),"""",CONCATENATE("": "&amp;""", F267)))"),"West Wall Lockers Locker Group || Locker/Safe 21: Locker 21")</f>
        <v>West Wall Lockers Locker Group || Locker/Safe 21: Locker 21</v>
      </c>
      <c r="C267" s="112" t="s">
        <v>873</v>
      </c>
      <c r="D267" s="88">
        <v>21.0</v>
      </c>
      <c r="E267" s="83" t="s">
        <v>808</v>
      </c>
      <c r="F267" s="84" t="s">
        <v>894</v>
      </c>
      <c r="G267" s="85" t="s">
        <v>785</v>
      </c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11" t="str">
        <f t="shared" si="1"/>
        <v>/410/207-22</v>
      </c>
      <c r="B268" s="80" t="str">
        <f>IFERROR(__xludf.DUMMYFUNCTION("CONCATENATE(VLOOKUP(C268,'Storage Locations'!$A:$C,2,FALSE),"" "",VLOOKUP(C268,'Storage Locations'!$A:$C,3,FALSE),"" || "",$E268, IF(G268 = ""Yes"",CONCATENATE("" "", REGEXREPLACE(RIGHT(A268,2), ""^0+"","""")),""""), IF(ISBLANK(F268),"""",CONCATENATE("": "&amp;""", F268)))"),"West Wall Lockers Locker Group || Locker/Safe 22: Locker 22")</f>
        <v>West Wall Lockers Locker Group || Locker/Safe 22: Locker 22</v>
      </c>
      <c r="C268" s="112" t="s">
        <v>873</v>
      </c>
      <c r="D268" s="89">
        <v>22.0</v>
      </c>
      <c r="E268" s="83" t="s">
        <v>808</v>
      </c>
      <c r="F268" s="84" t="s">
        <v>895</v>
      </c>
      <c r="G268" s="85" t="s">
        <v>785</v>
      </c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11" t="str">
        <f t="shared" si="1"/>
        <v>/410/207-23</v>
      </c>
      <c r="B269" s="80" t="str">
        <f>IFERROR(__xludf.DUMMYFUNCTION("CONCATENATE(VLOOKUP(C269,'Storage Locations'!$A:$C,2,FALSE),"" "",VLOOKUP(C269,'Storage Locations'!$A:$C,3,FALSE),"" || "",$E269, IF(G269 = ""Yes"",CONCATENATE("" "", REGEXREPLACE(RIGHT(A269,2), ""^0+"","""")),""""), IF(ISBLANK(F269),"""",CONCATENATE("": "&amp;""", F269)))"),"West Wall Lockers Locker Group || Locker/Safe 23: Locker 23")</f>
        <v>West Wall Lockers Locker Group || Locker/Safe 23: Locker 23</v>
      </c>
      <c r="C269" s="112" t="s">
        <v>873</v>
      </c>
      <c r="D269" s="90">
        <v>23.0</v>
      </c>
      <c r="E269" s="83" t="s">
        <v>808</v>
      </c>
      <c r="F269" s="84" t="s">
        <v>896</v>
      </c>
      <c r="G269" s="85" t="s">
        <v>785</v>
      </c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11" t="str">
        <f t="shared" si="1"/>
        <v>/410/207-24</v>
      </c>
      <c r="B270" s="80" t="str">
        <f>IFERROR(__xludf.DUMMYFUNCTION("CONCATENATE(VLOOKUP(C270,'Storage Locations'!$A:$C,2,FALSE),"" "",VLOOKUP(C270,'Storage Locations'!$A:$C,3,FALSE),"" || "",$E270, IF(G270 = ""Yes"",CONCATENATE("" "", REGEXREPLACE(RIGHT(A270,2), ""^0+"","""")),""""), IF(ISBLANK(F270),"""",CONCATENATE("": "&amp;""", F270)))"),"West Wall Lockers Locker Group || Locker/Safe 24: Locker 24")</f>
        <v>West Wall Lockers Locker Group || Locker/Safe 24: Locker 24</v>
      </c>
      <c r="C270" s="112" t="s">
        <v>873</v>
      </c>
      <c r="D270" s="106">
        <v>24.0</v>
      </c>
      <c r="E270" s="83" t="s">
        <v>808</v>
      </c>
      <c r="F270" s="84" t="s">
        <v>897</v>
      </c>
      <c r="G270" s="85" t="s">
        <v>785</v>
      </c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11" t="str">
        <f t="shared" si="1"/>
        <v>/410/207-25</v>
      </c>
      <c r="B271" s="80" t="str">
        <f>IFERROR(__xludf.DUMMYFUNCTION("CONCATENATE(VLOOKUP(C271,'Storage Locations'!$A:$C,2,FALSE),"" "",VLOOKUP(C271,'Storage Locations'!$A:$C,3,FALSE),"" || "",$E271, IF(G271 = ""Yes"",CONCATENATE("" "", REGEXREPLACE(RIGHT(A271,2), ""^0+"","""")),""""), IF(ISBLANK(F271),"""",CONCATENATE("": "&amp;""", F271)))"),"West Wall Lockers Locker Group || Locker/Safe 25: Locker 25")</f>
        <v>West Wall Lockers Locker Group || Locker/Safe 25: Locker 25</v>
      </c>
      <c r="C271" s="112" t="s">
        <v>873</v>
      </c>
      <c r="D271" s="107">
        <v>25.0</v>
      </c>
      <c r="E271" s="83" t="s">
        <v>808</v>
      </c>
      <c r="F271" s="84" t="s">
        <v>898</v>
      </c>
      <c r="G271" s="85" t="s">
        <v>785</v>
      </c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11" t="str">
        <f t="shared" si="1"/>
        <v>/410/207-26</v>
      </c>
      <c r="B272" s="80" t="str">
        <f>IFERROR(__xludf.DUMMYFUNCTION("CONCATENATE(VLOOKUP(C272,'Storage Locations'!$A:$C,2,FALSE),"" "",VLOOKUP(C272,'Storage Locations'!$A:$C,3,FALSE),"" || "",$E272, IF(G272 = ""Yes"",CONCATENATE("" "", REGEXREPLACE(RIGHT(A272,2), ""^0+"","""")),""""), IF(ISBLANK(F272),"""",CONCATENATE("": "&amp;""", F272)))"),"West Wall Lockers Locker Group || Locker/Safe 26: Locker 26")</f>
        <v>West Wall Lockers Locker Group || Locker/Safe 26: Locker 26</v>
      </c>
      <c r="C272" s="112" t="s">
        <v>873</v>
      </c>
      <c r="D272" s="108">
        <v>26.0</v>
      </c>
      <c r="E272" s="83" t="s">
        <v>808</v>
      </c>
      <c r="F272" s="84" t="s">
        <v>899</v>
      </c>
      <c r="G272" s="85" t="s">
        <v>785</v>
      </c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11" t="str">
        <f t="shared" si="1"/>
        <v>/410/207-27</v>
      </c>
      <c r="B273" s="80" t="str">
        <f>IFERROR(__xludf.DUMMYFUNCTION("CONCATENATE(VLOOKUP(C273,'Storage Locations'!$A:$C,2,FALSE),"" "",VLOOKUP(C273,'Storage Locations'!$A:$C,3,FALSE),"" || "",$E273, IF(G273 = ""Yes"",CONCATENATE("" "", REGEXREPLACE(RIGHT(A273,2), ""^0+"","""")),""""), IF(ISBLANK(F273),"""",CONCATENATE("": "&amp;""", F273)))"),"West Wall Lockers Locker Group || Locker/Safe 27: Locker 27")</f>
        <v>West Wall Lockers Locker Group || Locker/Safe 27: Locker 27</v>
      </c>
      <c r="C273" s="112" t="s">
        <v>873</v>
      </c>
      <c r="D273" s="109">
        <v>27.0</v>
      </c>
      <c r="E273" s="83" t="s">
        <v>808</v>
      </c>
      <c r="F273" s="84" t="s">
        <v>900</v>
      </c>
      <c r="G273" s="85" t="s">
        <v>785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11" t="str">
        <f t="shared" si="1"/>
        <v>/410/207-28</v>
      </c>
      <c r="B274" s="80" t="str">
        <f>IFERROR(__xludf.DUMMYFUNCTION("CONCATENATE(VLOOKUP(C274,'Storage Locations'!$A:$C,2,FALSE),"" "",VLOOKUP(C274,'Storage Locations'!$A:$C,3,FALSE),"" || "",$E274, IF(G274 = ""Yes"",CONCATENATE("" "", REGEXREPLACE(RIGHT(A274,2), ""^0+"","""")),""""), IF(ISBLANK(F274),"""",CONCATENATE("": "&amp;""", F274)))"),"West Wall Lockers Locker Group || Locker/Safe 28: Locker 28")</f>
        <v>West Wall Lockers Locker Group || Locker/Safe 28: Locker 28</v>
      </c>
      <c r="C274" s="112" t="s">
        <v>873</v>
      </c>
      <c r="D274" s="110">
        <v>28.0</v>
      </c>
      <c r="E274" s="83" t="s">
        <v>808</v>
      </c>
      <c r="F274" s="84" t="s">
        <v>901</v>
      </c>
      <c r="G274" s="85" t="s">
        <v>785</v>
      </c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11" t="str">
        <f t="shared" si="1"/>
        <v>/410/207-29</v>
      </c>
      <c r="B275" s="80" t="str">
        <f>IFERROR(__xludf.DUMMYFUNCTION("CONCATENATE(VLOOKUP(C275,'Storage Locations'!$A:$C,2,FALSE),"" "",VLOOKUP(C275,'Storage Locations'!$A:$C,3,FALSE),"" || "",$E275, IF(G275 = ""Yes"",CONCATENATE("" "", REGEXREPLACE(RIGHT(A275,2), ""^0+"","""")),""""), IF(ISBLANK(F275),"""",CONCATENATE("": "&amp;""", F275)))"),"West Wall Lockers Locker Group || Locker/Safe 29: Locker 29")</f>
        <v>West Wall Lockers Locker Group || Locker/Safe 29: Locker 29</v>
      </c>
      <c r="C275" s="112" t="s">
        <v>873</v>
      </c>
      <c r="D275" s="121">
        <v>29.0</v>
      </c>
      <c r="E275" s="83" t="s">
        <v>808</v>
      </c>
      <c r="F275" s="84" t="s">
        <v>902</v>
      </c>
      <c r="G275" s="85" t="s">
        <v>785</v>
      </c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11" t="str">
        <f t="shared" si="1"/>
        <v>/410/207-30</v>
      </c>
      <c r="B276" s="80" t="str">
        <f>IFERROR(__xludf.DUMMYFUNCTION("CONCATENATE(VLOOKUP(C276,'Storage Locations'!$A:$C,2,FALSE),"" "",VLOOKUP(C276,'Storage Locations'!$A:$C,3,FALSE),"" || "",$E276, IF(G276 = ""Yes"",CONCATENATE("" "", REGEXREPLACE(RIGHT(A276,2), ""^0+"","""")),""""), IF(ISBLANK(F276),"""",CONCATENATE("": "&amp;""", F276)))"),"West Wall Lockers Locker Group || Locker/Safe 30: Locker 30")</f>
        <v>West Wall Lockers Locker Group || Locker/Safe 30: Locker 30</v>
      </c>
      <c r="C276" s="112" t="s">
        <v>873</v>
      </c>
      <c r="D276" s="122">
        <v>30.0</v>
      </c>
      <c r="E276" s="83" t="s">
        <v>808</v>
      </c>
      <c r="F276" s="84" t="s">
        <v>903</v>
      </c>
      <c r="G276" s="85" t="s">
        <v>785</v>
      </c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11" t="str">
        <f t="shared" si="1"/>
        <v>/410/207-31</v>
      </c>
      <c r="B277" s="80" t="str">
        <f>IFERROR(__xludf.DUMMYFUNCTION("CONCATENATE(VLOOKUP(C277,'Storage Locations'!$A:$C,2,FALSE),"" "",VLOOKUP(C277,'Storage Locations'!$A:$C,3,FALSE),"" || "",$E277, IF(G277 = ""Yes"",CONCATENATE("" "", REGEXREPLACE(RIGHT(A277,2), ""^0+"","""")),""""), IF(ISBLANK(F277),"""",CONCATENATE("": "&amp;""", F277)))"),"West Wall Lockers Locker Group || Top: RPRK &amp; RDaC kits + Empty Boxes")</f>
        <v>West Wall Lockers Locker Group || Top: RPRK &amp; RDaC kits + Empty Boxes</v>
      </c>
      <c r="C277" s="112" t="s">
        <v>873</v>
      </c>
      <c r="D277" s="99">
        <v>31.0</v>
      </c>
      <c r="E277" s="83" t="s">
        <v>790</v>
      </c>
      <c r="F277" s="84" t="s">
        <v>904</v>
      </c>
      <c r="G277" s="85" t="s">
        <v>792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13" t="str">
        <f t="shared" si="1"/>
        <v>/410/208-01</v>
      </c>
      <c r="B278" s="80" t="str">
        <f>IFERROR(__xludf.DUMMYFUNCTION("CONCATENATE(VLOOKUP(C278,'Storage Locations'!$A:$C,2,FALSE),"" "",VLOOKUP(C278,'Storage Locations'!$A:$C,3,FALSE),"" || "",$E278, IF(G278 = ""Yes"",CONCATENATE("" "", REGEXREPLACE(RIGHT(A278,2), ""^0+"","""")),""""), IF(ISBLANK(F278),"""",CONCATENATE("": "&amp;""", F278)))"),"West Wall Gap || Space 1")</f>
        <v>West Wall Gap || Space 1</v>
      </c>
      <c r="C278" s="114" t="s">
        <v>905</v>
      </c>
      <c r="D278" s="82">
        <v>1.0</v>
      </c>
      <c r="E278" s="83" t="s">
        <v>805</v>
      </c>
      <c r="F278" s="84"/>
      <c r="G278" s="85" t="s">
        <v>785</v>
      </c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13" t="str">
        <f t="shared" si="1"/>
        <v>/410/208-02</v>
      </c>
      <c r="B279" s="80" t="str">
        <f>IFERROR(__xludf.DUMMYFUNCTION("CONCATENATE(VLOOKUP(C279,'Storage Locations'!$A:$C,2,FALSE),"" "",VLOOKUP(C279,'Storage Locations'!$A:$C,3,FALSE),"" || "",$E279, IF(G279 = ""Yes"",CONCATENATE("" "", REGEXREPLACE(RIGHT(A279,2), ""^0+"","""")),""""), IF(ISBLANK(F279),"""",CONCATENATE("": "&amp;""", F279)))"),"West Wall Gap || Space 2: Spare Arena Vinyl and Ferroflex")</f>
        <v>West Wall Gap || Space 2: Spare Arena Vinyl and Ferroflex</v>
      </c>
      <c r="C279" s="114" t="s">
        <v>905</v>
      </c>
      <c r="D279" s="86">
        <v>2.0</v>
      </c>
      <c r="E279" s="83" t="s">
        <v>805</v>
      </c>
      <c r="F279" s="84" t="s">
        <v>906</v>
      </c>
      <c r="G279" s="85" t="s">
        <v>785</v>
      </c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5" t="str">
        <f t="shared" si="1"/>
        <v>/410/209-01</v>
      </c>
      <c r="B280" s="80" t="str">
        <f>IFERROR(__xludf.DUMMYFUNCTION("CONCATENATE(VLOOKUP(C280,'Storage Locations'!$A:$C,2,FALSE),"" "",VLOOKUP(C280,'Storage Locations'!$A:$C,3,FALSE),"" || "",$E280, IF(G280 = ""Yes"",CONCATENATE("" "", REGEXREPLACE(RIGHT(A280,2), ""^0+"","""")),""""), IF(ISBLANK(F280),"""",CONCATENATE("": "&amp;""", F280)))"),"Mains Outlet Extensions Cupboard || Shelf 1: Extension cables")</f>
        <v>Mains Outlet Extensions Cupboard || Shelf 1: Extension cables</v>
      </c>
      <c r="C280" s="126" t="s">
        <v>907</v>
      </c>
      <c r="D280" s="82">
        <v>1.0</v>
      </c>
      <c r="E280" s="83" t="s">
        <v>783</v>
      </c>
      <c r="F280" s="84" t="s">
        <v>276</v>
      </c>
      <c r="G280" s="85" t="s">
        <v>785</v>
      </c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5" t="str">
        <f t="shared" si="1"/>
        <v>/410/209-02</v>
      </c>
      <c r="B281" s="80" t="str">
        <f>IFERROR(__xludf.DUMMYFUNCTION("CONCATENATE(VLOOKUP(C281,'Storage Locations'!$A:$C,2,FALSE),"" "",VLOOKUP(C281,'Storage Locations'!$A:$C,3,FALSE),"" || "",$E281, IF(G281 = ""Yes"",CONCATENATE("" "", REGEXREPLACE(RIGHT(A281,2), ""^0+"","""")),""""), IF(ISBLANK(F281),"""",CONCATENATE("": "&amp;""", F281)))"),"Mains Outlet Extensions Cupboard || Window Sill")</f>
        <v>Mains Outlet Extensions Cupboard || Window Sill</v>
      </c>
      <c r="C281" s="126" t="s">
        <v>907</v>
      </c>
      <c r="D281" s="86">
        <v>2.0</v>
      </c>
      <c r="E281" s="83" t="s">
        <v>833</v>
      </c>
      <c r="F281" s="84"/>
      <c r="G281" s="85" t="s">
        <v>792</v>
      </c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7" t="str">
        <f t="shared" si="1"/>
        <v>/410/210-01</v>
      </c>
      <c r="B282" s="80" t="str">
        <f>IFERROR(__xludf.DUMMYFUNCTION("CONCATENATE(VLOOKUP(C282,'Storage Locations'!$A:$C,2,FALSE),"" "",VLOOKUP(C282,'Storage Locations'!$A:$C,3,FALSE),"" || "",$E282, IF(G282 = ""Yes"",CONCATENATE("" "", REGEXREPLACE(RIGHT(A282,2), ""^0+"","""")),""""), IF(ISBLANK(F282),"""",CONCATENATE("": "&amp;""", F282)))"),"Nut &amp; Bolt Organiser 2 Cabinet || Organiser 1")</f>
        <v>Nut &amp; Bolt Organiser 2 Cabinet || Organiser 1</v>
      </c>
      <c r="C282" s="128" t="s">
        <v>908</v>
      </c>
      <c r="D282" s="82">
        <v>1.0</v>
      </c>
      <c r="E282" s="83" t="s">
        <v>851</v>
      </c>
      <c r="F282" s="120"/>
      <c r="G282" s="85" t="s">
        <v>785</v>
      </c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7" t="str">
        <f t="shared" si="1"/>
        <v>/410/210-02</v>
      </c>
      <c r="B283" s="80" t="str">
        <f>IFERROR(__xludf.DUMMYFUNCTION("CONCATENATE(VLOOKUP(C283,'Storage Locations'!$A:$C,2,FALSE),"" "",VLOOKUP(C283,'Storage Locations'!$A:$C,3,FALSE),"" || "",$E283, IF(G283 = ""Yes"",CONCATENATE("" "", REGEXREPLACE(RIGHT(A283,2), ""^0+"","""")),""""), IF(ISBLANK(F283),"""",CONCATENATE("": "&amp;""", F283)))"),"Nut &amp; Bolt Organiser 2 Cabinet || Organiser 2")</f>
        <v>Nut &amp; Bolt Organiser 2 Cabinet || Organiser 2</v>
      </c>
      <c r="C283" s="128" t="s">
        <v>908</v>
      </c>
      <c r="D283" s="86">
        <v>2.0</v>
      </c>
      <c r="E283" s="83" t="s">
        <v>851</v>
      </c>
      <c r="F283" s="120"/>
      <c r="G283" s="85" t="s">
        <v>785</v>
      </c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7" t="str">
        <f t="shared" si="1"/>
        <v>/410/210-03</v>
      </c>
      <c r="B284" s="80" t="str">
        <f>IFERROR(__xludf.DUMMYFUNCTION("CONCATENATE(VLOOKUP(C284,'Storage Locations'!$A:$C,2,FALSE),"" "",VLOOKUP(C284,'Storage Locations'!$A:$C,3,FALSE),"" || "",$E284, IF(G284 = ""Yes"",CONCATENATE("" "", REGEXREPLACE(RIGHT(A284,2), ""^0+"","""")),""""), IF(ISBLANK(F284),"""",CONCATENATE("": "&amp;""", F284)))"),"Nut &amp; Bolt Organiser 2 Cabinet || Organiser 3")</f>
        <v>Nut &amp; Bolt Organiser 2 Cabinet || Organiser 3</v>
      </c>
      <c r="C284" s="128" t="s">
        <v>908</v>
      </c>
      <c r="D284" s="87">
        <v>3.0</v>
      </c>
      <c r="E284" s="83" t="s">
        <v>851</v>
      </c>
      <c r="F284" s="120"/>
      <c r="G284" s="85" t="s">
        <v>785</v>
      </c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7" t="str">
        <f t="shared" si="1"/>
        <v>/410/210-04</v>
      </c>
      <c r="B285" s="80" t="str">
        <f>IFERROR(__xludf.DUMMYFUNCTION("CONCATENATE(VLOOKUP(C285,'Storage Locations'!$A:$C,2,FALSE),"" "",VLOOKUP(C285,'Storage Locations'!$A:$C,3,FALSE),"" || "",$E285, IF(G285 = ""Yes"",CONCATENATE("" "", REGEXREPLACE(RIGHT(A285,2), ""^0+"","""")),""""), IF(ISBLANK(F285),"""",CONCATENATE("": "&amp;""", F285)))"),"Nut &amp; Bolt Organiser 2 Cabinet || Organiser 4")</f>
        <v>Nut &amp; Bolt Organiser 2 Cabinet || Organiser 4</v>
      </c>
      <c r="C285" s="128" t="s">
        <v>908</v>
      </c>
      <c r="D285" s="88">
        <v>4.0</v>
      </c>
      <c r="E285" s="83" t="s">
        <v>851</v>
      </c>
      <c r="F285" s="120"/>
      <c r="G285" s="85" t="s">
        <v>785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7" t="str">
        <f t="shared" si="1"/>
        <v>/410/210-05</v>
      </c>
      <c r="B286" s="80" t="str">
        <f>IFERROR(__xludf.DUMMYFUNCTION("CONCATENATE(VLOOKUP(C286,'Storage Locations'!$A:$C,2,FALSE),"" "",VLOOKUP(C286,'Storage Locations'!$A:$C,3,FALSE),"" || "",$E286, IF(G286 = ""Yes"",CONCATENATE("" "", REGEXREPLACE(RIGHT(A286,2), ""^0+"","""")),""""), IF(ISBLANK(F286),"""",CONCATENATE("": "&amp;""", F286)))"),"Nut &amp; Bolt Organiser 2 Cabinet || Organiser 5")</f>
        <v>Nut &amp; Bolt Organiser 2 Cabinet || Organiser 5</v>
      </c>
      <c r="C286" s="128" t="s">
        <v>908</v>
      </c>
      <c r="D286" s="89">
        <v>5.0</v>
      </c>
      <c r="E286" s="83" t="s">
        <v>851</v>
      </c>
      <c r="F286" s="120"/>
      <c r="G286" s="85" t="s">
        <v>785</v>
      </c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7" t="str">
        <f t="shared" si="1"/>
        <v>/410/210-06</v>
      </c>
      <c r="B287" s="80" t="str">
        <f>IFERROR(__xludf.DUMMYFUNCTION("CONCATENATE(VLOOKUP(C287,'Storage Locations'!$A:$C,2,FALSE),"" "",VLOOKUP(C287,'Storage Locations'!$A:$C,3,FALSE),"" || "",$E287, IF(G287 = ""Yes"",CONCATENATE("" "", REGEXREPLACE(RIGHT(A287,2), ""^0+"","""")),""""), IF(ISBLANK(F287),"""",CONCATENATE("": "&amp;""", F287)))"),"Nut &amp; Bolt Organiser 2 Cabinet || Organiser 6")</f>
        <v>Nut &amp; Bolt Organiser 2 Cabinet || Organiser 6</v>
      </c>
      <c r="C287" s="128" t="s">
        <v>908</v>
      </c>
      <c r="D287" s="90">
        <v>6.0</v>
      </c>
      <c r="E287" s="83" t="s">
        <v>851</v>
      </c>
      <c r="F287" s="120"/>
      <c r="G287" s="85" t="s">
        <v>785</v>
      </c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7" t="str">
        <f t="shared" si="1"/>
        <v>/410/210-07</v>
      </c>
      <c r="B288" s="80" t="str">
        <f>IFERROR(__xludf.DUMMYFUNCTION("CONCATENATE(VLOOKUP(C288,'Storage Locations'!$A:$C,2,FALSE),"" "",VLOOKUP(C288,'Storage Locations'!$A:$C,3,FALSE),"" || "",$E288, IF(G288 = ""Yes"",CONCATENATE("" "", REGEXREPLACE(RIGHT(A288,2), ""^0+"","""")),""""), IF(ISBLANK(F288),"""",CONCATENATE("": "&amp;""", F288)))"),"Nut &amp; Bolt Organiser 2 Cabinet || Organiser 7")</f>
        <v>Nut &amp; Bolt Organiser 2 Cabinet || Organiser 7</v>
      </c>
      <c r="C288" s="128" t="s">
        <v>908</v>
      </c>
      <c r="D288" s="106">
        <v>7.0</v>
      </c>
      <c r="E288" s="83" t="s">
        <v>851</v>
      </c>
      <c r="F288" s="120"/>
      <c r="G288" s="85" t="s">
        <v>785</v>
      </c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7" t="str">
        <f t="shared" si="1"/>
        <v>/410/210-08</v>
      </c>
      <c r="B289" s="80" t="str">
        <f>IFERROR(__xludf.DUMMYFUNCTION("CONCATENATE(VLOOKUP(C289,'Storage Locations'!$A:$C,2,FALSE),"" "",VLOOKUP(C289,'Storage Locations'!$A:$C,3,FALSE),"" || "",$E289, IF(G289 = ""Yes"",CONCATENATE("" "", REGEXREPLACE(RIGHT(A289,2), ""^0+"","""")),""""), IF(ISBLANK(F289),"""",CONCATENATE("": "&amp;""", F289)))"),"Nut &amp; Bolt Organiser 2 Cabinet || Organiser 8")</f>
        <v>Nut &amp; Bolt Organiser 2 Cabinet || Organiser 8</v>
      </c>
      <c r="C289" s="128" t="s">
        <v>908</v>
      </c>
      <c r="D289" s="107">
        <v>8.0</v>
      </c>
      <c r="E289" s="83" t="s">
        <v>851</v>
      </c>
      <c r="F289" s="120"/>
      <c r="G289" s="85" t="s">
        <v>785</v>
      </c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7" t="str">
        <f t="shared" si="1"/>
        <v>/410/210-09</v>
      </c>
      <c r="B290" s="80" t="str">
        <f>IFERROR(__xludf.DUMMYFUNCTION("CONCATENATE(VLOOKUP(C290,'Storage Locations'!$A:$C,2,FALSE),"" "",VLOOKUP(C290,'Storage Locations'!$A:$C,3,FALSE),"" || "",$E290, IF(G290 = ""Yes"",CONCATENATE("" "", REGEXREPLACE(RIGHT(A290,2), ""^0+"","""")),""""), IF(ISBLANK(F290),"""",CONCATENATE("": "&amp;""", F290)))"),"Nut &amp; Bolt Organiser 2 Cabinet || Organiser 9")</f>
        <v>Nut &amp; Bolt Organiser 2 Cabinet || Organiser 9</v>
      </c>
      <c r="C290" s="128" t="s">
        <v>908</v>
      </c>
      <c r="D290" s="108">
        <v>9.0</v>
      </c>
      <c r="E290" s="83" t="s">
        <v>851</v>
      </c>
      <c r="F290" s="120"/>
      <c r="G290" s="85" t="s">
        <v>785</v>
      </c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7" t="str">
        <f t="shared" si="1"/>
        <v>/410/210-10</v>
      </c>
      <c r="B291" s="80" t="str">
        <f>IFERROR(__xludf.DUMMYFUNCTION("CONCATENATE(VLOOKUP(C291,'Storage Locations'!$A:$C,2,FALSE),"" "",VLOOKUP(C291,'Storage Locations'!$A:$C,3,FALSE),"" || "",$E291, IF(G291 = ""Yes"",CONCATENATE("" "", REGEXREPLACE(RIGHT(A291,2), ""^0+"","""")),""""), IF(ISBLANK(F291),"""",CONCATENATE("": "&amp;""", F291)))"),"Nut &amp; Bolt Organiser 2 Cabinet || Organiser 10")</f>
        <v>Nut &amp; Bolt Organiser 2 Cabinet || Organiser 10</v>
      </c>
      <c r="C291" s="128" t="s">
        <v>908</v>
      </c>
      <c r="D291" s="109">
        <v>10.0</v>
      </c>
      <c r="E291" s="83" t="s">
        <v>851</v>
      </c>
      <c r="F291" s="120"/>
      <c r="G291" s="85" t="s">
        <v>785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7" t="str">
        <f t="shared" si="1"/>
        <v>/410/210-11</v>
      </c>
      <c r="B292" s="80" t="str">
        <f>IFERROR(__xludf.DUMMYFUNCTION("CONCATENATE(VLOOKUP(C292,'Storage Locations'!$A:$C,2,FALSE),"" "",VLOOKUP(C292,'Storage Locations'!$A:$C,3,FALSE),"" || "",$E292, IF(G292 = ""Yes"",CONCATENATE("" "", REGEXREPLACE(RIGHT(A292,2), ""^0+"","""")),""""), IF(ISBLANK(F292),"""",CONCATENATE("": "&amp;""", F292)))"),"Nut &amp; Bolt Organiser 2 Cabinet || Organiser 11")</f>
        <v>Nut &amp; Bolt Organiser 2 Cabinet || Organiser 11</v>
      </c>
      <c r="C292" s="128" t="s">
        <v>908</v>
      </c>
      <c r="D292" s="110">
        <v>11.0</v>
      </c>
      <c r="E292" s="83" t="s">
        <v>851</v>
      </c>
      <c r="F292" s="120"/>
      <c r="G292" s="85" t="s">
        <v>785</v>
      </c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7" t="str">
        <f t="shared" si="1"/>
        <v>/410/210-12</v>
      </c>
      <c r="B293" s="80" t="str">
        <f>IFERROR(__xludf.DUMMYFUNCTION("CONCATENATE(VLOOKUP(C293,'Storage Locations'!$A:$C,2,FALSE),"" "",VLOOKUP(C293,'Storage Locations'!$A:$C,3,FALSE),"" || "",$E293, IF(G293 = ""Yes"",CONCATENATE("" "", REGEXREPLACE(RIGHT(A293,2), ""^0+"","""")),""""), IF(ISBLANK(F293),"""",CONCATENATE("": "&amp;""", F293)))"),"Nut &amp; Bolt Organiser 2 Cabinet || Organiser 12")</f>
        <v>Nut &amp; Bolt Organiser 2 Cabinet || Organiser 12</v>
      </c>
      <c r="C293" s="128" t="s">
        <v>908</v>
      </c>
      <c r="D293" s="121">
        <v>12.0</v>
      </c>
      <c r="E293" s="83" t="s">
        <v>851</v>
      </c>
      <c r="F293" s="120"/>
      <c r="G293" s="85" t="s">
        <v>785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7" t="str">
        <f t="shared" si="1"/>
        <v>/410/210-13</v>
      </c>
      <c r="B294" s="80" t="str">
        <f>IFERROR(__xludf.DUMMYFUNCTION("CONCATENATE(VLOOKUP(C294,'Storage Locations'!$A:$C,2,FALSE),"" "",VLOOKUP(C294,'Storage Locations'!$A:$C,3,FALSE),"" || "",$E294, IF(G294 = ""Yes"",CONCATENATE("" "", REGEXREPLACE(RIGHT(A294,2), ""^0+"","""")),""""), IF(ISBLANK(F294),"""",CONCATENATE("": "&amp;""", F294)))"),"Nut &amp; Bolt Organiser 2 Cabinet || Organiser 13")</f>
        <v>Nut &amp; Bolt Organiser 2 Cabinet || Organiser 13</v>
      </c>
      <c r="C294" s="128" t="s">
        <v>908</v>
      </c>
      <c r="D294" s="122">
        <v>13.0</v>
      </c>
      <c r="E294" s="83" t="s">
        <v>851</v>
      </c>
      <c r="F294" s="120"/>
      <c r="G294" s="85" t="s">
        <v>785</v>
      </c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7" t="str">
        <f t="shared" si="1"/>
        <v>/410/210-14</v>
      </c>
      <c r="B295" s="80" t="str">
        <f>IFERROR(__xludf.DUMMYFUNCTION("CONCATENATE(VLOOKUP(C295,'Storage Locations'!$A:$C,2,FALSE),"" "",VLOOKUP(C295,'Storage Locations'!$A:$C,3,FALSE),"" || "",$E295, IF(G295 = ""Yes"",CONCATENATE("" "", REGEXREPLACE(RIGHT(A295,2), ""^0+"","""")),""""), IF(ISBLANK(F295),"""",CONCATENATE("": "&amp;""", F295)))"),"Nut &amp; Bolt Organiser 2 Cabinet || Organiser 14")</f>
        <v>Nut &amp; Bolt Organiser 2 Cabinet || Organiser 14</v>
      </c>
      <c r="C295" s="128" t="s">
        <v>908</v>
      </c>
      <c r="D295" s="99">
        <v>14.0</v>
      </c>
      <c r="E295" s="83" t="s">
        <v>851</v>
      </c>
      <c r="F295" s="120"/>
      <c r="G295" s="85" t="s">
        <v>785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7" t="str">
        <f t="shared" si="1"/>
        <v>/410/210-15</v>
      </c>
      <c r="B296" s="80" t="str">
        <f>IFERROR(__xludf.DUMMYFUNCTION("CONCATENATE(VLOOKUP(C296,'Storage Locations'!$A:$C,2,FALSE),"" "",VLOOKUP(C296,'Storage Locations'!$A:$C,3,FALSE),"" || "",$E296, IF(G296 = ""Yes"",CONCATENATE("" "", REGEXREPLACE(RIGHT(A296,2), ""^0+"","""")),""""), IF(ISBLANK(F296),"""",CONCATENATE("": "&amp;""", F296)))"),"Nut &amp; Bolt Organiser 2 Cabinet || Organiser 15")</f>
        <v>Nut &amp; Bolt Organiser 2 Cabinet || Organiser 15</v>
      </c>
      <c r="C296" s="128" t="s">
        <v>908</v>
      </c>
      <c r="D296" s="100">
        <v>15.0</v>
      </c>
      <c r="E296" s="83" t="s">
        <v>851</v>
      </c>
      <c r="F296" s="120"/>
      <c r="G296" s="85" t="s">
        <v>785</v>
      </c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7" t="str">
        <f t="shared" si="1"/>
        <v>/410/210-16</v>
      </c>
      <c r="B297" s="80" t="str">
        <f>IFERROR(__xludf.DUMMYFUNCTION("CONCATENATE(VLOOKUP(C297,'Storage Locations'!$A:$C,2,FALSE),"" "",VLOOKUP(C297,'Storage Locations'!$A:$C,3,FALSE),"" || "",$E297, IF(G297 = ""Yes"",CONCATENATE("" "", REGEXREPLACE(RIGHT(A297,2), ""^0+"","""")),""""), IF(ISBLANK(F297),"""",CONCATENATE("": "&amp;""", F297)))"),"Nut &amp; Bolt Organiser 2 Cabinet || Organiser 16")</f>
        <v>Nut &amp; Bolt Organiser 2 Cabinet || Organiser 16</v>
      </c>
      <c r="C297" s="128" t="s">
        <v>908</v>
      </c>
      <c r="D297" s="101">
        <v>16.0</v>
      </c>
      <c r="E297" s="83" t="s">
        <v>851</v>
      </c>
      <c r="F297" s="120"/>
      <c r="G297" s="85" t="s">
        <v>785</v>
      </c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7" t="str">
        <f t="shared" si="1"/>
        <v>/410/210-17</v>
      </c>
      <c r="B298" s="80" t="str">
        <f>IFERROR(__xludf.DUMMYFUNCTION("CONCATENATE(VLOOKUP(C298,'Storage Locations'!$A:$C,2,FALSE),"" "",VLOOKUP(C298,'Storage Locations'!$A:$C,3,FALSE),"" || "",$E298, IF(G298 = ""Yes"",CONCATENATE("" "", REGEXREPLACE(RIGHT(A298,2), ""^0+"","""")),""""), IF(ISBLANK(F298),"""",CONCATENATE("": "&amp;""", F298)))"),"Nut &amp; Bolt Organiser 2 Cabinet || Organiser 17")</f>
        <v>Nut &amp; Bolt Organiser 2 Cabinet || Organiser 17</v>
      </c>
      <c r="C298" s="128" t="s">
        <v>908</v>
      </c>
      <c r="D298" s="102">
        <v>17.0</v>
      </c>
      <c r="E298" s="83" t="s">
        <v>851</v>
      </c>
      <c r="F298" s="120"/>
      <c r="G298" s="85" t="s">
        <v>785</v>
      </c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7" t="str">
        <f t="shared" si="1"/>
        <v>/410/210-18</v>
      </c>
      <c r="B299" s="80" t="str">
        <f>IFERROR(__xludf.DUMMYFUNCTION("CONCATENATE(VLOOKUP(C299,'Storage Locations'!$A:$C,2,FALSE),"" "",VLOOKUP(C299,'Storage Locations'!$A:$C,3,FALSE),"" || "",$E299, IF(G299 = ""Yes"",CONCATENATE("" "", REGEXREPLACE(RIGHT(A299,2), ""^0+"","""")),""""), IF(ISBLANK(F299),"""",CONCATENATE("": "&amp;""", F299)))"),"Nut &amp; Bolt Organiser 2 Cabinet || Organiser 18")</f>
        <v>Nut &amp; Bolt Organiser 2 Cabinet || Organiser 18</v>
      </c>
      <c r="C299" s="128" t="s">
        <v>908</v>
      </c>
      <c r="D299" s="82">
        <v>18.0</v>
      </c>
      <c r="E299" s="83" t="s">
        <v>851</v>
      </c>
      <c r="F299" s="120"/>
      <c r="G299" s="85" t="s">
        <v>785</v>
      </c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7" t="str">
        <f t="shared" si="1"/>
        <v>/410/210-19</v>
      </c>
      <c r="B300" s="80" t="str">
        <f>IFERROR(__xludf.DUMMYFUNCTION("CONCATENATE(VLOOKUP(C300,'Storage Locations'!$A:$C,2,FALSE),"" "",VLOOKUP(C300,'Storage Locations'!$A:$C,3,FALSE),"" || "",$E300, IF(G300 = ""Yes"",CONCATENATE("" "", REGEXREPLACE(RIGHT(A300,2), ""^0+"","""")),""""), IF(ISBLANK(F300),"""",CONCATENATE("": "&amp;""", F300)))"),"Nut &amp; Bolt Organiser 2 Cabinet || Organiser 19")</f>
        <v>Nut &amp; Bolt Organiser 2 Cabinet || Organiser 19</v>
      </c>
      <c r="C300" s="128" t="s">
        <v>908</v>
      </c>
      <c r="D300" s="86">
        <v>19.0</v>
      </c>
      <c r="E300" s="83" t="s">
        <v>851</v>
      </c>
      <c r="F300" s="120"/>
      <c r="G300" s="85" t="s">
        <v>785</v>
      </c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7" t="str">
        <f t="shared" si="1"/>
        <v>/410/210-20</v>
      </c>
      <c r="B301" s="80" t="str">
        <f>IFERROR(__xludf.DUMMYFUNCTION("CONCATENATE(VLOOKUP(C301,'Storage Locations'!$A:$C,2,FALSE),"" "",VLOOKUP(C301,'Storage Locations'!$A:$C,3,FALSE),"" || "",$E301, IF(G301 = ""Yes"",CONCATENATE("" "", REGEXREPLACE(RIGHT(A301,2), ""^0+"","""")),""""), IF(ISBLANK(F301),"""",CONCATENATE("": "&amp;""", F301)))"),"Nut &amp; Bolt Organiser 2 Cabinet || Organiser 20")</f>
        <v>Nut &amp; Bolt Organiser 2 Cabinet || Organiser 20</v>
      </c>
      <c r="C301" s="128" t="s">
        <v>908</v>
      </c>
      <c r="D301" s="87">
        <v>20.0</v>
      </c>
      <c r="E301" s="83" t="s">
        <v>851</v>
      </c>
      <c r="F301" s="120"/>
      <c r="G301" s="85" t="s">
        <v>785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7" t="str">
        <f t="shared" si="1"/>
        <v>/410/210-21</v>
      </c>
      <c r="B302" s="80" t="str">
        <f>IFERROR(__xludf.DUMMYFUNCTION("CONCATENATE(VLOOKUP(C302,'Storage Locations'!$A:$C,2,FALSE),"" "",VLOOKUP(C302,'Storage Locations'!$A:$C,3,FALSE),"" || "",$E302, IF(G302 = ""Yes"",CONCATENATE("" "", REGEXREPLACE(RIGHT(A302,2), ""^0+"","""")),""""), IF(ISBLANK(F302),"""",CONCATENATE("": "&amp;""", F302)))"),"Nut &amp; Bolt Organiser 2 Cabinet || Organiser 21")</f>
        <v>Nut &amp; Bolt Organiser 2 Cabinet || Organiser 21</v>
      </c>
      <c r="C302" s="128" t="s">
        <v>908</v>
      </c>
      <c r="D302" s="88">
        <v>21.0</v>
      </c>
      <c r="E302" s="83" t="s">
        <v>851</v>
      </c>
      <c r="F302" s="120"/>
      <c r="G302" s="85" t="s">
        <v>785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7" t="str">
        <f t="shared" si="1"/>
        <v>/410/210-22</v>
      </c>
      <c r="B303" s="80" t="str">
        <f>IFERROR(__xludf.DUMMYFUNCTION("CONCATENATE(VLOOKUP(C303,'Storage Locations'!$A:$C,2,FALSE),"" "",VLOOKUP(C303,'Storage Locations'!$A:$C,3,FALSE),"" || "",$E303, IF(G303 = ""Yes"",CONCATENATE("" "", REGEXREPLACE(RIGHT(A303,2), ""^0+"","""")),""""), IF(ISBLANK(F303),"""",CONCATENATE("": "&amp;""", F303)))"),"Nut &amp; Bolt Organiser 2 Cabinet || Organiser 22")</f>
        <v>Nut &amp; Bolt Organiser 2 Cabinet || Organiser 22</v>
      </c>
      <c r="C303" s="128" t="s">
        <v>908</v>
      </c>
      <c r="D303" s="89">
        <v>22.0</v>
      </c>
      <c r="E303" s="83" t="s">
        <v>851</v>
      </c>
      <c r="F303" s="120"/>
      <c r="G303" s="85" t="s">
        <v>785</v>
      </c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7" t="str">
        <f t="shared" si="1"/>
        <v>/410/210-23</v>
      </c>
      <c r="B304" s="80" t="str">
        <f>IFERROR(__xludf.DUMMYFUNCTION("CONCATENATE(VLOOKUP(C304,'Storage Locations'!$A:$C,2,FALSE),"" "",VLOOKUP(C304,'Storage Locations'!$A:$C,3,FALSE),"" || "",$E304, IF(G304 = ""Yes"",CONCATENATE("" "", REGEXREPLACE(RIGHT(A304,2), ""^0+"","""")),""""), IF(ISBLANK(F304),"""",CONCATENATE("": "&amp;""", F304)))"),"Nut &amp; Bolt Organiser 2 Cabinet || Organiser 23")</f>
        <v>Nut &amp; Bolt Organiser 2 Cabinet || Organiser 23</v>
      </c>
      <c r="C304" s="128" t="s">
        <v>908</v>
      </c>
      <c r="D304" s="90">
        <v>23.0</v>
      </c>
      <c r="E304" s="83" t="s">
        <v>851</v>
      </c>
      <c r="F304" s="120"/>
      <c r="G304" s="85" t="s">
        <v>785</v>
      </c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7" t="str">
        <f t="shared" si="1"/>
        <v>/410/210-24</v>
      </c>
      <c r="B305" s="80" t="str">
        <f>IFERROR(__xludf.DUMMYFUNCTION("CONCATENATE(VLOOKUP(C305,'Storage Locations'!$A:$C,2,FALSE),"" "",VLOOKUP(C305,'Storage Locations'!$A:$C,3,FALSE),"" || "",$E305, IF(G305 = ""Yes"",CONCATENATE("" "", REGEXREPLACE(RIGHT(A305,2), ""^0+"","""")),""""), IF(ISBLANK(F305),"""",CONCATENATE("": "&amp;""", F305)))"),"Nut &amp; Bolt Organiser 2 Cabinet || Organiser 24")</f>
        <v>Nut &amp; Bolt Organiser 2 Cabinet || Organiser 24</v>
      </c>
      <c r="C305" s="128" t="s">
        <v>908</v>
      </c>
      <c r="D305" s="106">
        <v>24.0</v>
      </c>
      <c r="E305" s="83" t="s">
        <v>851</v>
      </c>
      <c r="F305" s="120"/>
      <c r="G305" s="85" t="s">
        <v>785</v>
      </c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7" t="str">
        <f t="shared" si="1"/>
        <v>/410/210-25</v>
      </c>
      <c r="B306" s="80" t="str">
        <f>IFERROR(__xludf.DUMMYFUNCTION("CONCATENATE(VLOOKUP(C306,'Storage Locations'!$A:$C,2,FALSE),"" "",VLOOKUP(C306,'Storage Locations'!$A:$C,3,FALSE),"" || "",$E306, IF(G306 = ""Yes"",CONCATENATE("" "", REGEXREPLACE(RIGHT(A306,2), ""^0+"","""")),""""), IF(ISBLANK(F306),"""",CONCATENATE("": "&amp;""", F306)))"),"Nut &amp; Bolt Organiser 2 Cabinet || Organiser 25")</f>
        <v>Nut &amp; Bolt Organiser 2 Cabinet || Organiser 25</v>
      </c>
      <c r="C306" s="128" t="s">
        <v>908</v>
      </c>
      <c r="D306" s="107">
        <v>25.0</v>
      </c>
      <c r="E306" s="83" t="s">
        <v>851</v>
      </c>
      <c r="F306" s="120"/>
      <c r="G306" s="85" t="s">
        <v>785</v>
      </c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7" t="str">
        <f t="shared" si="1"/>
        <v>/410/210-26</v>
      </c>
      <c r="B307" s="80" t="str">
        <f>IFERROR(__xludf.DUMMYFUNCTION("CONCATENATE(VLOOKUP(C307,'Storage Locations'!$A:$C,2,FALSE),"" "",VLOOKUP(C307,'Storage Locations'!$A:$C,3,FALSE),"" || "",$E307, IF(G307 = ""Yes"",CONCATENATE("" "", REGEXREPLACE(RIGHT(A307,2), ""^0+"","""")),""""), IF(ISBLANK(F307),"""",CONCATENATE("": "&amp;""", F307)))"),"Nut &amp; Bolt Organiser 2 Cabinet || Organiser 26")</f>
        <v>Nut &amp; Bolt Organiser 2 Cabinet || Organiser 26</v>
      </c>
      <c r="C307" s="128" t="s">
        <v>908</v>
      </c>
      <c r="D307" s="108">
        <v>26.0</v>
      </c>
      <c r="E307" s="83" t="s">
        <v>851</v>
      </c>
      <c r="F307" s="120"/>
      <c r="G307" s="85" t="s">
        <v>785</v>
      </c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7" t="str">
        <f t="shared" si="1"/>
        <v>/410/210-27</v>
      </c>
      <c r="B308" s="80" t="str">
        <f>IFERROR(__xludf.DUMMYFUNCTION("CONCATENATE(VLOOKUP(C308,'Storage Locations'!$A:$C,2,FALSE),"" "",VLOOKUP(C308,'Storage Locations'!$A:$C,3,FALSE),"" || "",$E308, IF(G308 = ""Yes"",CONCATENATE("" "", REGEXREPLACE(RIGHT(A308,2), ""^0+"","""")),""""), IF(ISBLANK(F308),"""",CONCATENATE("": "&amp;""", F308)))"),"Nut &amp; Bolt Organiser 2 Cabinet || Organiser 27")</f>
        <v>Nut &amp; Bolt Organiser 2 Cabinet || Organiser 27</v>
      </c>
      <c r="C308" s="128" t="s">
        <v>908</v>
      </c>
      <c r="D308" s="109">
        <v>27.0</v>
      </c>
      <c r="E308" s="83" t="s">
        <v>851</v>
      </c>
      <c r="F308" s="120"/>
      <c r="G308" s="85" t="s">
        <v>785</v>
      </c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7" t="str">
        <f t="shared" si="1"/>
        <v>/410/210-28</v>
      </c>
      <c r="B309" s="80" t="str">
        <f>IFERROR(__xludf.DUMMYFUNCTION("CONCATENATE(VLOOKUP(C309,'Storage Locations'!$A:$C,2,FALSE),"" "",VLOOKUP(C309,'Storage Locations'!$A:$C,3,FALSE),"" || "",$E309, IF(G309 = ""Yes"",CONCATENATE("" "", REGEXREPLACE(RIGHT(A309,2), ""^0+"","""")),""""), IF(ISBLANK(F309),"""",CONCATENATE("": "&amp;""", F309)))"),"Nut &amp; Bolt Organiser 2 Cabinet || Organiser 28")</f>
        <v>Nut &amp; Bolt Organiser 2 Cabinet || Organiser 28</v>
      </c>
      <c r="C309" s="128" t="s">
        <v>908</v>
      </c>
      <c r="D309" s="110">
        <v>28.0</v>
      </c>
      <c r="E309" s="83" t="s">
        <v>851</v>
      </c>
      <c r="F309" s="120"/>
      <c r="G309" s="85" t="s">
        <v>785</v>
      </c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7" t="str">
        <f t="shared" si="1"/>
        <v>/410/210-29</v>
      </c>
      <c r="B310" s="80" t="str">
        <f>IFERROR(__xludf.DUMMYFUNCTION("CONCATENATE(VLOOKUP(C310,'Storage Locations'!$A:$C,2,FALSE),"" "",VLOOKUP(C310,'Storage Locations'!$A:$C,3,FALSE),"" || "",$E310, IF(G310 = ""Yes"",CONCATENATE("" "", REGEXREPLACE(RIGHT(A310,2), ""^0+"","""")),""""), IF(ISBLANK(F310),"""",CONCATENATE("": "&amp;""", F310)))"),"Nut &amp; Bolt Organiser 2 Cabinet || Organiser 29")</f>
        <v>Nut &amp; Bolt Organiser 2 Cabinet || Organiser 29</v>
      </c>
      <c r="C310" s="128" t="s">
        <v>908</v>
      </c>
      <c r="D310" s="121">
        <v>29.0</v>
      </c>
      <c r="E310" s="83" t="s">
        <v>851</v>
      </c>
      <c r="F310" s="120"/>
      <c r="G310" s="85" t="s">
        <v>785</v>
      </c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7" t="str">
        <f t="shared" si="1"/>
        <v>/410/210-30</v>
      </c>
      <c r="B311" s="80" t="str">
        <f>IFERROR(__xludf.DUMMYFUNCTION("CONCATENATE(VLOOKUP(C311,'Storage Locations'!$A:$C,2,FALSE),"" "",VLOOKUP(C311,'Storage Locations'!$A:$C,3,FALSE),"" || "",$E311, IF(G311 = ""Yes"",CONCATENATE("" "", REGEXREPLACE(RIGHT(A311,2), ""^0+"","""")),""""), IF(ISBLANK(F311),"""",CONCATENATE("": "&amp;""", F311)))"),"Nut &amp; Bolt Organiser 2 Cabinet || Organiser 30")</f>
        <v>Nut &amp; Bolt Organiser 2 Cabinet || Organiser 30</v>
      </c>
      <c r="C311" s="128" t="s">
        <v>908</v>
      </c>
      <c r="D311" s="122">
        <v>30.0</v>
      </c>
      <c r="E311" s="83" t="s">
        <v>851</v>
      </c>
      <c r="F311" s="120"/>
      <c r="G311" s="85" t="s">
        <v>785</v>
      </c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7" t="str">
        <f t="shared" si="1"/>
        <v>/410/210-31</v>
      </c>
      <c r="B312" s="80" t="str">
        <f>IFERROR(__xludf.DUMMYFUNCTION("CONCATENATE(VLOOKUP(C312,'Storage Locations'!$A:$C,2,FALSE),"" "",VLOOKUP(C312,'Storage Locations'!$A:$C,3,FALSE),"" || "",$E312, IF(G312 = ""Yes"",CONCATENATE("" "", REGEXREPLACE(RIGHT(A312,2), ""^0+"","""")),""""), IF(ISBLANK(F312),"""",CONCATENATE("": "&amp;""", F312)))"),"Nut &amp; Bolt Organiser 2 Cabinet || Organiser 31")</f>
        <v>Nut &amp; Bolt Organiser 2 Cabinet || Organiser 31</v>
      </c>
      <c r="C312" s="128" t="s">
        <v>908</v>
      </c>
      <c r="D312" s="99">
        <v>31.0</v>
      </c>
      <c r="E312" s="83" t="s">
        <v>851</v>
      </c>
      <c r="F312" s="120"/>
      <c r="G312" s="85" t="s">
        <v>785</v>
      </c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7" t="str">
        <f t="shared" si="1"/>
        <v>/410/210-32</v>
      </c>
      <c r="B313" s="80" t="str">
        <f>IFERROR(__xludf.DUMMYFUNCTION("CONCATENATE(VLOOKUP(C313,'Storage Locations'!$A:$C,2,FALSE),"" "",VLOOKUP(C313,'Storage Locations'!$A:$C,3,FALSE),"" || "",$E313, IF(G313 = ""Yes"",CONCATENATE("" "", REGEXREPLACE(RIGHT(A313,2), ""^0+"","""")),""""), IF(ISBLANK(F313),"""",CONCATENATE("": "&amp;""", F313)))"),"Nut &amp; Bolt Organiser 2 Cabinet || Organiser 32")</f>
        <v>Nut &amp; Bolt Organiser 2 Cabinet || Organiser 32</v>
      </c>
      <c r="C313" s="128" t="s">
        <v>908</v>
      </c>
      <c r="D313" s="100">
        <v>32.0</v>
      </c>
      <c r="E313" s="83" t="s">
        <v>851</v>
      </c>
      <c r="F313" s="120"/>
      <c r="G313" s="85" t="s">
        <v>785</v>
      </c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7" t="str">
        <f t="shared" si="1"/>
        <v>/410/210-33</v>
      </c>
      <c r="B314" s="80" t="str">
        <f>IFERROR(__xludf.DUMMYFUNCTION("CONCATENATE(VLOOKUP(C314,'Storage Locations'!$A:$C,2,FALSE),"" "",VLOOKUP(C314,'Storage Locations'!$A:$C,3,FALSE),"" || "",$E314, IF(G314 = ""Yes"",CONCATENATE("" "", REGEXREPLACE(RIGHT(A314,2), ""^0+"","""")),""""), IF(ISBLANK(F314),"""",CONCATENATE("": "&amp;""", F314)))"),"Nut &amp; Bolt Organiser 2 Cabinet || Organiser 33")</f>
        <v>Nut &amp; Bolt Organiser 2 Cabinet || Organiser 33</v>
      </c>
      <c r="C314" s="128" t="s">
        <v>908</v>
      </c>
      <c r="D314" s="101">
        <v>33.0</v>
      </c>
      <c r="E314" s="83" t="s">
        <v>851</v>
      </c>
      <c r="F314" s="120"/>
      <c r="G314" s="85" t="s">
        <v>785</v>
      </c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7" t="str">
        <f t="shared" si="1"/>
        <v>/410/210-34</v>
      </c>
      <c r="B315" s="80" t="str">
        <f>IFERROR(__xludf.DUMMYFUNCTION("CONCATENATE(VLOOKUP(C315,'Storage Locations'!$A:$C,2,FALSE),"" "",VLOOKUP(C315,'Storage Locations'!$A:$C,3,FALSE),"" || "",$E315, IF(G315 = ""Yes"",CONCATENATE("" "", REGEXREPLACE(RIGHT(A315,2), ""^0+"","""")),""""), IF(ISBLANK(F315),"""",CONCATENATE("": "&amp;""", F315)))"),"Nut &amp; Bolt Organiser 2 Cabinet || Organiser 34")</f>
        <v>Nut &amp; Bolt Organiser 2 Cabinet || Organiser 34</v>
      </c>
      <c r="C315" s="128" t="s">
        <v>908</v>
      </c>
      <c r="D315" s="102">
        <v>34.0</v>
      </c>
      <c r="E315" s="83" t="s">
        <v>851</v>
      </c>
      <c r="F315" s="120"/>
      <c r="G315" s="85" t="s">
        <v>785</v>
      </c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7" t="str">
        <f t="shared" si="1"/>
        <v>/410/210-35</v>
      </c>
      <c r="B316" s="80" t="str">
        <f>IFERROR(__xludf.DUMMYFUNCTION("CONCATENATE(VLOOKUP(C316,'Storage Locations'!$A:$C,2,FALSE),"" "",VLOOKUP(C316,'Storage Locations'!$A:$C,3,FALSE),"" || "",$E316, IF(G316 = ""Yes"",CONCATENATE("" "", REGEXREPLACE(RIGHT(A316,2), ""^0+"","""")),""""), IF(ISBLANK(F316),"""",CONCATENATE("": "&amp;""", F316)))"),"Nut &amp; Bolt Organiser 2 Cabinet || Organiser 35")</f>
        <v>Nut &amp; Bolt Organiser 2 Cabinet || Organiser 35</v>
      </c>
      <c r="C316" s="128" t="s">
        <v>908</v>
      </c>
      <c r="D316" s="103">
        <v>35.0</v>
      </c>
      <c r="E316" s="83" t="s">
        <v>851</v>
      </c>
      <c r="F316" s="120"/>
      <c r="G316" s="85" t="s">
        <v>785</v>
      </c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7" t="str">
        <f t="shared" si="1"/>
        <v>/410/210-36</v>
      </c>
      <c r="B317" s="80" t="str">
        <f>IFERROR(__xludf.DUMMYFUNCTION("CONCATENATE(VLOOKUP(C317,'Storage Locations'!$A:$C,2,FALSE),"" "",VLOOKUP(C317,'Storage Locations'!$A:$C,3,FALSE),"" || "",$E317, IF(G317 = ""Yes"",CONCATENATE("" "", REGEXREPLACE(RIGHT(A317,2), ""^0+"","""")),""""), IF(ISBLANK(F317),"""",CONCATENATE("": "&amp;""", F317)))"),"Nut &amp; Bolt Organiser 2 Cabinet || Organiser 36")</f>
        <v>Nut &amp; Bolt Organiser 2 Cabinet || Organiser 36</v>
      </c>
      <c r="C317" s="128" t="s">
        <v>908</v>
      </c>
      <c r="D317" s="86">
        <v>36.0</v>
      </c>
      <c r="E317" s="83" t="s">
        <v>851</v>
      </c>
      <c r="F317" s="120"/>
      <c r="G317" s="85" t="s">
        <v>785</v>
      </c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7" t="str">
        <f t="shared" si="1"/>
        <v>/410/210-37</v>
      </c>
      <c r="B318" s="80" t="str">
        <f>IFERROR(__xludf.DUMMYFUNCTION("CONCATENATE(VLOOKUP(C318,'Storage Locations'!$A:$C,2,FALSE),"" "",VLOOKUP(C318,'Storage Locations'!$A:$C,3,FALSE),"" || "",$E318, IF(G318 = ""Yes"",CONCATENATE("" "", REGEXREPLACE(RIGHT(A318,2), ""^0+"","""")),""""), IF(ISBLANK(F318),"""",CONCATENATE("": "&amp;""", F318)))"),"Nut &amp; Bolt Organiser 2 Cabinet || Organiser 37")</f>
        <v>Nut &amp; Bolt Organiser 2 Cabinet || Organiser 37</v>
      </c>
      <c r="C318" s="128" t="s">
        <v>908</v>
      </c>
      <c r="D318" s="87">
        <v>37.0</v>
      </c>
      <c r="E318" s="83" t="s">
        <v>851</v>
      </c>
      <c r="F318" s="120"/>
      <c r="G318" s="85" t="s">
        <v>785</v>
      </c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7" t="str">
        <f t="shared" si="1"/>
        <v>/410/210-38</v>
      </c>
      <c r="B319" s="80" t="str">
        <f>IFERROR(__xludf.DUMMYFUNCTION("CONCATENATE(VLOOKUP(C319,'Storage Locations'!$A:$C,2,FALSE),"" "",VLOOKUP(C319,'Storage Locations'!$A:$C,3,FALSE),"" || "",$E319, IF(G319 = ""Yes"",CONCATENATE("" "", REGEXREPLACE(RIGHT(A319,2), ""^0+"","""")),""""), IF(ISBLANK(F319),"""",CONCATENATE("": "&amp;""", F319)))"),"Nut &amp; Bolt Organiser 2 Cabinet || Organiser 38")</f>
        <v>Nut &amp; Bolt Organiser 2 Cabinet || Organiser 38</v>
      </c>
      <c r="C319" s="128" t="s">
        <v>908</v>
      </c>
      <c r="D319" s="88">
        <v>38.0</v>
      </c>
      <c r="E319" s="83" t="s">
        <v>851</v>
      </c>
      <c r="F319" s="120"/>
      <c r="G319" s="85" t="s">
        <v>785</v>
      </c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7" t="str">
        <f t="shared" si="1"/>
        <v>/410/210-39</v>
      </c>
      <c r="B320" s="80" t="str">
        <f>IFERROR(__xludf.DUMMYFUNCTION("CONCATENATE(VLOOKUP(C320,'Storage Locations'!$A:$C,2,FALSE),"" "",VLOOKUP(C320,'Storage Locations'!$A:$C,3,FALSE),"" || "",$E320, IF(G320 = ""Yes"",CONCATENATE("" "", REGEXREPLACE(RIGHT(A320,2), ""^0+"","""")),""""), IF(ISBLANK(F320),"""",CONCATENATE("": "&amp;""", F320)))"),"Nut &amp; Bolt Organiser 2 Cabinet || Organiser 39")</f>
        <v>Nut &amp; Bolt Organiser 2 Cabinet || Organiser 39</v>
      </c>
      <c r="C320" s="128" t="s">
        <v>908</v>
      </c>
      <c r="D320" s="89">
        <v>39.0</v>
      </c>
      <c r="E320" s="83" t="s">
        <v>851</v>
      </c>
      <c r="F320" s="120"/>
      <c r="G320" s="85" t="s">
        <v>785</v>
      </c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7" t="str">
        <f t="shared" si="1"/>
        <v>/410/210-40</v>
      </c>
      <c r="B321" s="80" t="str">
        <f>IFERROR(__xludf.DUMMYFUNCTION("CONCATENATE(VLOOKUP(C321,'Storage Locations'!$A:$C,2,FALSE),"" "",VLOOKUP(C321,'Storage Locations'!$A:$C,3,FALSE),"" || "",$E321, IF(G321 = ""Yes"",CONCATENATE("" "", REGEXREPLACE(RIGHT(A321,2), ""^0+"","""")),""""), IF(ISBLANK(F321),"""",CONCATENATE("": "&amp;""", F321)))"),"Nut &amp; Bolt Organiser 2 Cabinet || Organiser 40")</f>
        <v>Nut &amp; Bolt Organiser 2 Cabinet || Organiser 40</v>
      </c>
      <c r="C321" s="128" t="s">
        <v>908</v>
      </c>
      <c r="D321" s="90">
        <v>40.0</v>
      </c>
      <c r="E321" s="83" t="s">
        <v>851</v>
      </c>
      <c r="F321" s="120"/>
      <c r="G321" s="85" t="s">
        <v>785</v>
      </c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7" t="str">
        <f t="shared" si="1"/>
        <v>/410/210-41</v>
      </c>
      <c r="B322" s="80" t="str">
        <f>IFERROR(__xludf.DUMMYFUNCTION("CONCATENATE(VLOOKUP(C322,'Storage Locations'!$A:$C,2,FALSE),"" "",VLOOKUP(C322,'Storage Locations'!$A:$C,3,FALSE),"" || "",$E322, IF(G322 = ""Yes"",CONCATENATE("" "", REGEXREPLACE(RIGHT(A322,2), ""^0+"","""")),""""), IF(ISBLANK(F322),"""",CONCATENATE("": "&amp;""", F322)))"),"Nut &amp; Bolt Organiser 2 Cabinet || Organiser 41")</f>
        <v>Nut &amp; Bolt Organiser 2 Cabinet || Organiser 41</v>
      </c>
      <c r="C322" s="128" t="s">
        <v>908</v>
      </c>
      <c r="D322" s="106">
        <v>41.0</v>
      </c>
      <c r="E322" s="83" t="s">
        <v>851</v>
      </c>
      <c r="F322" s="120"/>
      <c r="G322" s="85" t="s">
        <v>785</v>
      </c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7" t="str">
        <f t="shared" si="1"/>
        <v>/410/210-42</v>
      </c>
      <c r="B323" s="80" t="str">
        <f>IFERROR(__xludf.DUMMYFUNCTION("CONCATENATE(VLOOKUP(C323,'Storage Locations'!$A:$C,2,FALSE),"" "",VLOOKUP(C323,'Storage Locations'!$A:$C,3,FALSE),"" || "",$E323, IF(G323 = ""Yes"",CONCATENATE("" "", REGEXREPLACE(RIGHT(A323,2), ""^0+"","""")),""""), IF(ISBLANK(F323),"""",CONCATENATE("": "&amp;""", F323)))"),"Nut &amp; Bolt Organiser 2 Cabinet || Organiser 42")</f>
        <v>Nut &amp; Bolt Organiser 2 Cabinet || Organiser 42</v>
      </c>
      <c r="C323" s="128" t="s">
        <v>908</v>
      </c>
      <c r="D323" s="107">
        <v>42.0</v>
      </c>
      <c r="E323" s="83" t="s">
        <v>851</v>
      </c>
      <c r="F323" s="120"/>
      <c r="G323" s="85" t="s">
        <v>785</v>
      </c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7" t="str">
        <f t="shared" si="1"/>
        <v>/410/210-43</v>
      </c>
      <c r="B324" s="80" t="str">
        <f>IFERROR(__xludf.DUMMYFUNCTION("CONCATENATE(VLOOKUP(C324,'Storage Locations'!$A:$C,2,FALSE),"" "",VLOOKUP(C324,'Storage Locations'!$A:$C,3,FALSE),"" || "",$E324, IF(G324 = ""Yes"",CONCATENATE("" "", REGEXREPLACE(RIGHT(A324,2), ""^0+"","""")),""""), IF(ISBLANK(F324),"""",CONCATENATE("": "&amp;""", F324)))"),"Nut &amp; Bolt Organiser 2 Cabinet || Organiser 43")</f>
        <v>Nut &amp; Bolt Organiser 2 Cabinet || Organiser 43</v>
      </c>
      <c r="C324" s="128" t="s">
        <v>908</v>
      </c>
      <c r="D324" s="108">
        <v>43.0</v>
      </c>
      <c r="E324" s="83" t="s">
        <v>851</v>
      </c>
      <c r="F324" s="120"/>
      <c r="G324" s="85" t="s">
        <v>785</v>
      </c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7" t="str">
        <f t="shared" si="1"/>
        <v>/410/210-44</v>
      </c>
      <c r="B325" s="80" t="str">
        <f>IFERROR(__xludf.DUMMYFUNCTION("CONCATENATE(VLOOKUP(C325,'Storage Locations'!$A:$C,2,FALSE),"" "",VLOOKUP(C325,'Storage Locations'!$A:$C,3,FALSE),"" || "",$E325, IF(G325 = ""Yes"",CONCATENATE("" "", REGEXREPLACE(RIGHT(A325,2), ""^0+"","""")),""""), IF(ISBLANK(F325),"""",CONCATENATE("": "&amp;""", F325)))"),"Nut &amp; Bolt Organiser 2 Cabinet || Organiser 44")</f>
        <v>Nut &amp; Bolt Organiser 2 Cabinet || Organiser 44</v>
      </c>
      <c r="C325" s="128" t="s">
        <v>908</v>
      </c>
      <c r="D325" s="109">
        <v>44.0</v>
      </c>
      <c r="E325" s="83" t="s">
        <v>851</v>
      </c>
      <c r="F325" s="120"/>
      <c r="G325" s="85" t="s">
        <v>785</v>
      </c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7" t="str">
        <f t="shared" si="1"/>
        <v>/410/210-45</v>
      </c>
      <c r="B326" s="80" t="str">
        <f>IFERROR(__xludf.DUMMYFUNCTION("CONCATENATE(VLOOKUP(C326,'Storage Locations'!$A:$C,2,FALSE),"" "",VLOOKUP(C326,'Storage Locations'!$A:$C,3,FALSE),"" || "",$E326, IF(G326 = ""Yes"",CONCATENATE("" "", REGEXREPLACE(RIGHT(A326,2), ""^0+"","""")),""""), IF(ISBLANK(F326),"""",CONCATENATE("": "&amp;""", F326)))"),"Nut &amp; Bolt Organiser 2 Cabinet || Organiser 45")</f>
        <v>Nut &amp; Bolt Organiser 2 Cabinet || Organiser 45</v>
      </c>
      <c r="C326" s="128" t="s">
        <v>908</v>
      </c>
      <c r="D326" s="110">
        <v>45.0</v>
      </c>
      <c r="E326" s="83" t="s">
        <v>851</v>
      </c>
      <c r="F326" s="120"/>
      <c r="G326" s="85" t="s">
        <v>785</v>
      </c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7" t="str">
        <f t="shared" si="1"/>
        <v>/410/210-46</v>
      </c>
      <c r="B327" s="80" t="str">
        <f>IFERROR(__xludf.DUMMYFUNCTION("CONCATENATE(VLOOKUP(C327,'Storage Locations'!$A:$C,2,FALSE),"" "",VLOOKUP(C327,'Storage Locations'!$A:$C,3,FALSE),"" || "",$E327, IF(G327 = ""Yes"",CONCATENATE("" "", REGEXREPLACE(RIGHT(A327,2), ""^0+"","""")),""""), IF(ISBLANK(F327),"""",CONCATENATE("": "&amp;""", F327)))"),"Nut &amp; Bolt Organiser 2 Cabinet || Organiser 46")</f>
        <v>Nut &amp; Bolt Organiser 2 Cabinet || Organiser 46</v>
      </c>
      <c r="C327" s="128" t="s">
        <v>908</v>
      </c>
      <c r="D327" s="121">
        <v>46.0</v>
      </c>
      <c r="E327" s="83" t="s">
        <v>851</v>
      </c>
      <c r="F327" s="120"/>
      <c r="G327" s="85" t="s">
        <v>785</v>
      </c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7" t="str">
        <f t="shared" si="1"/>
        <v>/410/210-47</v>
      </c>
      <c r="B328" s="80" t="str">
        <f>IFERROR(__xludf.DUMMYFUNCTION("CONCATENATE(VLOOKUP(C328,'Storage Locations'!$A:$C,2,FALSE),"" "",VLOOKUP(C328,'Storage Locations'!$A:$C,3,FALSE),"" || "",$E328, IF(G328 = ""Yes"",CONCATENATE("" "", REGEXREPLACE(RIGHT(A328,2), ""^0+"","""")),""""), IF(ISBLANK(F328),"""",CONCATENATE("": "&amp;""", F328)))"),"Nut &amp; Bolt Organiser 2 Cabinet || Organiser 47")</f>
        <v>Nut &amp; Bolt Organiser 2 Cabinet || Organiser 47</v>
      </c>
      <c r="C328" s="128" t="s">
        <v>908</v>
      </c>
      <c r="D328" s="122">
        <v>47.0</v>
      </c>
      <c r="E328" s="83" t="s">
        <v>851</v>
      </c>
      <c r="F328" s="120"/>
      <c r="G328" s="85" t="s">
        <v>785</v>
      </c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9" t="str">
        <f t="shared" si="1"/>
        <v>/410/211-01</v>
      </c>
      <c r="B329" s="80" t="str">
        <f>IFERROR(__xludf.DUMMYFUNCTION("CONCATENATE(VLOOKUP(C329,'Storage Locations'!$A:$C,2,FALSE),"" "",VLOOKUP(C329,'Storage Locations'!$A:$C,3,FALSE),"" || "",$E329, IF(G329 = ""Yes"",CONCATENATE("" "", REGEXREPLACE(RIGHT(A329,2), ""^0+"","""")),""""), IF(ISBLANK(F329),"""",CONCATENATE("": "&amp;""", F329)))"),"Capacitor Organiser Cabinet || Organiser 1")</f>
        <v>Capacitor Organiser Cabinet || Organiser 1</v>
      </c>
      <c r="C329" s="130" t="s">
        <v>909</v>
      </c>
      <c r="D329" s="82">
        <v>1.0</v>
      </c>
      <c r="E329" s="83" t="s">
        <v>851</v>
      </c>
      <c r="F329" s="120"/>
      <c r="G329" s="85" t="s">
        <v>785</v>
      </c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9" t="str">
        <f t="shared" si="1"/>
        <v>/410/211-02</v>
      </c>
      <c r="B330" s="80" t="str">
        <f>IFERROR(__xludf.DUMMYFUNCTION("CONCATENATE(VLOOKUP(C330,'Storage Locations'!$A:$C,2,FALSE),"" "",VLOOKUP(C330,'Storage Locations'!$A:$C,3,FALSE),"" || "",$E330, IF(G330 = ""Yes"",CONCATENATE("" "", REGEXREPLACE(RIGHT(A330,2), ""^0+"","""")),""""), IF(ISBLANK(F330),"""",CONCATENATE("": "&amp;""", F330)))"),"Capacitor Organiser Cabinet || Organiser 2")</f>
        <v>Capacitor Organiser Cabinet || Organiser 2</v>
      </c>
      <c r="C330" s="130" t="s">
        <v>909</v>
      </c>
      <c r="D330" s="86">
        <v>2.0</v>
      </c>
      <c r="E330" s="83" t="s">
        <v>851</v>
      </c>
      <c r="F330" s="120"/>
      <c r="G330" s="85" t="s">
        <v>785</v>
      </c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9" t="str">
        <f t="shared" si="1"/>
        <v>/410/211-03</v>
      </c>
      <c r="B331" s="80" t="str">
        <f>IFERROR(__xludf.DUMMYFUNCTION("CONCATENATE(VLOOKUP(C331,'Storage Locations'!$A:$C,2,FALSE),"" "",VLOOKUP(C331,'Storage Locations'!$A:$C,3,FALSE),"" || "",$E331, IF(G331 = ""Yes"",CONCATENATE("" "", REGEXREPLACE(RIGHT(A331,2), ""^0+"","""")),""""), IF(ISBLANK(F331),"""",CONCATENATE("": "&amp;""", F331)))"),"Capacitor Organiser Cabinet || Organiser 3")</f>
        <v>Capacitor Organiser Cabinet || Organiser 3</v>
      </c>
      <c r="C331" s="130" t="s">
        <v>909</v>
      </c>
      <c r="D331" s="87">
        <v>3.0</v>
      </c>
      <c r="E331" s="83" t="s">
        <v>851</v>
      </c>
      <c r="F331" s="120"/>
      <c r="G331" s="85" t="s">
        <v>785</v>
      </c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9" t="str">
        <f t="shared" si="1"/>
        <v>/410/211-04</v>
      </c>
      <c r="B332" s="80" t="str">
        <f>IFERROR(__xludf.DUMMYFUNCTION("CONCATENATE(VLOOKUP(C332,'Storage Locations'!$A:$C,2,FALSE),"" "",VLOOKUP(C332,'Storage Locations'!$A:$C,3,FALSE),"" || "",$E332, IF(G332 = ""Yes"",CONCATENATE("" "", REGEXREPLACE(RIGHT(A332,2), ""^0+"","""")),""""), IF(ISBLANK(F332),"""",CONCATENATE("": "&amp;""", F332)))"),"Capacitor Organiser Cabinet || Organiser 4")</f>
        <v>Capacitor Organiser Cabinet || Organiser 4</v>
      </c>
      <c r="C332" s="130" t="s">
        <v>909</v>
      </c>
      <c r="D332" s="88">
        <v>4.0</v>
      </c>
      <c r="E332" s="83" t="s">
        <v>851</v>
      </c>
      <c r="F332" s="120"/>
      <c r="G332" s="85" t="s">
        <v>785</v>
      </c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9" t="str">
        <f t="shared" si="1"/>
        <v>/410/211-05</v>
      </c>
      <c r="B333" s="80" t="str">
        <f>IFERROR(__xludf.DUMMYFUNCTION("CONCATENATE(VLOOKUP(C333,'Storage Locations'!$A:$C,2,FALSE),"" "",VLOOKUP(C333,'Storage Locations'!$A:$C,3,FALSE),"" || "",$E333, IF(G333 = ""Yes"",CONCATENATE("" "", REGEXREPLACE(RIGHT(A333,2), ""^0+"","""")),""""), IF(ISBLANK(F333),"""",CONCATENATE("": "&amp;""", F333)))"),"Capacitor Organiser Cabinet || Organiser 5")</f>
        <v>Capacitor Organiser Cabinet || Organiser 5</v>
      </c>
      <c r="C333" s="130" t="s">
        <v>909</v>
      </c>
      <c r="D333" s="89">
        <v>5.0</v>
      </c>
      <c r="E333" s="83" t="s">
        <v>851</v>
      </c>
      <c r="F333" s="120"/>
      <c r="G333" s="85" t="s">
        <v>785</v>
      </c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9" t="str">
        <f t="shared" si="1"/>
        <v>/410/211-06</v>
      </c>
      <c r="B334" s="80" t="str">
        <f>IFERROR(__xludf.DUMMYFUNCTION("CONCATENATE(VLOOKUP(C334,'Storage Locations'!$A:$C,2,FALSE),"" "",VLOOKUP(C334,'Storage Locations'!$A:$C,3,FALSE),"" || "",$E334, IF(G334 = ""Yes"",CONCATENATE("" "", REGEXREPLACE(RIGHT(A334,2), ""^0+"","""")),""""), IF(ISBLANK(F334),"""",CONCATENATE("": "&amp;""", F334)))"),"Capacitor Organiser Cabinet || Organiser 6")</f>
        <v>Capacitor Organiser Cabinet || Organiser 6</v>
      </c>
      <c r="C334" s="130" t="s">
        <v>909</v>
      </c>
      <c r="D334" s="90">
        <v>6.0</v>
      </c>
      <c r="E334" s="83" t="s">
        <v>851</v>
      </c>
      <c r="F334" s="120"/>
      <c r="G334" s="85" t="s">
        <v>785</v>
      </c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9" t="str">
        <f t="shared" si="1"/>
        <v>/410/211-07</v>
      </c>
      <c r="B335" s="80" t="str">
        <f>IFERROR(__xludf.DUMMYFUNCTION("CONCATENATE(VLOOKUP(C335,'Storage Locations'!$A:$C,2,FALSE),"" "",VLOOKUP(C335,'Storage Locations'!$A:$C,3,FALSE),"" || "",$E335, IF(G335 = ""Yes"",CONCATENATE("" "", REGEXREPLACE(RIGHT(A335,2), ""^0+"","""")),""""), IF(ISBLANK(F335),"""",CONCATENATE("": "&amp;""", F335)))"),"Capacitor Organiser Cabinet || Organiser 7")</f>
        <v>Capacitor Organiser Cabinet || Organiser 7</v>
      </c>
      <c r="C335" s="130" t="s">
        <v>909</v>
      </c>
      <c r="D335" s="106">
        <v>7.0</v>
      </c>
      <c r="E335" s="83" t="s">
        <v>851</v>
      </c>
      <c r="F335" s="120"/>
      <c r="G335" s="85" t="s">
        <v>785</v>
      </c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9" t="str">
        <f t="shared" si="1"/>
        <v>/410/211-08</v>
      </c>
      <c r="B336" s="80" t="str">
        <f>IFERROR(__xludf.DUMMYFUNCTION("CONCATENATE(VLOOKUP(C336,'Storage Locations'!$A:$C,2,FALSE),"" "",VLOOKUP(C336,'Storage Locations'!$A:$C,3,FALSE),"" || "",$E336, IF(G336 = ""Yes"",CONCATENATE("" "", REGEXREPLACE(RIGHT(A336,2), ""^0+"","""")),""""), IF(ISBLANK(F336),"""",CONCATENATE("": "&amp;""", F336)))"),"Capacitor Organiser Cabinet || Organiser 8")</f>
        <v>Capacitor Organiser Cabinet || Organiser 8</v>
      </c>
      <c r="C336" s="130" t="s">
        <v>909</v>
      </c>
      <c r="D336" s="107">
        <v>8.0</v>
      </c>
      <c r="E336" s="83" t="s">
        <v>851</v>
      </c>
      <c r="F336" s="120"/>
      <c r="G336" s="85" t="s">
        <v>785</v>
      </c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9" t="str">
        <f t="shared" si="1"/>
        <v>/410/211-09</v>
      </c>
      <c r="B337" s="80" t="str">
        <f>IFERROR(__xludf.DUMMYFUNCTION("CONCATENATE(VLOOKUP(C337,'Storage Locations'!$A:$C,2,FALSE),"" "",VLOOKUP(C337,'Storage Locations'!$A:$C,3,FALSE),"" || "",$E337, IF(G337 = ""Yes"",CONCATENATE("" "", REGEXREPLACE(RIGHT(A337,2), ""^0+"","""")),""""), IF(ISBLANK(F337),"""",CONCATENATE("": "&amp;""", F337)))"),"Capacitor Organiser Cabinet || Organiser 9")</f>
        <v>Capacitor Organiser Cabinet || Organiser 9</v>
      </c>
      <c r="C337" s="130" t="s">
        <v>909</v>
      </c>
      <c r="D337" s="108">
        <v>9.0</v>
      </c>
      <c r="E337" s="83" t="s">
        <v>851</v>
      </c>
      <c r="F337" s="120"/>
      <c r="G337" s="85" t="s">
        <v>785</v>
      </c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9" t="str">
        <f t="shared" si="1"/>
        <v>/410/211-10</v>
      </c>
      <c r="B338" s="80" t="str">
        <f>IFERROR(__xludf.DUMMYFUNCTION("CONCATENATE(VLOOKUP(C338,'Storage Locations'!$A:$C,2,FALSE),"" "",VLOOKUP(C338,'Storage Locations'!$A:$C,3,FALSE),"" || "",$E338, IF(G338 = ""Yes"",CONCATENATE("" "", REGEXREPLACE(RIGHT(A338,2), ""^0+"","""")),""""), IF(ISBLANK(F338),"""",CONCATENATE("": "&amp;""", F338)))"),"Capacitor Organiser Cabinet || Organiser 10")</f>
        <v>Capacitor Organiser Cabinet || Organiser 10</v>
      </c>
      <c r="C338" s="130" t="s">
        <v>909</v>
      </c>
      <c r="D338" s="109">
        <v>10.0</v>
      </c>
      <c r="E338" s="83" t="s">
        <v>851</v>
      </c>
      <c r="F338" s="120"/>
      <c r="G338" s="85" t="s">
        <v>785</v>
      </c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9" t="str">
        <f t="shared" si="1"/>
        <v>/410/211-11</v>
      </c>
      <c r="B339" s="80" t="str">
        <f>IFERROR(__xludf.DUMMYFUNCTION("CONCATENATE(VLOOKUP(C339,'Storage Locations'!$A:$C,2,FALSE),"" "",VLOOKUP(C339,'Storage Locations'!$A:$C,3,FALSE),"" || "",$E339, IF(G339 = ""Yes"",CONCATENATE("" "", REGEXREPLACE(RIGHT(A339,2), ""^0+"","""")),""""), IF(ISBLANK(F339),"""",CONCATENATE("": "&amp;""", F339)))"),"Capacitor Organiser Cabinet || Organiser 11")</f>
        <v>Capacitor Organiser Cabinet || Organiser 11</v>
      </c>
      <c r="C339" s="130" t="s">
        <v>909</v>
      </c>
      <c r="D339" s="110">
        <v>11.0</v>
      </c>
      <c r="E339" s="83" t="s">
        <v>851</v>
      </c>
      <c r="F339" s="120"/>
      <c r="G339" s="85" t="s">
        <v>785</v>
      </c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9" t="str">
        <f t="shared" si="1"/>
        <v>/410/211-12</v>
      </c>
      <c r="B340" s="80" t="str">
        <f>IFERROR(__xludf.DUMMYFUNCTION("CONCATENATE(VLOOKUP(C340,'Storage Locations'!$A:$C,2,FALSE),"" "",VLOOKUP(C340,'Storage Locations'!$A:$C,3,FALSE),"" || "",$E340, IF(G340 = ""Yes"",CONCATENATE("" "", REGEXREPLACE(RIGHT(A340,2), ""^0+"","""")),""""), IF(ISBLANK(F340),"""",CONCATENATE("": "&amp;""", F340)))"),"Capacitor Organiser Cabinet || Organiser 12")</f>
        <v>Capacitor Organiser Cabinet || Organiser 12</v>
      </c>
      <c r="C340" s="130" t="s">
        <v>909</v>
      </c>
      <c r="D340" s="121">
        <v>12.0</v>
      </c>
      <c r="E340" s="83" t="s">
        <v>851</v>
      </c>
      <c r="F340" s="120"/>
      <c r="G340" s="85" t="s">
        <v>785</v>
      </c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9" t="str">
        <f t="shared" si="1"/>
        <v>/410/211-13</v>
      </c>
      <c r="B341" s="80" t="str">
        <f>IFERROR(__xludf.DUMMYFUNCTION("CONCATENATE(VLOOKUP(C341,'Storage Locations'!$A:$C,2,FALSE),"" "",VLOOKUP(C341,'Storage Locations'!$A:$C,3,FALSE),"" || "",$E341, IF(G341 = ""Yes"",CONCATENATE("" "", REGEXREPLACE(RIGHT(A341,2), ""^0+"","""")),""""), IF(ISBLANK(F341),"""",CONCATENATE("": "&amp;""", F341)))"),"Capacitor Organiser Cabinet || Organiser 13")</f>
        <v>Capacitor Organiser Cabinet || Organiser 13</v>
      </c>
      <c r="C341" s="130" t="s">
        <v>909</v>
      </c>
      <c r="D341" s="122">
        <v>13.0</v>
      </c>
      <c r="E341" s="83" t="s">
        <v>851</v>
      </c>
      <c r="F341" s="120"/>
      <c r="G341" s="85" t="s">
        <v>785</v>
      </c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9" t="str">
        <f t="shared" si="1"/>
        <v>/410/211-14</v>
      </c>
      <c r="B342" s="80" t="str">
        <f>IFERROR(__xludf.DUMMYFUNCTION("CONCATENATE(VLOOKUP(C342,'Storage Locations'!$A:$C,2,FALSE),"" "",VLOOKUP(C342,'Storage Locations'!$A:$C,3,FALSE),"" || "",$E342, IF(G342 = ""Yes"",CONCATENATE("" "", REGEXREPLACE(RIGHT(A342,2), ""^0+"","""")),""""), IF(ISBLANK(F342),"""",CONCATENATE("": "&amp;""", F342)))"),"Capacitor Organiser Cabinet || Organiser 14")</f>
        <v>Capacitor Organiser Cabinet || Organiser 14</v>
      </c>
      <c r="C342" s="130" t="s">
        <v>909</v>
      </c>
      <c r="D342" s="99">
        <v>14.0</v>
      </c>
      <c r="E342" s="83" t="s">
        <v>851</v>
      </c>
      <c r="F342" s="120"/>
      <c r="G342" s="85" t="s">
        <v>785</v>
      </c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9" t="str">
        <f t="shared" si="1"/>
        <v>/410/211-15</v>
      </c>
      <c r="B343" s="80" t="str">
        <f>IFERROR(__xludf.DUMMYFUNCTION("CONCATENATE(VLOOKUP(C343,'Storage Locations'!$A:$C,2,FALSE),"" "",VLOOKUP(C343,'Storage Locations'!$A:$C,3,FALSE),"" || "",$E343, IF(G343 = ""Yes"",CONCATENATE("" "", REGEXREPLACE(RIGHT(A343,2), ""^0+"","""")),""""), IF(ISBLANK(F343),"""",CONCATENATE("": "&amp;""", F343)))"),"Capacitor Organiser Cabinet || Organiser 15")</f>
        <v>Capacitor Organiser Cabinet || Organiser 15</v>
      </c>
      <c r="C343" s="130" t="s">
        <v>909</v>
      </c>
      <c r="D343" s="100">
        <v>15.0</v>
      </c>
      <c r="E343" s="83" t="s">
        <v>851</v>
      </c>
      <c r="F343" s="120"/>
      <c r="G343" s="85" t="s">
        <v>785</v>
      </c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9" t="str">
        <f t="shared" si="1"/>
        <v>/410/211-16</v>
      </c>
      <c r="B344" s="80" t="str">
        <f>IFERROR(__xludf.DUMMYFUNCTION("CONCATENATE(VLOOKUP(C344,'Storage Locations'!$A:$C,2,FALSE),"" "",VLOOKUP(C344,'Storage Locations'!$A:$C,3,FALSE),"" || "",$E344, IF(G344 = ""Yes"",CONCATENATE("" "", REGEXREPLACE(RIGHT(A344,2), ""^0+"","""")),""""), IF(ISBLANK(F344),"""",CONCATENATE("": "&amp;""", F344)))"),"Capacitor Organiser Cabinet || Organiser 16")</f>
        <v>Capacitor Organiser Cabinet || Organiser 16</v>
      </c>
      <c r="C344" s="130" t="s">
        <v>909</v>
      </c>
      <c r="D344" s="101">
        <v>16.0</v>
      </c>
      <c r="E344" s="83" t="s">
        <v>851</v>
      </c>
      <c r="F344" s="120"/>
      <c r="G344" s="85" t="s">
        <v>785</v>
      </c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9" t="str">
        <f t="shared" si="1"/>
        <v>/410/211-17</v>
      </c>
      <c r="B345" s="80" t="str">
        <f>IFERROR(__xludf.DUMMYFUNCTION("CONCATENATE(VLOOKUP(C345,'Storage Locations'!$A:$C,2,FALSE),"" "",VLOOKUP(C345,'Storage Locations'!$A:$C,3,FALSE),"" || "",$E345, IF(G345 = ""Yes"",CONCATENATE("" "", REGEXREPLACE(RIGHT(A345,2), ""^0+"","""")),""""), IF(ISBLANK(F345),"""",CONCATENATE("": "&amp;""", F345)))"),"Capacitor Organiser Cabinet || Organiser 17")</f>
        <v>Capacitor Organiser Cabinet || Organiser 17</v>
      </c>
      <c r="C345" s="130" t="s">
        <v>909</v>
      </c>
      <c r="D345" s="102">
        <v>17.0</v>
      </c>
      <c r="E345" s="83" t="s">
        <v>851</v>
      </c>
      <c r="F345" s="120"/>
      <c r="G345" s="85" t="s">
        <v>785</v>
      </c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9" t="str">
        <f t="shared" si="1"/>
        <v>/410/211-18</v>
      </c>
      <c r="B346" s="80" t="str">
        <f>IFERROR(__xludf.DUMMYFUNCTION("CONCATENATE(VLOOKUP(C346,'Storage Locations'!$A:$C,2,FALSE),"" "",VLOOKUP(C346,'Storage Locations'!$A:$C,3,FALSE),"" || "",$E346, IF(G346 = ""Yes"",CONCATENATE("" "", REGEXREPLACE(RIGHT(A346,2), ""^0+"","""")),""""), IF(ISBLANK(F346),"""",CONCATENATE("": "&amp;""", F346)))"),"Capacitor Organiser Cabinet || Organiser 18")</f>
        <v>Capacitor Organiser Cabinet || Organiser 18</v>
      </c>
      <c r="C346" s="130" t="s">
        <v>909</v>
      </c>
      <c r="D346" s="82">
        <v>18.0</v>
      </c>
      <c r="E346" s="83" t="s">
        <v>851</v>
      </c>
      <c r="F346" s="120"/>
      <c r="G346" s="85" t="s">
        <v>785</v>
      </c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9" t="str">
        <f t="shared" si="1"/>
        <v>/410/211-19</v>
      </c>
      <c r="B347" s="80" t="str">
        <f>IFERROR(__xludf.DUMMYFUNCTION("CONCATENATE(VLOOKUP(C347,'Storage Locations'!$A:$C,2,FALSE),"" "",VLOOKUP(C347,'Storage Locations'!$A:$C,3,FALSE),"" || "",$E347, IF(G347 = ""Yes"",CONCATENATE("" "", REGEXREPLACE(RIGHT(A347,2), ""^0+"","""")),""""), IF(ISBLANK(F347),"""",CONCATENATE("": "&amp;""", F347)))"),"Capacitor Organiser Cabinet || Organiser 19")</f>
        <v>Capacitor Organiser Cabinet || Organiser 19</v>
      </c>
      <c r="C347" s="130" t="s">
        <v>909</v>
      </c>
      <c r="D347" s="86">
        <v>19.0</v>
      </c>
      <c r="E347" s="83" t="s">
        <v>851</v>
      </c>
      <c r="F347" s="120"/>
      <c r="G347" s="85" t="s">
        <v>785</v>
      </c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9" t="str">
        <f t="shared" si="1"/>
        <v>/410/211-20</v>
      </c>
      <c r="B348" s="80" t="str">
        <f>IFERROR(__xludf.DUMMYFUNCTION("CONCATENATE(VLOOKUP(C348,'Storage Locations'!$A:$C,2,FALSE),"" "",VLOOKUP(C348,'Storage Locations'!$A:$C,3,FALSE),"" || "",$E348, IF(G348 = ""Yes"",CONCATENATE("" "", REGEXREPLACE(RIGHT(A348,2), ""^0+"","""")),""""), IF(ISBLANK(F348),"""",CONCATENATE("": "&amp;""", F348)))"),"Capacitor Organiser Cabinet || Organiser 20")</f>
        <v>Capacitor Organiser Cabinet || Organiser 20</v>
      </c>
      <c r="C348" s="130" t="s">
        <v>909</v>
      </c>
      <c r="D348" s="87">
        <v>20.0</v>
      </c>
      <c r="E348" s="83" t="s">
        <v>851</v>
      </c>
      <c r="F348" s="120"/>
      <c r="G348" s="85" t="s">
        <v>785</v>
      </c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9" t="str">
        <f t="shared" si="1"/>
        <v>/410/211-21</v>
      </c>
      <c r="B349" s="80" t="str">
        <f>IFERROR(__xludf.DUMMYFUNCTION("CONCATENATE(VLOOKUP(C349,'Storage Locations'!$A:$C,2,FALSE),"" "",VLOOKUP(C349,'Storage Locations'!$A:$C,3,FALSE),"" || "",$E349, IF(G349 = ""Yes"",CONCATENATE("" "", REGEXREPLACE(RIGHT(A349,2), ""^0+"","""")),""""), IF(ISBLANK(F349),"""",CONCATENATE("": "&amp;""", F349)))"),"Capacitor Organiser Cabinet || Organiser 21")</f>
        <v>Capacitor Organiser Cabinet || Organiser 21</v>
      </c>
      <c r="C349" s="130" t="s">
        <v>909</v>
      </c>
      <c r="D349" s="88">
        <v>21.0</v>
      </c>
      <c r="E349" s="83" t="s">
        <v>851</v>
      </c>
      <c r="F349" s="120"/>
      <c r="G349" s="85" t="s">
        <v>785</v>
      </c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9" t="str">
        <f t="shared" si="1"/>
        <v>/410/211-22</v>
      </c>
      <c r="B350" s="80" t="str">
        <f>IFERROR(__xludf.DUMMYFUNCTION("CONCATENATE(VLOOKUP(C350,'Storage Locations'!$A:$C,2,FALSE),"" "",VLOOKUP(C350,'Storage Locations'!$A:$C,3,FALSE),"" || "",$E350, IF(G350 = ""Yes"",CONCATENATE("" "", REGEXREPLACE(RIGHT(A350,2), ""^0+"","""")),""""), IF(ISBLANK(F350),"""",CONCATENATE("": "&amp;""", F350)))"),"Capacitor Organiser Cabinet || Organiser 22")</f>
        <v>Capacitor Organiser Cabinet || Organiser 22</v>
      </c>
      <c r="C350" s="130" t="s">
        <v>909</v>
      </c>
      <c r="D350" s="89">
        <v>22.0</v>
      </c>
      <c r="E350" s="83" t="s">
        <v>851</v>
      </c>
      <c r="F350" s="120"/>
      <c r="G350" s="85" t="s">
        <v>785</v>
      </c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9" t="str">
        <f t="shared" si="1"/>
        <v>/410/211-23</v>
      </c>
      <c r="B351" s="80" t="str">
        <f>IFERROR(__xludf.DUMMYFUNCTION("CONCATENATE(VLOOKUP(C351,'Storage Locations'!$A:$C,2,FALSE),"" "",VLOOKUP(C351,'Storage Locations'!$A:$C,3,FALSE),"" || "",$E351, IF(G351 = ""Yes"",CONCATENATE("" "", REGEXREPLACE(RIGHT(A351,2), ""^0+"","""")),""""), IF(ISBLANK(F351),"""",CONCATENATE("": "&amp;""", F351)))"),"Capacitor Organiser Cabinet || Organiser 23")</f>
        <v>Capacitor Organiser Cabinet || Organiser 23</v>
      </c>
      <c r="C351" s="130" t="s">
        <v>909</v>
      </c>
      <c r="D351" s="90">
        <v>23.0</v>
      </c>
      <c r="E351" s="83" t="s">
        <v>851</v>
      </c>
      <c r="F351" s="120"/>
      <c r="G351" s="85" t="s">
        <v>785</v>
      </c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9" t="str">
        <f t="shared" si="1"/>
        <v>/410/211-24</v>
      </c>
      <c r="B352" s="80" t="str">
        <f>IFERROR(__xludf.DUMMYFUNCTION("CONCATENATE(VLOOKUP(C352,'Storage Locations'!$A:$C,2,FALSE),"" "",VLOOKUP(C352,'Storage Locations'!$A:$C,3,FALSE),"" || "",$E352, IF(G352 = ""Yes"",CONCATENATE("" "", REGEXREPLACE(RIGHT(A352,2), ""^0+"","""")),""""), IF(ISBLANK(F352),"""",CONCATENATE("": "&amp;""", F352)))"),"Capacitor Organiser Cabinet || Organiser 24")</f>
        <v>Capacitor Organiser Cabinet || Organiser 24</v>
      </c>
      <c r="C352" s="130" t="s">
        <v>909</v>
      </c>
      <c r="D352" s="106">
        <v>24.0</v>
      </c>
      <c r="E352" s="83" t="s">
        <v>851</v>
      </c>
      <c r="F352" s="120"/>
      <c r="G352" s="85" t="s">
        <v>785</v>
      </c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9" t="str">
        <f t="shared" si="1"/>
        <v>/410/211-25</v>
      </c>
      <c r="B353" s="80" t="str">
        <f>IFERROR(__xludf.DUMMYFUNCTION("CONCATENATE(VLOOKUP(C353,'Storage Locations'!$A:$C,2,FALSE),"" "",VLOOKUP(C353,'Storage Locations'!$A:$C,3,FALSE),"" || "",$E353, IF(G353 = ""Yes"",CONCATENATE("" "", REGEXREPLACE(RIGHT(A353,2), ""^0+"","""")),""""), IF(ISBLANK(F353),"""",CONCATENATE("": "&amp;""", F353)))"),"Capacitor Organiser Cabinet || Organiser 25")</f>
        <v>Capacitor Organiser Cabinet || Organiser 25</v>
      </c>
      <c r="C353" s="130" t="s">
        <v>909</v>
      </c>
      <c r="D353" s="107">
        <v>25.0</v>
      </c>
      <c r="E353" s="83" t="s">
        <v>851</v>
      </c>
      <c r="F353" s="120"/>
      <c r="G353" s="85" t="s">
        <v>785</v>
      </c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9" t="str">
        <f t="shared" si="1"/>
        <v>/410/211-26</v>
      </c>
      <c r="B354" s="80" t="str">
        <f>IFERROR(__xludf.DUMMYFUNCTION("CONCATENATE(VLOOKUP(C354,'Storage Locations'!$A:$C,2,FALSE),"" "",VLOOKUP(C354,'Storage Locations'!$A:$C,3,FALSE),"" || "",$E354, IF(G354 = ""Yes"",CONCATENATE("" "", REGEXREPLACE(RIGHT(A354,2), ""^0+"","""")),""""), IF(ISBLANK(F354),"""",CONCATENATE("": "&amp;""", F354)))"),"Capacitor Organiser Cabinet || Organiser 26")</f>
        <v>Capacitor Organiser Cabinet || Organiser 26</v>
      </c>
      <c r="C354" s="130" t="s">
        <v>909</v>
      </c>
      <c r="D354" s="108">
        <v>26.0</v>
      </c>
      <c r="E354" s="83" t="s">
        <v>851</v>
      </c>
      <c r="F354" s="120"/>
      <c r="G354" s="85" t="s">
        <v>785</v>
      </c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9" t="str">
        <f t="shared" si="1"/>
        <v>/410/211-27</v>
      </c>
      <c r="B355" s="80" t="str">
        <f>IFERROR(__xludf.DUMMYFUNCTION("CONCATENATE(VLOOKUP(C355,'Storage Locations'!$A:$C,2,FALSE),"" "",VLOOKUP(C355,'Storage Locations'!$A:$C,3,FALSE),"" || "",$E355, IF(G355 = ""Yes"",CONCATENATE("" "", REGEXREPLACE(RIGHT(A355,2), ""^0+"","""")),""""), IF(ISBLANK(F355),"""",CONCATENATE("": "&amp;""", F355)))"),"Capacitor Organiser Cabinet || Organiser 27")</f>
        <v>Capacitor Organiser Cabinet || Organiser 27</v>
      </c>
      <c r="C355" s="130" t="s">
        <v>909</v>
      </c>
      <c r="D355" s="109">
        <v>27.0</v>
      </c>
      <c r="E355" s="83" t="s">
        <v>851</v>
      </c>
      <c r="F355" s="120"/>
      <c r="G355" s="85" t="s">
        <v>785</v>
      </c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9" t="str">
        <f t="shared" si="1"/>
        <v>/410/211-28</v>
      </c>
      <c r="B356" s="80" t="str">
        <f>IFERROR(__xludf.DUMMYFUNCTION("CONCATENATE(VLOOKUP(C356,'Storage Locations'!$A:$C,2,FALSE),"" "",VLOOKUP(C356,'Storage Locations'!$A:$C,3,FALSE),"" || "",$E356, IF(G356 = ""Yes"",CONCATENATE("" "", REGEXREPLACE(RIGHT(A356,2), ""^0+"","""")),""""), IF(ISBLANK(F356),"""",CONCATENATE("": "&amp;""", F356)))"),"Capacitor Organiser Cabinet || Organiser 28")</f>
        <v>Capacitor Organiser Cabinet || Organiser 28</v>
      </c>
      <c r="C356" s="130" t="s">
        <v>909</v>
      </c>
      <c r="D356" s="110">
        <v>28.0</v>
      </c>
      <c r="E356" s="83" t="s">
        <v>851</v>
      </c>
      <c r="F356" s="120"/>
      <c r="G356" s="85" t="s">
        <v>785</v>
      </c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9" t="str">
        <f t="shared" si="1"/>
        <v>/410/211-29</v>
      </c>
      <c r="B357" s="80" t="str">
        <f>IFERROR(__xludf.DUMMYFUNCTION("CONCATENATE(VLOOKUP(C357,'Storage Locations'!$A:$C,2,FALSE),"" "",VLOOKUP(C357,'Storage Locations'!$A:$C,3,FALSE),"" || "",$E357, IF(G357 = ""Yes"",CONCATENATE("" "", REGEXREPLACE(RIGHT(A357,2), ""^0+"","""")),""""), IF(ISBLANK(F357),"""",CONCATENATE("": "&amp;""", F357)))"),"Capacitor Organiser Cabinet || Organiser 29")</f>
        <v>Capacitor Organiser Cabinet || Organiser 29</v>
      </c>
      <c r="C357" s="130" t="s">
        <v>909</v>
      </c>
      <c r="D357" s="121">
        <v>29.0</v>
      </c>
      <c r="E357" s="83" t="s">
        <v>851</v>
      </c>
      <c r="F357" s="120"/>
      <c r="G357" s="85" t="s">
        <v>785</v>
      </c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9" t="str">
        <f t="shared" si="1"/>
        <v>/410/211-30</v>
      </c>
      <c r="B358" s="80" t="str">
        <f>IFERROR(__xludf.DUMMYFUNCTION("CONCATENATE(VLOOKUP(C358,'Storage Locations'!$A:$C,2,FALSE),"" "",VLOOKUP(C358,'Storage Locations'!$A:$C,3,FALSE),"" || "",$E358, IF(G358 = ""Yes"",CONCATENATE("" "", REGEXREPLACE(RIGHT(A358,2), ""^0+"","""")),""""), IF(ISBLANK(F358),"""",CONCATENATE("": "&amp;""", F358)))"),"Capacitor Organiser Cabinet || Organiser 30")</f>
        <v>Capacitor Organiser Cabinet || Organiser 30</v>
      </c>
      <c r="C358" s="130" t="s">
        <v>909</v>
      </c>
      <c r="D358" s="122">
        <v>30.0</v>
      </c>
      <c r="E358" s="83" t="s">
        <v>851</v>
      </c>
      <c r="F358" s="120"/>
      <c r="G358" s="85" t="s">
        <v>785</v>
      </c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9" t="str">
        <f t="shared" si="1"/>
        <v>/410/211-31</v>
      </c>
      <c r="B359" s="80" t="str">
        <f>IFERROR(__xludf.DUMMYFUNCTION("CONCATENATE(VLOOKUP(C359,'Storage Locations'!$A:$C,2,FALSE),"" "",VLOOKUP(C359,'Storage Locations'!$A:$C,3,FALSE),"" || "",$E359, IF(G359 = ""Yes"",CONCATENATE("" "", REGEXREPLACE(RIGHT(A359,2), ""^0+"","""")),""""), IF(ISBLANK(F359),"""",CONCATENATE("": "&amp;""", F359)))"),"Capacitor Organiser Cabinet || Organiser 31")</f>
        <v>Capacitor Organiser Cabinet || Organiser 31</v>
      </c>
      <c r="C359" s="130" t="s">
        <v>909</v>
      </c>
      <c r="D359" s="99">
        <v>31.0</v>
      </c>
      <c r="E359" s="83" t="s">
        <v>851</v>
      </c>
      <c r="F359" s="120"/>
      <c r="G359" s="85" t="s">
        <v>785</v>
      </c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9" t="str">
        <f t="shared" si="1"/>
        <v>/410/211-32</v>
      </c>
      <c r="B360" s="80" t="str">
        <f>IFERROR(__xludf.DUMMYFUNCTION("CONCATENATE(VLOOKUP(C360,'Storage Locations'!$A:$C,2,FALSE),"" "",VLOOKUP(C360,'Storage Locations'!$A:$C,3,FALSE),"" || "",$E360, IF(G360 = ""Yes"",CONCATENATE("" "", REGEXREPLACE(RIGHT(A360,2), ""^0+"","""")),""""), IF(ISBLANK(F360),"""",CONCATENATE("": "&amp;""", F360)))"),"Capacitor Organiser Cabinet || Organiser 32")</f>
        <v>Capacitor Organiser Cabinet || Organiser 32</v>
      </c>
      <c r="C360" s="130" t="s">
        <v>909</v>
      </c>
      <c r="D360" s="100">
        <v>32.0</v>
      </c>
      <c r="E360" s="83" t="s">
        <v>851</v>
      </c>
      <c r="F360" s="120"/>
      <c r="G360" s="85" t="s">
        <v>785</v>
      </c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9" t="str">
        <f t="shared" si="1"/>
        <v>/410/211-33</v>
      </c>
      <c r="B361" s="80" t="str">
        <f>IFERROR(__xludf.DUMMYFUNCTION("CONCATENATE(VLOOKUP(C361,'Storage Locations'!$A:$C,2,FALSE),"" "",VLOOKUP(C361,'Storage Locations'!$A:$C,3,FALSE),"" || "",$E361, IF(G361 = ""Yes"",CONCATENATE("" "", REGEXREPLACE(RIGHT(A361,2), ""^0+"","""")),""""), IF(ISBLANK(F361),"""",CONCATENATE("": "&amp;""", F361)))"),"Capacitor Organiser Cabinet || Organiser 33")</f>
        <v>Capacitor Organiser Cabinet || Organiser 33</v>
      </c>
      <c r="C361" s="130" t="s">
        <v>909</v>
      </c>
      <c r="D361" s="101">
        <v>33.0</v>
      </c>
      <c r="E361" s="83" t="s">
        <v>851</v>
      </c>
      <c r="F361" s="120"/>
      <c r="G361" s="85" t="s">
        <v>785</v>
      </c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9" t="str">
        <f t="shared" si="1"/>
        <v>/410/211-34</v>
      </c>
      <c r="B362" s="80" t="str">
        <f>IFERROR(__xludf.DUMMYFUNCTION("CONCATENATE(VLOOKUP(C362,'Storage Locations'!$A:$C,2,FALSE),"" "",VLOOKUP(C362,'Storage Locations'!$A:$C,3,FALSE),"" || "",$E362, IF(G362 = ""Yes"",CONCATENATE("" "", REGEXREPLACE(RIGHT(A362,2), ""^0+"","""")),""""), IF(ISBLANK(F362),"""",CONCATENATE("": "&amp;""", F362)))"),"Capacitor Organiser Cabinet || Organiser 34")</f>
        <v>Capacitor Organiser Cabinet || Organiser 34</v>
      </c>
      <c r="C362" s="130" t="s">
        <v>909</v>
      </c>
      <c r="D362" s="102">
        <v>34.0</v>
      </c>
      <c r="E362" s="83" t="s">
        <v>851</v>
      </c>
      <c r="F362" s="120"/>
      <c r="G362" s="85" t="s">
        <v>785</v>
      </c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9" t="str">
        <f t="shared" si="1"/>
        <v>/410/211-35</v>
      </c>
      <c r="B363" s="80" t="str">
        <f>IFERROR(__xludf.DUMMYFUNCTION("CONCATENATE(VLOOKUP(C363,'Storage Locations'!$A:$C,2,FALSE),"" "",VLOOKUP(C363,'Storage Locations'!$A:$C,3,FALSE),"" || "",$E363, IF(G363 = ""Yes"",CONCATENATE("" "", REGEXREPLACE(RIGHT(A363,2), ""^0+"","""")),""""), IF(ISBLANK(F363),"""",CONCATENATE("": "&amp;""", F363)))"),"Capacitor Organiser Cabinet || Organiser 35")</f>
        <v>Capacitor Organiser Cabinet || Organiser 35</v>
      </c>
      <c r="C363" s="130" t="s">
        <v>909</v>
      </c>
      <c r="D363" s="103">
        <v>35.0</v>
      </c>
      <c r="E363" s="83" t="s">
        <v>851</v>
      </c>
      <c r="F363" s="120"/>
      <c r="G363" s="85" t="s">
        <v>785</v>
      </c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9" t="str">
        <f t="shared" si="1"/>
        <v>/410/211-36</v>
      </c>
      <c r="B364" s="80" t="str">
        <f>IFERROR(__xludf.DUMMYFUNCTION("CONCATENATE(VLOOKUP(C364,'Storage Locations'!$A:$C,2,FALSE),"" "",VLOOKUP(C364,'Storage Locations'!$A:$C,3,FALSE),"" || "",$E364, IF(G364 = ""Yes"",CONCATENATE("" "", REGEXREPLACE(RIGHT(A364,2), ""^0+"","""")),""""), IF(ISBLANK(F364),"""",CONCATENATE("": "&amp;""", F364)))"),"Capacitor Organiser Cabinet || Organiser 36")</f>
        <v>Capacitor Organiser Cabinet || Organiser 36</v>
      </c>
      <c r="C364" s="130" t="s">
        <v>909</v>
      </c>
      <c r="D364" s="86">
        <v>36.0</v>
      </c>
      <c r="E364" s="83" t="s">
        <v>851</v>
      </c>
      <c r="F364" s="120"/>
      <c r="G364" s="85" t="s">
        <v>785</v>
      </c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9" t="str">
        <f t="shared" si="1"/>
        <v>/410/211-37</v>
      </c>
      <c r="B365" s="80" t="str">
        <f>IFERROR(__xludf.DUMMYFUNCTION("CONCATENATE(VLOOKUP(C365,'Storage Locations'!$A:$C,2,FALSE),"" "",VLOOKUP(C365,'Storage Locations'!$A:$C,3,FALSE),"" || "",$E365, IF(G365 = ""Yes"",CONCATENATE("" "", REGEXREPLACE(RIGHT(A365,2), ""^0+"","""")),""""), IF(ISBLANK(F365),"""",CONCATENATE("": "&amp;""", F365)))"),"Capacitor Organiser Cabinet || Organiser 37")</f>
        <v>Capacitor Organiser Cabinet || Organiser 37</v>
      </c>
      <c r="C365" s="130" t="s">
        <v>909</v>
      </c>
      <c r="D365" s="87">
        <v>37.0</v>
      </c>
      <c r="E365" s="83" t="s">
        <v>851</v>
      </c>
      <c r="F365" s="120"/>
      <c r="G365" s="85" t="s">
        <v>785</v>
      </c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9" t="str">
        <f t="shared" si="1"/>
        <v>/410/211-38</v>
      </c>
      <c r="B366" s="80" t="str">
        <f>IFERROR(__xludf.DUMMYFUNCTION("CONCATENATE(VLOOKUP(C366,'Storage Locations'!$A:$C,2,FALSE),"" "",VLOOKUP(C366,'Storage Locations'!$A:$C,3,FALSE),"" || "",$E366, IF(G366 = ""Yes"",CONCATENATE("" "", REGEXREPLACE(RIGHT(A366,2), ""^0+"","""")),""""), IF(ISBLANK(F366),"""",CONCATENATE("": "&amp;""", F366)))"),"Capacitor Organiser Cabinet || Organiser 38")</f>
        <v>Capacitor Organiser Cabinet || Organiser 38</v>
      </c>
      <c r="C366" s="130" t="s">
        <v>909</v>
      </c>
      <c r="D366" s="88">
        <v>38.0</v>
      </c>
      <c r="E366" s="83" t="s">
        <v>851</v>
      </c>
      <c r="F366" s="120"/>
      <c r="G366" s="85" t="s">
        <v>785</v>
      </c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9" t="str">
        <f t="shared" si="1"/>
        <v>/410/211-39</v>
      </c>
      <c r="B367" s="80" t="str">
        <f>IFERROR(__xludf.DUMMYFUNCTION("CONCATENATE(VLOOKUP(C367,'Storage Locations'!$A:$C,2,FALSE),"" "",VLOOKUP(C367,'Storage Locations'!$A:$C,3,FALSE),"" || "",$E367, IF(G367 = ""Yes"",CONCATENATE("" "", REGEXREPLACE(RIGHT(A367,2), ""^0+"","""")),""""), IF(ISBLANK(F367),"""",CONCATENATE("": "&amp;""", F367)))"),"Capacitor Organiser Cabinet || Organiser 39")</f>
        <v>Capacitor Organiser Cabinet || Organiser 39</v>
      </c>
      <c r="C367" s="130" t="s">
        <v>909</v>
      </c>
      <c r="D367" s="89">
        <v>39.0</v>
      </c>
      <c r="E367" s="83" t="s">
        <v>851</v>
      </c>
      <c r="F367" s="120"/>
      <c r="G367" s="85" t="s">
        <v>785</v>
      </c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9" t="str">
        <f t="shared" si="1"/>
        <v>/410/211-40</v>
      </c>
      <c r="B368" s="80" t="str">
        <f>IFERROR(__xludf.DUMMYFUNCTION("CONCATENATE(VLOOKUP(C368,'Storage Locations'!$A:$C,2,FALSE),"" "",VLOOKUP(C368,'Storage Locations'!$A:$C,3,FALSE),"" || "",$E368, IF(G368 = ""Yes"",CONCATENATE("" "", REGEXREPLACE(RIGHT(A368,2), ""^0+"","""")),""""), IF(ISBLANK(F368),"""",CONCATENATE("": "&amp;""", F368)))"),"Capacitor Organiser Cabinet || Organiser 40")</f>
        <v>Capacitor Organiser Cabinet || Organiser 40</v>
      </c>
      <c r="C368" s="130" t="s">
        <v>909</v>
      </c>
      <c r="D368" s="90">
        <v>40.0</v>
      </c>
      <c r="E368" s="83" t="s">
        <v>851</v>
      </c>
      <c r="F368" s="120"/>
      <c r="G368" s="85" t="s">
        <v>785</v>
      </c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9" t="str">
        <f t="shared" si="1"/>
        <v>/410/211-41</v>
      </c>
      <c r="B369" s="80" t="str">
        <f>IFERROR(__xludf.DUMMYFUNCTION("CONCATENATE(VLOOKUP(C369,'Storage Locations'!$A:$C,2,FALSE),"" "",VLOOKUP(C369,'Storage Locations'!$A:$C,3,FALSE),"" || "",$E369, IF(G369 = ""Yes"",CONCATENATE("" "", REGEXREPLACE(RIGHT(A369,2), ""^0+"","""")),""""), IF(ISBLANK(F369),"""",CONCATENATE("": "&amp;""", F369)))"),"Capacitor Organiser Cabinet || Organiser 41")</f>
        <v>Capacitor Organiser Cabinet || Organiser 41</v>
      </c>
      <c r="C369" s="130" t="s">
        <v>909</v>
      </c>
      <c r="D369" s="106">
        <v>41.0</v>
      </c>
      <c r="E369" s="83" t="s">
        <v>851</v>
      </c>
      <c r="F369" s="120"/>
      <c r="G369" s="85" t="s">
        <v>785</v>
      </c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9" t="str">
        <f t="shared" si="1"/>
        <v>/410/211-42</v>
      </c>
      <c r="B370" s="80" t="str">
        <f>IFERROR(__xludf.DUMMYFUNCTION("CONCATENATE(VLOOKUP(C370,'Storage Locations'!$A:$C,2,FALSE),"" "",VLOOKUP(C370,'Storage Locations'!$A:$C,3,FALSE),"" || "",$E370, IF(G370 = ""Yes"",CONCATENATE("" "", REGEXREPLACE(RIGHT(A370,2), ""^0+"","""")),""""), IF(ISBLANK(F370),"""",CONCATENATE("": "&amp;""", F370)))"),"Capacitor Organiser Cabinet || Organiser 42")</f>
        <v>Capacitor Organiser Cabinet || Organiser 42</v>
      </c>
      <c r="C370" s="130" t="s">
        <v>909</v>
      </c>
      <c r="D370" s="107">
        <v>42.0</v>
      </c>
      <c r="E370" s="83" t="s">
        <v>851</v>
      </c>
      <c r="F370" s="120"/>
      <c r="G370" s="85" t="s">
        <v>785</v>
      </c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9" t="str">
        <f t="shared" si="1"/>
        <v>/410/211-43</v>
      </c>
      <c r="B371" s="80" t="str">
        <f>IFERROR(__xludf.DUMMYFUNCTION("CONCATENATE(VLOOKUP(C371,'Storage Locations'!$A:$C,2,FALSE),"" "",VLOOKUP(C371,'Storage Locations'!$A:$C,3,FALSE),"" || "",$E371, IF(G371 = ""Yes"",CONCATENATE("" "", REGEXREPLACE(RIGHT(A371,2), ""^0+"","""")),""""), IF(ISBLANK(F371),"""",CONCATENATE("": "&amp;""", F371)))"),"Capacitor Organiser Cabinet || Organiser 43")</f>
        <v>Capacitor Organiser Cabinet || Organiser 43</v>
      </c>
      <c r="C371" s="130" t="s">
        <v>909</v>
      </c>
      <c r="D371" s="108">
        <v>43.0</v>
      </c>
      <c r="E371" s="83" t="s">
        <v>851</v>
      </c>
      <c r="F371" s="120"/>
      <c r="G371" s="85" t="s">
        <v>785</v>
      </c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9" t="str">
        <f t="shared" si="1"/>
        <v>/410/211-44</v>
      </c>
      <c r="B372" s="80" t="str">
        <f>IFERROR(__xludf.DUMMYFUNCTION("CONCATENATE(VLOOKUP(C372,'Storage Locations'!$A:$C,2,FALSE),"" "",VLOOKUP(C372,'Storage Locations'!$A:$C,3,FALSE),"" || "",$E372, IF(G372 = ""Yes"",CONCATENATE("" "", REGEXREPLACE(RIGHT(A372,2), ""^0+"","""")),""""), IF(ISBLANK(F372),"""",CONCATENATE("": "&amp;""", F372)))"),"Capacitor Organiser Cabinet || Organiser 44")</f>
        <v>Capacitor Organiser Cabinet || Organiser 44</v>
      </c>
      <c r="C372" s="130" t="s">
        <v>909</v>
      </c>
      <c r="D372" s="109">
        <v>44.0</v>
      </c>
      <c r="E372" s="83" t="s">
        <v>851</v>
      </c>
      <c r="F372" s="120"/>
      <c r="G372" s="85" t="s">
        <v>785</v>
      </c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9" t="str">
        <f t="shared" si="1"/>
        <v>/410/211-45</v>
      </c>
      <c r="B373" s="80" t="str">
        <f>IFERROR(__xludf.DUMMYFUNCTION("CONCATENATE(VLOOKUP(C373,'Storage Locations'!$A:$C,2,FALSE),"" "",VLOOKUP(C373,'Storage Locations'!$A:$C,3,FALSE),"" || "",$E373, IF(G373 = ""Yes"",CONCATENATE("" "", REGEXREPLACE(RIGHT(A373,2), ""^0+"","""")),""""), IF(ISBLANK(F373),"""",CONCATENATE("": "&amp;""", F373)))"),"Capacitor Organiser Cabinet || Organiser 45")</f>
        <v>Capacitor Organiser Cabinet || Organiser 45</v>
      </c>
      <c r="C373" s="130" t="s">
        <v>909</v>
      </c>
      <c r="D373" s="110">
        <v>45.0</v>
      </c>
      <c r="E373" s="83" t="s">
        <v>851</v>
      </c>
      <c r="F373" s="120"/>
      <c r="G373" s="85" t="s">
        <v>785</v>
      </c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9" t="str">
        <f t="shared" si="1"/>
        <v>/410/211-46</v>
      </c>
      <c r="B374" s="80" t="str">
        <f>IFERROR(__xludf.DUMMYFUNCTION("CONCATENATE(VLOOKUP(C374,'Storage Locations'!$A:$C,2,FALSE),"" "",VLOOKUP(C374,'Storage Locations'!$A:$C,3,FALSE),"" || "",$E374, IF(G374 = ""Yes"",CONCATENATE("" "", REGEXREPLACE(RIGHT(A374,2), ""^0+"","""")),""""), IF(ISBLANK(F374),"""",CONCATENATE("": "&amp;""", F374)))"),"Capacitor Organiser Cabinet || Organiser 46")</f>
        <v>Capacitor Organiser Cabinet || Organiser 46</v>
      </c>
      <c r="C374" s="130" t="s">
        <v>909</v>
      </c>
      <c r="D374" s="121">
        <v>46.0</v>
      </c>
      <c r="E374" s="83" t="s">
        <v>851</v>
      </c>
      <c r="F374" s="120"/>
      <c r="G374" s="85" t="s">
        <v>785</v>
      </c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9" t="str">
        <f t="shared" si="1"/>
        <v>/410/211-47</v>
      </c>
      <c r="B375" s="80" t="str">
        <f>IFERROR(__xludf.DUMMYFUNCTION("CONCATENATE(VLOOKUP(C375,'Storage Locations'!$A:$C,2,FALSE),"" "",VLOOKUP(C375,'Storage Locations'!$A:$C,3,FALSE),"" || "",$E375, IF(G375 = ""Yes"",CONCATENATE("" "", REGEXREPLACE(RIGHT(A375,2), ""^0+"","""")),""""), IF(ISBLANK(F375),"""",CONCATENATE("": "&amp;""", F375)))"),"Capacitor Organiser Cabinet || Organiser 47")</f>
        <v>Capacitor Organiser Cabinet || Organiser 47</v>
      </c>
      <c r="C375" s="130" t="s">
        <v>909</v>
      </c>
      <c r="D375" s="122">
        <v>47.0</v>
      </c>
      <c r="E375" s="83" t="s">
        <v>851</v>
      </c>
      <c r="F375" s="120"/>
      <c r="G375" s="85" t="s">
        <v>785</v>
      </c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9" t="str">
        <f t="shared" si="1"/>
        <v>/410/211-48</v>
      </c>
      <c r="B376" s="80" t="str">
        <f>IFERROR(__xludf.DUMMYFUNCTION("CONCATENATE(VLOOKUP(C376,'Storage Locations'!$A:$C,2,FALSE),"" "",VLOOKUP(C376,'Storage Locations'!$A:$C,3,FALSE),"" || "",$E376, IF(G376 = ""Yes"",CONCATENATE("" "", REGEXREPLACE(RIGHT(A376,2), ""^0+"","""")),""""), IF(ISBLANK(F376),"""",CONCATENATE("": "&amp;""", F376)))"),"Capacitor Organiser Cabinet || Organiser 48")</f>
        <v>Capacitor Organiser Cabinet || Organiser 48</v>
      </c>
      <c r="C376" s="130" t="s">
        <v>909</v>
      </c>
      <c r="D376" s="99">
        <v>48.0</v>
      </c>
      <c r="E376" s="83" t="s">
        <v>851</v>
      </c>
      <c r="F376" s="120"/>
      <c r="G376" s="85" t="s">
        <v>785</v>
      </c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9" t="str">
        <f t="shared" si="1"/>
        <v>/410/211-49</v>
      </c>
      <c r="B377" s="80" t="str">
        <f>IFERROR(__xludf.DUMMYFUNCTION("CONCATENATE(VLOOKUP(C377,'Storage Locations'!$A:$C,2,FALSE),"" "",VLOOKUP(C377,'Storage Locations'!$A:$C,3,FALSE),"" || "",$E377, IF(G377 = ""Yes"",CONCATENATE("" "", REGEXREPLACE(RIGHT(A377,2), ""^0+"","""")),""""), IF(ISBLANK(F377),"""",CONCATENATE("": "&amp;""", F377)))"),"Capacitor Organiser Cabinet || Organiser 49")</f>
        <v>Capacitor Organiser Cabinet || Organiser 49</v>
      </c>
      <c r="C377" s="130" t="s">
        <v>909</v>
      </c>
      <c r="D377" s="100">
        <v>49.0</v>
      </c>
      <c r="E377" s="83" t="s">
        <v>851</v>
      </c>
      <c r="F377" s="120"/>
      <c r="G377" s="85" t="s">
        <v>785</v>
      </c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9" t="str">
        <f t="shared" si="1"/>
        <v>/410/211-50</v>
      </c>
      <c r="B378" s="80" t="str">
        <f>IFERROR(__xludf.DUMMYFUNCTION("CONCATENATE(VLOOKUP(C378,'Storage Locations'!$A:$C,2,FALSE),"" "",VLOOKUP(C378,'Storage Locations'!$A:$C,3,FALSE),"" || "",$E378, IF(G378 = ""Yes"",CONCATENATE("" "", REGEXREPLACE(RIGHT(A378,2), ""^0+"","""")),""""), IF(ISBLANK(F378),"""",CONCATENATE("": "&amp;""", F378)))"),"Capacitor Organiser Cabinet || Organiser 50")</f>
        <v>Capacitor Organiser Cabinet || Organiser 50</v>
      </c>
      <c r="C378" s="130" t="s">
        <v>909</v>
      </c>
      <c r="D378" s="101">
        <v>50.0</v>
      </c>
      <c r="E378" s="83" t="s">
        <v>851</v>
      </c>
      <c r="F378" s="120"/>
      <c r="G378" s="85" t="s">
        <v>785</v>
      </c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9" t="str">
        <f t="shared" si="1"/>
        <v>/410/211-51</v>
      </c>
      <c r="B379" s="80" t="str">
        <f>IFERROR(__xludf.DUMMYFUNCTION("CONCATENATE(VLOOKUP(C379,'Storage Locations'!$A:$C,2,FALSE),"" "",VLOOKUP(C379,'Storage Locations'!$A:$C,3,FALSE),"" || "",$E379, IF(G379 = ""Yes"",CONCATENATE("" "", REGEXREPLACE(RIGHT(A379,2), ""^0+"","""")),""""), IF(ISBLANK(F379),"""",CONCATENATE("": "&amp;""", F379)))"),"Capacitor Organiser Cabinet || Organiser 51")</f>
        <v>Capacitor Organiser Cabinet || Organiser 51</v>
      </c>
      <c r="C379" s="130" t="s">
        <v>909</v>
      </c>
      <c r="D379" s="102">
        <v>51.0</v>
      </c>
      <c r="E379" s="83" t="s">
        <v>851</v>
      </c>
      <c r="F379" s="120"/>
      <c r="G379" s="85" t="s">
        <v>785</v>
      </c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9" t="str">
        <f t="shared" si="1"/>
        <v>/410/211-52</v>
      </c>
      <c r="B380" s="80" t="str">
        <f>IFERROR(__xludf.DUMMYFUNCTION("CONCATENATE(VLOOKUP(C380,'Storage Locations'!$A:$C,2,FALSE),"" "",VLOOKUP(C380,'Storage Locations'!$A:$C,3,FALSE),"" || "",$E380, IF(G380 = ""Yes"",CONCATENATE("" "", REGEXREPLACE(RIGHT(A380,2), ""^0+"","""")),""""), IF(ISBLANK(F380),"""",CONCATENATE("": "&amp;""", F380)))"),"Capacitor Organiser Cabinet || Organiser 52")</f>
        <v>Capacitor Organiser Cabinet || Organiser 52</v>
      </c>
      <c r="C380" s="130" t="s">
        <v>909</v>
      </c>
      <c r="D380" s="103">
        <v>52.0</v>
      </c>
      <c r="E380" s="83" t="s">
        <v>851</v>
      </c>
      <c r="F380" s="120"/>
      <c r="G380" s="85" t="s">
        <v>785</v>
      </c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9" t="str">
        <f t="shared" si="1"/>
        <v>/410/211-53</v>
      </c>
      <c r="B381" s="80" t="str">
        <f>IFERROR(__xludf.DUMMYFUNCTION("CONCATENATE(VLOOKUP(C381,'Storage Locations'!$A:$C,2,FALSE),"" "",VLOOKUP(C381,'Storage Locations'!$A:$C,3,FALSE),"" || "",$E381, IF(G381 = ""Yes"",CONCATENATE("" "", REGEXREPLACE(RIGHT(A381,2), ""^0+"","""")),""""), IF(ISBLANK(F381),"""",CONCATENATE("": "&amp;""", F381)))"),"Capacitor Organiser Cabinet || Organiser 53")</f>
        <v>Capacitor Organiser Cabinet || Organiser 53</v>
      </c>
      <c r="C381" s="130" t="s">
        <v>909</v>
      </c>
      <c r="D381" s="86">
        <v>53.0</v>
      </c>
      <c r="E381" s="83" t="s">
        <v>851</v>
      </c>
      <c r="F381" s="120"/>
      <c r="G381" s="85" t="s">
        <v>785</v>
      </c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9" t="str">
        <f t="shared" si="1"/>
        <v>/410/211-54</v>
      </c>
      <c r="B382" s="80" t="str">
        <f>IFERROR(__xludf.DUMMYFUNCTION("CONCATENATE(VLOOKUP(C382,'Storage Locations'!$A:$C,2,FALSE),"" "",VLOOKUP(C382,'Storage Locations'!$A:$C,3,FALSE),"" || "",$E382, IF(G382 = ""Yes"",CONCATENATE("" "", REGEXREPLACE(RIGHT(A382,2), ""^0+"","""")),""""), IF(ISBLANK(F382),"""",CONCATENATE("": "&amp;""", F382)))"),"Capacitor Organiser Cabinet || Organiser 54")</f>
        <v>Capacitor Organiser Cabinet || Organiser 54</v>
      </c>
      <c r="C382" s="130" t="s">
        <v>909</v>
      </c>
      <c r="D382" s="87">
        <v>54.0</v>
      </c>
      <c r="E382" s="83" t="s">
        <v>851</v>
      </c>
      <c r="F382" s="120"/>
      <c r="G382" s="85" t="s">
        <v>785</v>
      </c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9" t="str">
        <f t="shared" si="1"/>
        <v>/410/211-55</v>
      </c>
      <c r="B383" s="80" t="str">
        <f>IFERROR(__xludf.DUMMYFUNCTION("CONCATENATE(VLOOKUP(C383,'Storage Locations'!$A:$C,2,FALSE),"" "",VLOOKUP(C383,'Storage Locations'!$A:$C,3,FALSE),"" || "",$E383, IF(G383 = ""Yes"",CONCATENATE("" "", REGEXREPLACE(RIGHT(A383,2), ""^0+"","""")),""""), IF(ISBLANK(F383),"""",CONCATENATE("": "&amp;""", F383)))"),"Capacitor Organiser Cabinet || Organiser 55")</f>
        <v>Capacitor Organiser Cabinet || Organiser 55</v>
      </c>
      <c r="C383" s="130" t="s">
        <v>909</v>
      </c>
      <c r="D383" s="88">
        <v>55.0</v>
      </c>
      <c r="E383" s="83" t="s">
        <v>851</v>
      </c>
      <c r="F383" s="120"/>
      <c r="G383" s="85" t="s">
        <v>785</v>
      </c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9" t="str">
        <f t="shared" si="1"/>
        <v>/410/211-56</v>
      </c>
      <c r="B384" s="80" t="str">
        <f>IFERROR(__xludf.DUMMYFUNCTION("CONCATENATE(VLOOKUP(C384,'Storage Locations'!$A:$C,2,FALSE),"" "",VLOOKUP(C384,'Storage Locations'!$A:$C,3,FALSE),"" || "",$E384, IF(G384 = ""Yes"",CONCATENATE("" "", REGEXREPLACE(RIGHT(A384,2), ""^0+"","""")),""""), IF(ISBLANK(F384),"""",CONCATENATE("": "&amp;""", F384)))"),"Capacitor Organiser Cabinet || Organiser 56")</f>
        <v>Capacitor Organiser Cabinet || Organiser 56</v>
      </c>
      <c r="C384" s="130" t="s">
        <v>909</v>
      </c>
      <c r="D384" s="89">
        <v>56.0</v>
      </c>
      <c r="E384" s="83" t="s">
        <v>851</v>
      </c>
      <c r="F384" s="120"/>
      <c r="G384" s="85" t="s">
        <v>785</v>
      </c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9" t="str">
        <f t="shared" si="1"/>
        <v>/410/211-57</v>
      </c>
      <c r="B385" s="80" t="str">
        <f>IFERROR(__xludf.DUMMYFUNCTION("CONCATENATE(VLOOKUP(C385,'Storage Locations'!$A:$C,2,FALSE),"" "",VLOOKUP(C385,'Storage Locations'!$A:$C,3,FALSE),"" || "",$E385, IF(G385 = ""Yes"",CONCATENATE("" "", REGEXREPLACE(RIGHT(A385,2), ""^0+"","""")),""""), IF(ISBLANK(F385),"""",CONCATENATE("": "&amp;""", F385)))"),"Capacitor Organiser Cabinet || Organiser 57")</f>
        <v>Capacitor Organiser Cabinet || Organiser 57</v>
      </c>
      <c r="C385" s="130" t="s">
        <v>909</v>
      </c>
      <c r="D385" s="90">
        <v>57.0</v>
      </c>
      <c r="E385" s="83" t="s">
        <v>851</v>
      </c>
      <c r="F385" s="120"/>
      <c r="G385" s="85" t="s">
        <v>785</v>
      </c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9" t="str">
        <f t="shared" si="1"/>
        <v>/410/211-58</v>
      </c>
      <c r="B386" s="80" t="str">
        <f>IFERROR(__xludf.DUMMYFUNCTION("CONCATENATE(VLOOKUP(C386,'Storage Locations'!$A:$C,2,FALSE),"" "",VLOOKUP(C386,'Storage Locations'!$A:$C,3,FALSE),"" || "",$E386, IF(G386 = ""Yes"",CONCATENATE("" "", REGEXREPLACE(RIGHT(A386,2), ""^0+"","""")),""""), IF(ISBLANK(F386),"""",CONCATENATE("": "&amp;""", F386)))"),"Capacitor Organiser Cabinet || Organiser 58")</f>
        <v>Capacitor Organiser Cabinet || Organiser 58</v>
      </c>
      <c r="C386" s="130" t="s">
        <v>909</v>
      </c>
      <c r="D386" s="106">
        <v>58.0</v>
      </c>
      <c r="E386" s="83" t="s">
        <v>851</v>
      </c>
      <c r="F386" s="120"/>
      <c r="G386" s="85" t="s">
        <v>785</v>
      </c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9" t="str">
        <f t="shared" si="1"/>
        <v>/410/211-59</v>
      </c>
      <c r="B387" s="80" t="str">
        <f>IFERROR(__xludf.DUMMYFUNCTION("CONCATENATE(VLOOKUP(C387,'Storage Locations'!$A:$C,2,FALSE),"" "",VLOOKUP(C387,'Storage Locations'!$A:$C,3,FALSE),"" || "",$E387, IF(G387 = ""Yes"",CONCATENATE("" "", REGEXREPLACE(RIGHT(A387,2), ""^0+"","""")),""""), IF(ISBLANK(F387),"""",CONCATENATE("": "&amp;""", F387)))"),"Capacitor Organiser Cabinet || Organiser 59")</f>
        <v>Capacitor Organiser Cabinet || Organiser 59</v>
      </c>
      <c r="C387" s="130" t="s">
        <v>909</v>
      </c>
      <c r="D387" s="107">
        <v>59.0</v>
      </c>
      <c r="E387" s="83" t="s">
        <v>851</v>
      </c>
      <c r="F387" s="120"/>
      <c r="G387" s="85" t="s">
        <v>785</v>
      </c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9" t="str">
        <f t="shared" si="1"/>
        <v>/410/211-60</v>
      </c>
      <c r="B388" s="80" t="str">
        <f>IFERROR(__xludf.DUMMYFUNCTION("CONCATENATE(VLOOKUP(C388,'Storage Locations'!$A:$C,2,FALSE),"" "",VLOOKUP(C388,'Storage Locations'!$A:$C,3,FALSE),"" || "",$E388, IF(G388 = ""Yes"",CONCATENATE("" "", REGEXREPLACE(RIGHT(A388,2), ""^0+"","""")),""""), IF(ISBLANK(F388),"""",CONCATENATE("": "&amp;""", F388)))"),"Capacitor Organiser Cabinet || Organiser 60")</f>
        <v>Capacitor Organiser Cabinet || Organiser 60</v>
      </c>
      <c r="C388" s="130" t="s">
        <v>909</v>
      </c>
      <c r="D388" s="108">
        <v>60.0</v>
      </c>
      <c r="E388" s="83" t="s">
        <v>851</v>
      </c>
      <c r="F388" s="120"/>
      <c r="G388" s="85" t="s">
        <v>785</v>
      </c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79" t="str">
        <f t="shared" si="1"/>
        <v>/410/301-01</v>
      </c>
      <c r="B389" s="80" t="str">
        <f>IFERROR(__xludf.DUMMYFUNCTION("CONCATENATE(VLOOKUP(C389,'Storage Locations'!$A:$C,2,FALSE),"" "",VLOOKUP(C389,'Storage Locations'!$A:$C,3,FALSE),"" || "",$E389, IF(G389 = ""Yes"",CONCATENATE("" "", REGEXREPLACE(RIGHT(A389,2), ""^0+"","""")),""""), IF(ISBLANK(F389),"""",CONCATENATE("": "&amp;""", F389)))"),"Mains Distribution Panels Cupboard || Shelf 1: Mains Wall Outlet Faceplates")</f>
        <v>Mains Distribution Panels Cupboard || Shelf 1: Mains Wall Outlet Faceplates</v>
      </c>
      <c r="C389" s="115" t="s">
        <v>910</v>
      </c>
      <c r="D389" s="82">
        <v>1.0</v>
      </c>
      <c r="E389" s="83" t="s">
        <v>783</v>
      </c>
      <c r="F389" s="84" t="s">
        <v>911</v>
      </c>
      <c r="G389" s="85" t="s">
        <v>785</v>
      </c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79" t="str">
        <f t="shared" si="1"/>
        <v>/410/301-02</v>
      </c>
      <c r="B390" s="80" t="str">
        <f>IFERROR(__xludf.DUMMYFUNCTION("CONCATENATE(VLOOKUP(C390,'Storage Locations'!$A:$C,2,FALSE),"" "",VLOOKUP(C390,'Storage Locations'!$A:$C,3,FALSE),"" || "",$E390, IF(G390 = ""Yes"",CONCATENATE("" "", REGEXREPLACE(RIGHT(A390,2), ""^0+"","""")),""""), IF(ISBLANK(F390),"""",CONCATENATE("": "&amp;""", F390)))"),"Mains Distribution Panels Cupboard || Top")</f>
        <v>Mains Distribution Panels Cupboard || Top</v>
      </c>
      <c r="C390" s="115" t="s">
        <v>910</v>
      </c>
      <c r="D390" s="86">
        <v>2.0</v>
      </c>
      <c r="E390" s="83" t="s">
        <v>790</v>
      </c>
      <c r="F390" s="84"/>
      <c r="G390" s="85" t="s">
        <v>792</v>
      </c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91" t="str">
        <f t="shared" si="1"/>
        <v>/410/302-17</v>
      </c>
      <c r="B391" s="80" t="str">
        <f>IFERROR(__xludf.DUMMYFUNCTION("CONCATENATE(VLOOKUP(C391,'Storage Locations'!$A:$C,2,FALSE),"" "",VLOOKUP(C391,'Storage Locations'!$A:$C,3,FALSE),"" || "",$E391, IF(G391 = ""Yes"",CONCATENATE("" "", REGEXREPLACE(RIGHT(A391,2), ""^0+"","""")),""""), IF(ISBLANK(F391),"""",CONCATENATE("": "&amp;""", F391)))"),"Bench Cluster 17-24 Bench Cluster || Bench 17: Bench 17")</f>
        <v>Bench Cluster 17-24 Bench Cluster || Bench 17: Bench 17</v>
      </c>
      <c r="C391" s="116" t="s">
        <v>912</v>
      </c>
      <c r="D391" s="102">
        <v>17.0</v>
      </c>
      <c r="E391" s="83" t="s">
        <v>838</v>
      </c>
      <c r="F391" s="84" t="s">
        <v>913</v>
      </c>
      <c r="G391" s="85" t="s">
        <v>785</v>
      </c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91" t="str">
        <f t="shared" si="1"/>
        <v>/410/302-18</v>
      </c>
      <c r="B392" s="80" t="str">
        <f>IFERROR(__xludf.DUMMYFUNCTION("CONCATENATE(VLOOKUP(C392,'Storage Locations'!$A:$C,2,FALSE),"" "",VLOOKUP(C392,'Storage Locations'!$A:$C,3,FALSE),"" || "",$E392, IF(G392 = ""Yes"",CONCATENATE("" "", REGEXREPLACE(RIGHT(A392,2), ""^0+"","""")),""""), IF(ISBLANK(F392),"""",CONCATENATE("": "&amp;""", F392)))"),"Bench Cluster 17-24 Bench Cluster || Bench 18: Bench 18")</f>
        <v>Bench Cluster 17-24 Bench Cluster || Bench 18: Bench 18</v>
      </c>
      <c r="C392" s="116" t="s">
        <v>912</v>
      </c>
      <c r="D392" s="82">
        <v>18.0</v>
      </c>
      <c r="E392" s="83" t="s">
        <v>838</v>
      </c>
      <c r="F392" s="84" t="s">
        <v>914</v>
      </c>
      <c r="G392" s="85" t="s">
        <v>785</v>
      </c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91" t="str">
        <f t="shared" si="1"/>
        <v>/410/302-19</v>
      </c>
      <c r="B393" s="80" t="str">
        <f>IFERROR(__xludf.DUMMYFUNCTION("CONCATENATE(VLOOKUP(C393,'Storage Locations'!$A:$C,2,FALSE),"" "",VLOOKUP(C393,'Storage Locations'!$A:$C,3,FALSE),"" || "",$E393, IF(G393 = ""Yes"",CONCATENATE("" "", REGEXREPLACE(RIGHT(A393,2), ""^0+"","""")),""""), IF(ISBLANK(F393),"""",CONCATENATE("": "&amp;""", F393)))"),"Bench Cluster 17-24 Bench Cluster || Bench 19: Bench 19")</f>
        <v>Bench Cluster 17-24 Bench Cluster || Bench 19: Bench 19</v>
      </c>
      <c r="C393" s="116" t="s">
        <v>912</v>
      </c>
      <c r="D393" s="86">
        <v>19.0</v>
      </c>
      <c r="E393" s="83" t="s">
        <v>838</v>
      </c>
      <c r="F393" s="84" t="s">
        <v>915</v>
      </c>
      <c r="G393" s="85" t="s">
        <v>785</v>
      </c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91" t="str">
        <f t="shared" si="1"/>
        <v>/410/302-20</v>
      </c>
      <c r="B394" s="80" t="str">
        <f>IFERROR(__xludf.DUMMYFUNCTION("CONCATENATE(VLOOKUP(C394,'Storage Locations'!$A:$C,2,FALSE),"" "",VLOOKUP(C394,'Storage Locations'!$A:$C,3,FALSE),"" || "",$E394, IF(G394 = ""Yes"",CONCATENATE("" "", REGEXREPLACE(RIGHT(A394,2), ""^0+"","""")),""""), IF(ISBLANK(F394),"""",CONCATENATE("": "&amp;""", F394)))"),"Bench Cluster 17-24 Bench Cluster || Bench 20: Bench 20")</f>
        <v>Bench Cluster 17-24 Bench Cluster || Bench 20: Bench 20</v>
      </c>
      <c r="C394" s="116" t="s">
        <v>912</v>
      </c>
      <c r="D394" s="87">
        <v>20.0</v>
      </c>
      <c r="E394" s="83" t="s">
        <v>838</v>
      </c>
      <c r="F394" s="84" t="s">
        <v>916</v>
      </c>
      <c r="G394" s="85" t="s">
        <v>785</v>
      </c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91" t="str">
        <f t="shared" si="1"/>
        <v>/410/302-21</v>
      </c>
      <c r="B395" s="80" t="str">
        <f>IFERROR(__xludf.DUMMYFUNCTION("CONCATENATE(VLOOKUP(C395,'Storage Locations'!$A:$C,2,FALSE),"" "",VLOOKUP(C395,'Storage Locations'!$A:$C,3,FALSE),"" || "",$E395, IF(G395 = ""Yes"",CONCATENATE("" "", REGEXREPLACE(RIGHT(A395,2), ""^0+"","""")),""""), IF(ISBLANK(F395),"""",CONCATENATE("": "&amp;""", F395)))"),"Bench Cluster 17-24 Bench Cluster || Bench 21: Bench 21")</f>
        <v>Bench Cluster 17-24 Bench Cluster || Bench 21: Bench 21</v>
      </c>
      <c r="C395" s="116" t="s">
        <v>912</v>
      </c>
      <c r="D395" s="88">
        <v>21.0</v>
      </c>
      <c r="E395" s="83" t="s">
        <v>838</v>
      </c>
      <c r="F395" s="84" t="s">
        <v>917</v>
      </c>
      <c r="G395" s="85" t="s">
        <v>785</v>
      </c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91" t="str">
        <f t="shared" si="1"/>
        <v>/410/302-22</v>
      </c>
      <c r="B396" s="80" t="str">
        <f>IFERROR(__xludf.DUMMYFUNCTION("CONCATENATE(VLOOKUP(C396,'Storage Locations'!$A:$C,2,FALSE),"" "",VLOOKUP(C396,'Storage Locations'!$A:$C,3,FALSE),"" || "",$E396, IF(G396 = ""Yes"",CONCATENATE("" "", REGEXREPLACE(RIGHT(A396,2), ""^0+"","""")),""""), IF(ISBLANK(F396),"""",CONCATENATE("": "&amp;""", F396)))"),"Bench Cluster 17-24 Bench Cluster || Bench 22: Bench 22")</f>
        <v>Bench Cluster 17-24 Bench Cluster || Bench 22: Bench 22</v>
      </c>
      <c r="C396" s="116" t="s">
        <v>912</v>
      </c>
      <c r="D396" s="89">
        <v>22.0</v>
      </c>
      <c r="E396" s="83" t="s">
        <v>838</v>
      </c>
      <c r="F396" s="84" t="s">
        <v>918</v>
      </c>
      <c r="G396" s="85" t="s">
        <v>785</v>
      </c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91" t="str">
        <f t="shared" si="1"/>
        <v>/410/302-23</v>
      </c>
      <c r="B397" s="80" t="str">
        <f>IFERROR(__xludf.DUMMYFUNCTION("CONCATENATE(VLOOKUP(C397,'Storage Locations'!$A:$C,2,FALSE),"" "",VLOOKUP(C397,'Storage Locations'!$A:$C,3,FALSE),"" || "",$E397, IF(G397 = ""Yes"",CONCATENATE("" "", REGEXREPLACE(RIGHT(A397,2), ""^0+"","""")),""""), IF(ISBLANK(F397),"""",CONCATENATE("": "&amp;""", F397)))"),"Bench Cluster 17-24 Bench Cluster || Bench 23: Bench 23")</f>
        <v>Bench Cluster 17-24 Bench Cluster || Bench 23: Bench 23</v>
      </c>
      <c r="C397" s="116" t="s">
        <v>912</v>
      </c>
      <c r="D397" s="90">
        <v>23.0</v>
      </c>
      <c r="E397" s="83" t="s">
        <v>838</v>
      </c>
      <c r="F397" s="84" t="s">
        <v>919</v>
      </c>
      <c r="G397" s="85" t="s">
        <v>785</v>
      </c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91" t="str">
        <f t="shared" si="1"/>
        <v>/410/302-24</v>
      </c>
      <c r="B398" s="80" t="str">
        <f>IFERROR(__xludf.DUMMYFUNCTION("CONCATENATE(VLOOKUP(C398,'Storage Locations'!$A:$C,2,FALSE),"" "",VLOOKUP(C398,'Storage Locations'!$A:$C,3,FALSE),"" || "",$E398, IF(G398 = ""Yes"",CONCATENATE("" "", REGEXREPLACE(RIGHT(A398,2), ""^0+"","""")),""""), IF(ISBLANK(F398),"""",CONCATENATE("": "&amp;""", F398)))"),"Bench Cluster 17-24 Bench Cluster || Bench 24: Bench 24")</f>
        <v>Bench Cluster 17-24 Bench Cluster || Bench 24: Bench 24</v>
      </c>
      <c r="C398" s="116" t="s">
        <v>912</v>
      </c>
      <c r="D398" s="106">
        <v>24.0</v>
      </c>
      <c r="E398" s="83" t="s">
        <v>838</v>
      </c>
      <c r="F398" s="84" t="s">
        <v>920</v>
      </c>
      <c r="G398" s="85" t="s">
        <v>785</v>
      </c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93" t="str">
        <f t="shared" si="1"/>
        <v>/410/303-01</v>
      </c>
      <c r="B399" s="80" t="str">
        <f>IFERROR(__xludf.DUMMYFUNCTION("CONCATENATE(VLOOKUP(C399,'Storage Locations'!$A:$C,2,FALSE),"" "",VLOOKUP(C399,'Storage Locations'!$A:$C,3,FALSE),"" || "",$E399, IF(G399 = ""Yes"",CONCATENATE("" "", REGEXREPLACE(RIGHT(A399,2), ""^0+"","""")),""""), IF(ISBLANK(F399),"""",CONCATENATE("": "&amp;""", F399)))"),"Robot Arms Table Desk || Floor: Robot Arm &amp; Gripper Accesories")</f>
        <v>Robot Arms Table Desk || Floor: Robot Arm &amp; Gripper Accesories</v>
      </c>
      <c r="C399" s="117" t="s">
        <v>921</v>
      </c>
      <c r="D399" s="82">
        <v>1.0</v>
      </c>
      <c r="E399" s="83" t="s">
        <v>922</v>
      </c>
      <c r="F399" s="84" t="s">
        <v>923</v>
      </c>
      <c r="G399" s="85" t="s">
        <v>792</v>
      </c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93" t="str">
        <f t="shared" si="1"/>
        <v>/410/303-02</v>
      </c>
      <c r="B400" s="80" t="str">
        <f>IFERROR(__xludf.DUMMYFUNCTION("CONCATENATE(VLOOKUP(C400,'Storage Locations'!$A:$C,2,FALSE),"" "",VLOOKUP(C400,'Storage Locations'!$A:$C,3,FALSE),"" || "",$E400, IF(G400 = ""Yes"",CONCATENATE("" "", REGEXREPLACE(RIGHT(A400,2), ""^0+"","""")),""""), IF(ISBLANK(F400),"""",CONCATENATE("": "&amp;""", F400)))"),"Robot Arms Table Desk || Top: EVA Automata Robot Arms")</f>
        <v>Robot Arms Table Desk || Top: EVA Automata Robot Arms</v>
      </c>
      <c r="C400" s="117" t="s">
        <v>921</v>
      </c>
      <c r="D400" s="86">
        <v>2.0</v>
      </c>
      <c r="E400" s="83" t="s">
        <v>790</v>
      </c>
      <c r="F400" s="84" t="s">
        <v>924</v>
      </c>
      <c r="G400" s="85" t="s">
        <v>792</v>
      </c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95" t="str">
        <f t="shared" si="1"/>
        <v>/410/304-01</v>
      </c>
      <c r="B401" s="80" t="str">
        <f>IFERROR(__xludf.DUMMYFUNCTION("CONCATENATE(VLOOKUP(C401,'Storage Locations'!$A:$C,2,FALSE),"" "",VLOOKUP(C401,'Storage Locations'!$A:$C,3,FALSE),"" || "",$E401, IF(G401 = ""Yes"",CONCATENATE("" "", REGEXREPLACE(RIGHT(A401,2), ""^0+"","""")),""""), IF(ISBLANK(F401),"""",CONCATENATE("": "&amp;""", F401)))"),"Manufacturing Products Showcase Shelving Unit || Shelf 1")</f>
        <v>Manufacturing Products Showcase Shelving Unit || Shelf 1</v>
      </c>
      <c r="C401" s="118" t="s">
        <v>925</v>
      </c>
      <c r="D401" s="82">
        <v>1.0</v>
      </c>
      <c r="E401" s="83" t="s">
        <v>783</v>
      </c>
      <c r="F401" s="120"/>
      <c r="G401" s="85" t="s">
        <v>785</v>
      </c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95" t="str">
        <f t="shared" si="1"/>
        <v>/410/304-02</v>
      </c>
      <c r="B402" s="80" t="str">
        <f>IFERROR(__xludf.DUMMYFUNCTION("CONCATENATE(VLOOKUP(C402,'Storage Locations'!$A:$C,2,FALSE),"" "",VLOOKUP(C402,'Storage Locations'!$A:$C,3,FALSE),"" || "",$E402, IF(G402 = ""Yes"",CONCATENATE("" "", REGEXREPLACE(RIGHT(A402,2), ""^0+"","""")),""""), IF(ISBLANK(F402),"""",CONCATENATE("": "&amp;""", F402)))"),"Manufacturing Products Showcase Shelving Unit || Shelf 2")</f>
        <v>Manufacturing Products Showcase Shelving Unit || Shelf 2</v>
      </c>
      <c r="C402" s="118" t="s">
        <v>925</v>
      </c>
      <c r="D402" s="86">
        <v>2.0</v>
      </c>
      <c r="E402" s="83" t="s">
        <v>783</v>
      </c>
      <c r="F402" s="120"/>
      <c r="G402" s="85" t="s">
        <v>785</v>
      </c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95" t="str">
        <f t="shared" si="1"/>
        <v>/410/304-03</v>
      </c>
      <c r="B403" s="80" t="str">
        <f>IFERROR(__xludf.DUMMYFUNCTION("CONCATENATE(VLOOKUP(C403,'Storage Locations'!$A:$C,2,FALSE),"" "",VLOOKUP(C403,'Storage Locations'!$A:$C,3,FALSE),"" || "",$E403, IF(G403 = ""Yes"",CONCATENATE("" "", REGEXREPLACE(RIGHT(A403,2), ""^0+"","""")),""""), IF(ISBLANK(F403),"""",CONCATENATE("": "&amp;""", F403)))"),"Manufacturing Products Showcase Shelving Unit || Shelf 3")</f>
        <v>Manufacturing Products Showcase Shelving Unit || Shelf 3</v>
      </c>
      <c r="C403" s="118" t="s">
        <v>925</v>
      </c>
      <c r="D403" s="87">
        <v>3.0</v>
      </c>
      <c r="E403" s="83" t="s">
        <v>783</v>
      </c>
      <c r="F403" s="120"/>
      <c r="G403" s="85" t="s">
        <v>785</v>
      </c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79" t="str">
        <f t="shared" si="1"/>
        <v>/410/401-01</v>
      </c>
      <c r="B404" s="80" t="str">
        <f>IFERROR(__xludf.DUMMYFUNCTION("CONCATENATE(VLOOKUP(C404,'Storage Locations'!$A:$C,2,FALSE),"" "",VLOOKUP(C404,'Storage Locations'!$A:$C,3,FALSE),"" || "",$E404, IF(G404 = ""Yes"",CONCATENATE("" "", REGEXREPLACE(RIGHT(A404,2), ""^0+"","""")),""""), IF(ISBLANK(F404),"""",CONCATENATE("": "&amp;""", F404)))"),"Dremmel Press Station Desk || Top")</f>
        <v>Dremmel Press Station Desk || Top</v>
      </c>
      <c r="C404" s="81" t="s">
        <v>926</v>
      </c>
      <c r="D404" s="82">
        <v>1.0</v>
      </c>
      <c r="E404" s="83" t="s">
        <v>790</v>
      </c>
      <c r="F404" s="84"/>
      <c r="G404" s="85" t="s">
        <v>792</v>
      </c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79" t="str">
        <f t="shared" si="1"/>
        <v>/410/401-02</v>
      </c>
      <c r="B405" s="80" t="str">
        <f>IFERROR(__xludf.DUMMYFUNCTION("CONCATENATE(VLOOKUP(C405,'Storage Locations'!$A:$C,2,FALSE),"" "",VLOOKUP(C405,'Storage Locations'!$A:$C,3,FALSE),"" || "",$E405, IF(G405 = ""Yes"",CONCATENATE("" "", REGEXREPLACE(RIGHT(A405,2), ""^0+"","""")),""""), IF(ISBLANK(F405),"""",CONCATENATE("": "&amp;""", F405)))"),"Dremmel Press Station Desk || Floor")</f>
        <v>Dremmel Press Station Desk || Floor</v>
      </c>
      <c r="C405" s="81" t="s">
        <v>926</v>
      </c>
      <c r="D405" s="86">
        <v>2.0</v>
      </c>
      <c r="E405" s="83" t="s">
        <v>922</v>
      </c>
      <c r="F405" s="84"/>
      <c r="G405" s="85" t="s">
        <v>792</v>
      </c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91" t="str">
        <f t="shared" si="1"/>
        <v>/410/402-01</v>
      </c>
      <c r="B406" s="80" t="str">
        <f>IFERROR(__xludf.DUMMYFUNCTION("CONCATENATE(VLOOKUP(C406,'Storage Locations'!$A:$C,2,FALSE),"" "",VLOOKUP(C406,'Storage Locations'!$A:$C,3,FALSE),"" || "",$E406, IF(G406 = ""Yes"",CONCATENATE("" "", REGEXREPLACE(RIGHT(A406,2), ""^0+"","""")),""""), IF(ISBLANK(F406),"""",CONCATENATE("": "&amp;""", F406)))"),"3D Printing Station Desk || Top")</f>
        <v>3D Printing Station Desk || Top</v>
      </c>
      <c r="C406" s="92" t="s">
        <v>927</v>
      </c>
      <c r="D406" s="82">
        <v>1.0</v>
      </c>
      <c r="E406" s="83" t="s">
        <v>790</v>
      </c>
      <c r="F406" s="84"/>
      <c r="G406" s="85" t="s">
        <v>792</v>
      </c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91" t="str">
        <f t="shared" si="1"/>
        <v>/410/402-02</v>
      </c>
      <c r="B407" s="80" t="str">
        <f>IFERROR(__xludf.DUMMYFUNCTION("CONCATENATE(VLOOKUP(C407,'Storage Locations'!$A:$C,2,FALSE),"" "",VLOOKUP(C407,'Storage Locations'!$A:$C,3,FALSE),"" || "",$E407, IF(G407 = ""Yes"",CONCATENATE("" "", REGEXREPLACE(RIGHT(A407,2), ""^0+"","""")),""""), IF(ISBLANK(F407),"""",CONCATENATE("": "&amp;""", F407)))"),"3D Printing Station Desk || Window Sill")</f>
        <v>3D Printing Station Desk || Window Sill</v>
      </c>
      <c r="C407" s="92" t="s">
        <v>927</v>
      </c>
      <c r="D407" s="86">
        <v>2.0</v>
      </c>
      <c r="E407" s="83" t="s">
        <v>833</v>
      </c>
      <c r="F407" s="84"/>
      <c r="G407" s="85" t="s">
        <v>792</v>
      </c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91" t="str">
        <f t="shared" si="1"/>
        <v>/410/402-03</v>
      </c>
      <c r="B408" s="80" t="str">
        <f>IFERROR(__xludf.DUMMYFUNCTION("CONCATENATE(VLOOKUP(C408,'Storage Locations'!$A:$C,2,FALSE),"" "",VLOOKUP(C408,'Storage Locations'!$A:$C,3,FALSE),"" || "",$E408, IF(G408 = ""Yes"",CONCATENATE("" "", REGEXREPLACE(RIGHT(A408,2), ""^0+"","""")),""""), IF(ISBLANK(F408),"""",CONCATENATE("": "&amp;""", F408)))"),"3D Printing Station Desk || Floor")</f>
        <v>3D Printing Station Desk || Floor</v>
      </c>
      <c r="C408" s="92" t="s">
        <v>927</v>
      </c>
      <c r="D408" s="87">
        <v>3.0</v>
      </c>
      <c r="E408" s="83" t="s">
        <v>922</v>
      </c>
      <c r="F408" s="84"/>
      <c r="G408" s="85" t="s">
        <v>792</v>
      </c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93" t="str">
        <f t="shared" si="1"/>
        <v>/410/403-01</v>
      </c>
      <c r="B409" s="80" t="str">
        <f>IFERROR(__xludf.DUMMYFUNCTION("CONCATENATE(VLOOKUP(C409,'Storage Locations'!$A:$C,2,FALSE),"" "",VLOOKUP(C409,'Storage Locations'!$A:$C,3,FALSE),"" || "",$E409, IF(G409 = ""Yes"",CONCATENATE("" "", REGEXREPLACE(RIGHT(A409,2), ""^0+"","""")),""""), IF(ISBLANK(F409),"""",CONCATENATE("": "&amp;""", F409)))"),"Stratasys F170/88 3D Printer Drawer Unit || Drawer 1")</f>
        <v>Stratasys F170/88 3D Printer Drawer Unit || Drawer 1</v>
      </c>
      <c r="C409" s="94" t="s">
        <v>928</v>
      </c>
      <c r="D409" s="82">
        <v>1.0</v>
      </c>
      <c r="E409" s="83" t="s">
        <v>862</v>
      </c>
      <c r="F409" s="120"/>
      <c r="G409" s="85" t="s">
        <v>785</v>
      </c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95" t="str">
        <f t="shared" si="1"/>
        <v>/410/404-01</v>
      </c>
      <c r="B410" s="80" t="str">
        <f>IFERROR(__xludf.DUMMYFUNCTION("CONCATENATE(VLOOKUP(C410,'Storage Locations'!$A:$C,2,FALSE),"" "",VLOOKUP(C410,'Storage Locations'!$A:$C,3,FALSE),"" || "",$E410, IF(G410 = ""Yes"",CONCATENATE("" "", REGEXREPLACE(RIGHT(A410,2), ""^0+"","""")),""""), IF(ISBLANK(F410),"""",CONCATENATE("": "&amp;""", F410)))"),"Stratasys F170/77 3D Printer Drawer Unit || Drawer 1")</f>
        <v>Stratasys F170/77 3D Printer Drawer Unit || Drawer 1</v>
      </c>
      <c r="C410" s="96" t="s">
        <v>929</v>
      </c>
      <c r="D410" s="82">
        <v>1.0</v>
      </c>
      <c r="E410" s="83" t="s">
        <v>862</v>
      </c>
      <c r="F410" s="120"/>
      <c r="G410" s="85" t="s">
        <v>785</v>
      </c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97" t="str">
        <f t="shared" si="1"/>
        <v>/410/405-01</v>
      </c>
      <c r="B411" s="80" t="str">
        <f>IFERROR(__xludf.DUMMYFUNCTION("CONCATENATE(VLOOKUP(C411,'Storage Locations'!$A:$C,2,FALSE),"" "",VLOOKUP(C411,'Storage Locations'!$A:$C,3,FALSE),"" || "",$E411, IF(G411 = ""Yes"",CONCATENATE("" "", REGEXREPLACE(RIGHT(A411,2), ""^0+"","""")),""""), IF(ISBLANK(F411),"""",CONCATENATE("": "&amp;""", F411)))"),"Laser Cutting Station Desk || Top")</f>
        <v>Laser Cutting Station Desk || Top</v>
      </c>
      <c r="C411" s="98" t="s">
        <v>930</v>
      </c>
      <c r="D411" s="82">
        <v>1.0</v>
      </c>
      <c r="E411" s="83" t="s">
        <v>790</v>
      </c>
      <c r="F411" s="84"/>
      <c r="G411" s="85" t="s">
        <v>792</v>
      </c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97" t="str">
        <f t="shared" si="1"/>
        <v>/410/405-02</v>
      </c>
      <c r="B412" s="80" t="str">
        <f>IFERROR(__xludf.DUMMYFUNCTION("CONCATENATE(VLOOKUP(C412,'Storage Locations'!$A:$C,2,FALSE),"" "",VLOOKUP(C412,'Storage Locations'!$A:$C,3,FALSE),"" || "",$E412, IF(G412 = ""Yes"",CONCATENATE("" "", REGEXREPLACE(RIGHT(A412,2), ""^0+"","""")),""""), IF(ISBLANK(F412),"""",CONCATENATE("": "&amp;""", F412)))"),"Laser Cutting Station Desk || Window Sill")</f>
        <v>Laser Cutting Station Desk || Window Sill</v>
      </c>
      <c r="C412" s="98" t="s">
        <v>930</v>
      </c>
      <c r="D412" s="86">
        <v>2.0</v>
      </c>
      <c r="E412" s="83" t="s">
        <v>833</v>
      </c>
      <c r="F412" s="84"/>
      <c r="G412" s="85" t="s">
        <v>792</v>
      </c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97" t="str">
        <f t="shared" si="1"/>
        <v>/410/405-03</v>
      </c>
      <c r="B413" s="80" t="str">
        <f>IFERROR(__xludf.DUMMYFUNCTION("CONCATENATE(VLOOKUP(C413,'Storage Locations'!$A:$C,2,FALSE),"" "",VLOOKUP(C413,'Storage Locations'!$A:$C,3,FALSE),"" || "",$E413, IF(G413 = ""Yes"",CONCATENATE("" "", REGEXREPLACE(RIGHT(A413,2), ""^0+"","""")),""""), IF(ISBLANK(F413),"""",CONCATENATE("": "&amp;""", F413)))"),"Laser Cutting Station Desk || Floor")</f>
        <v>Laser Cutting Station Desk || Floor</v>
      </c>
      <c r="C413" s="98" t="s">
        <v>930</v>
      </c>
      <c r="D413" s="87">
        <v>3.0</v>
      </c>
      <c r="E413" s="83" t="s">
        <v>922</v>
      </c>
      <c r="F413" s="84"/>
      <c r="G413" s="85" t="s">
        <v>792</v>
      </c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04" t="str">
        <f t="shared" si="1"/>
        <v>/410/406-01</v>
      </c>
      <c r="B414" s="80" t="str">
        <f>IFERROR(__xludf.DUMMYFUNCTION("CONCATENATE(VLOOKUP(C414,'Storage Locations'!$A:$C,2,FALSE),"" "",VLOOKUP(C414,'Storage Locations'!$A:$C,3,FALSE),"" || "",$E414, IF(G414 = ""Yes"",CONCATENATE("" "", REGEXREPLACE(RIGHT(A414,2), ""^0+"","""")),""""), IF(ISBLANK(F414),"""",CONCATENATE("": "&amp;""", F414)))"),"Laser Cutting Drawers Drawer Unit || Drawer 1")</f>
        <v>Laser Cutting Drawers Drawer Unit || Drawer 1</v>
      </c>
      <c r="C414" s="105" t="s">
        <v>931</v>
      </c>
      <c r="D414" s="82">
        <v>1.0</v>
      </c>
      <c r="E414" s="83" t="s">
        <v>862</v>
      </c>
      <c r="F414" s="120"/>
      <c r="G414" s="85" t="s">
        <v>785</v>
      </c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04" t="str">
        <f t="shared" si="1"/>
        <v>/410/406-02</v>
      </c>
      <c r="B415" s="80" t="str">
        <f>IFERROR(__xludf.DUMMYFUNCTION("CONCATENATE(VLOOKUP(C415,'Storage Locations'!$A:$C,2,FALSE),"" "",VLOOKUP(C415,'Storage Locations'!$A:$C,3,FALSE),"" || "",$E415, IF(G415 = ""Yes"",CONCATENATE("" "", REGEXREPLACE(RIGHT(A415,2), ""^0+"","""")),""""), IF(ISBLANK(F415),"""",CONCATENATE("": "&amp;""", F415)))"),"Laser Cutting Drawers Drawer Unit || Drawer 2")</f>
        <v>Laser Cutting Drawers Drawer Unit || Drawer 2</v>
      </c>
      <c r="C415" s="105" t="s">
        <v>931</v>
      </c>
      <c r="D415" s="86">
        <v>2.0</v>
      </c>
      <c r="E415" s="83" t="s">
        <v>862</v>
      </c>
      <c r="F415" s="120"/>
      <c r="G415" s="85" t="s">
        <v>785</v>
      </c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04" t="str">
        <f t="shared" si="1"/>
        <v>/410/406-03</v>
      </c>
      <c r="B416" s="80" t="str">
        <f>IFERROR(__xludf.DUMMYFUNCTION("CONCATENATE(VLOOKUP(C416,'Storage Locations'!$A:$C,2,FALSE),"" "",VLOOKUP(C416,'Storage Locations'!$A:$C,3,FALSE),"" || "",$E416, IF(G416 = ""Yes"",CONCATENATE("" "", REGEXREPLACE(RIGHT(A416,2), ""^0+"","""")),""""), IF(ISBLANK(F416),"""",CONCATENATE("": "&amp;""", F416)))"),"Laser Cutting Drawers Drawer Unit || Drawer 3")</f>
        <v>Laser Cutting Drawers Drawer Unit || Drawer 3</v>
      </c>
      <c r="C416" s="105" t="s">
        <v>931</v>
      </c>
      <c r="D416" s="87">
        <v>3.0</v>
      </c>
      <c r="E416" s="83" t="s">
        <v>862</v>
      </c>
      <c r="F416" s="120"/>
      <c r="G416" s="85" t="s">
        <v>785</v>
      </c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04" t="str">
        <f t="shared" si="1"/>
        <v>/410/406-04</v>
      </c>
      <c r="B417" s="80" t="str">
        <f>IFERROR(__xludf.DUMMYFUNCTION("CONCATENATE(VLOOKUP(C417,'Storage Locations'!$A:$C,2,FALSE),"" "",VLOOKUP(C417,'Storage Locations'!$A:$C,3,FALSE),"" || "",$E417, IF(G417 = ""Yes"",CONCATENATE("" "", REGEXREPLACE(RIGHT(A417,2), ""^0+"","""")),""""), IF(ISBLANK(F417),"""",CONCATENATE("": "&amp;""", F417)))"),"Laser Cutting Drawers Drawer Unit || Top: Up")</f>
        <v>Laser Cutting Drawers Drawer Unit || Top: Up</v>
      </c>
      <c r="C417" s="105" t="s">
        <v>931</v>
      </c>
      <c r="D417" s="88">
        <v>4.0</v>
      </c>
      <c r="E417" s="83" t="s">
        <v>790</v>
      </c>
      <c r="F417" s="84" t="s">
        <v>932</v>
      </c>
      <c r="G417" s="85" t="s">
        <v>792</v>
      </c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11" t="str">
        <f t="shared" si="1"/>
        <v>/410/407-01</v>
      </c>
      <c r="B418" s="80" t="str">
        <f>IFERROR(__xludf.DUMMYFUNCTION("CONCATENATE(VLOOKUP(C418,'Storage Locations'!$A:$C,2,FALSE),"" "",VLOOKUP(C418,'Storage Locations'!$A:$C,3,FALSE),"" || "",$E418, IF(G418 = ""Yes"",CONCATENATE("" "", REGEXREPLACE(RIGHT(A418,2), ""^0+"","""")),""""), IF(ISBLANK(F418),"""",CONCATENATE("": "&amp;""", F418)))"),"Chemical &amp; Hazardous Substances (COSHH) Cabinet || Shelf 1")</f>
        <v>Chemical &amp; Hazardous Substances (COSHH) Cabinet || Shelf 1</v>
      </c>
      <c r="C418" s="112" t="s">
        <v>933</v>
      </c>
      <c r="D418" s="82">
        <v>1.0</v>
      </c>
      <c r="E418" s="83" t="s">
        <v>783</v>
      </c>
      <c r="F418" s="120"/>
      <c r="G418" s="85" t="s">
        <v>785</v>
      </c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11" t="str">
        <f t="shared" si="1"/>
        <v>/410/407-02</v>
      </c>
      <c r="B419" s="80" t="str">
        <f>IFERROR(__xludf.DUMMYFUNCTION("CONCATENATE(VLOOKUP(C419,'Storage Locations'!$A:$C,2,FALSE),"" "",VLOOKUP(C419,'Storage Locations'!$A:$C,3,FALSE),"" || "",$E419, IF(G419 = ""Yes"",CONCATENATE("" "", REGEXREPLACE(RIGHT(A419,2), ""^0+"","""")),""""), IF(ISBLANK(F419),"""",CONCATENATE("": "&amp;""", F419)))"),"Chemical &amp; Hazardous Substances (COSHH) Cabinet || Shelf 2")</f>
        <v>Chemical &amp; Hazardous Substances (COSHH) Cabinet || Shelf 2</v>
      </c>
      <c r="C419" s="112" t="s">
        <v>933</v>
      </c>
      <c r="D419" s="86">
        <v>2.0</v>
      </c>
      <c r="E419" s="83" t="s">
        <v>783</v>
      </c>
      <c r="F419" s="120"/>
      <c r="G419" s="85" t="s">
        <v>785</v>
      </c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11" t="str">
        <f t="shared" si="1"/>
        <v>/410/407-03</v>
      </c>
      <c r="B420" s="80" t="str">
        <f>IFERROR(__xludf.DUMMYFUNCTION("CONCATENATE(VLOOKUP(C420,'Storage Locations'!$A:$C,2,FALSE),"" "",VLOOKUP(C420,'Storage Locations'!$A:$C,3,FALSE),"" || "",$E420, IF(G420 = ""Yes"",CONCATENATE("" "", REGEXREPLACE(RIGHT(A420,2), ""^0+"","""")),""""), IF(ISBLANK(F420),"""",CONCATENATE("": "&amp;""", F420)))"),"Chemical &amp; Hazardous Substances (COSHH) Cabinet || Top: Up")</f>
        <v>Chemical &amp; Hazardous Substances (COSHH) Cabinet || Top: Up</v>
      </c>
      <c r="C420" s="112" t="s">
        <v>933</v>
      </c>
      <c r="D420" s="87">
        <v>3.0</v>
      </c>
      <c r="E420" s="83" t="s">
        <v>790</v>
      </c>
      <c r="F420" s="84" t="s">
        <v>932</v>
      </c>
      <c r="G420" s="85" t="s">
        <v>792</v>
      </c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13" t="str">
        <f t="shared" si="1"/>
        <v>/410/408-01</v>
      </c>
      <c r="B421" s="80" t="str">
        <f>IFERROR(__xludf.DUMMYFUNCTION("CONCATENATE(VLOOKUP(C421,'Storage Locations'!$A:$C,2,FALSE),"" "",VLOOKUP(C421,'Storage Locations'!$A:$C,3,FALSE),"" || "",$E421, IF(G421 = ""Yes"",CONCATENATE("" "", REGEXREPLACE(RIGHT(A421,2), ""^0+"","""")),""""), IF(ISBLANK(F421),"""",CONCATENATE("": "&amp;""", F421)))"),"Material Store Shelving Unit || Shelf 1")</f>
        <v>Material Store Shelving Unit || Shelf 1</v>
      </c>
      <c r="C421" s="114" t="s">
        <v>934</v>
      </c>
      <c r="D421" s="82">
        <v>1.0</v>
      </c>
      <c r="E421" s="83" t="s">
        <v>783</v>
      </c>
      <c r="F421" s="120"/>
      <c r="G421" s="85" t="s">
        <v>785</v>
      </c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13" t="str">
        <f t="shared" si="1"/>
        <v>/410/408-02</v>
      </c>
      <c r="B422" s="80" t="str">
        <f>IFERROR(__xludf.DUMMYFUNCTION("CONCATENATE(VLOOKUP(C422,'Storage Locations'!$A:$C,2,FALSE),"" "",VLOOKUP(C422,'Storage Locations'!$A:$C,3,FALSE),"" || "",$E422, IF(G422 = ""Yes"",CONCATENATE("" "", REGEXREPLACE(RIGHT(A422,2), ""^0+"","""")),""""), IF(ISBLANK(F422),"""",CONCATENATE("": "&amp;""", F422)))"),"Material Store Shelving Unit || Shelf 2")</f>
        <v>Material Store Shelving Unit || Shelf 2</v>
      </c>
      <c r="C422" s="114" t="s">
        <v>934</v>
      </c>
      <c r="D422" s="86">
        <v>2.0</v>
      </c>
      <c r="E422" s="83" t="s">
        <v>783</v>
      </c>
      <c r="F422" s="120"/>
      <c r="G422" s="85" t="s">
        <v>785</v>
      </c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13" t="str">
        <f t="shared" si="1"/>
        <v>/410/408-03</v>
      </c>
      <c r="B423" s="80" t="str">
        <f>IFERROR(__xludf.DUMMYFUNCTION("CONCATENATE(VLOOKUP(C423,'Storage Locations'!$A:$C,2,FALSE),"" "",VLOOKUP(C423,'Storage Locations'!$A:$C,3,FALSE),"" || "",$E423, IF(G423 = ""Yes"",CONCATENATE("" "", REGEXREPLACE(RIGHT(A423,2), ""^0+"","""")),""""), IF(ISBLANK(F423),"""",CONCATENATE("": "&amp;""", F423)))"),"Material Store Shelving Unit || Shelf 3")</f>
        <v>Material Store Shelving Unit || Shelf 3</v>
      </c>
      <c r="C423" s="114" t="s">
        <v>934</v>
      </c>
      <c r="D423" s="87">
        <v>3.0</v>
      </c>
      <c r="E423" s="83" t="s">
        <v>783</v>
      </c>
      <c r="F423" s="120"/>
      <c r="G423" s="85" t="s">
        <v>785</v>
      </c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13" t="str">
        <f t="shared" si="1"/>
        <v>/410/408-04</v>
      </c>
      <c r="B424" s="80" t="str">
        <f>IFERROR(__xludf.DUMMYFUNCTION("CONCATENATE(VLOOKUP(C424,'Storage Locations'!$A:$C,2,FALSE),"" "",VLOOKUP(C424,'Storage Locations'!$A:$C,3,FALSE),"" || "",$E424, IF(G424 = ""Yes"",CONCATENATE("" "", REGEXREPLACE(RIGHT(A424,2), ""^0+"","""")),""""), IF(ISBLANK(F424),"""",CONCATENATE("": "&amp;""", F424)))"),"Material Store Shelving Unit || Shelf 4")</f>
        <v>Material Store Shelving Unit || Shelf 4</v>
      </c>
      <c r="C424" s="114" t="s">
        <v>934</v>
      </c>
      <c r="D424" s="88">
        <v>4.0</v>
      </c>
      <c r="E424" s="83" t="s">
        <v>783</v>
      </c>
      <c r="F424" s="120"/>
      <c r="G424" s="85" t="s">
        <v>785</v>
      </c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13" t="str">
        <f t="shared" si="1"/>
        <v>/410/408-05</v>
      </c>
      <c r="B425" s="80" t="str">
        <f>IFERROR(__xludf.DUMMYFUNCTION("CONCATENATE(VLOOKUP(C425,'Storage Locations'!$A:$C,2,FALSE),"" "",VLOOKUP(C425,'Storage Locations'!$A:$C,3,FALSE),"" || "",$E425, IF(G425 = ""Yes"",CONCATENATE("" "", REGEXREPLACE(RIGHT(A425,2), ""^0+"","""")),""""), IF(ISBLANK(F425),"""",CONCATENATE("": "&amp;""", F425)))"),"Material Store Shelving Unit || Shelf 5")</f>
        <v>Material Store Shelving Unit || Shelf 5</v>
      </c>
      <c r="C425" s="114" t="s">
        <v>934</v>
      </c>
      <c r="D425" s="89">
        <v>5.0</v>
      </c>
      <c r="E425" s="83" t="s">
        <v>783</v>
      </c>
      <c r="F425" s="120"/>
      <c r="G425" s="85" t="s">
        <v>785</v>
      </c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13" t="str">
        <f t="shared" si="1"/>
        <v>/410/408-06</v>
      </c>
      <c r="B426" s="80" t="str">
        <f>IFERROR(__xludf.DUMMYFUNCTION("CONCATENATE(VLOOKUP(C426,'Storage Locations'!$A:$C,2,FALSE),"" "",VLOOKUP(C426,'Storage Locations'!$A:$C,3,FALSE),"" || "",$E426, IF(G426 = ""Yes"",CONCATENATE("" "", REGEXREPLACE(RIGHT(A426,2), ""^0+"","""")),""""), IF(ISBLANK(F426),"""",CONCATENATE("": "&amp;""", F426)))"),"Material Store Shelving Unit || Shelf 6")</f>
        <v>Material Store Shelving Unit || Shelf 6</v>
      </c>
      <c r="C426" s="114" t="s">
        <v>934</v>
      </c>
      <c r="D426" s="90">
        <v>6.0</v>
      </c>
      <c r="E426" s="83" t="s">
        <v>783</v>
      </c>
      <c r="F426" s="120"/>
      <c r="G426" s="85" t="s">
        <v>785</v>
      </c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13" t="str">
        <f t="shared" si="1"/>
        <v>/410/408-07</v>
      </c>
      <c r="B427" s="80" t="str">
        <f>IFERROR(__xludf.DUMMYFUNCTION("CONCATENATE(VLOOKUP(C427,'Storage Locations'!$A:$C,2,FALSE),"" "",VLOOKUP(C427,'Storage Locations'!$A:$C,3,FALSE),"" || "",$E427, IF(G427 = ""Yes"",CONCATENATE("" "", REGEXREPLACE(RIGHT(A427,2), ""^0+"","""")),""""), IF(ISBLANK(F427),"""",CONCATENATE("": "&amp;""", F427)))"),"Material Store Shelving Unit || Shelf 7")</f>
        <v>Material Store Shelving Unit || Shelf 7</v>
      </c>
      <c r="C427" s="114" t="s">
        <v>934</v>
      </c>
      <c r="D427" s="106">
        <v>7.0</v>
      </c>
      <c r="E427" s="83" t="s">
        <v>783</v>
      </c>
      <c r="F427" s="120"/>
      <c r="G427" s="85" t="s">
        <v>785</v>
      </c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13" t="str">
        <f t="shared" si="1"/>
        <v>/410/408-08</v>
      </c>
      <c r="B428" s="80" t="str">
        <f>IFERROR(__xludf.DUMMYFUNCTION("CONCATENATE(VLOOKUP(C428,'Storage Locations'!$A:$C,2,FALSE),"" "",VLOOKUP(C428,'Storage Locations'!$A:$C,3,FALSE),"" || "",$E428, IF(G428 = ""Yes"",CONCATENATE("" "", REGEXREPLACE(RIGHT(A428,2), ""^0+"","""")),""""), IF(ISBLANK(F428),"""",CONCATENATE("": "&amp;""", F428)))"),"Material Store Shelving Unit || Shelf 8")</f>
        <v>Material Store Shelving Unit || Shelf 8</v>
      </c>
      <c r="C428" s="114" t="s">
        <v>934</v>
      </c>
      <c r="D428" s="107">
        <v>8.0</v>
      </c>
      <c r="E428" s="83" t="s">
        <v>783</v>
      </c>
      <c r="F428" s="120"/>
      <c r="G428" s="85" t="s">
        <v>785</v>
      </c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13" t="str">
        <f t="shared" si="1"/>
        <v>/410/408-09</v>
      </c>
      <c r="B429" s="80" t="str">
        <f>IFERROR(__xludf.DUMMYFUNCTION("CONCATENATE(VLOOKUP(C429,'Storage Locations'!$A:$C,2,FALSE),"" "",VLOOKUP(C429,'Storage Locations'!$A:$C,3,FALSE),"" || "",$E429, IF(G429 = ""Yes"",CONCATENATE("" "", REGEXREPLACE(RIGHT(A429,2), ""^0+"","""")),""""), IF(ISBLANK(F429),"""",CONCATENATE("": "&amp;""", F429)))"),"Material Store Shelving Unit || Shelf 9")</f>
        <v>Material Store Shelving Unit || Shelf 9</v>
      </c>
      <c r="C429" s="114" t="s">
        <v>934</v>
      </c>
      <c r="D429" s="108">
        <v>9.0</v>
      </c>
      <c r="E429" s="83" t="s">
        <v>783</v>
      </c>
      <c r="F429" s="120"/>
      <c r="G429" s="85" t="s">
        <v>785</v>
      </c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13" t="str">
        <f t="shared" si="1"/>
        <v>/410/408-10</v>
      </c>
      <c r="B430" s="80" t="str">
        <f>IFERROR(__xludf.DUMMYFUNCTION("CONCATENATE(VLOOKUP(C430,'Storage Locations'!$A:$C,2,FALSE),"" "",VLOOKUP(C430,'Storage Locations'!$A:$C,3,FALSE),"" || "",$E430, IF(G430 = ""Yes"",CONCATENATE("" "", REGEXREPLACE(RIGHT(A430,2), ""^0+"","""")),""""), IF(ISBLANK(F430),"""",CONCATENATE("": "&amp;""", F430)))"),"Material Store Shelving Unit || Shelf 10")</f>
        <v>Material Store Shelving Unit || Shelf 10</v>
      </c>
      <c r="C430" s="114" t="s">
        <v>934</v>
      </c>
      <c r="D430" s="109">
        <v>10.0</v>
      </c>
      <c r="E430" s="83" t="s">
        <v>783</v>
      </c>
      <c r="F430" s="120"/>
      <c r="G430" s="85" t="s">
        <v>785</v>
      </c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13" t="str">
        <f t="shared" si="1"/>
        <v>/410/408-11</v>
      </c>
      <c r="B431" s="80" t="str">
        <f>IFERROR(__xludf.DUMMYFUNCTION("CONCATENATE(VLOOKUP(C431,'Storage Locations'!$A:$C,2,FALSE),"" "",VLOOKUP(C431,'Storage Locations'!$A:$C,3,FALSE),"" || "",$E431, IF(G431 = ""Yes"",CONCATENATE("" "", REGEXREPLACE(RIGHT(A431,2), ""^0+"","""")),""""), IF(ISBLANK(F431),"""",CONCATENATE("": "&amp;""", F431)))"),"Material Store Shelving Unit || Shelf 11")</f>
        <v>Material Store Shelving Unit || Shelf 11</v>
      </c>
      <c r="C431" s="114" t="s">
        <v>934</v>
      </c>
      <c r="D431" s="110">
        <v>11.0</v>
      </c>
      <c r="E431" s="83" t="s">
        <v>783</v>
      </c>
      <c r="F431" s="120"/>
      <c r="G431" s="85" t="s">
        <v>785</v>
      </c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13" t="str">
        <f t="shared" si="1"/>
        <v>/410/408-12</v>
      </c>
      <c r="B432" s="80" t="str">
        <f>IFERROR(__xludf.DUMMYFUNCTION("CONCATENATE(VLOOKUP(C432,'Storage Locations'!$A:$C,2,FALSE),"" "",VLOOKUP(C432,'Storage Locations'!$A:$C,3,FALSE),"" || "",$E432, IF(G432 = ""Yes"",CONCATENATE("" "", REGEXREPLACE(RIGHT(A432,2), ""^0+"","""")),""""), IF(ISBLANK(F432),"""",CONCATENATE("": "&amp;""", F432)))"),"Material Store Shelving Unit || Shelf 12")</f>
        <v>Material Store Shelving Unit || Shelf 12</v>
      </c>
      <c r="C432" s="114" t="s">
        <v>934</v>
      </c>
      <c r="D432" s="121">
        <v>12.0</v>
      </c>
      <c r="E432" s="83" t="s">
        <v>783</v>
      </c>
      <c r="F432" s="120"/>
      <c r="G432" s="85" t="s">
        <v>785</v>
      </c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13" t="str">
        <f t="shared" si="1"/>
        <v>/410/408-13</v>
      </c>
      <c r="B433" s="80" t="str">
        <f>IFERROR(__xludf.DUMMYFUNCTION("CONCATENATE(VLOOKUP(C433,'Storage Locations'!$A:$C,2,FALSE),"" "",VLOOKUP(C433,'Storage Locations'!$A:$C,3,FALSE),"" || "",$E433, IF(G433 = ""Yes"",CONCATENATE("" "", REGEXREPLACE(RIGHT(A433,2), ""^0+"","""")),""""), IF(ISBLANK(F433),"""",CONCATENATE("": "&amp;""", F433)))"),"Material Store Shelving Unit || Shelf 13")</f>
        <v>Material Store Shelving Unit || Shelf 13</v>
      </c>
      <c r="C433" s="114" t="s">
        <v>934</v>
      </c>
      <c r="D433" s="122">
        <v>13.0</v>
      </c>
      <c r="E433" s="83" t="s">
        <v>783</v>
      </c>
      <c r="F433" s="120"/>
      <c r="G433" s="85" t="s">
        <v>785</v>
      </c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13" t="str">
        <f t="shared" si="1"/>
        <v>/410/408-14</v>
      </c>
      <c r="B434" s="80" t="str">
        <f>IFERROR(__xludf.DUMMYFUNCTION("CONCATENATE(VLOOKUP(C434,'Storage Locations'!$A:$C,2,FALSE),"" "",VLOOKUP(C434,'Storage Locations'!$A:$C,3,FALSE),"" || "",$E434, IF(G434 = ""Yes"",CONCATENATE("" "", REGEXREPLACE(RIGHT(A434,2), ""^0+"","""")),""""), IF(ISBLANK(F434),"""",CONCATENATE("": "&amp;""", F434)))"),"Material Store Shelving Unit || Shelf 14")</f>
        <v>Material Store Shelving Unit || Shelf 14</v>
      </c>
      <c r="C434" s="114" t="s">
        <v>934</v>
      </c>
      <c r="D434" s="99">
        <v>14.0</v>
      </c>
      <c r="E434" s="83" t="s">
        <v>783</v>
      </c>
      <c r="F434" s="120"/>
      <c r="G434" s="85" t="s">
        <v>785</v>
      </c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13" t="str">
        <f t="shared" si="1"/>
        <v>/410/408-15</v>
      </c>
      <c r="B435" s="80" t="str">
        <f>IFERROR(__xludf.DUMMYFUNCTION("CONCATENATE(VLOOKUP(C435,'Storage Locations'!$A:$C,2,FALSE),"" "",VLOOKUP(C435,'Storage Locations'!$A:$C,3,FALSE),"" || "",$E435, IF(G435 = ""Yes"",CONCATENATE("" "", REGEXREPLACE(RIGHT(A435,2), ""^0+"","""")),""""), IF(ISBLANK(F435),"""",CONCATENATE("": "&amp;""", F435)))"),"Material Store Shelving Unit || Shelf 15")</f>
        <v>Material Store Shelving Unit || Shelf 15</v>
      </c>
      <c r="C435" s="114" t="s">
        <v>934</v>
      </c>
      <c r="D435" s="100">
        <v>15.0</v>
      </c>
      <c r="E435" s="83" t="s">
        <v>783</v>
      </c>
      <c r="F435" s="120"/>
      <c r="G435" s="85" t="s">
        <v>785</v>
      </c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13" t="str">
        <f t="shared" si="1"/>
        <v>/410/408-16</v>
      </c>
      <c r="B436" s="80" t="str">
        <f>IFERROR(__xludf.DUMMYFUNCTION("CONCATENATE(VLOOKUP(C436,'Storage Locations'!$A:$C,2,FALSE),"" "",VLOOKUP(C436,'Storage Locations'!$A:$C,3,FALSE),"" || "",$E436, IF(G436 = ""Yes"",CONCATENATE("" "", REGEXREPLACE(RIGHT(A436,2), ""^0+"","""")),""""), IF(ISBLANK(F436),"""",CONCATENATE("": "&amp;""", F436)))"),"Material Store Shelving Unit || Shelf 16")</f>
        <v>Material Store Shelving Unit || Shelf 16</v>
      </c>
      <c r="C436" s="114" t="s">
        <v>934</v>
      </c>
      <c r="D436" s="101">
        <v>16.0</v>
      </c>
      <c r="E436" s="83" t="s">
        <v>783</v>
      </c>
      <c r="F436" s="120"/>
      <c r="G436" s="85" t="s">
        <v>785</v>
      </c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13" t="str">
        <f t="shared" si="1"/>
        <v>/410/408-17</v>
      </c>
      <c r="B437" s="80" t="str">
        <f>IFERROR(__xludf.DUMMYFUNCTION("CONCATENATE(VLOOKUP(C437,'Storage Locations'!$A:$C,2,FALSE),"" "",VLOOKUP(C437,'Storage Locations'!$A:$C,3,FALSE),"" || "",$E437, IF(G437 = ""Yes"",CONCATENATE("" "", REGEXREPLACE(RIGHT(A437,2), ""^0+"","""")),""""), IF(ISBLANK(F437),"""",CONCATENATE("": "&amp;""", F437)))"),"Material Store Shelving Unit || Shelf 17")</f>
        <v>Material Store Shelving Unit || Shelf 17</v>
      </c>
      <c r="C437" s="114" t="s">
        <v>934</v>
      </c>
      <c r="D437" s="102">
        <v>17.0</v>
      </c>
      <c r="E437" s="83" t="s">
        <v>783</v>
      </c>
      <c r="F437" s="120"/>
      <c r="G437" s="85" t="s">
        <v>785</v>
      </c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13" t="str">
        <f t="shared" si="1"/>
        <v>/410/408-18</v>
      </c>
      <c r="B438" s="80" t="str">
        <f>IFERROR(__xludf.DUMMYFUNCTION("CONCATENATE(VLOOKUP(C438,'Storage Locations'!$A:$C,2,FALSE),"" "",VLOOKUP(C438,'Storage Locations'!$A:$C,3,FALSE),"" || "",$E438, IF(G438 = ""Yes"",CONCATENATE("" "", REGEXREPLACE(RIGHT(A438,2), ""^0+"","""")),""""), IF(ISBLANK(F438),"""",CONCATENATE("": "&amp;""", F438)))"),"Material Store Shelving Unit || Shelf 18")</f>
        <v>Material Store Shelving Unit || Shelf 18</v>
      </c>
      <c r="C438" s="114" t="s">
        <v>934</v>
      </c>
      <c r="D438" s="82">
        <v>18.0</v>
      </c>
      <c r="E438" s="83" t="s">
        <v>783</v>
      </c>
      <c r="F438" s="120"/>
      <c r="G438" s="85" t="s">
        <v>785</v>
      </c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13" t="str">
        <f t="shared" si="1"/>
        <v>/410/408-19</v>
      </c>
      <c r="B439" s="80" t="str">
        <f>IFERROR(__xludf.DUMMYFUNCTION("CONCATENATE(VLOOKUP(C439,'Storage Locations'!$A:$C,2,FALSE),"" "",VLOOKUP(C439,'Storage Locations'!$A:$C,3,FALSE),"" || "",$E439, IF(G439 = ""Yes"",CONCATENATE("" "", REGEXREPLACE(RIGHT(A439,2), ""^0+"","""")),""""), IF(ISBLANK(F439),"""",CONCATENATE("": "&amp;""", F439)))"),"Material Store Shelving Unit || Shelf 19")</f>
        <v>Material Store Shelving Unit || Shelf 19</v>
      </c>
      <c r="C439" s="114" t="s">
        <v>934</v>
      </c>
      <c r="D439" s="86">
        <v>19.0</v>
      </c>
      <c r="E439" s="83" t="s">
        <v>783</v>
      </c>
      <c r="F439" s="120"/>
      <c r="G439" s="85" t="s">
        <v>785</v>
      </c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13" t="str">
        <f t="shared" si="1"/>
        <v>/410/408-20</v>
      </c>
      <c r="B440" s="80" t="str">
        <f>IFERROR(__xludf.DUMMYFUNCTION("CONCATENATE(VLOOKUP(C440,'Storage Locations'!$A:$C,2,FALSE),"" "",VLOOKUP(C440,'Storage Locations'!$A:$C,3,FALSE),"" || "",$E440, IF(G440 = ""Yes"",CONCATENATE("" "", REGEXREPLACE(RIGHT(A440,2), ""^0+"","""")),""""), IF(ISBLANK(F440),"""",CONCATENATE("": "&amp;""", F440)))"),"Material Store Shelving Unit || Shelf 20")</f>
        <v>Material Store Shelving Unit || Shelf 20</v>
      </c>
      <c r="C440" s="114" t="s">
        <v>934</v>
      </c>
      <c r="D440" s="87">
        <v>20.0</v>
      </c>
      <c r="E440" s="83" t="s">
        <v>783</v>
      </c>
      <c r="F440" s="120"/>
      <c r="G440" s="85" t="s">
        <v>785</v>
      </c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13" t="str">
        <f t="shared" si="1"/>
        <v>/410/408-21</v>
      </c>
      <c r="B441" s="80" t="str">
        <f>IFERROR(__xludf.DUMMYFUNCTION("CONCATENATE(VLOOKUP(C441,'Storage Locations'!$A:$C,2,FALSE),"" "",VLOOKUP(C441,'Storage Locations'!$A:$C,3,FALSE),"" || "",$E441, IF(G441 = ""Yes"",CONCATENATE("" "", REGEXREPLACE(RIGHT(A441,2), ""^0+"","""")),""""), IF(ISBLANK(F441),"""",CONCATENATE("": "&amp;""", F441)))"),"Material Store Shelving Unit || Shelf 21")</f>
        <v>Material Store Shelving Unit || Shelf 21</v>
      </c>
      <c r="C441" s="114" t="s">
        <v>934</v>
      </c>
      <c r="D441" s="88">
        <v>21.0</v>
      </c>
      <c r="E441" s="83" t="s">
        <v>783</v>
      </c>
      <c r="F441" s="120"/>
      <c r="G441" s="85" t="s">
        <v>785</v>
      </c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13" t="str">
        <f t="shared" si="1"/>
        <v>/410/408-22</v>
      </c>
      <c r="B442" s="80" t="str">
        <f>IFERROR(__xludf.DUMMYFUNCTION("CONCATENATE(VLOOKUP(C442,'Storage Locations'!$A:$C,2,FALSE),"" "",VLOOKUP(C442,'Storage Locations'!$A:$C,3,FALSE),"" || "",$E442, IF(G442 = ""Yes"",CONCATENATE("" "", REGEXREPLACE(RIGHT(A442,2), ""^0+"","""")),""""), IF(ISBLANK(F442),"""",CONCATENATE("": "&amp;""", F442)))"),"Material Store Shelving Unit || Shelf 22")</f>
        <v>Material Store Shelving Unit || Shelf 22</v>
      </c>
      <c r="C442" s="114" t="s">
        <v>934</v>
      </c>
      <c r="D442" s="89">
        <v>22.0</v>
      </c>
      <c r="E442" s="83" t="s">
        <v>783</v>
      </c>
      <c r="F442" s="120"/>
      <c r="G442" s="85" t="s">
        <v>785</v>
      </c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13" t="str">
        <f t="shared" si="1"/>
        <v>/410/408-23</v>
      </c>
      <c r="B443" s="80" t="str">
        <f>IFERROR(__xludf.DUMMYFUNCTION("CONCATENATE(VLOOKUP(C443,'Storage Locations'!$A:$C,2,FALSE),"" "",VLOOKUP(C443,'Storage Locations'!$A:$C,3,FALSE),"" || "",$E443, IF(G443 = ""Yes"",CONCATENATE("" "", REGEXREPLACE(RIGHT(A443,2), ""^0+"","""")),""""), IF(ISBLANK(F443),"""",CONCATENATE("": "&amp;""", F443)))"),"Material Store Shelving Unit || Shelf 23")</f>
        <v>Material Store Shelving Unit || Shelf 23</v>
      </c>
      <c r="C443" s="114" t="s">
        <v>934</v>
      </c>
      <c r="D443" s="90">
        <v>23.0</v>
      </c>
      <c r="E443" s="83" t="s">
        <v>783</v>
      </c>
      <c r="F443" s="120"/>
      <c r="G443" s="85" t="s">
        <v>785</v>
      </c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13" t="str">
        <f t="shared" si="1"/>
        <v>/410/408-24</v>
      </c>
      <c r="B444" s="80" t="str">
        <f>IFERROR(__xludf.DUMMYFUNCTION("CONCATENATE(VLOOKUP(C444,'Storage Locations'!$A:$C,2,FALSE),"" "",VLOOKUP(C444,'Storage Locations'!$A:$C,3,FALSE),"" || "",$E444, IF(G444 = ""Yes"",CONCATENATE("" "", REGEXREPLACE(RIGHT(A444,2), ""^0+"","""")),""""), IF(ISBLANK(F444),"""",CONCATENATE("": "&amp;""", F444)))"),"Material Store Shelving Unit || Shelf 24")</f>
        <v>Material Store Shelving Unit || Shelf 24</v>
      </c>
      <c r="C444" s="114" t="s">
        <v>934</v>
      </c>
      <c r="D444" s="106">
        <v>24.0</v>
      </c>
      <c r="E444" s="83" t="s">
        <v>783</v>
      </c>
      <c r="F444" s="120"/>
      <c r="G444" s="85" t="s">
        <v>785</v>
      </c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13" t="str">
        <f t="shared" si="1"/>
        <v>/410/408-25</v>
      </c>
      <c r="B445" s="80" t="str">
        <f>IFERROR(__xludf.DUMMYFUNCTION("CONCATENATE(VLOOKUP(C445,'Storage Locations'!$A:$C,2,FALSE),"" "",VLOOKUP(C445,'Storage Locations'!$A:$C,3,FALSE),"" || "",$E445, IF(G445 = ""Yes"",CONCATENATE("" "", REGEXREPLACE(RIGHT(A445,2), ""^0+"","""")),""""), IF(ISBLANK(F445),"""",CONCATENATE("": "&amp;""", F445)))"),"Material Store Shelving Unit || Shelf 25")</f>
        <v>Material Store Shelving Unit || Shelf 25</v>
      </c>
      <c r="C445" s="114" t="s">
        <v>934</v>
      </c>
      <c r="D445" s="107">
        <v>25.0</v>
      </c>
      <c r="E445" s="83" t="s">
        <v>783</v>
      </c>
      <c r="F445" s="120"/>
      <c r="G445" s="85" t="s">
        <v>785</v>
      </c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79" t="str">
        <f t="shared" si="1"/>
        <v>/412/001-01</v>
      </c>
      <c r="B446" s="80" t="str">
        <f>IFERROR(__xludf.DUMMYFUNCTION("CONCATENATE(VLOOKUP(C446,'Storage Locations'!$A:$C,2,FALSE),"" "",VLOOKUP(C446,'Storage Locations'!$A:$C,3,FALSE),"" || "",$E446, IF(G446 = ""Yes"",CONCATENATE("" "", REGEXREPLACE(RIGHT(A446,2), ""^0+"","""")),""""), IF(ISBLANK(F446),"""",CONCATENATE("": "&amp;""", F446)))"),"Research Long-Term Shelving Unit || Shelf 1")</f>
        <v>Research Long-Term Shelving Unit || Shelf 1</v>
      </c>
      <c r="C446" s="81" t="s">
        <v>935</v>
      </c>
      <c r="D446" s="82">
        <v>1.0</v>
      </c>
      <c r="E446" s="83" t="s">
        <v>783</v>
      </c>
      <c r="F446" s="131"/>
      <c r="G446" s="85" t="s">
        <v>785</v>
      </c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79" t="str">
        <f t="shared" si="1"/>
        <v>/412/001-02</v>
      </c>
      <c r="B447" s="80" t="str">
        <f>IFERROR(__xludf.DUMMYFUNCTION("CONCATENATE(VLOOKUP(C447,'Storage Locations'!$A:$C,2,FALSE),"" "",VLOOKUP(C447,'Storage Locations'!$A:$C,3,FALSE),"" || "",$E447, IF(G447 = ""Yes"",CONCATENATE("" "", REGEXREPLACE(RIGHT(A447,2), ""^0+"","""")),""""), IF(ISBLANK(F447),"""",CONCATENATE("": "&amp;""", F447)))"),"Research Long-Term Shelving Unit || Shelf 2")</f>
        <v>Research Long-Term Shelving Unit || Shelf 2</v>
      </c>
      <c r="C447" s="81" t="s">
        <v>935</v>
      </c>
      <c r="D447" s="86">
        <v>2.0</v>
      </c>
      <c r="E447" s="83" t="s">
        <v>783</v>
      </c>
      <c r="F447" s="131"/>
      <c r="G447" s="85" t="s">
        <v>785</v>
      </c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79" t="str">
        <f t="shared" si="1"/>
        <v>/412/001-03</v>
      </c>
      <c r="B448" s="80" t="str">
        <f>IFERROR(__xludf.DUMMYFUNCTION("CONCATENATE(VLOOKUP(C448,'Storage Locations'!$A:$C,2,FALSE),"" "",VLOOKUP(C448,'Storage Locations'!$A:$C,3,FALSE),"" || "",$E448, IF(G448 = ""Yes"",CONCATENATE("" "", REGEXREPLACE(RIGHT(A448,2), ""^0+"","""")),""""), IF(ISBLANK(F448),"""",CONCATENATE("": "&amp;""", F448)))"),"Research Long-Term Shelving Unit || Shelf 3")</f>
        <v>Research Long-Term Shelving Unit || Shelf 3</v>
      </c>
      <c r="C448" s="81" t="s">
        <v>935</v>
      </c>
      <c r="D448" s="87">
        <v>3.0</v>
      </c>
      <c r="E448" s="83" t="s">
        <v>783</v>
      </c>
      <c r="F448" s="120"/>
      <c r="G448" s="85" t="s">
        <v>785</v>
      </c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79" t="str">
        <f t="shared" si="1"/>
        <v>/412/001-04</v>
      </c>
      <c r="B449" s="80" t="str">
        <f>IFERROR(__xludf.DUMMYFUNCTION("CONCATENATE(VLOOKUP(C449,'Storage Locations'!$A:$C,2,FALSE),"" "",VLOOKUP(C449,'Storage Locations'!$A:$C,3,FALSE),"" || "",$E449, IF(G449 = ""Yes"",CONCATENATE("" "", REGEXREPLACE(RIGHT(A449,2), ""^0+"","""")),""""), IF(ISBLANK(F449),"""",CONCATENATE("": "&amp;""", F449)))"),"Research Long-Term Shelving Unit || Shelf 4")</f>
        <v>Research Long-Term Shelving Unit || Shelf 4</v>
      </c>
      <c r="C449" s="81" t="s">
        <v>935</v>
      </c>
      <c r="D449" s="88">
        <v>4.0</v>
      </c>
      <c r="E449" s="83" t="s">
        <v>783</v>
      </c>
      <c r="F449" s="120"/>
      <c r="G449" s="85" t="s">
        <v>785</v>
      </c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79" t="str">
        <f t="shared" si="1"/>
        <v>/412/001-05</v>
      </c>
      <c r="B450" s="80" t="str">
        <f>IFERROR(__xludf.DUMMYFUNCTION("CONCATENATE(VLOOKUP(C450,'Storage Locations'!$A:$C,2,FALSE),"" "",VLOOKUP(C450,'Storage Locations'!$A:$C,3,FALSE),"" || "",$E450, IF(G450 = ""Yes"",CONCATENATE("" "", REGEXREPLACE(RIGHT(A450,2), ""^0+"","""")),""""), IF(ISBLANK(F450),"""",CONCATENATE("": "&amp;""", F450)))"),"Research Long-Term Shelving Unit || Shelf 5")</f>
        <v>Research Long-Term Shelving Unit || Shelf 5</v>
      </c>
      <c r="C450" s="81" t="s">
        <v>935</v>
      </c>
      <c r="D450" s="89">
        <v>5.0</v>
      </c>
      <c r="E450" s="83" t="s">
        <v>783</v>
      </c>
      <c r="F450" s="120"/>
      <c r="G450" s="85" t="s">
        <v>785</v>
      </c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79" t="str">
        <f t="shared" si="1"/>
        <v>/412/001-06</v>
      </c>
      <c r="B451" s="80" t="str">
        <f>IFERROR(__xludf.DUMMYFUNCTION("CONCATENATE(VLOOKUP(C451,'Storage Locations'!$A:$C,2,FALSE),"" "",VLOOKUP(C451,'Storage Locations'!$A:$C,3,FALSE),"" || "",$E451, IF(G451 = ""Yes"",CONCATENATE("" "", REGEXREPLACE(RIGHT(A451,2), ""^0+"","""")),""""), IF(ISBLANK(F451),"""",CONCATENATE("": "&amp;""", F451)))"),"Research Long-Term Shelving Unit || Shelf 6")</f>
        <v>Research Long-Term Shelving Unit || Shelf 6</v>
      </c>
      <c r="C451" s="81" t="s">
        <v>935</v>
      </c>
      <c r="D451" s="90">
        <v>6.0</v>
      </c>
      <c r="E451" s="83" t="s">
        <v>783</v>
      </c>
      <c r="F451" s="120"/>
      <c r="G451" s="85" t="s">
        <v>785</v>
      </c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79" t="str">
        <f t="shared" si="1"/>
        <v>/412/001-07</v>
      </c>
      <c r="B452" s="80" t="str">
        <f>IFERROR(__xludf.DUMMYFUNCTION("CONCATENATE(VLOOKUP(C452,'Storage Locations'!$A:$C,2,FALSE),"" "",VLOOKUP(C452,'Storage Locations'!$A:$C,3,FALSE),"" || "",$E452, IF(G452 = ""Yes"",CONCATENATE("" "", REGEXREPLACE(RIGHT(A452,2), ""^0+"","""")),""""), IF(ISBLANK(F452),"""",CONCATENATE("": "&amp;""", F452)))"),"Research Long-Term Shelving Unit || Top")</f>
        <v>Research Long-Term Shelving Unit || Top</v>
      </c>
      <c r="C452" s="81" t="s">
        <v>935</v>
      </c>
      <c r="D452" s="106">
        <v>7.0</v>
      </c>
      <c r="E452" s="83" t="s">
        <v>790</v>
      </c>
      <c r="F452" s="84"/>
      <c r="G452" s="85" t="s">
        <v>792</v>
      </c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91" t="str">
        <f t="shared" si="1"/>
        <v>/412/002-01</v>
      </c>
      <c r="B453" s="80" t="str">
        <f>IFERROR(__xludf.DUMMYFUNCTION("CONCATENATE(VLOOKUP(C453,'Storage Locations'!$A:$C,2,FALSE),"" "",VLOOKUP(C453,'Storage Locations'!$A:$C,3,FALSE),"" || "",$E453, IF(G453 = ""Yes"",CONCATENATE("" "", REGEXREPLACE(RIGHT(A453,2), ""^0+"","""")),""""), IF(ISBLANK(F453),"""",CONCATENATE("": "&amp;""", F453)))"),"Research Equipment Shelving Unit || Shelf 1")</f>
        <v>Research Equipment Shelving Unit || Shelf 1</v>
      </c>
      <c r="C453" s="92" t="s">
        <v>936</v>
      </c>
      <c r="D453" s="82">
        <v>1.0</v>
      </c>
      <c r="E453" s="83" t="s">
        <v>783</v>
      </c>
      <c r="F453" s="131"/>
      <c r="G453" s="85" t="s">
        <v>785</v>
      </c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91" t="str">
        <f t="shared" si="1"/>
        <v>/412/002-02</v>
      </c>
      <c r="B454" s="80" t="str">
        <f>IFERROR(__xludf.DUMMYFUNCTION("CONCATENATE(VLOOKUP(C454,'Storage Locations'!$A:$C,2,FALSE),"" "",VLOOKUP(C454,'Storage Locations'!$A:$C,3,FALSE),"" || "",$E454, IF(G454 = ""Yes"",CONCATENATE("" "", REGEXREPLACE(RIGHT(A454,2), ""^0+"","""")),""""), IF(ISBLANK(F454),"""",CONCATENATE("": "&amp;""", F454)))"),"Research Equipment Shelving Unit || Shelf 2")</f>
        <v>Research Equipment Shelving Unit || Shelf 2</v>
      </c>
      <c r="C454" s="92" t="s">
        <v>936</v>
      </c>
      <c r="D454" s="86">
        <v>2.0</v>
      </c>
      <c r="E454" s="83" t="s">
        <v>783</v>
      </c>
      <c r="F454" s="131"/>
      <c r="G454" s="85" t="s">
        <v>785</v>
      </c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91" t="str">
        <f t="shared" si="1"/>
        <v>/412/002-03</v>
      </c>
      <c r="B455" s="80" t="str">
        <f>IFERROR(__xludf.DUMMYFUNCTION("CONCATENATE(VLOOKUP(C455,'Storage Locations'!$A:$C,2,FALSE),"" "",VLOOKUP(C455,'Storage Locations'!$A:$C,3,FALSE),"" || "",$E455, IF(G455 = ""Yes"",CONCATENATE("" "", REGEXREPLACE(RIGHT(A455,2), ""^0+"","""")),""""), IF(ISBLANK(F455),"""",CONCATENATE("": "&amp;""", F455)))"),"Research Equipment Shelving Unit || Shelf 3")</f>
        <v>Research Equipment Shelving Unit || Shelf 3</v>
      </c>
      <c r="C455" s="92" t="s">
        <v>936</v>
      </c>
      <c r="D455" s="87">
        <v>3.0</v>
      </c>
      <c r="E455" s="83" t="s">
        <v>783</v>
      </c>
      <c r="F455" s="120"/>
      <c r="G455" s="85" t="s">
        <v>785</v>
      </c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91" t="str">
        <f t="shared" si="1"/>
        <v>/412/002-04</v>
      </c>
      <c r="B456" s="80" t="str">
        <f>IFERROR(__xludf.DUMMYFUNCTION("CONCATENATE(VLOOKUP(C456,'Storage Locations'!$A:$C,2,FALSE),"" "",VLOOKUP(C456,'Storage Locations'!$A:$C,3,FALSE),"" || "",$E456, IF(G456 = ""Yes"",CONCATENATE("" "", REGEXREPLACE(RIGHT(A456,2), ""^0+"","""")),""""), IF(ISBLANK(F456),"""",CONCATENATE("": "&amp;""", F456)))"),"Research Equipment Shelving Unit || Shelf 4")</f>
        <v>Research Equipment Shelving Unit || Shelf 4</v>
      </c>
      <c r="C456" s="92" t="s">
        <v>936</v>
      </c>
      <c r="D456" s="88">
        <v>4.0</v>
      </c>
      <c r="E456" s="83" t="s">
        <v>783</v>
      </c>
      <c r="F456" s="120"/>
      <c r="G456" s="85" t="s">
        <v>785</v>
      </c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91" t="str">
        <f t="shared" si="1"/>
        <v>/412/002-05</v>
      </c>
      <c r="B457" s="80" t="str">
        <f>IFERROR(__xludf.DUMMYFUNCTION("CONCATENATE(VLOOKUP(C457,'Storage Locations'!$A:$C,2,FALSE),"" "",VLOOKUP(C457,'Storage Locations'!$A:$C,3,FALSE),"" || "",$E457, IF(G457 = ""Yes"",CONCATENATE("" "", REGEXREPLACE(RIGHT(A457,2), ""^0+"","""")),""""), IF(ISBLANK(F457),"""",CONCATENATE("": "&amp;""", F457)))"),"Research Equipment Shelving Unit || Shelf 5")</f>
        <v>Research Equipment Shelving Unit || Shelf 5</v>
      </c>
      <c r="C457" s="92" t="s">
        <v>936</v>
      </c>
      <c r="D457" s="89">
        <v>5.0</v>
      </c>
      <c r="E457" s="83" t="s">
        <v>783</v>
      </c>
      <c r="F457" s="120"/>
      <c r="G457" s="85" t="s">
        <v>785</v>
      </c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91" t="str">
        <f t="shared" si="1"/>
        <v>/412/002-06</v>
      </c>
      <c r="B458" s="80" t="str">
        <f>IFERROR(__xludf.DUMMYFUNCTION("CONCATENATE(VLOOKUP(C458,'Storage Locations'!$A:$C,2,FALSE),"" "",VLOOKUP(C458,'Storage Locations'!$A:$C,3,FALSE),"" || "",$E458, IF(G458 = ""Yes"",CONCATENATE("" "", REGEXREPLACE(RIGHT(A458,2), ""^0+"","""")),""""), IF(ISBLANK(F458),"""",CONCATENATE("": "&amp;""", F458)))"),"Research Equipment Shelving Unit || Top")</f>
        <v>Research Equipment Shelving Unit || Top</v>
      </c>
      <c r="C458" s="92" t="s">
        <v>936</v>
      </c>
      <c r="D458" s="90">
        <v>6.0</v>
      </c>
      <c r="E458" s="83" t="s">
        <v>790</v>
      </c>
      <c r="F458" s="84"/>
      <c r="G458" s="85" t="s">
        <v>792</v>
      </c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93" t="str">
        <f t="shared" si="1"/>
        <v>/412/003-01</v>
      </c>
      <c r="B459" s="80" t="str">
        <f>IFERROR(__xludf.DUMMYFUNCTION("CONCATENATE(VLOOKUP(C459,'Storage Locations'!$A:$C,2,FALSE),"" "",VLOOKUP(C459,'Storage Locations'!$A:$C,3,FALSE),"" || "",$E459, IF(G459 = ""Yes"",CONCATENATE("" "", REGEXREPLACE(RIGHT(A459,2), ""^0+"","""")),""""), IF(ISBLANK(F459),"""",CONCATENATE("": "&amp;""", F459)))"),"Research Current Shelving Unit || Shelf 1")</f>
        <v>Research Current Shelving Unit || Shelf 1</v>
      </c>
      <c r="C459" s="94" t="s">
        <v>937</v>
      </c>
      <c r="D459" s="82">
        <v>1.0</v>
      </c>
      <c r="E459" s="83" t="s">
        <v>783</v>
      </c>
      <c r="F459" s="131"/>
      <c r="G459" s="85" t="s">
        <v>785</v>
      </c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93" t="str">
        <f t="shared" si="1"/>
        <v>/412/003-02</v>
      </c>
      <c r="B460" s="80" t="str">
        <f>IFERROR(__xludf.DUMMYFUNCTION("CONCATENATE(VLOOKUP(C460,'Storage Locations'!$A:$C,2,FALSE),"" "",VLOOKUP(C460,'Storage Locations'!$A:$C,3,FALSE),"" || "",$E460, IF(G460 = ""Yes"",CONCATENATE("" "", REGEXREPLACE(RIGHT(A460,2), ""^0+"","""")),""""), IF(ISBLANK(F460),"""",CONCATENATE("": "&amp;""", F460)))"),"Research Current Shelving Unit || Shelf 2")</f>
        <v>Research Current Shelving Unit || Shelf 2</v>
      </c>
      <c r="C460" s="94" t="s">
        <v>937</v>
      </c>
      <c r="D460" s="86">
        <v>2.0</v>
      </c>
      <c r="E460" s="83" t="s">
        <v>783</v>
      </c>
      <c r="F460" s="131"/>
      <c r="G460" s="85" t="s">
        <v>785</v>
      </c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93" t="str">
        <f t="shared" si="1"/>
        <v>/412/003-03</v>
      </c>
      <c r="B461" s="80" t="str">
        <f>IFERROR(__xludf.DUMMYFUNCTION("CONCATENATE(VLOOKUP(C461,'Storage Locations'!$A:$C,2,FALSE),"" "",VLOOKUP(C461,'Storage Locations'!$A:$C,3,FALSE),"" || "",$E461, IF(G461 = ""Yes"",CONCATENATE("" "", REGEXREPLACE(RIGHT(A461,2), ""^0+"","""")),""""), IF(ISBLANK(F461),"""",CONCATENATE("": "&amp;""", F461)))"),"Research Current Shelving Unit || Shelf 3")</f>
        <v>Research Current Shelving Unit || Shelf 3</v>
      </c>
      <c r="C461" s="94" t="s">
        <v>937</v>
      </c>
      <c r="D461" s="87">
        <v>3.0</v>
      </c>
      <c r="E461" s="83" t="s">
        <v>783</v>
      </c>
      <c r="F461" s="120"/>
      <c r="G461" s="85" t="s">
        <v>785</v>
      </c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93" t="str">
        <f t="shared" si="1"/>
        <v>/412/003-04</v>
      </c>
      <c r="B462" s="80" t="str">
        <f>IFERROR(__xludf.DUMMYFUNCTION("CONCATENATE(VLOOKUP(C462,'Storage Locations'!$A:$C,2,FALSE),"" "",VLOOKUP(C462,'Storage Locations'!$A:$C,3,FALSE),"" || "",$E462, IF(G462 = ""Yes"",CONCATENATE("" "", REGEXREPLACE(RIGHT(A462,2), ""^0+"","""")),""""), IF(ISBLANK(F462),"""",CONCATENATE("": "&amp;""", F462)))"),"Research Current Shelving Unit || Shelf 4")</f>
        <v>Research Current Shelving Unit || Shelf 4</v>
      </c>
      <c r="C462" s="94" t="s">
        <v>937</v>
      </c>
      <c r="D462" s="88">
        <v>4.0</v>
      </c>
      <c r="E462" s="83" t="s">
        <v>783</v>
      </c>
      <c r="F462" s="120"/>
      <c r="G462" s="85" t="s">
        <v>785</v>
      </c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93" t="str">
        <f t="shared" si="1"/>
        <v>/412/003-05</v>
      </c>
      <c r="B463" s="80" t="str">
        <f>IFERROR(__xludf.DUMMYFUNCTION("CONCATENATE(VLOOKUP(C463,'Storage Locations'!$A:$C,2,FALSE),"" "",VLOOKUP(C463,'Storage Locations'!$A:$C,3,FALSE),"" || "",$E463, IF(G463 = ""Yes"",CONCATENATE("" "", REGEXREPLACE(RIGHT(A463,2), ""^0+"","""")),""""), IF(ISBLANK(F463),"""",CONCATENATE("": "&amp;""", F463)))"),"Research Current Shelving Unit || Shelf 5")</f>
        <v>Research Current Shelving Unit || Shelf 5</v>
      </c>
      <c r="C463" s="94" t="s">
        <v>937</v>
      </c>
      <c r="D463" s="89">
        <v>5.0</v>
      </c>
      <c r="E463" s="83" t="s">
        <v>783</v>
      </c>
      <c r="F463" s="120"/>
      <c r="G463" s="85" t="s">
        <v>785</v>
      </c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93" t="str">
        <f t="shared" si="1"/>
        <v>/412/003-06</v>
      </c>
      <c r="B464" s="80" t="str">
        <f>IFERROR(__xludf.DUMMYFUNCTION("CONCATENATE(VLOOKUP(C464,'Storage Locations'!$A:$C,2,FALSE),"" "",VLOOKUP(C464,'Storage Locations'!$A:$C,3,FALSE),"" || "",$E464, IF(G464 = ""Yes"",CONCATENATE("" "", REGEXREPLACE(RIGHT(A464,2), ""^0+"","""")),""""), IF(ISBLANK(F464),"""",CONCATENATE("": "&amp;""", F464)))"),"Research Current Shelving Unit || Shelf 6")</f>
        <v>Research Current Shelving Unit || Shelf 6</v>
      </c>
      <c r="C464" s="94" t="s">
        <v>937</v>
      </c>
      <c r="D464" s="90">
        <v>6.0</v>
      </c>
      <c r="E464" s="83" t="s">
        <v>783</v>
      </c>
      <c r="F464" s="120"/>
      <c r="G464" s="85" t="s">
        <v>785</v>
      </c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93" t="str">
        <f t="shared" si="1"/>
        <v>/412/003-07</v>
      </c>
      <c r="B465" s="80" t="str">
        <f>IFERROR(__xludf.DUMMYFUNCTION("CONCATENATE(VLOOKUP(C465,'Storage Locations'!$A:$C,2,FALSE),"" "",VLOOKUP(C465,'Storage Locations'!$A:$C,3,FALSE),"" || "",$E465, IF(G465 = ""Yes"",CONCATENATE("" "", REGEXREPLACE(RIGHT(A465,2), ""^0+"","""")),""""), IF(ISBLANK(F465),"""",CONCATENATE("": "&amp;""", F465)))"),"Research Current Shelving Unit || Top")</f>
        <v>Research Current Shelving Unit || Top</v>
      </c>
      <c r="C465" s="94" t="s">
        <v>937</v>
      </c>
      <c r="D465" s="106">
        <v>7.0</v>
      </c>
      <c r="E465" s="83" t="s">
        <v>790</v>
      </c>
      <c r="F465" s="84"/>
      <c r="G465" s="85" t="s">
        <v>792</v>
      </c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95" t="str">
        <f t="shared" si="1"/>
        <v>/412/004-01</v>
      </c>
      <c r="B466" s="80" t="str">
        <f>IFERROR(__xludf.DUMMYFUNCTION("CONCATENATE(VLOOKUP(C466,'Storage Locations'!$A:$C,2,FALSE),"" "",VLOOKUP(C466,'Storage Locations'!$A:$C,3,FALSE),"" || "",$E466, IF(G466 = ""Yes"",CONCATENATE("" "", REGEXREPLACE(RIGHT(A466,2), ""^0+"","""")),""""), IF(ISBLANK(F466),"""",CONCATENATE("": "&amp;""", F466)))"),"Research Misc. Shelving Unit || Shelf 1")</f>
        <v>Research Misc. Shelving Unit || Shelf 1</v>
      </c>
      <c r="C466" s="96" t="s">
        <v>938</v>
      </c>
      <c r="D466" s="82">
        <v>1.0</v>
      </c>
      <c r="E466" s="83" t="s">
        <v>783</v>
      </c>
      <c r="F466" s="131"/>
      <c r="G466" s="85" t="s">
        <v>785</v>
      </c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95" t="str">
        <f t="shared" si="1"/>
        <v>/412/004-02</v>
      </c>
      <c r="B467" s="80" t="str">
        <f>IFERROR(__xludf.DUMMYFUNCTION("CONCATENATE(VLOOKUP(C467,'Storage Locations'!$A:$C,2,FALSE),"" "",VLOOKUP(C467,'Storage Locations'!$A:$C,3,FALSE),"" || "",$E467, IF(G467 = ""Yes"",CONCATENATE("" "", REGEXREPLACE(RIGHT(A467,2), ""^0+"","""")),""""), IF(ISBLANK(F467),"""",CONCATENATE("": "&amp;""", F467)))"),"Research Misc. Shelving Unit || Shelf 2")</f>
        <v>Research Misc. Shelving Unit || Shelf 2</v>
      </c>
      <c r="C467" s="96" t="s">
        <v>938</v>
      </c>
      <c r="D467" s="86">
        <v>2.0</v>
      </c>
      <c r="E467" s="83" t="s">
        <v>783</v>
      </c>
      <c r="F467" s="131"/>
      <c r="G467" s="85" t="s">
        <v>785</v>
      </c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95" t="str">
        <f t="shared" si="1"/>
        <v>/412/004-03</v>
      </c>
      <c r="B468" s="80" t="str">
        <f>IFERROR(__xludf.DUMMYFUNCTION("CONCATENATE(VLOOKUP(C468,'Storage Locations'!$A:$C,2,FALSE),"" "",VLOOKUP(C468,'Storage Locations'!$A:$C,3,FALSE),"" || "",$E468, IF(G468 = ""Yes"",CONCATENATE("" "", REGEXREPLACE(RIGHT(A468,2), ""^0+"","""")),""""), IF(ISBLANK(F468),"""",CONCATENATE("": "&amp;""", F468)))"),"Research Misc. Shelving Unit || Shelf 3")</f>
        <v>Research Misc. Shelving Unit || Shelf 3</v>
      </c>
      <c r="C468" s="96" t="s">
        <v>938</v>
      </c>
      <c r="D468" s="87">
        <v>3.0</v>
      </c>
      <c r="E468" s="83" t="s">
        <v>783</v>
      </c>
      <c r="F468" s="120"/>
      <c r="G468" s="85" t="s">
        <v>785</v>
      </c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95" t="str">
        <f t="shared" si="1"/>
        <v>/412/004-04</v>
      </c>
      <c r="B469" s="80" t="str">
        <f>IFERROR(__xludf.DUMMYFUNCTION("CONCATENATE(VLOOKUP(C469,'Storage Locations'!$A:$C,2,FALSE),"" "",VLOOKUP(C469,'Storage Locations'!$A:$C,3,FALSE),"" || "",$E469, IF(G469 = ""Yes"",CONCATENATE("" "", REGEXREPLACE(RIGHT(A469,2), ""^0+"","""")),""""), IF(ISBLANK(F469),"""",CONCATENATE("": "&amp;""", F469)))"),"Research Misc. Shelving Unit || Shelf 4")</f>
        <v>Research Misc. Shelving Unit || Shelf 4</v>
      </c>
      <c r="C469" s="96" t="s">
        <v>938</v>
      </c>
      <c r="D469" s="88">
        <v>4.0</v>
      </c>
      <c r="E469" s="83" t="s">
        <v>783</v>
      </c>
      <c r="F469" s="120"/>
      <c r="G469" s="85" t="s">
        <v>785</v>
      </c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95" t="str">
        <f t="shared" si="1"/>
        <v>/412/004-05</v>
      </c>
      <c r="B470" s="80" t="str">
        <f>IFERROR(__xludf.DUMMYFUNCTION("CONCATENATE(VLOOKUP(C470,'Storage Locations'!$A:$C,2,FALSE),"" "",VLOOKUP(C470,'Storage Locations'!$A:$C,3,FALSE),"" || "",$E470, IF(G470 = ""Yes"",CONCATENATE("" "", REGEXREPLACE(RIGHT(A470,2), ""^0+"","""")),""""), IF(ISBLANK(F470),"""",CONCATENATE("": "&amp;""", F470)))"),"Research Misc. Shelving Unit || Shelf 5")</f>
        <v>Research Misc. Shelving Unit || Shelf 5</v>
      </c>
      <c r="C470" s="96" t="s">
        <v>938</v>
      </c>
      <c r="D470" s="89">
        <v>5.0</v>
      </c>
      <c r="E470" s="83" t="s">
        <v>783</v>
      </c>
      <c r="F470" s="120"/>
      <c r="G470" s="85" t="s">
        <v>785</v>
      </c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95" t="str">
        <f t="shared" si="1"/>
        <v>/412/004-06</v>
      </c>
      <c r="B471" s="80" t="str">
        <f>IFERROR(__xludf.DUMMYFUNCTION("CONCATENATE(VLOOKUP(C471,'Storage Locations'!$A:$C,2,FALSE),"" "",VLOOKUP(C471,'Storage Locations'!$A:$C,3,FALSE),"" || "",$E471, IF(G471 = ""Yes"",CONCATENATE("" "", REGEXREPLACE(RIGHT(A471,2), ""^0+"","""")),""""), IF(ISBLANK(F471),"""",CONCATENATE("": "&amp;""", F471)))"),"Research Misc. Shelving Unit || Shelf 6")</f>
        <v>Research Misc. Shelving Unit || Shelf 6</v>
      </c>
      <c r="C471" s="96" t="s">
        <v>938</v>
      </c>
      <c r="D471" s="90">
        <v>6.0</v>
      </c>
      <c r="E471" s="83" t="s">
        <v>783</v>
      </c>
      <c r="F471" s="84"/>
      <c r="G471" s="85" t="s">
        <v>785</v>
      </c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95" t="str">
        <f t="shared" si="1"/>
        <v>/412/004-07</v>
      </c>
      <c r="B472" s="80" t="str">
        <f>IFERROR(__xludf.DUMMYFUNCTION("CONCATENATE(VLOOKUP(C472,'Storage Locations'!$A:$C,2,FALSE),"" "",VLOOKUP(C472,'Storage Locations'!$A:$C,3,FALSE),"" || "",$E472, IF(G472 = ""Yes"",CONCATENATE("" "", REGEXREPLACE(RIGHT(A472,2), ""^0+"","""")),""""), IF(ISBLANK(F472),"""",CONCATENATE("": "&amp;""", F472)))"),"Research Misc. Shelving Unit || Top")</f>
        <v>Research Misc. Shelving Unit || Top</v>
      </c>
      <c r="C472" s="81" t="s">
        <v>938</v>
      </c>
      <c r="D472" s="106">
        <v>7.0</v>
      </c>
      <c r="E472" s="83" t="s">
        <v>790</v>
      </c>
      <c r="F472" s="84"/>
      <c r="G472" s="85" t="s">
        <v>792</v>
      </c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97" t="str">
        <f t="shared" si="1"/>
        <v>/412/005-01</v>
      </c>
      <c r="B473" s="80" t="str">
        <f>IFERROR(__xludf.DUMMYFUNCTION("CONCATENATE(VLOOKUP(C473,'Storage Locations'!$A:$C,2,FALSE),"" "",VLOOKUP(C473,'Storage Locations'!$A:$C,3,FALSE),"" || "",$E473, IF(G473 = ""Yes"",CONCATENATE("" "", REGEXREPLACE(RIGHT(A473,2), ""^0+"","""")),""""), IF(ISBLANK(F473),"""",CONCATENATE("": "&amp;""", F473)))"),"Power Tools Shelving Unit || Shelf 1")</f>
        <v>Power Tools Shelving Unit || Shelf 1</v>
      </c>
      <c r="C473" s="98" t="s">
        <v>939</v>
      </c>
      <c r="D473" s="82">
        <v>1.0</v>
      </c>
      <c r="E473" s="83" t="s">
        <v>783</v>
      </c>
      <c r="F473" s="131"/>
      <c r="G473" s="85" t="s">
        <v>785</v>
      </c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97" t="str">
        <f t="shared" si="1"/>
        <v>/412/005-02</v>
      </c>
      <c r="B474" s="80" t="str">
        <f>IFERROR(__xludf.DUMMYFUNCTION("CONCATENATE(VLOOKUP(C474,'Storage Locations'!$A:$C,2,FALSE),"" "",VLOOKUP(C474,'Storage Locations'!$A:$C,3,FALSE),"" || "",$E474, IF(G474 = ""Yes"",CONCATENATE("" "", REGEXREPLACE(RIGHT(A474,2), ""^0+"","""")),""""), IF(ISBLANK(F474),"""",CONCATENATE("": "&amp;""", F474)))"),"Power Tools Shelving Unit || Shelf 2")</f>
        <v>Power Tools Shelving Unit || Shelf 2</v>
      </c>
      <c r="C474" s="98" t="s">
        <v>939</v>
      </c>
      <c r="D474" s="86">
        <v>2.0</v>
      </c>
      <c r="E474" s="83" t="s">
        <v>783</v>
      </c>
      <c r="F474" s="131"/>
      <c r="G474" s="85" t="s">
        <v>785</v>
      </c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97" t="str">
        <f t="shared" si="1"/>
        <v>/412/005-03</v>
      </c>
      <c r="B475" s="80" t="str">
        <f>IFERROR(__xludf.DUMMYFUNCTION("CONCATENATE(VLOOKUP(C475,'Storage Locations'!$A:$C,2,FALSE),"" "",VLOOKUP(C475,'Storage Locations'!$A:$C,3,FALSE),"" || "",$E475, IF(G475 = ""Yes"",CONCATENATE("" "", REGEXREPLACE(RIGHT(A475,2), ""^0+"","""")),""""), IF(ISBLANK(F475),"""",CONCATENATE("": "&amp;""", F475)))"),"Power Tools Shelving Unit || Shelf 3")</f>
        <v>Power Tools Shelving Unit || Shelf 3</v>
      </c>
      <c r="C475" s="98" t="s">
        <v>939</v>
      </c>
      <c r="D475" s="87">
        <v>3.0</v>
      </c>
      <c r="E475" s="83" t="s">
        <v>783</v>
      </c>
      <c r="F475" s="120"/>
      <c r="G475" s="85" t="s">
        <v>785</v>
      </c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97" t="str">
        <f t="shared" si="1"/>
        <v>/412/005-04</v>
      </c>
      <c r="B476" s="80" t="str">
        <f>IFERROR(__xludf.DUMMYFUNCTION("CONCATENATE(VLOOKUP(C476,'Storage Locations'!$A:$C,2,FALSE),"" "",VLOOKUP(C476,'Storage Locations'!$A:$C,3,FALSE),"" || "",$E476, IF(G476 = ""Yes"",CONCATENATE("" "", REGEXREPLACE(RIGHT(A476,2), ""^0+"","""")),""""), IF(ISBLANK(F476),"""",CONCATENATE("": "&amp;""", F476)))"),"Power Tools Shelving Unit || Shelf 4")</f>
        <v>Power Tools Shelving Unit || Shelf 4</v>
      </c>
      <c r="C476" s="98" t="s">
        <v>939</v>
      </c>
      <c r="D476" s="88">
        <v>4.0</v>
      </c>
      <c r="E476" s="83" t="s">
        <v>783</v>
      </c>
      <c r="F476" s="120"/>
      <c r="G476" s="85" t="s">
        <v>785</v>
      </c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97" t="str">
        <f t="shared" si="1"/>
        <v>/412/005-05</v>
      </c>
      <c r="B477" s="80" t="str">
        <f>IFERROR(__xludf.DUMMYFUNCTION("CONCATENATE(VLOOKUP(C477,'Storage Locations'!$A:$C,2,FALSE),"" "",VLOOKUP(C477,'Storage Locations'!$A:$C,3,FALSE),"" || "",$E477, IF(G477 = ""Yes"",CONCATENATE("" "", REGEXREPLACE(RIGHT(A477,2), ""^0+"","""")),""""), IF(ISBLANK(F477),"""",CONCATENATE("": "&amp;""", F477)))"),"Power Tools Shelving Unit || Shelf 5")</f>
        <v>Power Tools Shelving Unit || Shelf 5</v>
      </c>
      <c r="C477" s="98" t="s">
        <v>939</v>
      </c>
      <c r="D477" s="89">
        <v>5.0</v>
      </c>
      <c r="E477" s="83" t="s">
        <v>783</v>
      </c>
      <c r="F477" s="120"/>
      <c r="G477" s="85" t="s">
        <v>785</v>
      </c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97" t="str">
        <f t="shared" si="1"/>
        <v>/412/005-06</v>
      </c>
      <c r="B478" s="80" t="str">
        <f>IFERROR(__xludf.DUMMYFUNCTION("CONCATENATE(VLOOKUP(C478,'Storage Locations'!$A:$C,2,FALSE),"" "",VLOOKUP(C478,'Storage Locations'!$A:$C,3,FALSE),"" || "",$E478, IF(G478 = ""Yes"",CONCATENATE("" "", REGEXREPLACE(RIGHT(A478,2), ""^0+"","""")),""""), IF(ISBLANK(F478),"""",CONCATENATE("": "&amp;""", F478)))"),"Power Tools Shelving Unit || Top")</f>
        <v>Power Tools Shelving Unit || Top</v>
      </c>
      <c r="C478" s="98" t="s">
        <v>939</v>
      </c>
      <c r="D478" s="90">
        <v>6.0</v>
      </c>
      <c r="E478" s="83" t="s">
        <v>790</v>
      </c>
      <c r="F478" s="84"/>
      <c r="G478" s="85" t="s">
        <v>792</v>
      </c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04" t="str">
        <f t="shared" si="1"/>
        <v>/412/006-01</v>
      </c>
      <c r="B479" s="80" t="str">
        <f>IFERROR(__xludf.DUMMYFUNCTION("CONCATENATE(VLOOKUP(C479,'Storage Locations'!$A:$C,2,FALSE),"" "",VLOOKUP(C479,'Storage Locations'!$A:$C,3,FALSE),"" || "",$E479, IF(G479 = ""Yes"",CONCATENATE("" "", REGEXREPLACE(RIGHT(A479,2), ""^0+"","""")),""""), IF(ISBLANK(F479),"""",CONCATENATE("": "&amp;""", F479)))"),"Cables &amp; Wires Shelving Unit || Shelf 1")</f>
        <v>Cables &amp; Wires Shelving Unit || Shelf 1</v>
      </c>
      <c r="C479" s="105" t="s">
        <v>940</v>
      </c>
      <c r="D479" s="82">
        <v>1.0</v>
      </c>
      <c r="E479" s="83" t="s">
        <v>783</v>
      </c>
      <c r="F479" s="131"/>
      <c r="G479" s="85" t="s">
        <v>785</v>
      </c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04" t="str">
        <f t="shared" si="1"/>
        <v>/412/006-02</v>
      </c>
      <c r="B480" s="80" t="str">
        <f>IFERROR(__xludf.DUMMYFUNCTION("CONCATENATE(VLOOKUP(C480,'Storage Locations'!$A:$C,2,FALSE),"" "",VLOOKUP(C480,'Storage Locations'!$A:$C,3,FALSE),"" || "",$E480, IF(G480 = ""Yes"",CONCATENATE("" "", REGEXREPLACE(RIGHT(A480,2), ""^0+"","""")),""""), IF(ISBLANK(F480),"""",CONCATENATE("": "&amp;""", F480)))"),"Cables &amp; Wires Shelving Unit || Shelf 2")</f>
        <v>Cables &amp; Wires Shelving Unit || Shelf 2</v>
      </c>
      <c r="C480" s="105" t="s">
        <v>940</v>
      </c>
      <c r="D480" s="86">
        <v>2.0</v>
      </c>
      <c r="E480" s="83" t="s">
        <v>783</v>
      </c>
      <c r="F480" s="131"/>
      <c r="G480" s="85" t="s">
        <v>785</v>
      </c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04" t="str">
        <f t="shared" si="1"/>
        <v>/412/006-03</v>
      </c>
      <c r="B481" s="80" t="str">
        <f>IFERROR(__xludf.DUMMYFUNCTION("CONCATENATE(VLOOKUP(C481,'Storage Locations'!$A:$C,2,FALSE),"" "",VLOOKUP(C481,'Storage Locations'!$A:$C,3,FALSE),"" || "",$E481, IF(G481 = ""Yes"",CONCATENATE("" "", REGEXREPLACE(RIGHT(A481,2), ""^0+"","""")),""""), IF(ISBLANK(F481),"""",CONCATENATE("": "&amp;""", F481)))"),"Cables &amp; Wires Shelving Unit || Shelf 3")</f>
        <v>Cables &amp; Wires Shelving Unit || Shelf 3</v>
      </c>
      <c r="C481" s="105" t="s">
        <v>940</v>
      </c>
      <c r="D481" s="87">
        <v>3.0</v>
      </c>
      <c r="E481" s="83" t="s">
        <v>783</v>
      </c>
      <c r="F481" s="120"/>
      <c r="G481" s="85" t="s">
        <v>785</v>
      </c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04" t="str">
        <f t="shared" si="1"/>
        <v>/412/006-04</v>
      </c>
      <c r="B482" s="80" t="str">
        <f>IFERROR(__xludf.DUMMYFUNCTION("CONCATENATE(VLOOKUP(C482,'Storage Locations'!$A:$C,2,FALSE),"" "",VLOOKUP(C482,'Storage Locations'!$A:$C,3,FALSE),"" || "",$E482, IF(G482 = ""Yes"",CONCATENATE("" "", REGEXREPLACE(RIGHT(A482,2), ""^0+"","""")),""""), IF(ISBLANK(F482),"""",CONCATENATE("": "&amp;""", F482)))"),"Cables &amp; Wires Shelving Unit || Shelf 4")</f>
        <v>Cables &amp; Wires Shelving Unit || Shelf 4</v>
      </c>
      <c r="C482" s="105" t="s">
        <v>940</v>
      </c>
      <c r="D482" s="88">
        <v>4.0</v>
      </c>
      <c r="E482" s="83" t="s">
        <v>783</v>
      </c>
      <c r="F482" s="120"/>
      <c r="G482" s="85" t="s">
        <v>785</v>
      </c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04" t="str">
        <f t="shared" si="1"/>
        <v>/412/006-05</v>
      </c>
      <c r="B483" s="80" t="str">
        <f>IFERROR(__xludf.DUMMYFUNCTION("CONCATENATE(VLOOKUP(C483,'Storage Locations'!$A:$C,2,FALSE),"" "",VLOOKUP(C483,'Storage Locations'!$A:$C,3,FALSE),"" || "",$E483, IF(G483 = ""Yes"",CONCATENATE("" "", REGEXREPLACE(RIGHT(A483,2), ""^0+"","""")),""""), IF(ISBLANK(F483),"""",CONCATENATE("": "&amp;""", F483)))"),"Cables &amp; Wires Shelving Unit || Shelf 5")</f>
        <v>Cables &amp; Wires Shelving Unit || Shelf 5</v>
      </c>
      <c r="C483" s="105" t="s">
        <v>940</v>
      </c>
      <c r="D483" s="89">
        <v>5.0</v>
      </c>
      <c r="E483" s="83" t="s">
        <v>783</v>
      </c>
      <c r="F483" s="120"/>
      <c r="G483" s="85" t="s">
        <v>785</v>
      </c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04" t="str">
        <f t="shared" si="1"/>
        <v>/412/006-06</v>
      </c>
      <c r="B484" s="80" t="str">
        <f>IFERROR(__xludf.DUMMYFUNCTION("CONCATENATE(VLOOKUP(C484,'Storage Locations'!$A:$C,2,FALSE),"" "",VLOOKUP(C484,'Storage Locations'!$A:$C,3,FALSE),"" || "",$E484, IF(G484 = ""Yes"",CONCATENATE("" "", REGEXREPLACE(RIGHT(A484,2), ""^0+"","""")),""""), IF(ISBLANK(F484),"""",CONCATENATE("": "&amp;""", F484)))"),"Cables &amp; Wires Shelving Unit || Shelf 6")</f>
        <v>Cables &amp; Wires Shelving Unit || Shelf 6</v>
      </c>
      <c r="C484" s="105" t="s">
        <v>940</v>
      </c>
      <c r="D484" s="90">
        <v>6.0</v>
      </c>
      <c r="E484" s="83" t="s">
        <v>783</v>
      </c>
      <c r="F484" s="120"/>
      <c r="G484" s="85" t="s">
        <v>785</v>
      </c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04" t="str">
        <f t="shared" si="1"/>
        <v>/412/006-07</v>
      </c>
      <c r="B485" s="80" t="str">
        <f>IFERROR(__xludf.DUMMYFUNCTION("CONCATENATE(VLOOKUP(C485,'Storage Locations'!$A:$C,2,FALSE),"" "",VLOOKUP(C485,'Storage Locations'!$A:$C,3,FALSE),"" || "",$E485, IF(G485 = ""Yes"",CONCATENATE("" "", REGEXREPLACE(RIGHT(A485,2), ""^0+"","""")),""""), IF(ISBLANK(F485),"""",CONCATENATE("": "&amp;""", F485)))"),"Cables &amp; Wires Shelving Unit || Top")</f>
        <v>Cables &amp; Wires Shelving Unit || Top</v>
      </c>
      <c r="C485" s="105" t="s">
        <v>940</v>
      </c>
      <c r="D485" s="106">
        <v>7.0</v>
      </c>
      <c r="E485" s="83" t="s">
        <v>790</v>
      </c>
      <c r="F485" s="84"/>
      <c r="G485" s="85" t="s">
        <v>792</v>
      </c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11" t="str">
        <f t="shared" si="1"/>
        <v>/412/007-01</v>
      </c>
      <c r="B486" s="80" t="str">
        <f>IFERROR(__xludf.DUMMYFUNCTION("CONCATENATE(VLOOKUP(C486,'Storage Locations'!$A:$C,2,FALSE),"" "",VLOOKUP(C486,'Storage Locations'!$A:$C,3,FALSE),"" || "",$E486, IF(G486 = ""Yes"",CONCATENATE("" "", REGEXREPLACE(RIGHT(A486,2), ""^0+"","""")),""""), IF(ISBLANK(F486),"""",CONCATENATE("": "&amp;""", F486)))"),"Test Equipment Shelving Unit || Shelf 1")</f>
        <v>Test Equipment Shelving Unit || Shelf 1</v>
      </c>
      <c r="C486" s="112" t="s">
        <v>941</v>
      </c>
      <c r="D486" s="82">
        <v>1.0</v>
      </c>
      <c r="E486" s="83" t="s">
        <v>783</v>
      </c>
      <c r="F486" s="131"/>
      <c r="G486" s="85" t="s">
        <v>785</v>
      </c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11" t="str">
        <f t="shared" si="1"/>
        <v>/412/007-02</v>
      </c>
      <c r="B487" s="80" t="str">
        <f>IFERROR(__xludf.DUMMYFUNCTION("CONCATENATE(VLOOKUP(C487,'Storage Locations'!$A:$C,2,FALSE),"" "",VLOOKUP(C487,'Storage Locations'!$A:$C,3,FALSE),"" || "",$E487, IF(G487 = ""Yes"",CONCATENATE("" "", REGEXREPLACE(RIGHT(A487,2), ""^0+"","""")),""""), IF(ISBLANK(F487),"""",CONCATENATE("": "&amp;""", F487)))"),"Test Equipment Shelving Unit || Shelf 2")</f>
        <v>Test Equipment Shelving Unit || Shelf 2</v>
      </c>
      <c r="C487" s="112" t="s">
        <v>941</v>
      </c>
      <c r="D487" s="86">
        <v>2.0</v>
      </c>
      <c r="E487" s="83" t="s">
        <v>783</v>
      </c>
      <c r="F487" s="131"/>
      <c r="G487" s="85" t="s">
        <v>785</v>
      </c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11" t="str">
        <f t="shared" si="1"/>
        <v>/412/007-03</v>
      </c>
      <c r="B488" s="80" t="str">
        <f>IFERROR(__xludf.DUMMYFUNCTION("CONCATENATE(VLOOKUP(C488,'Storage Locations'!$A:$C,2,FALSE),"" "",VLOOKUP(C488,'Storage Locations'!$A:$C,3,FALSE),"" || "",$E488, IF(G488 = ""Yes"",CONCATENATE("" "", REGEXREPLACE(RIGHT(A488,2), ""^0+"","""")),""""), IF(ISBLANK(F488),"""",CONCATENATE("": "&amp;""", F488)))"),"Test Equipment Shelving Unit || Shelf 3")</f>
        <v>Test Equipment Shelving Unit || Shelf 3</v>
      </c>
      <c r="C488" s="112" t="s">
        <v>941</v>
      </c>
      <c r="D488" s="87">
        <v>3.0</v>
      </c>
      <c r="E488" s="83" t="s">
        <v>783</v>
      </c>
      <c r="F488" s="120"/>
      <c r="G488" s="85" t="s">
        <v>785</v>
      </c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11" t="str">
        <f t="shared" si="1"/>
        <v>/412/007-04</v>
      </c>
      <c r="B489" s="80" t="str">
        <f>IFERROR(__xludf.DUMMYFUNCTION("CONCATENATE(VLOOKUP(C489,'Storage Locations'!$A:$C,2,FALSE),"" "",VLOOKUP(C489,'Storage Locations'!$A:$C,3,FALSE),"" || "",$E489, IF(G489 = ""Yes"",CONCATENATE("" "", REGEXREPLACE(RIGHT(A489,2), ""^0+"","""")),""""), IF(ISBLANK(F489),"""",CONCATENATE("": "&amp;""", F489)))"),"Test Equipment Shelving Unit || Shelf 4")</f>
        <v>Test Equipment Shelving Unit || Shelf 4</v>
      </c>
      <c r="C489" s="112" t="s">
        <v>941</v>
      </c>
      <c r="D489" s="88">
        <v>4.0</v>
      </c>
      <c r="E489" s="83" t="s">
        <v>783</v>
      </c>
      <c r="F489" s="120"/>
      <c r="G489" s="85" t="s">
        <v>785</v>
      </c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11" t="str">
        <f t="shared" si="1"/>
        <v>/412/007-05</v>
      </c>
      <c r="B490" s="80" t="str">
        <f>IFERROR(__xludf.DUMMYFUNCTION("CONCATENATE(VLOOKUP(C490,'Storage Locations'!$A:$C,2,FALSE),"" "",VLOOKUP(C490,'Storage Locations'!$A:$C,3,FALSE),"" || "",$E490, IF(G490 = ""Yes"",CONCATENATE("" "", REGEXREPLACE(RIGHT(A490,2), ""^0+"","""")),""""), IF(ISBLANK(F490),"""",CONCATENATE("": "&amp;""", F490)))"),"Test Equipment Shelving Unit || Shelf 5")</f>
        <v>Test Equipment Shelving Unit || Shelf 5</v>
      </c>
      <c r="C490" s="112" t="s">
        <v>941</v>
      </c>
      <c r="D490" s="89">
        <v>5.0</v>
      </c>
      <c r="E490" s="83" t="s">
        <v>783</v>
      </c>
      <c r="F490" s="120"/>
      <c r="G490" s="85" t="s">
        <v>785</v>
      </c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11" t="str">
        <f t="shared" si="1"/>
        <v>/412/007-06</v>
      </c>
      <c r="B491" s="80" t="str">
        <f>IFERROR(__xludf.DUMMYFUNCTION("CONCATENATE(VLOOKUP(C491,'Storage Locations'!$A:$C,2,FALSE),"" "",VLOOKUP(C491,'Storage Locations'!$A:$C,3,FALSE),"" || "",$E491, IF(G491 = ""Yes"",CONCATENATE("" "", REGEXREPLACE(RIGHT(A491,2), ""^0+"","""")),""""), IF(ISBLANK(F491),"""",CONCATENATE("": "&amp;""", F491)))"),"Test Equipment Shelving Unit || Top")</f>
        <v>Test Equipment Shelving Unit || Top</v>
      </c>
      <c r="C491" s="112" t="s">
        <v>941</v>
      </c>
      <c r="D491" s="90">
        <v>6.0</v>
      </c>
      <c r="E491" s="83" t="s">
        <v>790</v>
      </c>
      <c r="F491" s="84"/>
      <c r="G491" s="85" t="s">
        <v>792</v>
      </c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13" t="str">
        <f t="shared" si="1"/>
        <v>/412/008-01</v>
      </c>
      <c r="B492" s="80" t="str">
        <f>IFERROR(__xludf.DUMMYFUNCTION("CONCATENATE(VLOOKUP(C492,'Storage Locations'!$A:$C,2,FALSE),"" "",VLOOKUP(C492,'Storage Locations'!$A:$C,3,FALSE),"" || "",$E492, IF(G492 = ""Yes"",CONCATENATE("" "", REGEXREPLACE(RIGHT(A492,2), ""^0+"","""")),""""), IF(ISBLANK(F492),"""",CONCATENATE("": "&amp;""", F492)))"),"Teaching + Overflow Shelving Unit || Shelf 1")</f>
        <v>Teaching + Overflow Shelving Unit || Shelf 1</v>
      </c>
      <c r="C492" s="114" t="s">
        <v>942</v>
      </c>
      <c r="D492" s="82">
        <v>1.0</v>
      </c>
      <c r="E492" s="83" t="s">
        <v>783</v>
      </c>
      <c r="F492" s="131"/>
      <c r="G492" s="85" t="s">
        <v>785</v>
      </c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13" t="str">
        <f t="shared" si="1"/>
        <v>/412/008-02</v>
      </c>
      <c r="B493" s="80" t="str">
        <f>IFERROR(__xludf.DUMMYFUNCTION("CONCATENATE(VLOOKUP(C493,'Storage Locations'!$A:$C,2,FALSE),"" "",VLOOKUP(C493,'Storage Locations'!$A:$C,3,FALSE),"" || "",$E493, IF(G493 = ""Yes"",CONCATENATE("" "", REGEXREPLACE(RIGHT(A493,2), ""^0+"","""")),""""), IF(ISBLANK(F493),"""",CONCATENATE("": "&amp;""", F493)))"),"Teaching + Overflow Shelving Unit || Shelf 2")</f>
        <v>Teaching + Overflow Shelving Unit || Shelf 2</v>
      </c>
      <c r="C493" s="114" t="s">
        <v>942</v>
      </c>
      <c r="D493" s="86">
        <v>2.0</v>
      </c>
      <c r="E493" s="83" t="s">
        <v>783</v>
      </c>
      <c r="F493" s="131"/>
      <c r="G493" s="85" t="s">
        <v>785</v>
      </c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13" t="str">
        <f t="shared" si="1"/>
        <v>/412/008-03</v>
      </c>
      <c r="B494" s="80" t="str">
        <f>IFERROR(__xludf.DUMMYFUNCTION("CONCATENATE(VLOOKUP(C494,'Storage Locations'!$A:$C,2,FALSE),"" "",VLOOKUP(C494,'Storage Locations'!$A:$C,3,FALSE),"" || "",$E494, IF(G494 = ""Yes"",CONCATENATE("" "", REGEXREPLACE(RIGHT(A494,2), ""^0+"","""")),""""), IF(ISBLANK(F494),"""",CONCATENATE("": "&amp;""", F494)))"),"Teaching + Overflow Shelving Unit || Shelf 3")</f>
        <v>Teaching + Overflow Shelving Unit || Shelf 3</v>
      </c>
      <c r="C494" s="114" t="s">
        <v>942</v>
      </c>
      <c r="D494" s="87">
        <v>3.0</v>
      </c>
      <c r="E494" s="83" t="s">
        <v>783</v>
      </c>
      <c r="F494" s="120"/>
      <c r="G494" s="85" t="s">
        <v>785</v>
      </c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13" t="str">
        <f t="shared" si="1"/>
        <v>/412/008-04</v>
      </c>
      <c r="B495" s="80" t="str">
        <f>IFERROR(__xludf.DUMMYFUNCTION("CONCATENATE(VLOOKUP(C495,'Storage Locations'!$A:$C,2,FALSE),"" "",VLOOKUP(C495,'Storage Locations'!$A:$C,3,FALSE),"" || "",$E495, IF(G495 = ""Yes"",CONCATENATE("" "", REGEXREPLACE(RIGHT(A495,2), ""^0+"","""")),""""), IF(ISBLANK(F495),"""",CONCATENATE("": "&amp;""", F495)))"),"Teaching + Overflow Shelving Unit || Shelf 4")</f>
        <v>Teaching + Overflow Shelving Unit || Shelf 4</v>
      </c>
      <c r="C495" s="114" t="s">
        <v>942</v>
      </c>
      <c r="D495" s="88">
        <v>4.0</v>
      </c>
      <c r="E495" s="83" t="s">
        <v>783</v>
      </c>
      <c r="F495" s="120"/>
      <c r="G495" s="85" t="s">
        <v>785</v>
      </c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13" t="str">
        <f t="shared" si="1"/>
        <v>/412/008-05</v>
      </c>
      <c r="B496" s="80" t="str">
        <f>IFERROR(__xludf.DUMMYFUNCTION("CONCATENATE(VLOOKUP(C496,'Storage Locations'!$A:$C,2,FALSE),"" "",VLOOKUP(C496,'Storage Locations'!$A:$C,3,FALSE),"" || "",$E496, IF(G496 = ""Yes"",CONCATENATE("" "", REGEXREPLACE(RIGHT(A496,2), ""^0+"","""")),""""), IF(ISBLANK(F496),"""",CONCATENATE("": "&amp;""", F496)))"),"Teaching + Overflow Shelving Unit || Shelf 5")</f>
        <v>Teaching + Overflow Shelving Unit || Shelf 5</v>
      </c>
      <c r="C496" s="114" t="s">
        <v>942</v>
      </c>
      <c r="D496" s="89">
        <v>5.0</v>
      </c>
      <c r="E496" s="83" t="s">
        <v>783</v>
      </c>
      <c r="F496" s="120"/>
      <c r="G496" s="85" t="s">
        <v>785</v>
      </c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13" t="str">
        <f t="shared" si="1"/>
        <v>/412/008-06</v>
      </c>
      <c r="B497" s="80" t="str">
        <f>IFERROR(__xludf.DUMMYFUNCTION("CONCATENATE(VLOOKUP(C497,'Storage Locations'!$A:$C,2,FALSE),"" "",VLOOKUP(C497,'Storage Locations'!$A:$C,3,FALSE),"" || "",$E497, IF(G497 = ""Yes"",CONCATENATE("" "", REGEXREPLACE(RIGHT(A497,2), ""^0+"","""")),""""), IF(ISBLANK(F497),"""",CONCATENATE("": "&amp;""", F497)))"),"Teaching + Overflow Shelving Unit || Shelf 6")</f>
        <v>Teaching + Overflow Shelving Unit || Shelf 6</v>
      </c>
      <c r="C497" s="114" t="s">
        <v>942</v>
      </c>
      <c r="D497" s="90">
        <v>6.0</v>
      </c>
      <c r="E497" s="83" t="s">
        <v>783</v>
      </c>
      <c r="F497" s="120"/>
      <c r="G497" s="85" t="s">
        <v>785</v>
      </c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13" t="str">
        <f t="shared" si="1"/>
        <v>/412/008-07</v>
      </c>
      <c r="B498" s="80" t="str">
        <f>IFERROR(__xludf.DUMMYFUNCTION("CONCATENATE(VLOOKUP(C498,'Storage Locations'!$A:$C,2,FALSE),"" "",VLOOKUP(C498,'Storage Locations'!$A:$C,3,FALSE),"" || "",$E498, IF(G498 = ""Yes"",CONCATENATE("" "", REGEXREPLACE(RIGHT(A498,2), ""^0+"","""")),""""), IF(ISBLANK(F498),"""",CONCATENATE("": "&amp;""", F498)))"),"Teaching + Overflow Shelving Unit || Top")</f>
        <v>Teaching + Overflow Shelving Unit || Top</v>
      </c>
      <c r="C498" s="114" t="s">
        <v>942</v>
      </c>
      <c r="D498" s="106">
        <v>7.0</v>
      </c>
      <c r="E498" s="83" t="s">
        <v>790</v>
      </c>
      <c r="F498" s="84"/>
      <c r="G498" s="85" t="s">
        <v>792</v>
      </c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5" t="str">
        <f t="shared" si="1"/>
        <v>/412/009-01</v>
      </c>
      <c r="B499" s="80" t="str">
        <f>IFERROR(__xludf.DUMMYFUNCTION("CONCATENATE(VLOOKUP(C499,'Storage Locations'!$A:$C,2,FALSE),"" "",VLOOKUP(C499,'Storage Locations'!$A:$C,3,FALSE),"" || "",$E499, IF(G499 = ""Yes"",CONCATENATE("" "", REGEXREPLACE(RIGHT(A499,2), ""^0+"","""")),""""), IF(ISBLANK(F499),"""",CONCATENATE("": "&amp;""", F499)))"),"Teaching Shelving Unit || Shelf 1")</f>
        <v>Teaching Shelving Unit || Shelf 1</v>
      </c>
      <c r="C499" s="126" t="s">
        <v>943</v>
      </c>
      <c r="D499" s="82">
        <v>1.0</v>
      </c>
      <c r="E499" s="83" t="s">
        <v>783</v>
      </c>
      <c r="F499" s="131"/>
      <c r="G499" s="85" t="s">
        <v>785</v>
      </c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5" t="str">
        <f t="shared" si="1"/>
        <v>/412/009-02</v>
      </c>
      <c r="B500" s="80" t="str">
        <f>IFERROR(__xludf.DUMMYFUNCTION("CONCATENATE(VLOOKUP(C500,'Storage Locations'!$A:$C,2,FALSE),"" "",VLOOKUP(C500,'Storage Locations'!$A:$C,3,FALSE),"" || "",$E500, IF(G500 = ""Yes"",CONCATENATE("" "", REGEXREPLACE(RIGHT(A500,2), ""^0+"","""")),""""), IF(ISBLANK(F500),"""",CONCATENATE("": "&amp;""", F500)))"),"Teaching Shelving Unit || Shelf 2")</f>
        <v>Teaching Shelving Unit || Shelf 2</v>
      </c>
      <c r="C500" s="126" t="s">
        <v>943</v>
      </c>
      <c r="D500" s="86">
        <v>2.0</v>
      </c>
      <c r="E500" s="83" t="s">
        <v>783</v>
      </c>
      <c r="F500" s="131"/>
      <c r="G500" s="85" t="s">
        <v>785</v>
      </c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5" t="str">
        <f t="shared" si="1"/>
        <v>/412/009-03</v>
      </c>
      <c r="B501" s="80" t="str">
        <f>IFERROR(__xludf.DUMMYFUNCTION("CONCATENATE(VLOOKUP(C501,'Storage Locations'!$A:$C,2,FALSE),"" "",VLOOKUP(C501,'Storage Locations'!$A:$C,3,FALSE),"" || "",$E501, IF(G501 = ""Yes"",CONCATENATE("" "", REGEXREPLACE(RIGHT(A501,2), ""^0+"","""")),""""), IF(ISBLANK(F501),"""",CONCATENATE("": "&amp;""", F501)))"),"Teaching Shelving Unit || Shelf 3")</f>
        <v>Teaching Shelving Unit || Shelf 3</v>
      </c>
      <c r="C501" s="126" t="s">
        <v>943</v>
      </c>
      <c r="D501" s="87">
        <v>3.0</v>
      </c>
      <c r="E501" s="83" t="s">
        <v>783</v>
      </c>
      <c r="F501" s="120"/>
      <c r="G501" s="85" t="s">
        <v>785</v>
      </c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5" t="str">
        <f t="shared" si="1"/>
        <v>/412/009-04</v>
      </c>
      <c r="B502" s="80" t="str">
        <f>IFERROR(__xludf.DUMMYFUNCTION("CONCATENATE(VLOOKUP(C502,'Storage Locations'!$A:$C,2,FALSE),"" "",VLOOKUP(C502,'Storage Locations'!$A:$C,3,FALSE),"" || "",$E502, IF(G502 = ""Yes"",CONCATENATE("" "", REGEXREPLACE(RIGHT(A502,2), ""^0+"","""")),""""), IF(ISBLANK(F502),"""",CONCATENATE("": "&amp;""", F502)))"),"Teaching Shelving Unit || Shelf 4")</f>
        <v>Teaching Shelving Unit || Shelf 4</v>
      </c>
      <c r="C502" s="126" t="s">
        <v>943</v>
      </c>
      <c r="D502" s="88">
        <v>4.0</v>
      </c>
      <c r="E502" s="83" t="s">
        <v>783</v>
      </c>
      <c r="F502" s="120"/>
      <c r="G502" s="85" t="s">
        <v>785</v>
      </c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5" t="str">
        <f t="shared" si="1"/>
        <v>/412/009-05</v>
      </c>
      <c r="B503" s="80" t="str">
        <f>IFERROR(__xludf.DUMMYFUNCTION("CONCATENATE(VLOOKUP(C503,'Storage Locations'!$A:$C,2,FALSE),"" "",VLOOKUP(C503,'Storage Locations'!$A:$C,3,FALSE),"" || "",$E503, IF(G503 = ""Yes"",CONCATENATE("" "", REGEXREPLACE(RIGHT(A503,2), ""^0+"","""")),""""), IF(ISBLANK(F503),"""",CONCATENATE("": "&amp;""", F503)))"),"Teaching Shelving Unit || Shelf 5")</f>
        <v>Teaching Shelving Unit || Shelf 5</v>
      </c>
      <c r="C503" s="126" t="s">
        <v>943</v>
      </c>
      <c r="D503" s="89">
        <v>5.0</v>
      </c>
      <c r="E503" s="83" t="s">
        <v>783</v>
      </c>
      <c r="F503" s="120"/>
      <c r="G503" s="85" t="s">
        <v>785</v>
      </c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5" t="str">
        <f t="shared" si="1"/>
        <v>/412/009-06</v>
      </c>
      <c r="B504" s="80" t="str">
        <f>IFERROR(__xludf.DUMMYFUNCTION("CONCATENATE(VLOOKUP(C504,'Storage Locations'!$A:$C,2,FALSE),"" "",VLOOKUP(C504,'Storage Locations'!$A:$C,3,FALSE),"" || "",$E504, IF(G504 = ""Yes"",CONCATENATE("" "", REGEXREPLACE(RIGHT(A504,2), ""^0+"","""")),""""), IF(ISBLANK(F504),"""",CONCATENATE("": "&amp;""", F504)))"),"Teaching Shelving Unit || Shelf 6")</f>
        <v>Teaching Shelving Unit || Shelf 6</v>
      </c>
      <c r="C504" s="126" t="s">
        <v>943</v>
      </c>
      <c r="D504" s="90">
        <v>6.0</v>
      </c>
      <c r="E504" s="83" t="s">
        <v>783</v>
      </c>
      <c r="F504" s="120"/>
      <c r="G504" s="85" t="s">
        <v>785</v>
      </c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5" t="str">
        <f t="shared" si="1"/>
        <v>/412/009-07</v>
      </c>
      <c r="B505" s="80" t="str">
        <f>IFERROR(__xludf.DUMMYFUNCTION("CONCATENATE(VLOOKUP(C505,'Storage Locations'!$A:$C,2,FALSE),"" "",VLOOKUP(C505,'Storage Locations'!$A:$C,3,FALSE),"" || "",$E505, IF(G505 = ""Yes"",CONCATENATE("" "", REGEXREPLACE(RIGHT(A505,2), ""^0+"","""")),""""), IF(ISBLANK(F505),"""",CONCATENATE("": "&amp;""", F505)))"),"Teaching Shelving Unit || Top")</f>
        <v>Teaching Shelving Unit || Top</v>
      </c>
      <c r="C505" s="126" t="s">
        <v>943</v>
      </c>
      <c r="D505" s="106">
        <v>7.0</v>
      </c>
      <c r="E505" s="83" t="s">
        <v>790</v>
      </c>
      <c r="F505" s="131"/>
      <c r="G505" s="85" t="s">
        <v>792</v>
      </c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7" t="str">
        <f t="shared" si="1"/>
        <v>/412/010-01</v>
      </c>
      <c r="B506" s="80" t="str">
        <f>IFERROR(__xludf.DUMMYFUNCTION("CONCATENATE(VLOOKUP(C506,'Storage Locations'!$A:$C,2,FALSE),"" "",VLOOKUP(C506,'Storage Locations'!$A:$C,3,FALSE),"" || "",$E506, IF(G506 = ""Yes"",CONCATENATE("" "", REGEXREPLACE(RIGHT(A506,2), ""^0+"","""")),""""), IF(ISBLANK(F506),"""",CONCATENATE("": "&amp;""", F506)))"),"Computing Shelving Unit || Shelf 1")</f>
        <v>Computing Shelving Unit || Shelf 1</v>
      </c>
      <c r="C506" s="128" t="s">
        <v>944</v>
      </c>
      <c r="D506" s="82">
        <v>1.0</v>
      </c>
      <c r="E506" s="83" t="s">
        <v>783</v>
      </c>
      <c r="F506" s="131"/>
      <c r="G506" s="85" t="s">
        <v>785</v>
      </c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7" t="str">
        <f t="shared" si="1"/>
        <v>/412/010-02</v>
      </c>
      <c r="B507" s="80" t="str">
        <f>IFERROR(__xludf.DUMMYFUNCTION("CONCATENATE(VLOOKUP(C507,'Storage Locations'!$A:$C,2,FALSE),"" "",VLOOKUP(C507,'Storage Locations'!$A:$C,3,FALSE),"" || "",$E507, IF(G507 = ""Yes"",CONCATENATE("" "", REGEXREPLACE(RIGHT(A507,2), ""^0+"","""")),""""), IF(ISBLANK(F507),"""",CONCATENATE("": "&amp;""", F507)))"),"Computing Shelving Unit || Shelf 2")</f>
        <v>Computing Shelving Unit || Shelf 2</v>
      </c>
      <c r="C507" s="128" t="s">
        <v>944</v>
      </c>
      <c r="D507" s="86">
        <v>2.0</v>
      </c>
      <c r="E507" s="83" t="s">
        <v>783</v>
      </c>
      <c r="F507" s="131"/>
      <c r="G507" s="85" t="s">
        <v>785</v>
      </c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7" t="str">
        <f t="shared" si="1"/>
        <v>/412/010-03</v>
      </c>
      <c r="B508" s="80" t="str">
        <f>IFERROR(__xludf.DUMMYFUNCTION("CONCATENATE(VLOOKUP(C508,'Storage Locations'!$A:$C,2,FALSE),"" "",VLOOKUP(C508,'Storage Locations'!$A:$C,3,FALSE),"" || "",$E508, IF(G508 = ""Yes"",CONCATENATE("" "", REGEXREPLACE(RIGHT(A508,2), ""^0+"","""")),""""), IF(ISBLANK(F508),"""",CONCATENATE("": "&amp;""", F508)))"),"Computing Shelving Unit || Drawer 3")</f>
        <v>Computing Shelving Unit || Drawer 3</v>
      </c>
      <c r="C508" s="128" t="s">
        <v>944</v>
      </c>
      <c r="D508" s="87">
        <v>3.0</v>
      </c>
      <c r="E508" s="83" t="s">
        <v>862</v>
      </c>
      <c r="F508" s="120"/>
      <c r="G508" s="85" t="s">
        <v>785</v>
      </c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7" t="str">
        <f t="shared" si="1"/>
        <v>/412/010-04</v>
      </c>
      <c r="B509" s="80" t="str">
        <f>IFERROR(__xludf.DUMMYFUNCTION("CONCATENATE(VLOOKUP(C509,'Storage Locations'!$A:$C,2,FALSE),"" "",VLOOKUP(C509,'Storage Locations'!$A:$C,3,FALSE),"" || "",$E509, IF(G509 = ""Yes"",CONCATENATE("" "", REGEXREPLACE(RIGHT(A509,2), ""^0+"","""")),""""), IF(ISBLANK(F509),"""",CONCATENATE("": "&amp;""", F509)))"),"Computing Shelving Unit || Drawer 4")</f>
        <v>Computing Shelving Unit || Drawer 4</v>
      </c>
      <c r="C509" s="128" t="s">
        <v>944</v>
      </c>
      <c r="D509" s="88">
        <v>4.0</v>
      </c>
      <c r="E509" s="83" t="s">
        <v>862</v>
      </c>
      <c r="F509" s="120"/>
      <c r="G509" s="85" t="s">
        <v>785</v>
      </c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7" t="str">
        <f t="shared" si="1"/>
        <v>/412/010-05</v>
      </c>
      <c r="B510" s="80" t="str">
        <f>IFERROR(__xludf.DUMMYFUNCTION("CONCATENATE(VLOOKUP(C510,'Storage Locations'!$A:$C,2,FALSE),"" "",VLOOKUP(C510,'Storage Locations'!$A:$C,3,FALSE),"" || "",$E510, IF(G510 = ""Yes"",CONCATENATE("" "", REGEXREPLACE(RIGHT(A510,2), ""^0+"","""")),""""), IF(ISBLANK(F510),"""",CONCATENATE("": "&amp;""", F510)))"),"Computing Shelving Unit || Shelf 5")</f>
        <v>Computing Shelving Unit || Shelf 5</v>
      </c>
      <c r="C510" s="128" t="s">
        <v>944</v>
      </c>
      <c r="D510" s="89">
        <v>5.0</v>
      </c>
      <c r="E510" s="83" t="s">
        <v>783</v>
      </c>
      <c r="F510" s="120"/>
      <c r="G510" s="85" t="s">
        <v>785</v>
      </c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7" t="str">
        <f t="shared" si="1"/>
        <v>/412/010-06</v>
      </c>
      <c r="B511" s="80" t="str">
        <f>IFERROR(__xludf.DUMMYFUNCTION("CONCATENATE(VLOOKUP(C511,'Storage Locations'!$A:$C,2,FALSE),"" "",VLOOKUP(C511,'Storage Locations'!$A:$C,3,FALSE),"" || "",$E511, IF(G511 = ""Yes"",CONCATENATE("" "", REGEXREPLACE(RIGHT(A511,2), ""^0+"","""")),""""), IF(ISBLANK(F511),"""",CONCATENATE("": "&amp;""", F511)))"),"Computing Shelving Unit || Shelf 6")</f>
        <v>Computing Shelving Unit || Shelf 6</v>
      </c>
      <c r="C511" s="128" t="s">
        <v>944</v>
      </c>
      <c r="D511" s="90">
        <v>6.0</v>
      </c>
      <c r="E511" s="83" t="s">
        <v>783</v>
      </c>
      <c r="F511" s="120"/>
      <c r="G511" s="85" t="s">
        <v>785</v>
      </c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7" t="str">
        <f t="shared" si="1"/>
        <v>/412/010-07</v>
      </c>
      <c r="B512" s="80" t="str">
        <f>IFERROR(__xludf.DUMMYFUNCTION("CONCATENATE(VLOOKUP(C512,'Storage Locations'!$A:$C,2,FALSE),"" "",VLOOKUP(C512,'Storage Locations'!$A:$C,3,FALSE),"" || "",$E512, IF(G512 = ""Yes"",CONCATENATE("" "", REGEXREPLACE(RIGHT(A512,2), ""^0+"","""")),""""), IF(ISBLANK(F512),"""",CONCATENATE("": "&amp;""", F512)))"),"Computing Shelving Unit || Top")</f>
        <v>Computing Shelving Unit || Top</v>
      </c>
      <c r="C512" s="128" t="s">
        <v>944</v>
      </c>
      <c r="D512" s="106">
        <v>7.0</v>
      </c>
      <c r="E512" s="83" t="s">
        <v>790</v>
      </c>
      <c r="F512" s="84"/>
      <c r="G512" s="85" t="s">
        <v>792</v>
      </c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9" t="str">
        <f t="shared" si="1"/>
        <v>/412/011-01</v>
      </c>
      <c r="B513" s="80" t="str">
        <f>IFERROR(__xludf.DUMMYFUNCTION("CONCATENATE(VLOOKUP(C513,'Storage Locations'!$A:$C,2,FALSE),"" "",VLOOKUP(C513,'Storage Locations'!$A:$C,3,FALSE),"" || "",$E513, IF(G513 = ""Yes"",CONCATENATE("" "", REGEXREPLACE(RIGHT(A513,2), ""^0+"","""")),""""), IF(ISBLANK(F513),"""",CONCATENATE("": "&amp;""", F513)))"),"Cleaning &amp; PPE Shelving Unit || Shelf 1")</f>
        <v>Cleaning &amp; PPE Shelving Unit || Shelf 1</v>
      </c>
      <c r="C513" s="130" t="s">
        <v>945</v>
      </c>
      <c r="D513" s="82">
        <v>1.0</v>
      </c>
      <c r="E513" s="83" t="s">
        <v>783</v>
      </c>
      <c r="F513" s="131"/>
      <c r="G513" s="85" t="s">
        <v>785</v>
      </c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9" t="str">
        <f t="shared" si="1"/>
        <v>/412/011-02</v>
      </c>
      <c r="B514" s="80" t="str">
        <f>IFERROR(__xludf.DUMMYFUNCTION("CONCATENATE(VLOOKUP(C514,'Storage Locations'!$A:$C,2,FALSE),"" "",VLOOKUP(C514,'Storage Locations'!$A:$C,3,FALSE),"" || "",$E514, IF(G514 = ""Yes"",CONCATENATE("" "", REGEXREPLACE(RIGHT(A514,2), ""^0+"","""")),""""), IF(ISBLANK(F514),"""",CONCATENATE("": "&amp;""", F514)))"),"Cleaning &amp; PPE Shelving Unit || Shelf 2")</f>
        <v>Cleaning &amp; PPE Shelving Unit || Shelf 2</v>
      </c>
      <c r="C514" s="130" t="s">
        <v>945</v>
      </c>
      <c r="D514" s="86">
        <v>2.0</v>
      </c>
      <c r="E514" s="83" t="s">
        <v>783</v>
      </c>
      <c r="F514" s="131"/>
      <c r="G514" s="85" t="s">
        <v>785</v>
      </c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9" t="str">
        <f t="shared" si="1"/>
        <v>/412/011-03</v>
      </c>
      <c r="B515" s="80" t="str">
        <f>IFERROR(__xludf.DUMMYFUNCTION("CONCATENATE(VLOOKUP(C515,'Storage Locations'!$A:$C,2,FALSE),"" "",VLOOKUP(C515,'Storage Locations'!$A:$C,3,FALSE),"" || "",$E515, IF(G515 = ""Yes"",CONCATENATE("" "", REGEXREPLACE(RIGHT(A515,2), ""^0+"","""")),""""), IF(ISBLANK(F515),"""",CONCATENATE("": "&amp;""", F515)))"),"Cleaning &amp; PPE Shelving Unit || Shelf 3")</f>
        <v>Cleaning &amp; PPE Shelving Unit || Shelf 3</v>
      </c>
      <c r="C515" s="130" t="s">
        <v>945</v>
      </c>
      <c r="D515" s="87">
        <v>3.0</v>
      </c>
      <c r="E515" s="83" t="s">
        <v>783</v>
      </c>
      <c r="F515" s="120"/>
      <c r="G515" s="85" t="s">
        <v>785</v>
      </c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9" t="str">
        <f t="shared" si="1"/>
        <v>/412/011-04</v>
      </c>
      <c r="B516" s="80" t="str">
        <f>IFERROR(__xludf.DUMMYFUNCTION("CONCATENATE(VLOOKUP(C516,'Storage Locations'!$A:$C,2,FALSE),"" "",VLOOKUP(C516,'Storage Locations'!$A:$C,3,FALSE),"" || "",$E516, IF(G516 = ""Yes"",CONCATENATE("" "", REGEXREPLACE(RIGHT(A516,2), ""^0+"","""")),""""), IF(ISBLANK(F516),"""",CONCATENATE("": "&amp;""", F516)))"),"Cleaning &amp; PPE Shelving Unit || Shelf 4")</f>
        <v>Cleaning &amp; PPE Shelving Unit || Shelf 4</v>
      </c>
      <c r="C516" s="130" t="s">
        <v>945</v>
      </c>
      <c r="D516" s="88">
        <v>4.0</v>
      </c>
      <c r="E516" s="83" t="s">
        <v>783</v>
      </c>
      <c r="F516" s="120"/>
      <c r="G516" s="85" t="s">
        <v>785</v>
      </c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9" t="str">
        <f t="shared" si="1"/>
        <v>/412/011-05</v>
      </c>
      <c r="B517" s="80" t="str">
        <f>IFERROR(__xludf.DUMMYFUNCTION("CONCATENATE(VLOOKUP(C517,'Storage Locations'!$A:$C,2,FALSE),"" "",VLOOKUP(C517,'Storage Locations'!$A:$C,3,FALSE),"" || "",$E517, IF(G517 = ""Yes"",CONCATENATE("" "", REGEXREPLACE(RIGHT(A517,2), ""^0+"","""")),""""), IF(ISBLANK(F517),"""",CONCATENATE("": "&amp;""", F517)))"),"Cleaning &amp; PPE Shelving Unit || Shelf 5")</f>
        <v>Cleaning &amp; PPE Shelving Unit || Shelf 5</v>
      </c>
      <c r="C517" s="130" t="s">
        <v>945</v>
      </c>
      <c r="D517" s="89">
        <v>5.0</v>
      </c>
      <c r="E517" s="83" t="s">
        <v>783</v>
      </c>
      <c r="F517" s="120"/>
      <c r="G517" s="85" t="s">
        <v>785</v>
      </c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9" t="str">
        <f t="shared" si="1"/>
        <v>/412/011-06</v>
      </c>
      <c r="B518" s="80" t="str">
        <f>IFERROR(__xludf.DUMMYFUNCTION("CONCATENATE(VLOOKUP(C518,'Storage Locations'!$A:$C,2,FALSE),"" "",VLOOKUP(C518,'Storage Locations'!$A:$C,3,FALSE),"" || "",$E518, IF(G518 = ""Yes"",CONCATENATE("" "", REGEXREPLACE(RIGHT(A518,2), ""^0+"","""")),""""), IF(ISBLANK(F518),"""",CONCATENATE("": "&amp;""", F518)))"),"Cleaning &amp; PPE Shelving Unit || Top")</f>
        <v>Cleaning &amp; PPE Shelving Unit || Top</v>
      </c>
      <c r="C518" s="130" t="s">
        <v>945</v>
      </c>
      <c r="D518" s="90">
        <v>6.0</v>
      </c>
      <c r="E518" s="83" t="s">
        <v>790</v>
      </c>
      <c r="F518" s="84"/>
      <c r="G518" s="85" t="s">
        <v>792</v>
      </c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32" t="str">
        <f t="shared" si="1"/>
        <v>/412/012-01</v>
      </c>
      <c r="B519" s="80" t="str">
        <f>IFERROR(__xludf.DUMMYFUNCTION("CONCATENATE(VLOOKUP(C519,'Storage Locations'!$A:$C,2,FALSE),"" "",VLOOKUP(C519,'Storage Locations'!$A:$C,3,FALSE),"" || "",$E519, IF(G519 = ""Yes"",CONCATENATE("" "", REGEXREPLACE(RIGHT(A519,2), ""^0+"","""")),""""), IF(ISBLANK(F519),"""",CONCATENATE("": "&amp;""", F519)))"),"Wire Spools Hanger Set || Hanger 1")</f>
        <v>Wire Spools Hanger Set || Hanger 1</v>
      </c>
      <c r="C519" s="81" t="s">
        <v>946</v>
      </c>
      <c r="D519" s="82">
        <v>1.0</v>
      </c>
      <c r="E519" s="83" t="s">
        <v>821</v>
      </c>
      <c r="F519" s="120"/>
      <c r="G519" s="85" t="s">
        <v>785</v>
      </c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32" t="str">
        <f t="shared" si="1"/>
        <v>/412/012-02</v>
      </c>
      <c r="B520" s="80" t="str">
        <f>IFERROR(__xludf.DUMMYFUNCTION("CONCATENATE(VLOOKUP(C520,'Storage Locations'!$A:$C,2,FALSE),"" "",VLOOKUP(C520,'Storage Locations'!$A:$C,3,FALSE),"" || "",$E520, IF(G520 = ""Yes"",CONCATENATE("" "", REGEXREPLACE(RIGHT(A520,2), ""^0+"","""")),""""), IF(ISBLANK(F520),"""",CONCATENATE("": "&amp;""", F520)))"),"Wire Spools Hanger Set || Hanger 2")</f>
        <v>Wire Spools Hanger Set || Hanger 2</v>
      </c>
      <c r="C520" s="81" t="s">
        <v>946</v>
      </c>
      <c r="D520" s="86">
        <v>2.0</v>
      </c>
      <c r="E520" s="83" t="s">
        <v>821</v>
      </c>
      <c r="F520" s="120"/>
      <c r="G520" s="85" t="s">
        <v>785</v>
      </c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32" t="str">
        <f t="shared" si="1"/>
        <v>/412/012-03</v>
      </c>
      <c r="B521" s="80" t="str">
        <f>IFERROR(__xludf.DUMMYFUNCTION("CONCATENATE(VLOOKUP(C521,'Storage Locations'!$A:$C,2,FALSE),"" "",VLOOKUP(C521,'Storage Locations'!$A:$C,3,FALSE),"" || "",$E521, IF(G521 = ""Yes"",CONCATENATE("" "", REGEXREPLACE(RIGHT(A521,2), ""^0+"","""")),""""), IF(ISBLANK(F521),"""",CONCATENATE("": "&amp;""", F521)))"),"Wire Spools Hanger Set || Hanger 3")</f>
        <v>Wire Spools Hanger Set || Hanger 3</v>
      </c>
      <c r="C521" s="81" t="s">
        <v>946</v>
      </c>
      <c r="D521" s="87">
        <v>3.0</v>
      </c>
      <c r="E521" s="83" t="s">
        <v>821</v>
      </c>
      <c r="F521" s="120"/>
      <c r="G521" s="85" t="s">
        <v>785</v>
      </c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32" t="str">
        <f t="shared" si="1"/>
        <v>/412/012-04</v>
      </c>
      <c r="B522" s="80" t="str">
        <f>IFERROR(__xludf.DUMMYFUNCTION("CONCATENATE(VLOOKUP(C522,'Storage Locations'!$A:$C,2,FALSE),"" "",VLOOKUP(C522,'Storage Locations'!$A:$C,3,FALSE),"" || "",$E522, IF(G522 = ""Yes"",CONCATENATE("" "", REGEXREPLACE(RIGHT(A522,2), ""^0+"","""")),""""), IF(ISBLANK(F522),"""",CONCATENATE("": "&amp;""", F522)))"),"Wire Spools Hanger Set || Hanger 4")</f>
        <v>Wire Spools Hanger Set || Hanger 4</v>
      </c>
      <c r="C522" s="81" t="s">
        <v>946</v>
      </c>
      <c r="D522" s="88">
        <v>4.0</v>
      </c>
      <c r="E522" s="83" t="s">
        <v>821</v>
      </c>
      <c r="F522" s="120"/>
      <c r="G522" s="85" t="s">
        <v>785</v>
      </c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32" t="str">
        <f t="shared" si="1"/>
        <v>/412/012-05</v>
      </c>
      <c r="B523" s="80" t="str">
        <f>IFERROR(__xludf.DUMMYFUNCTION("CONCATENATE(VLOOKUP(C523,'Storage Locations'!$A:$C,2,FALSE),"" "",VLOOKUP(C523,'Storage Locations'!$A:$C,3,FALSE),"" || "",$E523, IF(G523 = ""Yes"",CONCATENATE("" "", REGEXREPLACE(RIGHT(A523,2), ""^0+"","""")),""""), IF(ISBLANK(F523),"""",CONCATENATE("": "&amp;""", F523)))"),"Wire Spools Hanger Set || Hanger 5")</f>
        <v>Wire Spools Hanger Set || Hanger 5</v>
      </c>
      <c r="C523" s="81" t="s">
        <v>946</v>
      </c>
      <c r="D523" s="89">
        <v>5.0</v>
      </c>
      <c r="E523" s="83" t="s">
        <v>821</v>
      </c>
      <c r="F523" s="120"/>
      <c r="G523" s="85" t="s">
        <v>785</v>
      </c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32" t="str">
        <f t="shared" si="1"/>
        <v>/412/012-06</v>
      </c>
      <c r="B524" s="80" t="str">
        <f>IFERROR(__xludf.DUMMYFUNCTION("CONCATENATE(VLOOKUP(C524,'Storage Locations'!$A:$C,2,FALSE),"" "",VLOOKUP(C524,'Storage Locations'!$A:$C,3,FALSE),"" || "",$E524, IF(G524 = ""Yes"",CONCATENATE("" "", REGEXREPLACE(RIGHT(A524,2), ""^0+"","""")),""""), IF(ISBLANK(F524),"""",CONCATENATE("": "&amp;""", F524)))"),"Wire Spools Hanger Set || Hanger 6")</f>
        <v>Wire Spools Hanger Set || Hanger 6</v>
      </c>
      <c r="C524" s="81" t="s">
        <v>946</v>
      </c>
      <c r="D524" s="90">
        <v>6.0</v>
      </c>
      <c r="E524" s="83" t="s">
        <v>821</v>
      </c>
      <c r="F524" s="120"/>
      <c r="G524" s="85" t="s">
        <v>785</v>
      </c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32" t="str">
        <f t="shared" si="1"/>
        <v>/412/012-07</v>
      </c>
      <c r="B525" s="80" t="str">
        <f>IFERROR(__xludf.DUMMYFUNCTION("CONCATENATE(VLOOKUP(C525,'Storage Locations'!$A:$C,2,FALSE),"" "",VLOOKUP(C525,'Storage Locations'!$A:$C,3,FALSE),"" || "",$E525, IF(G525 = ""Yes"",CONCATENATE("" "", REGEXREPLACE(RIGHT(A525,2), ""^0+"","""")),""""), IF(ISBLANK(F525),"""",CONCATENATE("": "&amp;""", F525)))"),"Wire Spools Hanger Set || Hanger 7")</f>
        <v>Wire Spools Hanger Set || Hanger 7</v>
      </c>
      <c r="C525" s="81" t="s">
        <v>946</v>
      </c>
      <c r="D525" s="106">
        <v>7.0</v>
      </c>
      <c r="E525" s="83" t="s">
        <v>821</v>
      </c>
      <c r="F525" s="120"/>
      <c r="G525" s="85" t="s">
        <v>785</v>
      </c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32" t="str">
        <f t="shared" si="1"/>
        <v>/412/012-08</v>
      </c>
      <c r="B526" s="80" t="str">
        <f>IFERROR(__xludf.DUMMYFUNCTION("CONCATENATE(VLOOKUP(C526,'Storage Locations'!$A:$C,2,FALSE),"" "",VLOOKUP(C526,'Storage Locations'!$A:$C,3,FALSE),"" || "",$E526, IF(G526 = ""Yes"",CONCATENATE("" "", REGEXREPLACE(RIGHT(A526,2), ""^0+"","""")),""""), IF(ISBLANK(F526),"""",CONCATENATE("": "&amp;""", F526)))"),"Wire Spools Hanger Set || Hanger 8")</f>
        <v>Wire Spools Hanger Set || Hanger 8</v>
      </c>
      <c r="C526" s="81" t="s">
        <v>946</v>
      </c>
      <c r="D526" s="107">
        <v>8.0</v>
      </c>
      <c r="E526" s="83" t="s">
        <v>821</v>
      </c>
      <c r="F526" s="120"/>
      <c r="G526" s="85" t="s">
        <v>785</v>
      </c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30" t="str">
        <f t="shared" si="1"/>
        <v>/412/013-01</v>
      </c>
      <c r="B527" s="80" t="str">
        <f>IFERROR(__xludf.DUMMYFUNCTION("CONCATENATE(VLOOKUP(C527,'Storage Locations'!$A:$C,2,FALSE),"" "",VLOOKUP(C527,'Storage Locations'!$A:$C,3,FALSE),"" || "",$E527, IF(G527 = ""Yes"",CONCATENATE("" "", REGEXREPLACE(RIGHT(A527,2), ""^0+"","""")),""""), IF(ISBLANK(F527),"""",CONCATENATE("": "&amp;""", F527)))"),"TSS Lockers 1 Locker Group || Locker/Safe 1")</f>
        <v>TSS Lockers 1 Locker Group || Locker/Safe 1</v>
      </c>
      <c r="C527" s="92" t="s">
        <v>947</v>
      </c>
      <c r="D527" s="82">
        <v>1.0</v>
      </c>
      <c r="E527" s="83" t="s">
        <v>808</v>
      </c>
      <c r="F527" s="120"/>
      <c r="G527" s="85" t="s">
        <v>785</v>
      </c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30" t="str">
        <f t="shared" si="1"/>
        <v>/412/013-02</v>
      </c>
      <c r="B528" s="80" t="str">
        <f>IFERROR(__xludf.DUMMYFUNCTION("CONCATENATE(VLOOKUP(C528,'Storage Locations'!$A:$C,2,FALSE),"" "",VLOOKUP(C528,'Storage Locations'!$A:$C,3,FALSE),"" || "",$E528, IF(G528 = ""Yes"",CONCATENATE("" "", REGEXREPLACE(RIGHT(A528,2), ""^0+"","""")),""""), IF(ISBLANK(F528),"""",CONCATENATE("": "&amp;""", F528)))"),"TSS Lockers 1 Locker Group || Locker/Safe 2")</f>
        <v>TSS Lockers 1 Locker Group || Locker/Safe 2</v>
      </c>
      <c r="C528" s="92" t="s">
        <v>947</v>
      </c>
      <c r="D528" s="86">
        <v>2.0</v>
      </c>
      <c r="E528" s="83" t="s">
        <v>808</v>
      </c>
      <c r="F528" s="120"/>
      <c r="G528" s="85" t="s">
        <v>785</v>
      </c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30" t="str">
        <f t="shared" si="1"/>
        <v>/412/013-03</v>
      </c>
      <c r="B529" s="80" t="str">
        <f>IFERROR(__xludf.DUMMYFUNCTION("CONCATENATE(VLOOKUP(C529,'Storage Locations'!$A:$C,2,FALSE),"" "",VLOOKUP(C529,'Storage Locations'!$A:$C,3,FALSE),"" || "",$E529, IF(G529 = ""Yes"",CONCATENATE("" "", REGEXREPLACE(RIGHT(A529,2), ""^0+"","""")),""""), IF(ISBLANK(F529),"""",CONCATENATE("": "&amp;""", F529)))"),"TSS Lockers 1 Locker Group || Locker/Safe 3")</f>
        <v>TSS Lockers 1 Locker Group || Locker/Safe 3</v>
      </c>
      <c r="C529" s="92" t="s">
        <v>947</v>
      </c>
      <c r="D529" s="87">
        <v>3.0</v>
      </c>
      <c r="E529" s="83" t="s">
        <v>808</v>
      </c>
      <c r="F529" s="120"/>
      <c r="G529" s="85" t="s">
        <v>785</v>
      </c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30" t="str">
        <f t="shared" si="1"/>
        <v>/412/013-04</v>
      </c>
      <c r="B530" s="80" t="str">
        <f>IFERROR(__xludf.DUMMYFUNCTION("CONCATENATE(VLOOKUP(C530,'Storage Locations'!$A:$C,2,FALSE),"" "",VLOOKUP(C530,'Storage Locations'!$A:$C,3,FALSE),"" || "",$E530, IF(G530 = ""Yes"",CONCATENATE("" "", REGEXREPLACE(RIGHT(A530,2), ""^0+"","""")),""""), IF(ISBLANK(F530),"""",CONCATENATE("": "&amp;""", F530)))"),"TSS Lockers 1 Locker Group || Locker/Safe 4")</f>
        <v>TSS Lockers 1 Locker Group || Locker/Safe 4</v>
      </c>
      <c r="C530" s="92" t="s">
        <v>947</v>
      </c>
      <c r="D530" s="88">
        <v>4.0</v>
      </c>
      <c r="E530" s="83" t="s">
        <v>808</v>
      </c>
      <c r="F530" s="120"/>
      <c r="G530" s="85" t="s">
        <v>785</v>
      </c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30" t="str">
        <f t="shared" si="1"/>
        <v>/412/013-05</v>
      </c>
      <c r="B531" s="80" t="str">
        <f>IFERROR(__xludf.DUMMYFUNCTION("CONCATENATE(VLOOKUP(C531,'Storage Locations'!$A:$C,2,FALSE),"" "",VLOOKUP(C531,'Storage Locations'!$A:$C,3,FALSE),"" || "",$E531, IF(G531 = ""Yes"",CONCATENATE("" "", REGEXREPLACE(RIGHT(A531,2), ""^0+"","""")),""""), IF(ISBLANK(F531),"""",CONCATENATE("": "&amp;""", F531)))"),"TSS Lockers 1 Locker Group || Locker/Safe 5")</f>
        <v>TSS Lockers 1 Locker Group || Locker/Safe 5</v>
      </c>
      <c r="C531" s="92" t="s">
        <v>947</v>
      </c>
      <c r="D531" s="89">
        <v>5.0</v>
      </c>
      <c r="E531" s="83" t="s">
        <v>808</v>
      </c>
      <c r="F531" s="120"/>
      <c r="G531" s="85" t="s">
        <v>785</v>
      </c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30" t="str">
        <f t="shared" si="1"/>
        <v>/412/013-06</v>
      </c>
      <c r="B532" s="80" t="str">
        <f>IFERROR(__xludf.DUMMYFUNCTION("CONCATENATE(VLOOKUP(C532,'Storage Locations'!$A:$C,2,FALSE),"" "",VLOOKUP(C532,'Storage Locations'!$A:$C,3,FALSE),"" || "",$E532, IF(G532 = ""Yes"",CONCATENATE("" "", REGEXREPLACE(RIGHT(A532,2), ""^0+"","""")),""""), IF(ISBLANK(F532),"""",CONCATENATE("": "&amp;""", F532)))"),"TSS Lockers 1 Locker Group || Locker/Safe 6")</f>
        <v>TSS Lockers 1 Locker Group || Locker/Safe 6</v>
      </c>
      <c r="C532" s="92" t="s">
        <v>947</v>
      </c>
      <c r="D532" s="90">
        <v>6.0</v>
      </c>
      <c r="E532" s="83" t="s">
        <v>808</v>
      </c>
      <c r="F532" s="131"/>
      <c r="G532" s="85" t="s">
        <v>785</v>
      </c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30" t="str">
        <f t="shared" si="1"/>
        <v>/412/013-07</v>
      </c>
      <c r="B533" s="80" t="str">
        <f>IFERROR(__xludf.DUMMYFUNCTION("CONCATENATE(VLOOKUP(C533,'Storage Locations'!$A:$C,2,FALSE),"" "",VLOOKUP(C533,'Storage Locations'!$A:$C,3,FALSE),"" || "",$E533, IF(G533 = ""Yes"",CONCATENATE("" "", REGEXREPLACE(RIGHT(A533,2), ""^0+"","""")),""""), IF(ISBLANK(F533),"""",CONCATENATE("": "&amp;""", F533)))"),"TSS Lockers 1 Locker Group || Locker/Safe 7")</f>
        <v>TSS Lockers 1 Locker Group || Locker/Safe 7</v>
      </c>
      <c r="C533" s="81" t="s">
        <v>947</v>
      </c>
      <c r="D533" s="106">
        <v>7.0</v>
      </c>
      <c r="E533" s="83" t="s">
        <v>808</v>
      </c>
      <c r="F533" s="84"/>
      <c r="G533" s="85" t="s">
        <v>785</v>
      </c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30" t="str">
        <f t="shared" si="1"/>
        <v>/412/013-08</v>
      </c>
      <c r="B534" s="80" t="str">
        <f>IFERROR(__xludf.DUMMYFUNCTION("CONCATENATE(VLOOKUP(C534,'Storage Locations'!$A:$C,2,FALSE),"" "",VLOOKUP(C534,'Storage Locations'!$A:$C,3,FALSE),"" || "",$E534, IF(G534 = ""Yes"",CONCATENATE("" "", REGEXREPLACE(RIGHT(A534,2), ""^0+"","""")),""""), IF(ISBLANK(F534),"""",CONCATENATE("": "&amp;""", F534)))"),"TSS Lockers 1 Locker Group || Locker/Safe 8")</f>
        <v>TSS Lockers 1 Locker Group || Locker/Safe 8</v>
      </c>
      <c r="C534" s="81" t="s">
        <v>947</v>
      </c>
      <c r="D534" s="107">
        <v>8.0</v>
      </c>
      <c r="E534" s="83" t="s">
        <v>808</v>
      </c>
      <c r="F534" s="84"/>
      <c r="G534" s="85" t="s">
        <v>785</v>
      </c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30" t="str">
        <f t="shared" si="1"/>
        <v>/412/013-09</v>
      </c>
      <c r="B535" s="80" t="str">
        <f>IFERROR(__xludf.DUMMYFUNCTION("CONCATENATE(VLOOKUP(C535,'Storage Locations'!$A:$C,2,FALSE),"" "",VLOOKUP(C535,'Storage Locations'!$A:$C,3,FALSE),"" || "",$E535, IF(G535 = ""Yes"",CONCATENATE("" "", REGEXREPLACE(RIGHT(A535,2), ""^0+"","""")),""""), IF(ISBLANK(F535),"""",CONCATENATE("": "&amp;""", F535)))"),"TSS Lockers 1 Locker Group || Top")</f>
        <v>TSS Lockers 1 Locker Group || Top</v>
      </c>
      <c r="C535" s="81" t="s">
        <v>947</v>
      </c>
      <c r="D535" s="108">
        <v>9.0</v>
      </c>
      <c r="E535" s="83" t="s">
        <v>790</v>
      </c>
      <c r="F535" s="84"/>
      <c r="G535" s="85" t="s">
        <v>792</v>
      </c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79" t="str">
        <f t="shared" si="1"/>
        <v>/412/014-01</v>
      </c>
      <c r="B536" s="80" t="str">
        <f>IFERROR(__xludf.DUMMYFUNCTION("CONCATENATE(VLOOKUP(C536,'Storage Locations'!$A:$C,2,FALSE),"" "",VLOOKUP(C536,'Storage Locations'!$A:$C,3,FALSE),"" || "",$E536, IF(G536 = ""Yes"",CONCATENATE("" "", REGEXREPLACE(RIGHT(A536,2), ""^0+"","""")),""""), IF(ISBLANK(F536),"""",CONCATENATE("": "&amp;""", F536)))"),"Electronics Equipment Shelving Unit || Shelf 1")</f>
        <v>Electronics Equipment Shelving Unit || Shelf 1</v>
      </c>
      <c r="C536" s="81" t="s">
        <v>948</v>
      </c>
      <c r="D536" s="82">
        <v>1.0</v>
      </c>
      <c r="E536" s="83" t="s">
        <v>783</v>
      </c>
      <c r="F536" s="84"/>
      <c r="G536" s="85" t="s">
        <v>785</v>
      </c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79" t="str">
        <f t="shared" si="1"/>
        <v>/412/014-02</v>
      </c>
      <c r="B537" s="80" t="str">
        <f>IFERROR(__xludf.DUMMYFUNCTION("CONCATENATE(VLOOKUP(C537,'Storage Locations'!$A:$C,2,FALSE),"" "",VLOOKUP(C537,'Storage Locations'!$A:$C,3,FALSE),"" || "",$E537, IF(G537 = ""Yes"",CONCATENATE("" "", REGEXREPLACE(RIGHT(A537,2), ""^0+"","""")),""""), IF(ISBLANK(F537),"""",CONCATENATE("": "&amp;""", F537)))"),"Electronics Equipment Shelving Unit || Shelf 2")</f>
        <v>Electronics Equipment Shelving Unit || Shelf 2</v>
      </c>
      <c r="C537" s="81" t="s">
        <v>948</v>
      </c>
      <c r="D537" s="86">
        <v>2.0</v>
      </c>
      <c r="E537" s="83" t="s">
        <v>783</v>
      </c>
      <c r="F537" s="84"/>
      <c r="G537" s="85" t="s">
        <v>785</v>
      </c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79" t="str">
        <f t="shared" si="1"/>
        <v>/412/014-03</v>
      </c>
      <c r="B538" s="80" t="str">
        <f>IFERROR(__xludf.DUMMYFUNCTION("CONCATENATE(VLOOKUP(C538,'Storage Locations'!$A:$C,2,FALSE),"" "",VLOOKUP(C538,'Storage Locations'!$A:$C,3,FALSE),"" || "",$E538, IF(G538 = ""Yes"",CONCATENATE("" "", REGEXREPLACE(RIGHT(A538,2), ""^0+"","""")),""""), IF(ISBLANK(F538),"""",CONCATENATE("": "&amp;""", F538)))"),"Electronics Equipment Shelving Unit || Shelf 3")</f>
        <v>Electronics Equipment Shelving Unit || Shelf 3</v>
      </c>
      <c r="C538" s="81" t="s">
        <v>948</v>
      </c>
      <c r="D538" s="87">
        <v>3.0</v>
      </c>
      <c r="E538" s="83" t="s">
        <v>783</v>
      </c>
      <c r="F538" s="84"/>
      <c r="G538" s="85" t="s">
        <v>785</v>
      </c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79" t="str">
        <f t="shared" si="1"/>
        <v>/412/014-04</v>
      </c>
      <c r="B539" s="80" t="str">
        <f>IFERROR(__xludf.DUMMYFUNCTION("CONCATENATE(VLOOKUP(C539,'Storage Locations'!$A:$C,2,FALSE),"" "",VLOOKUP(C539,'Storage Locations'!$A:$C,3,FALSE),"" || "",$E539, IF(G539 = ""Yes"",CONCATENATE("" "", REGEXREPLACE(RIGHT(A539,2), ""^0+"","""")),""""), IF(ISBLANK(F539),"""",CONCATENATE("": "&amp;""", F539)))"),"Electronics Equipment Shelving Unit || Shelf 4")</f>
        <v>Electronics Equipment Shelving Unit || Shelf 4</v>
      </c>
      <c r="C539" s="81" t="s">
        <v>948</v>
      </c>
      <c r="D539" s="88">
        <v>4.0</v>
      </c>
      <c r="E539" s="83" t="s">
        <v>783</v>
      </c>
      <c r="F539" s="84"/>
      <c r="G539" s="85" t="s">
        <v>785</v>
      </c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79" t="str">
        <f t="shared" si="1"/>
        <v>/412/014-05</v>
      </c>
      <c r="B540" s="80" t="str">
        <f>IFERROR(__xludf.DUMMYFUNCTION("CONCATENATE(VLOOKUP(C540,'Storage Locations'!$A:$C,2,FALSE),"" "",VLOOKUP(C540,'Storage Locations'!$A:$C,3,FALSE),"" || "",$E540, IF(G540 = ""Yes"",CONCATENATE("" "", REGEXREPLACE(RIGHT(A540,2), ""^0+"","""")),""""), IF(ISBLANK(F540),"""",CONCATENATE("": "&amp;""", F540)))"),"Electronics Equipment Shelving Unit || Shelf 5")</f>
        <v>Electronics Equipment Shelving Unit || Shelf 5</v>
      </c>
      <c r="C540" s="81" t="s">
        <v>948</v>
      </c>
      <c r="D540" s="89">
        <v>5.0</v>
      </c>
      <c r="E540" s="83" t="s">
        <v>783</v>
      </c>
      <c r="F540" s="84"/>
      <c r="G540" s="85" t="s">
        <v>785</v>
      </c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79" t="str">
        <f t="shared" si="1"/>
        <v>/412/014-06</v>
      </c>
      <c r="B541" s="80" t="str">
        <f>IFERROR(__xludf.DUMMYFUNCTION("CONCATENATE(VLOOKUP(C541,'Storage Locations'!$A:$C,2,FALSE),"" "",VLOOKUP(C541,'Storage Locations'!$A:$C,3,FALSE),"" || "",$E541, IF(G541 = ""Yes"",CONCATENATE("" "", REGEXREPLACE(RIGHT(A541,2), ""^0+"","""")),""""), IF(ISBLANK(F541),"""",CONCATENATE("": "&amp;""", F541)))"),"Electronics Equipment Shelving Unit || Top")</f>
        <v>Electronics Equipment Shelving Unit || Top</v>
      </c>
      <c r="C541" s="81" t="s">
        <v>948</v>
      </c>
      <c r="D541" s="90">
        <v>6.0</v>
      </c>
      <c r="E541" s="83" t="s">
        <v>790</v>
      </c>
      <c r="F541" s="84"/>
      <c r="G541" s="85" t="s">
        <v>792</v>
      </c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79" t="str">
        <f t="shared" si="1"/>
        <v>/412/101-01</v>
      </c>
      <c r="B542" s="80" t="str">
        <f>IFERROR(__xludf.DUMMYFUNCTION("CONCATENATE(VLOOKUP(C542,'Storage Locations'!$A:$C,2,FALSE),"" "",VLOOKUP(C542,'Storage Locations'!$A:$C,3,FALSE),"" || "",$E542, IF(G542 = ""Yes"",CONCATENATE("" "", REGEXREPLACE(RIGHT(A542,2), ""^0+"","""")),""""), IF(ISBLANK(F542),"""",CONCATENATE("": "&amp;""", F542)))"),"Project Area 1 Desk || Top")</f>
        <v>Project Area 1 Desk || Top</v>
      </c>
      <c r="C542" s="115" t="s">
        <v>949</v>
      </c>
      <c r="D542" s="82">
        <v>1.0</v>
      </c>
      <c r="E542" s="83" t="s">
        <v>790</v>
      </c>
      <c r="F542" s="131"/>
      <c r="G542" s="85" t="s">
        <v>792</v>
      </c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79" t="str">
        <f t="shared" si="1"/>
        <v>/412/101-02</v>
      </c>
      <c r="B543" s="80" t="str">
        <f>IFERROR(__xludf.DUMMYFUNCTION("CONCATENATE(VLOOKUP(C543,'Storage Locations'!$A:$C,2,FALSE),"" "",VLOOKUP(C543,'Storage Locations'!$A:$C,3,FALSE),"" || "",$E543, IF(G543 = ""Yes"",CONCATENATE("" "", REGEXREPLACE(RIGHT(A543,2), ""^0+"","""")),""""), IF(ISBLANK(F543),"""",CONCATENATE("": "&amp;""", F543)))"),"Project Area 1 Desk || Floor")</f>
        <v>Project Area 1 Desk || Floor</v>
      </c>
      <c r="C543" s="115" t="s">
        <v>949</v>
      </c>
      <c r="D543" s="86">
        <v>2.0</v>
      </c>
      <c r="E543" s="83" t="s">
        <v>922</v>
      </c>
      <c r="F543" s="131"/>
      <c r="G543" s="85" t="s">
        <v>792</v>
      </c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91" t="str">
        <f t="shared" si="1"/>
        <v>/412/102-01</v>
      </c>
      <c r="B544" s="80" t="str">
        <f>IFERROR(__xludf.DUMMYFUNCTION("CONCATENATE(VLOOKUP(C544,'Storage Locations'!$A:$C,2,FALSE),"" "",VLOOKUP(C544,'Storage Locations'!$A:$C,3,FALSE),"" || "",$E544, IF(G544 = ""Yes"",CONCATENATE("" "", REGEXREPLACE(RIGHT(A544,2), ""^0+"","""")),""""), IF(ISBLANK(F544),"""",CONCATENATE("": "&amp;""", F544)))"),"Project Area 2 Desk || Top")</f>
        <v>Project Area 2 Desk || Top</v>
      </c>
      <c r="C544" s="116" t="s">
        <v>950</v>
      </c>
      <c r="D544" s="82">
        <v>1.0</v>
      </c>
      <c r="E544" s="83" t="s">
        <v>790</v>
      </c>
      <c r="F544" s="131"/>
      <c r="G544" s="85" t="s">
        <v>792</v>
      </c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91" t="str">
        <f t="shared" si="1"/>
        <v>/412/102-02</v>
      </c>
      <c r="B545" s="80" t="str">
        <f>IFERROR(__xludf.DUMMYFUNCTION("CONCATENATE(VLOOKUP(C545,'Storage Locations'!$A:$C,2,FALSE),"" "",VLOOKUP(C545,'Storage Locations'!$A:$C,3,FALSE),"" || "",$E545, IF(G545 = ""Yes"",CONCATENATE("" "", REGEXREPLACE(RIGHT(A545,2), ""^0+"","""")),""""), IF(ISBLANK(F545),"""",CONCATENATE("": "&amp;""", F545)))"),"Project Area 2 Desk || Floor")</f>
        <v>Project Area 2 Desk || Floor</v>
      </c>
      <c r="C545" s="116" t="s">
        <v>950</v>
      </c>
      <c r="D545" s="86">
        <v>2.0</v>
      </c>
      <c r="E545" s="83" t="s">
        <v>922</v>
      </c>
      <c r="F545" s="131"/>
      <c r="G545" s="85" t="s">
        <v>792</v>
      </c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93" t="str">
        <f t="shared" si="1"/>
        <v>/412/103-01</v>
      </c>
      <c r="B546" s="80" t="str">
        <f>IFERROR(__xludf.DUMMYFUNCTION("CONCATENATE(VLOOKUP(C546,'Storage Locations'!$A:$C,2,FALSE),"" "",VLOOKUP(C546,'Storage Locations'!$A:$C,3,FALSE),"" || "",$E546, IF(G546 = ""Yes"",CONCATENATE("" "", REGEXREPLACE(RIGHT(A546,2), ""^0+"","""")),""""), IF(ISBLANK(F546),"""",CONCATENATE("": "&amp;""", F546)))"),"Project Area 3 Desk || Top")</f>
        <v>Project Area 3 Desk || Top</v>
      </c>
      <c r="C546" s="117" t="s">
        <v>951</v>
      </c>
      <c r="D546" s="82">
        <v>1.0</v>
      </c>
      <c r="E546" s="83" t="s">
        <v>790</v>
      </c>
      <c r="F546" s="131"/>
      <c r="G546" s="85" t="s">
        <v>792</v>
      </c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93" t="str">
        <f t="shared" si="1"/>
        <v>/412/103-02</v>
      </c>
      <c r="B547" s="80" t="str">
        <f>IFERROR(__xludf.DUMMYFUNCTION("CONCATENATE(VLOOKUP(C547,'Storage Locations'!$A:$C,2,FALSE),"" "",VLOOKUP(C547,'Storage Locations'!$A:$C,3,FALSE),"" || "",$E547, IF(G547 = ""Yes"",CONCATENATE("" "", REGEXREPLACE(RIGHT(A547,2), ""^0+"","""")),""""), IF(ISBLANK(F547),"""",CONCATENATE("": "&amp;""", F547)))"),"Project Area 3 Desk || Floor")</f>
        <v>Project Area 3 Desk || Floor</v>
      </c>
      <c r="C547" s="117" t="s">
        <v>951</v>
      </c>
      <c r="D547" s="86">
        <v>2.0</v>
      </c>
      <c r="E547" s="83" t="s">
        <v>922</v>
      </c>
      <c r="F547" s="131"/>
      <c r="G547" s="85" t="s">
        <v>792</v>
      </c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95" t="str">
        <f t="shared" si="1"/>
        <v>/412/104-01</v>
      </c>
      <c r="B548" s="80" t="str">
        <f>IFERROR(__xludf.DUMMYFUNCTION("CONCATENATE(VLOOKUP(C548,'Storage Locations'!$A:$C,2,FALSE),"" "",VLOOKUP(C548,'Storage Locations'!$A:$C,3,FALSE),"" || "",$E548, IF(G548 = ""Yes"",CONCATENATE("" "", REGEXREPLACE(RIGHT(A548,2), ""^0+"","""")),""""), IF(ISBLANK(F548),"""",CONCATENATE("": "&amp;""", F548)))"),"Project Area 4 Desk || Top")</f>
        <v>Project Area 4 Desk || Top</v>
      </c>
      <c r="C548" s="118" t="s">
        <v>952</v>
      </c>
      <c r="D548" s="82">
        <v>1.0</v>
      </c>
      <c r="E548" s="83" t="s">
        <v>790</v>
      </c>
      <c r="F548" s="131"/>
      <c r="G548" s="85" t="s">
        <v>792</v>
      </c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95" t="str">
        <f t="shared" si="1"/>
        <v>/412/104-02</v>
      </c>
      <c r="B549" s="80" t="str">
        <f>IFERROR(__xludf.DUMMYFUNCTION("CONCATENATE(VLOOKUP(C549,'Storage Locations'!$A:$C,2,FALSE),"" "",VLOOKUP(C549,'Storage Locations'!$A:$C,3,FALSE),"" || "",$E549, IF(G549 = ""Yes"",CONCATENATE("" "", REGEXREPLACE(RIGHT(A549,2), ""^0+"","""")),""""), IF(ISBLANK(F549),"""",CONCATENATE("": "&amp;""", F549)))"),"Project Area 4 Desk || Floor")</f>
        <v>Project Area 4 Desk || Floor</v>
      </c>
      <c r="C549" s="118" t="s">
        <v>952</v>
      </c>
      <c r="D549" s="86">
        <v>2.0</v>
      </c>
      <c r="E549" s="83" t="s">
        <v>922</v>
      </c>
      <c r="F549" s="131"/>
      <c r="G549" s="85" t="s">
        <v>792</v>
      </c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97" t="str">
        <f t="shared" si="1"/>
        <v>/412/105-01</v>
      </c>
      <c r="B550" s="80" t="str">
        <f>IFERROR(__xludf.DUMMYFUNCTION("CONCATENATE(VLOOKUP(C550,'Storage Locations'!$A:$C,2,FALSE),"" "",VLOOKUP(C550,'Storage Locations'!$A:$C,3,FALSE),"" || "",$E550, IF(G550 = ""Yes"",CONCATENATE("" "", REGEXREPLACE(RIGHT(A550,2), ""^0+"","""")),""""), IF(ISBLANK(F550),"""",CONCATENATE("": "&amp;""", F550)))"),"Project Area 5 Desk || Top")</f>
        <v>Project Area 5 Desk || Top</v>
      </c>
      <c r="C550" s="119" t="s">
        <v>953</v>
      </c>
      <c r="D550" s="82">
        <v>1.0</v>
      </c>
      <c r="E550" s="83" t="s">
        <v>790</v>
      </c>
      <c r="F550" s="131"/>
      <c r="G550" s="85" t="s">
        <v>792</v>
      </c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97" t="str">
        <f t="shared" si="1"/>
        <v>/412/105-02</v>
      </c>
      <c r="B551" s="80" t="str">
        <f>IFERROR(__xludf.DUMMYFUNCTION("CONCATENATE(VLOOKUP(C551,'Storage Locations'!$A:$C,2,FALSE),"" "",VLOOKUP(C551,'Storage Locations'!$A:$C,3,FALSE),"" || "",$E551, IF(G551 = ""Yes"",CONCATENATE("" "", REGEXREPLACE(RIGHT(A551,2), ""^0+"","""")),""""), IF(ISBLANK(F551),"""",CONCATENATE("": "&amp;""", F551)))"),"Project Area 5 Desk || Floor")</f>
        <v>Project Area 5 Desk || Floor</v>
      </c>
      <c r="C551" s="119" t="s">
        <v>953</v>
      </c>
      <c r="D551" s="86">
        <v>2.0</v>
      </c>
      <c r="E551" s="83" t="s">
        <v>922</v>
      </c>
      <c r="F551" s="131"/>
      <c r="G551" s="85" t="s">
        <v>792</v>
      </c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04" t="str">
        <f t="shared" si="1"/>
        <v>/412/106-01</v>
      </c>
      <c r="B552" s="80" t="str">
        <f>IFERROR(__xludf.DUMMYFUNCTION("CONCATENATE(VLOOKUP(C552,'Storage Locations'!$A:$C,2,FALSE),"" "",VLOOKUP(C552,'Storage Locations'!$A:$C,3,FALSE),"" || "",$E552, IF(G552 = ""Yes"",CONCATENATE("" "", REGEXREPLACE(RIGHT(A552,2), ""^0+"","""")),""""), IF(ISBLANK(F552),"""",CONCATENATE("": "&amp;""", F552)))"),"Project Area 6 Desk || Top")</f>
        <v>Project Area 6 Desk || Top</v>
      </c>
      <c r="C552" s="123" t="s">
        <v>954</v>
      </c>
      <c r="D552" s="82">
        <v>1.0</v>
      </c>
      <c r="E552" s="83" t="s">
        <v>790</v>
      </c>
      <c r="F552" s="131"/>
      <c r="G552" s="85" t="s">
        <v>792</v>
      </c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04" t="str">
        <f t="shared" si="1"/>
        <v>/412/106-02</v>
      </c>
      <c r="B553" s="80" t="str">
        <f>IFERROR(__xludf.DUMMYFUNCTION("CONCATENATE(VLOOKUP(C553,'Storage Locations'!$A:$C,2,FALSE),"" "",VLOOKUP(C553,'Storage Locations'!$A:$C,3,FALSE),"" || "",$E553, IF(G553 = ""Yes"",CONCATENATE("" "", REGEXREPLACE(RIGHT(A553,2), ""^0+"","""")),""""), IF(ISBLANK(F553),"""",CONCATENATE("": "&amp;""", F553)))"),"Project Area 6 Desk || Floor")</f>
        <v>Project Area 6 Desk || Floor</v>
      </c>
      <c r="C553" s="123" t="s">
        <v>954</v>
      </c>
      <c r="D553" s="86">
        <v>2.0</v>
      </c>
      <c r="E553" s="83" t="s">
        <v>922</v>
      </c>
      <c r="F553" s="131"/>
      <c r="G553" s="85" t="s">
        <v>792</v>
      </c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11" t="str">
        <f t="shared" si="1"/>
        <v>/412/107-01</v>
      </c>
      <c r="B554" s="80" t="str">
        <f>IFERROR(__xludf.DUMMYFUNCTION("CONCATENATE(VLOOKUP(C554,'Storage Locations'!$A:$C,2,FALSE),"" "",VLOOKUP(C554,'Storage Locations'!$A:$C,3,FALSE),"" || "",$E554, IF(G554 = ""Yes"",CONCATENATE("" "", REGEXREPLACE(RIGHT(A554,2), ""^0+"","""")),""""), IF(ISBLANK(F554),"""",CONCATENATE("": "&amp;""", F554)))"),"Corner Desk Desk || Top")</f>
        <v>Corner Desk Desk || Top</v>
      </c>
      <c r="C554" s="124" t="s">
        <v>955</v>
      </c>
      <c r="D554" s="82">
        <v>1.0</v>
      </c>
      <c r="E554" s="83" t="s">
        <v>790</v>
      </c>
      <c r="F554" s="131"/>
      <c r="G554" s="85" t="s">
        <v>792</v>
      </c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11" t="str">
        <f t="shared" si="1"/>
        <v>/412/107-02</v>
      </c>
      <c r="B555" s="80" t="str">
        <f>IFERROR(__xludf.DUMMYFUNCTION("CONCATENATE(VLOOKUP(C555,'Storage Locations'!$A:$C,2,FALSE),"" "",VLOOKUP(C555,'Storage Locations'!$A:$C,3,FALSE),"" || "",$E555, IF(G555 = ""Yes"",CONCATENATE("" "", REGEXREPLACE(RIGHT(A555,2), ""^0+"","""")),""""), IF(ISBLANK(F555),"""",CONCATENATE("": "&amp;""", F555)))"),"Corner Desk Desk || Floor")</f>
        <v>Corner Desk Desk || Floor</v>
      </c>
      <c r="C555" s="124" t="s">
        <v>955</v>
      </c>
      <c r="D555" s="86">
        <v>2.0</v>
      </c>
      <c r="E555" s="83" t="s">
        <v>922</v>
      </c>
      <c r="F555" s="131"/>
      <c r="G555" s="85" t="s">
        <v>792</v>
      </c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13" t="str">
        <f t="shared" si="1"/>
        <v>/412/108-01</v>
      </c>
      <c r="B556" s="80" t="str">
        <f>IFERROR(__xludf.DUMMYFUNCTION("CONCATENATE(VLOOKUP(C556,'Storage Locations'!$A:$C,2,FALSE),"" "",VLOOKUP(C556,'Storage Locations'!$A:$C,3,FALSE),"" || "",$E556, IF(G556 = ""Yes"",CONCATENATE("" "", REGEXREPLACE(RIGHT(A556,2), ""^0+"","""")),""""), IF(ISBLANK(F556),"""",CONCATENATE("": "&amp;""", F556)))"),"Teaching Materials Drawer Unit || Drawer 1: Robotics Kit Motors, Sensors and Accessories")</f>
        <v>Teaching Materials Drawer Unit || Drawer 1: Robotics Kit Motors, Sensors and Accessories</v>
      </c>
      <c r="C556" s="133" t="s">
        <v>956</v>
      </c>
      <c r="D556" s="82">
        <v>1.0</v>
      </c>
      <c r="E556" s="83" t="s">
        <v>862</v>
      </c>
      <c r="F556" s="84" t="s">
        <v>957</v>
      </c>
      <c r="G556" s="85" t="s">
        <v>785</v>
      </c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13" t="str">
        <f t="shared" si="1"/>
        <v>/412/108-02</v>
      </c>
      <c r="B557" s="80" t="str">
        <f>IFERROR(__xludf.DUMMYFUNCTION("CONCATENATE(VLOOKUP(C557,'Storage Locations'!$A:$C,2,FALSE),"" "",VLOOKUP(C557,'Storage Locations'!$A:$C,3,FALSE),"" || "",$E557, IF(G557 = ""Yes"",CONCATENATE("" "", REGEXREPLACE(RIGHT(A557,2), ""^0+"","""")),""""), IF(ISBLANK(F557),"""",CONCATENATE("": "&amp;""", F557)))"),"Teaching Materials Drawer Unit || Drawer 2: Servomotors and Bearings")</f>
        <v>Teaching Materials Drawer Unit || Drawer 2: Servomotors and Bearings</v>
      </c>
      <c r="C557" s="133" t="s">
        <v>956</v>
      </c>
      <c r="D557" s="86">
        <v>2.0</v>
      </c>
      <c r="E557" s="83" t="s">
        <v>862</v>
      </c>
      <c r="F557" s="84" t="s">
        <v>958</v>
      </c>
      <c r="G557" s="85" t="s">
        <v>785</v>
      </c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13" t="str">
        <f t="shared" si="1"/>
        <v>/412/108-03</v>
      </c>
      <c r="B558" s="80" t="str">
        <f>IFERROR(__xludf.DUMMYFUNCTION("CONCATENATE(VLOOKUP(C558,'Storage Locations'!$A:$C,2,FALSE),"" "",VLOOKUP(C558,'Storage Locations'!$A:$C,3,FALSE),"" || "",$E558, IF(G558 = ""Yes"",CONCATENATE("" "", REGEXREPLACE(RIGHT(A558,2), ""^0+"","""")),""""), IF(ISBLANK(F558),"""",CONCATENATE("": "&amp;""", F558)))"),"Teaching Materials Drawer Unit || Drawer 3: Raspberry Pi Boards, Cameras and Accesories")</f>
        <v>Teaching Materials Drawer Unit || Drawer 3: Raspberry Pi Boards, Cameras and Accesories</v>
      </c>
      <c r="C558" s="133" t="s">
        <v>956</v>
      </c>
      <c r="D558" s="87">
        <v>3.0</v>
      </c>
      <c r="E558" s="83" t="s">
        <v>862</v>
      </c>
      <c r="F558" s="84" t="s">
        <v>959</v>
      </c>
      <c r="G558" s="85" t="s">
        <v>785</v>
      </c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13" t="str">
        <f t="shared" si="1"/>
        <v>/412/108-04</v>
      </c>
      <c r="B559" s="80" t="str">
        <f>IFERROR(__xludf.DUMMYFUNCTION("CONCATENATE(VLOOKUP(C559,'Storage Locations'!$A:$C,2,FALSE),"" "",VLOOKUP(C559,'Storage Locations'!$A:$C,3,FALSE),"" || "",$E559, IF(G559 = ""Yes"",CONCATENATE("" "", REGEXREPLACE(RIGHT(A559,2), ""^0+"","""")),""""), IF(ISBLANK(F559),"""",CONCATENATE("": "&amp;""", F559)))"),"Teaching Materials Drawer Unit || Drawer 4: ARBs and Arduinos")</f>
        <v>Teaching Materials Drawer Unit || Drawer 4: ARBs and Arduinos</v>
      </c>
      <c r="C559" s="133" t="s">
        <v>956</v>
      </c>
      <c r="D559" s="88">
        <v>4.0</v>
      </c>
      <c r="E559" s="83" t="s">
        <v>862</v>
      </c>
      <c r="F559" s="84" t="s">
        <v>960</v>
      </c>
      <c r="G559" s="85" t="s">
        <v>785</v>
      </c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13" t="str">
        <f t="shared" si="1"/>
        <v>/412/108-05</v>
      </c>
      <c r="B560" s="80" t="str">
        <f>IFERROR(__xludf.DUMMYFUNCTION("CONCATENATE(VLOOKUP(C560,'Storage Locations'!$A:$C,2,FALSE),"" "",VLOOKUP(C560,'Storage Locations'!$A:$C,3,FALSE),"" || "",$E560, IF(G560 = ""Yes"",CONCATENATE("" "", REGEXREPLACE(RIGHT(A560,2), ""^0+"","""")),""""), IF(ISBLANK(F560),"""",CONCATENATE("": "&amp;""", F560)))"),"Teaching Materials Drawer Unit || Top")</f>
        <v>Teaching Materials Drawer Unit || Top</v>
      </c>
      <c r="C560" s="133" t="s">
        <v>956</v>
      </c>
      <c r="D560" s="89">
        <v>5.0</v>
      </c>
      <c r="E560" s="83" t="s">
        <v>790</v>
      </c>
      <c r="F560" s="131"/>
      <c r="G560" s="85" t="s">
        <v>792</v>
      </c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5" t="str">
        <f t="shared" si="1"/>
        <v>/412/109-01</v>
      </c>
      <c r="B561" s="80" t="str">
        <f>IFERROR(__xludf.DUMMYFUNCTION("CONCATENATE(VLOOKUP(C561,'Storage Locations'!$A:$C,2,FALSE),"" "",VLOOKUP(C561,'Storage Locations'!$A:$C,3,FALSE),"" || "",$E561, IF(G561 = ""Yes"",CONCATENATE("" "", REGEXREPLACE(RIGHT(A561,2), ""^0+"","""")),""""), IF(ISBLANK(F561),"""",CONCATENATE("": "&amp;""", F561)))"),"Research Materials Drawer Unit || Drawer 1")</f>
        <v>Research Materials Drawer Unit || Drawer 1</v>
      </c>
      <c r="C561" s="134" t="s">
        <v>961</v>
      </c>
      <c r="D561" s="82">
        <v>1.0</v>
      </c>
      <c r="E561" s="83" t="s">
        <v>862</v>
      </c>
      <c r="F561" s="120"/>
      <c r="G561" s="85" t="s">
        <v>785</v>
      </c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5" t="str">
        <f t="shared" si="1"/>
        <v>/412/109-02</v>
      </c>
      <c r="B562" s="80" t="str">
        <f>IFERROR(__xludf.DUMMYFUNCTION("CONCATENATE(VLOOKUP(C562,'Storage Locations'!$A:$C,2,FALSE),"" "",VLOOKUP(C562,'Storage Locations'!$A:$C,3,FALSE),"" || "",$E562, IF(G562 = ""Yes"",CONCATENATE("" "", REGEXREPLACE(RIGHT(A562,2), ""^0+"","""")),""""), IF(ISBLANK(F562),"""",CONCATENATE("": "&amp;""", F562)))"),"Research Materials Drawer Unit || Drawer 2")</f>
        <v>Research Materials Drawer Unit || Drawer 2</v>
      </c>
      <c r="C562" s="134" t="s">
        <v>961</v>
      </c>
      <c r="D562" s="86">
        <v>2.0</v>
      </c>
      <c r="E562" s="83" t="s">
        <v>862</v>
      </c>
      <c r="F562" s="120"/>
      <c r="G562" s="85" t="s">
        <v>785</v>
      </c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5" t="str">
        <f t="shared" si="1"/>
        <v>/412/109-03</v>
      </c>
      <c r="B563" s="80" t="str">
        <f>IFERROR(__xludf.DUMMYFUNCTION("CONCATENATE(VLOOKUP(C563,'Storage Locations'!$A:$C,2,FALSE),"" "",VLOOKUP(C563,'Storage Locations'!$A:$C,3,FALSE),"" || "",$E563, IF(G563 = ""Yes"",CONCATENATE("" "", REGEXREPLACE(RIGHT(A563,2), ""^0+"","""")),""""), IF(ISBLANK(F563),"""",CONCATENATE("": "&amp;""", F563)))"),"Research Materials Drawer Unit || Drawer 3")</f>
        <v>Research Materials Drawer Unit || Drawer 3</v>
      </c>
      <c r="C563" s="134" t="s">
        <v>961</v>
      </c>
      <c r="D563" s="87">
        <v>3.0</v>
      </c>
      <c r="E563" s="83" t="s">
        <v>862</v>
      </c>
      <c r="F563" s="120"/>
      <c r="G563" s="85" t="s">
        <v>785</v>
      </c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5" t="str">
        <f t="shared" si="1"/>
        <v>/412/109-04</v>
      </c>
      <c r="B564" s="80" t="str">
        <f>IFERROR(__xludf.DUMMYFUNCTION("CONCATENATE(VLOOKUP(C564,'Storage Locations'!$A:$C,2,FALSE),"" "",VLOOKUP(C564,'Storage Locations'!$A:$C,3,FALSE),"" || "",$E564, IF(G564 = ""Yes"",CONCATENATE("" "", REGEXREPLACE(RIGHT(A564,2), ""^0+"","""")),""""), IF(ISBLANK(F564),"""",CONCATENATE("": "&amp;""", F564)))"),"Research Materials Drawer Unit || Drawer 4")</f>
        <v>Research Materials Drawer Unit || Drawer 4</v>
      </c>
      <c r="C564" s="134" t="s">
        <v>961</v>
      </c>
      <c r="D564" s="88">
        <v>4.0</v>
      </c>
      <c r="E564" s="83" t="s">
        <v>862</v>
      </c>
      <c r="F564" s="120"/>
      <c r="G564" s="85" t="s">
        <v>785</v>
      </c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5" t="str">
        <f t="shared" si="1"/>
        <v>/412/109-05</v>
      </c>
      <c r="B565" s="80" t="str">
        <f>IFERROR(__xludf.DUMMYFUNCTION("CONCATENATE(VLOOKUP(C565,'Storage Locations'!$A:$C,2,FALSE),"" "",VLOOKUP(C565,'Storage Locations'!$A:$C,3,FALSE),"" || "",$E565, IF(G565 = ""Yes"",CONCATENATE("" "", REGEXREPLACE(RIGHT(A565,2), ""^0+"","""")),""""), IF(ISBLANK(F565),"""",CONCATENATE("": "&amp;""", F565)))"),"Research Materials Drawer Unit || Top")</f>
        <v>Research Materials Drawer Unit || Top</v>
      </c>
      <c r="C565" s="134" t="s">
        <v>961</v>
      </c>
      <c r="D565" s="89">
        <v>5.0</v>
      </c>
      <c r="E565" s="83" t="s">
        <v>790</v>
      </c>
      <c r="F565" s="131"/>
      <c r="G565" s="85" t="s">
        <v>792</v>
      </c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79" t="str">
        <f t="shared" si="1"/>
        <v>/412/201-01</v>
      </c>
      <c r="B566" s="80" t="str">
        <f>IFERROR(__xludf.DUMMYFUNCTION("CONCATENATE(VLOOKUP(C566,'Storage Locations'!$A:$C,2,FALSE),"" "",VLOOKUP(C566,'Storage Locations'!$A:$C,3,FALSE),"" || "",$E566, IF(G566 = ""Yes"",CONCATENATE("" "", REGEXREPLACE(RIGHT(A566,2), ""^0+"","""")),""""), IF(ISBLANK(F566),"""",CONCATENATE("": "&amp;""", F566)))"),"Mike's Office Desk Desk || Top")</f>
        <v>Mike's Office Desk Desk || Top</v>
      </c>
      <c r="C566" s="81" t="s">
        <v>962</v>
      </c>
      <c r="D566" s="82">
        <v>1.0</v>
      </c>
      <c r="E566" s="83" t="s">
        <v>790</v>
      </c>
      <c r="F566" s="84"/>
      <c r="G566" s="85" t="s">
        <v>792</v>
      </c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79" t="str">
        <f t="shared" si="1"/>
        <v>/412/201-02</v>
      </c>
      <c r="B567" s="80" t="str">
        <f>IFERROR(__xludf.DUMMYFUNCTION("CONCATENATE(VLOOKUP(C567,'Storage Locations'!$A:$C,2,FALSE),"" "",VLOOKUP(C567,'Storage Locations'!$A:$C,3,FALSE),"" || "",$E567, IF(G567 = ""Yes"",CONCATENATE("" "", REGEXREPLACE(RIGHT(A567,2), ""^0+"","""")),""""), IF(ISBLANK(F567),"""",CONCATENATE("": "&amp;""", F567)))"),"Mike's Office Desk Desk || Floor")</f>
        <v>Mike's Office Desk Desk || Floor</v>
      </c>
      <c r="C567" s="81" t="s">
        <v>962</v>
      </c>
      <c r="D567" s="86">
        <v>2.0</v>
      </c>
      <c r="E567" s="83" t="s">
        <v>922</v>
      </c>
      <c r="F567" s="131"/>
      <c r="G567" s="85" t="s">
        <v>792</v>
      </c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91" t="str">
        <f t="shared" si="1"/>
        <v>/412/202-01</v>
      </c>
      <c r="B568" s="80" t="str">
        <f>IFERROR(__xludf.DUMMYFUNCTION("CONCATENATE(VLOOKUP(C568,'Storage Locations'!$A:$C,2,FALSE),"" "",VLOOKUP(C568,'Storage Locations'!$A:$C,3,FALSE),"" || "",$E568, IF(G568 = ""Yes"",CONCATENATE("" "", REGEXREPLACE(RIGHT(A568,2), ""^0+"","""")),""""), IF(ISBLANK(F568),"""",CONCATENATE("": "&amp;""", F568)))"),"Mike's Office Drawers 1 Drawer Unit || Drawer 1")</f>
        <v>Mike's Office Drawers 1 Drawer Unit || Drawer 1</v>
      </c>
      <c r="C568" s="92" t="s">
        <v>963</v>
      </c>
      <c r="D568" s="82">
        <v>1.0</v>
      </c>
      <c r="E568" s="83" t="s">
        <v>862</v>
      </c>
      <c r="F568" s="120"/>
      <c r="G568" s="85" t="s">
        <v>785</v>
      </c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91" t="str">
        <f t="shared" si="1"/>
        <v>/412/202-02</v>
      </c>
      <c r="B569" s="80" t="str">
        <f>IFERROR(__xludf.DUMMYFUNCTION("CONCATENATE(VLOOKUP(C569,'Storage Locations'!$A:$C,2,FALSE),"" "",VLOOKUP(C569,'Storage Locations'!$A:$C,3,FALSE),"" || "",$E569, IF(G569 = ""Yes"",CONCATENATE("" "", REGEXREPLACE(RIGHT(A569,2), ""^0+"","""")),""""), IF(ISBLANK(F569),"""",CONCATENATE("": "&amp;""", F569)))"),"Mike's Office Drawers 1 Drawer Unit || Drawer 2")</f>
        <v>Mike's Office Drawers 1 Drawer Unit || Drawer 2</v>
      </c>
      <c r="C569" s="92" t="s">
        <v>963</v>
      </c>
      <c r="D569" s="86">
        <v>2.0</v>
      </c>
      <c r="E569" s="83" t="s">
        <v>862</v>
      </c>
      <c r="F569" s="120"/>
      <c r="G569" s="85" t="s">
        <v>785</v>
      </c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91" t="str">
        <f t="shared" si="1"/>
        <v>/412/202-03</v>
      </c>
      <c r="B570" s="80" t="str">
        <f>IFERROR(__xludf.DUMMYFUNCTION("CONCATENATE(VLOOKUP(C570,'Storage Locations'!$A:$C,2,FALSE),"" "",VLOOKUP(C570,'Storage Locations'!$A:$C,3,FALSE),"" || "",$E570, IF(G570 = ""Yes"",CONCATENATE("" "", REGEXREPLACE(RIGHT(A570,2), ""^0+"","""")),""""), IF(ISBLANK(F570),"""",CONCATENATE("": "&amp;""", F570)))"),"Mike's Office Drawers 1 Drawer Unit || Drawer 3")</f>
        <v>Mike's Office Drawers 1 Drawer Unit || Drawer 3</v>
      </c>
      <c r="C570" s="92" t="s">
        <v>963</v>
      </c>
      <c r="D570" s="87">
        <v>3.0</v>
      </c>
      <c r="E570" s="83" t="s">
        <v>862</v>
      </c>
      <c r="F570" s="120"/>
      <c r="G570" s="85" t="s">
        <v>785</v>
      </c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91" t="str">
        <f t="shared" si="1"/>
        <v>/412/202-04</v>
      </c>
      <c r="B571" s="80" t="str">
        <f>IFERROR(__xludf.DUMMYFUNCTION("CONCATENATE(VLOOKUP(C571,'Storage Locations'!$A:$C,2,FALSE),"" "",VLOOKUP(C571,'Storage Locations'!$A:$C,3,FALSE),"" || "",$E571, IF(G571 = ""Yes"",CONCATENATE("" "", REGEXREPLACE(RIGHT(A571,2), ""^0+"","""")),""""), IF(ISBLANK(F571),"""",CONCATENATE("": "&amp;""", F571)))"),"Mike's Office Drawers 1 Drawer Unit || Top")</f>
        <v>Mike's Office Drawers 1 Drawer Unit || Top</v>
      </c>
      <c r="C571" s="92" t="s">
        <v>963</v>
      </c>
      <c r="D571" s="88">
        <v>4.0</v>
      </c>
      <c r="E571" s="83" t="s">
        <v>790</v>
      </c>
      <c r="F571" s="131"/>
      <c r="G571" s="85" t="s">
        <v>792</v>
      </c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93" t="str">
        <f t="shared" si="1"/>
        <v>/412/203-01</v>
      </c>
      <c r="B572" s="80" t="str">
        <f>IFERROR(__xludf.DUMMYFUNCTION("CONCATENATE(VLOOKUP(C572,'Storage Locations'!$A:$C,2,FALSE),"" "",VLOOKUP(C572,'Storage Locations'!$A:$C,3,FALSE),"" || "",$E572, IF(G572 = ""Yes"",CONCATENATE("" "", REGEXREPLACE(RIGHT(A572,2), ""^0+"","""")),""""), IF(ISBLANK(F572),"""",CONCATENATE("": "&amp;""", F572)))"),"Mike's Office Drawers 2 Drawer Unit || Drawer 1")</f>
        <v>Mike's Office Drawers 2 Drawer Unit || Drawer 1</v>
      </c>
      <c r="C572" s="94" t="s">
        <v>964</v>
      </c>
      <c r="D572" s="82">
        <v>1.0</v>
      </c>
      <c r="E572" s="83" t="s">
        <v>862</v>
      </c>
      <c r="F572" s="120"/>
      <c r="G572" s="85" t="s">
        <v>785</v>
      </c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93" t="str">
        <f t="shared" si="1"/>
        <v>/412/203-02</v>
      </c>
      <c r="B573" s="80" t="str">
        <f>IFERROR(__xludf.DUMMYFUNCTION("CONCATENATE(VLOOKUP(C573,'Storage Locations'!$A:$C,2,FALSE),"" "",VLOOKUP(C573,'Storage Locations'!$A:$C,3,FALSE),"" || "",$E573, IF(G573 = ""Yes"",CONCATENATE("" "", REGEXREPLACE(RIGHT(A573,2), ""^0+"","""")),""""), IF(ISBLANK(F573),"""",CONCATENATE("": "&amp;""", F573)))"),"Mike's Office Drawers 2 Drawer Unit || Drawer 2")</f>
        <v>Mike's Office Drawers 2 Drawer Unit || Drawer 2</v>
      </c>
      <c r="C573" s="94" t="s">
        <v>964</v>
      </c>
      <c r="D573" s="86">
        <v>2.0</v>
      </c>
      <c r="E573" s="83" t="s">
        <v>862</v>
      </c>
      <c r="F573" s="120"/>
      <c r="G573" s="85" t="s">
        <v>785</v>
      </c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93" t="str">
        <f t="shared" si="1"/>
        <v>/412/203-03</v>
      </c>
      <c r="B574" s="80" t="str">
        <f>IFERROR(__xludf.DUMMYFUNCTION("CONCATENATE(VLOOKUP(C574,'Storage Locations'!$A:$C,2,FALSE),"" "",VLOOKUP(C574,'Storage Locations'!$A:$C,3,FALSE),"" || "",$E574, IF(G574 = ""Yes"",CONCATENATE("" "", REGEXREPLACE(RIGHT(A574,2), ""^0+"","""")),""""), IF(ISBLANK(F574),"""",CONCATENATE("": "&amp;""", F574)))"),"Mike's Office Drawers 2 Drawer Unit || Drawer 3")</f>
        <v>Mike's Office Drawers 2 Drawer Unit || Drawer 3</v>
      </c>
      <c r="C574" s="94" t="s">
        <v>964</v>
      </c>
      <c r="D574" s="87">
        <v>3.0</v>
      </c>
      <c r="E574" s="83" t="s">
        <v>862</v>
      </c>
      <c r="F574" s="120"/>
      <c r="G574" s="85" t="s">
        <v>785</v>
      </c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93" t="str">
        <f t="shared" si="1"/>
        <v>/412/203-04</v>
      </c>
      <c r="B575" s="80" t="str">
        <f>IFERROR(__xludf.DUMMYFUNCTION("CONCATENATE(VLOOKUP(C575,'Storage Locations'!$A:$C,2,FALSE),"" "",VLOOKUP(C575,'Storage Locations'!$A:$C,3,FALSE),"" || "",$E575, IF(G575 = ""Yes"",CONCATENATE("" "", REGEXREPLACE(RIGHT(A575,2), ""^0+"","""")),""""), IF(ISBLANK(F575),"""",CONCATENATE("": "&amp;""", F575)))"),"Mike's Office Drawers 2 Drawer Unit || Top")</f>
        <v>Mike's Office Drawers 2 Drawer Unit || Top</v>
      </c>
      <c r="C575" s="94" t="s">
        <v>964</v>
      </c>
      <c r="D575" s="88">
        <v>4.0</v>
      </c>
      <c r="E575" s="83" t="s">
        <v>790</v>
      </c>
      <c r="F575" s="131"/>
      <c r="G575" s="85" t="s">
        <v>792</v>
      </c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95" t="str">
        <f t="shared" si="1"/>
        <v>/412/204-01</v>
      </c>
      <c r="B576" s="80" t="str">
        <f>IFERROR(__xludf.DUMMYFUNCTION("CONCATENATE(VLOOKUP(C576,'Storage Locations'!$A:$C,2,FALSE),"" "",VLOOKUP(C576,'Storage Locations'!$A:$C,3,FALSE),"" || "",$E576, IF(G576 = ""Yes"",CONCATENATE("" "", REGEXREPLACE(RIGHT(A576,2), ""^0+"","""")),""""), IF(ISBLANK(F576),"""",CONCATENATE("": "&amp;""", F576)))"),"Jonathan's Office Desk Desk || Top")</f>
        <v>Jonathan's Office Desk Desk || Top</v>
      </c>
      <c r="C576" s="96" t="s">
        <v>965</v>
      </c>
      <c r="D576" s="82">
        <v>1.0</v>
      </c>
      <c r="E576" s="83" t="s">
        <v>790</v>
      </c>
      <c r="F576" s="131"/>
      <c r="G576" s="85" t="s">
        <v>792</v>
      </c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95" t="str">
        <f t="shared" si="1"/>
        <v>/412/204-02</v>
      </c>
      <c r="B577" s="80" t="str">
        <f>IFERROR(__xludf.DUMMYFUNCTION("CONCATENATE(VLOOKUP(C577,'Storage Locations'!$A:$C,2,FALSE),"" "",VLOOKUP(C577,'Storage Locations'!$A:$C,3,FALSE),"" || "",$E577, IF(G577 = ""Yes"",CONCATENATE("" "", REGEXREPLACE(RIGHT(A577,2), ""^0+"","""")),""""), IF(ISBLANK(F577),"""",CONCATENATE("": "&amp;""", F577)))"),"Jonathan's Office Desk Desk || Floor")</f>
        <v>Jonathan's Office Desk Desk || Floor</v>
      </c>
      <c r="C577" s="96" t="s">
        <v>965</v>
      </c>
      <c r="D577" s="86">
        <v>2.0</v>
      </c>
      <c r="E577" s="83" t="s">
        <v>922</v>
      </c>
      <c r="F577" s="84"/>
      <c r="G577" s="85" t="s">
        <v>792</v>
      </c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97" t="str">
        <f t="shared" si="1"/>
        <v>/412/205-01</v>
      </c>
      <c r="B578" s="80" t="str">
        <f>IFERROR(__xludf.DUMMYFUNCTION("CONCATENATE(VLOOKUP(C578,'Storage Locations'!$A:$C,2,FALSE),"" "",VLOOKUP(C578,'Storage Locations'!$A:$C,3,FALSE),"" || "",$E578, IF(G578 = ""Yes"",CONCATENATE("" "", REGEXREPLACE(RIGHT(A578,2), ""^0+"","""")),""""), IF(ISBLANK(F578),"""",CONCATENATE("": "&amp;""", F578)))"),"Jonathan's Office Drawers Drawer Unit || Drawer 1")</f>
        <v>Jonathan's Office Drawers Drawer Unit || Drawer 1</v>
      </c>
      <c r="C578" s="98" t="s">
        <v>966</v>
      </c>
      <c r="D578" s="82">
        <v>1.0</v>
      </c>
      <c r="E578" s="83" t="s">
        <v>862</v>
      </c>
      <c r="F578" s="120"/>
      <c r="G578" s="85" t="s">
        <v>785</v>
      </c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97" t="str">
        <f t="shared" si="1"/>
        <v>/412/205-02</v>
      </c>
      <c r="B579" s="80" t="str">
        <f>IFERROR(__xludf.DUMMYFUNCTION("CONCATENATE(VLOOKUP(C579,'Storage Locations'!$A:$C,2,FALSE),"" "",VLOOKUP(C579,'Storage Locations'!$A:$C,3,FALSE),"" || "",$E579, IF(G579 = ""Yes"",CONCATENATE("" "", REGEXREPLACE(RIGHT(A579,2), ""^0+"","""")),""""), IF(ISBLANK(F579),"""",CONCATENATE("": "&amp;""", F579)))"),"Jonathan's Office Drawers Drawer Unit || Drawer 2")</f>
        <v>Jonathan's Office Drawers Drawer Unit || Drawer 2</v>
      </c>
      <c r="C579" s="98" t="s">
        <v>966</v>
      </c>
      <c r="D579" s="86">
        <v>2.0</v>
      </c>
      <c r="E579" s="83" t="s">
        <v>862</v>
      </c>
      <c r="F579" s="120"/>
      <c r="G579" s="85" t="s">
        <v>785</v>
      </c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97" t="str">
        <f t="shared" si="1"/>
        <v>/412/205-03</v>
      </c>
      <c r="B580" s="80" t="str">
        <f>IFERROR(__xludf.DUMMYFUNCTION("CONCATENATE(VLOOKUP(C580,'Storage Locations'!$A:$C,2,FALSE),"" "",VLOOKUP(C580,'Storage Locations'!$A:$C,3,FALSE),"" || "",$E580, IF(G580 = ""Yes"",CONCATENATE("" "", REGEXREPLACE(RIGHT(A580,2), ""^0+"","""")),""""), IF(ISBLANK(F580),"""",CONCATENATE("": "&amp;""", F580)))"),"Jonathan's Office Drawers Drawer Unit || Drawer 3")</f>
        <v>Jonathan's Office Drawers Drawer Unit || Drawer 3</v>
      </c>
      <c r="C580" s="98" t="s">
        <v>966</v>
      </c>
      <c r="D580" s="87">
        <v>3.0</v>
      </c>
      <c r="E580" s="83" t="s">
        <v>862</v>
      </c>
      <c r="F580" s="120"/>
      <c r="G580" s="85" t="s">
        <v>785</v>
      </c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97" t="str">
        <f t="shared" si="1"/>
        <v>/412/205-04</v>
      </c>
      <c r="B581" s="80" t="str">
        <f>IFERROR(__xludf.DUMMYFUNCTION("CONCATENATE(VLOOKUP(C581,'Storage Locations'!$A:$C,2,FALSE),"" "",VLOOKUP(C581,'Storage Locations'!$A:$C,3,FALSE),"" || "",$E581, IF(G581 = ""Yes"",CONCATENATE("" "", REGEXREPLACE(RIGHT(A581,2), ""^0+"","""")),""""), IF(ISBLANK(F581),"""",CONCATENATE("": "&amp;""", F581)))"),"Jonathan's Office Drawers Drawer Unit || Top")</f>
        <v>Jonathan's Office Drawers Drawer Unit || Top</v>
      </c>
      <c r="C581" s="98" t="s">
        <v>966</v>
      </c>
      <c r="D581" s="88">
        <v>4.0</v>
      </c>
      <c r="E581" s="83" t="s">
        <v>790</v>
      </c>
      <c r="F581" s="131"/>
      <c r="G581" s="85" t="s">
        <v>792</v>
      </c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04" t="str">
        <f t="shared" si="1"/>
        <v>/412/206-01</v>
      </c>
      <c r="B582" s="80" t="str">
        <f>IFERROR(__xludf.DUMMYFUNCTION("CONCATENATE(VLOOKUP(C582,'Storage Locations'!$A:$C,2,FALSE),"" "",VLOOKUP(C582,'Storage Locations'!$A:$C,3,FALSE),"" || "",$E582, IF(G582 = ""Yes"",CONCATENATE("" "", REGEXREPLACE(RIGHT(A582,2), ""^0+"","""")),""""), IF(ISBLANK(F582),"""",CONCATENATE("": "&amp;""", F582)))"),"Alejandro's Office Desk Desk || Top")</f>
        <v>Alejandro's Office Desk Desk || Top</v>
      </c>
      <c r="C582" s="105" t="s">
        <v>967</v>
      </c>
      <c r="D582" s="82">
        <v>1.0</v>
      </c>
      <c r="E582" s="83" t="s">
        <v>790</v>
      </c>
      <c r="F582" s="131"/>
      <c r="G582" s="85" t="s">
        <v>792</v>
      </c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04" t="str">
        <f t="shared" si="1"/>
        <v>/412/206-02</v>
      </c>
      <c r="B583" s="80" t="str">
        <f>IFERROR(__xludf.DUMMYFUNCTION("CONCATENATE(VLOOKUP(C583,'Storage Locations'!$A:$C,2,FALSE),"" "",VLOOKUP(C583,'Storage Locations'!$A:$C,3,FALSE),"" || "",$E583, IF(G583 = ""Yes"",CONCATENATE("" "", REGEXREPLACE(RIGHT(A583,2), ""^0+"","""")),""""), IF(ISBLANK(F583),"""",CONCATENATE("": "&amp;""", F583)))"),"Alejandro's Office Desk Desk || Floor")</f>
        <v>Alejandro's Office Desk Desk || Floor</v>
      </c>
      <c r="C583" s="105" t="s">
        <v>967</v>
      </c>
      <c r="D583" s="86">
        <v>2.0</v>
      </c>
      <c r="E583" s="83" t="s">
        <v>922</v>
      </c>
      <c r="F583" s="84"/>
      <c r="G583" s="85" t="s">
        <v>792</v>
      </c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11" t="str">
        <f t="shared" si="1"/>
        <v>/412/207-01</v>
      </c>
      <c r="B584" s="80" t="str">
        <f>IFERROR(__xludf.DUMMYFUNCTION("CONCATENATE(VLOOKUP(C584,'Storage Locations'!$A:$C,2,FALSE),"" "",VLOOKUP(C584,'Storage Locations'!$A:$C,3,FALSE),"" || "",$E584, IF(G584 = ""Yes"",CONCATENATE("" "", REGEXREPLACE(RIGHT(A584,2), ""^0+"","""")),""""), IF(ISBLANK(F584),"""",CONCATENATE("": "&amp;""", F584)))"),"Alejandro's Office Drawers Drawer Unit || Drawer 1")</f>
        <v>Alejandro's Office Drawers Drawer Unit || Drawer 1</v>
      </c>
      <c r="C584" s="112" t="s">
        <v>968</v>
      </c>
      <c r="D584" s="82">
        <v>1.0</v>
      </c>
      <c r="E584" s="83" t="s">
        <v>862</v>
      </c>
      <c r="F584" s="120"/>
      <c r="G584" s="85" t="s">
        <v>785</v>
      </c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11" t="str">
        <f t="shared" si="1"/>
        <v>/412/207-02</v>
      </c>
      <c r="B585" s="80" t="str">
        <f>IFERROR(__xludf.DUMMYFUNCTION("CONCATENATE(VLOOKUP(C585,'Storage Locations'!$A:$C,2,FALSE),"" "",VLOOKUP(C585,'Storage Locations'!$A:$C,3,FALSE),"" || "",$E585, IF(G585 = ""Yes"",CONCATENATE("" "", REGEXREPLACE(RIGHT(A585,2), ""^0+"","""")),""""), IF(ISBLANK(F585),"""",CONCATENATE("": "&amp;""", F585)))"),"Alejandro's Office Drawers Drawer Unit || Drawer 2")</f>
        <v>Alejandro's Office Drawers Drawer Unit || Drawer 2</v>
      </c>
      <c r="C585" s="112" t="s">
        <v>968</v>
      </c>
      <c r="D585" s="86">
        <v>2.0</v>
      </c>
      <c r="E585" s="83" t="s">
        <v>862</v>
      </c>
      <c r="F585" s="120"/>
      <c r="G585" s="85" t="s">
        <v>785</v>
      </c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11" t="str">
        <f t="shared" si="1"/>
        <v>/412/207-03</v>
      </c>
      <c r="B586" s="80" t="str">
        <f>IFERROR(__xludf.DUMMYFUNCTION("CONCATENATE(VLOOKUP(C586,'Storage Locations'!$A:$C,2,FALSE),"" "",VLOOKUP(C586,'Storage Locations'!$A:$C,3,FALSE),"" || "",$E586, IF(G586 = ""Yes"",CONCATENATE("" "", REGEXREPLACE(RIGHT(A586,2), ""^0+"","""")),""""), IF(ISBLANK(F586),"""",CONCATENATE("": "&amp;""", F586)))"),"Alejandro's Office Drawers Drawer Unit || Drawer 3")</f>
        <v>Alejandro's Office Drawers Drawer Unit || Drawer 3</v>
      </c>
      <c r="C586" s="112" t="s">
        <v>968</v>
      </c>
      <c r="D586" s="87">
        <v>3.0</v>
      </c>
      <c r="E586" s="83" t="s">
        <v>862</v>
      </c>
      <c r="F586" s="120"/>
      <c r="G586" s="85" t="s">
        <v>785</v>
      </c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11" t="str">
        <f t="shared" si="1"/>
        <v>/412/207-04</v>
      </c>
      <c r="B587" s="80" t="str">
        <f>IFERROR(__xludf.DUMMYFUNCTION("CONCATENATE(VLOOKUP(C587,'Storage Locations'!$A:$C,2,FALSE),"" "",VLOOKUP(C587,'Storage Locations'!$A:$C,3,FALSE),"" || "",$E587, IF(G587 = ""Yes"",CONCATENATE("" "", REGEXREPLACE(RIGHT(A587,2), ""^0+"","""")),""""), IF(ISBLANK(F587),"""",CONCATENATE("": "&amp;""", F587)))"),"Alejandro's Office Drawers Drawer Unit || Top")</f>
        <v>Alejandro's Office Drawers Drawer Unit || Top</v>
      </c>
      <c r="C587" s="112" t="s">
        <v>968</v>
      </c>
      <c r="D587" s="88">
        <v>4.0</v>
      </c>
      <c r="E587" s="83" t="s">
        <v>790</v>
      </c>
      <c r="F587" s="131"/>
      <c r="G587" s="85" t="s">
        <v>792</v>
      </c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35"/>
      <c r="B588" s="136"/>
      <c r="C588" s="137"/>
      <c r="D588" s="138"/>
      <c r="E588" s="12"/>
      <c r="F588" s="72"/>
      <c r="G588" s="136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35"/>
      <c r="B589" s="136"/>
      <c r="C589" s="137"/>
      <c r="D589" s="138"/>
      <c r="E589" s="12"/>
      <c r="F589" s="72"/>
      <c r="G589" s="136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35"/>
      <c r="B590" s="136"/>
      <c r="C590" s="137"/>
      <c r="D590" s="138"/>
      <c r="E590" s="12"/>
      <c r="F590" s="72"/>
      <c r="G590" s="136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35"/>
      <c r="B591" s="136"/>
      <c r="C591" s="137"/>
      <c r="D591" s="138"/>
      <c r="E591" s="12"/>
      <c r="F591" s="72"/>
      <c r="G591" s="136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35"/>
      <c r="B592" s="136"/>
      <c r="C592" s="137"/>
      <c r="D592" s="138"/>
      <c r="E592" s="12"/>
      <c r="F592" s="72"/>
      <c r="G592" s="136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35"/>
      <c r="B593" s="136"/>
      <c r="C593" s="137"/>
      <c r="D593" s="138"/>
      <c r="E593" s="12"/>
      <c r="F593" s="72"/>
      <c r="G593" s="136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35"/>
      <c r="B594" s="136"/>
      <c r="C594" s="137"/>
      <c r="D594" s="138"/>
      <c r="E594" s="12"/>
      <c r="F594" s="72"/>
      <c r="G594" s="136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35"/>
      <c r="B595" s="136"/>
      <c r="C595" s="137"/>
      <c r="D595" s="138"/>
      <c r="E595" s="12"/>
      <c r="F595" s="72"/>
      <c r="G595" s="136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35"/>
      <c r="B596" s="136"/>
      <c r="C596" s="137"/>
      <c r="D596" s="138"/>
      <c r="E596" s="12"/>
      <c r="F596" s="72"/>
      <c r="G596" s="136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35"/>
      <c r="B597" s="136"/>
      <c r="C597" s="137"/>
      <c r="D597" s="138"/>
      <c r="E597" s="12"/>
      <c r="F597" s="72"/>
      <c r="G597" s="136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35"/>
      <c r="B598" s="136"/>
      <c r="C598" s="137"/>
      <c r="D598" s="138"/>
      <c r="E598" s="12"/>
      <c r="F598" s="72"/>
      <c r="G598" s="136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35"/>
      <c r="B599" s="136"/>
      <c r="C599" s="137"/>
      <c r="D599" s="138"/>
      <c r="E599" s="12"/>
      <c r="F599" s="72"/>
      <c r="G599" s="136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35"/>
      <c r="B600" s="136"/>
      <c r="C600" s="137"/>
      <c r="D600" s="138"/>
      <c r="E600" s="12"/>
      <c r="F600" s="72"/>
      <c r="G600" s="136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35"/>
      <c r="B601" s="136"/>
      <c r="C601" s="137"/>
      <c r="D601" s="138"/>
      <c r="E601" s="12"/>
      <c r="F601" s="72"/>
      <c r="G601" s="136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35"/>
      <c r="B602" s="136"/>
      <c r="C602" s="137"/>
      <c r="D602" s="138"/>
      <c r="E602" s="12"/>
      <c r="F602" s="72"/>
      <c r="G602" s="136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35"/>
      <c r="B603" s="136"/>
      <c r="C603" s="137"/>
      <c r="D603" s="138"/>
      <c r="E603" s="12"/>
      <c r="F603" s="72"/>
      <c r="G603" s="136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35"/>
      <c r="B604" s="136"/>
      <c r="C604" s="137"/>
      <c r="D604" s="138"/>
      <c r="E604" s="12"/>
      <c r="F604" s="72"/>
      <c r="G604" s="136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35"/>
      <c r="B605" s="136"/>
      <c r="C605" s="137"/>
      <c r="D605" s="138"/>
      <c r="E605" s="12"/>
      <c r="F605" s="72"/>
      <c r="G605" s="136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35"/>
      <c r="B606" s="136"/>
      <c r="C606" s="137"/>
      <c r="D606" s="138"/>
      <c r="E606" s="12"/>
      <c r="F606" s="72"/>
      <c r="G606" s="136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35"/>
      <c r="B607" s="136"/>
      <c r="C607" s="137"/>
      <c r="D607" s="138"/>
      <c r="E607" s="12"/>
      <c r="F607" s="72"/>
      <c r="G607" s="136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35"/>
      <c r="B608" s="136"/>
      <c r="C608" s="137"/>
      <c r="D608" s="138"/>
      <c r="E608" s="12"/>
      <c r="F608" s="72"/>
      <c r="G608" s="136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35"/>
      <c r="B609" s="136"/>
      <c r="C609" s="137"/>
      <c r="D609" s="138"/>
      <c r="E609" s="12"/>
      <c r="F609" s="72"/>
      <c r="G609" s="136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35"/>
      <c r="B610" s="136"/>
      <c r="C610" s="137"/>
      <c r="D610" s="138"/>
      <c r="E610" s="12"/>
      <c r="F610" s="72"/>
      <c r="G610" s="136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35"/>
      <c r="B611" s="136"/>
      <c r="C611" s="137"/>
      <c r="D611" s="138"/>
      <c r="E611" s="12"/>
      <c r="F611" s="72"/>
      <c r="G611" s="136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35"/>
      <c r="B612" s="136"/>
      <c r="C612" s="137"/>
      <c r="D612" s="138"/>
      <c r="E612" s="12"/>
      <c r="F612" s="72"/>
      <c r="G612" s="136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35"/>
      <c r="B613" s="136"/>
      <c r="C613" s="137"/>
      <c r="D613" s="138"/>
      <c r="E613" s="12"/>
      <c r="F613" s="72"/>
      <c r="G613" s="136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35"/>
      <c r="B614" s="136"/>
      <c r="C614" s="137"/>
      <c r="D614" s="138"/>
      <c r="E614" s="12"/>
      <c r="F614" s="72"/>
      <c r="G614" s="136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35"/>
      <c r="B615" s="136"/>
      <c r="C615" s="137"/>
      <c r="D615" s="138"/>
      <c r="E615" s="12"/>
      <c r="F615" s="72"/>
      <c r="G615" s="136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35"/>
      <c r="B616" s="136"/>
      <c r="C616" s="137"/>
      <c r="D616" s="138"/>
      <c r="E616" s="12"/>
      <c r="F616" s="72"/>
      <c r="G616" s="136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35"/>
      <c r="B617" s="136"/>
      <c r="C617" s="137"/>
      <c r="D617" s="138"/>
      <c r="E617" s="12"/>
      <c r="F617" s="72"/>
      <c r="G617" s="136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35"/>
      <c r="B618" s="136"/>
      <c r="C618" s="137"/>
      <c r="D618" s="138"/>
      <c r="E618" s="12"/>
      <c r="F618" s="72"/>
      <c r="G618" s="136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35"/>
      <c r="B619" s="136"/>
      <c r="C619" s="137"/>
      <c r="D619" s="138"/>
      <c r="E619" s="12"/>
      <c r="F619" s="72"/>
      <c r="G619" s="136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35"/>
      <c r="B620" s="136"/>
      <c r="C620" s="137"/>
      <c r="D620" s="138"/>
      <c r="E620" s="12"/>
      <c r="F620" s="72"/>
      <c r="G620" s="136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35"/>
      <c r="B621" s="136"/>
      <c r="C621" s="137"/>
      <c r="D621" s="138"/>
      <c r="E621" s="12"/>
      <c r="F621" s="72"/>
      <c r="G621" s="136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35"/>
      <c r="B622" s="136"/>
      <c r="C622" s="137"/>
      <c r="D622" s="138"/>
      <c r="E622" s="12"/>
      <c r="F622" s="72"/>
      <c r="G622" s="136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35"/>
      <c r="B623" s="136"/>
      <c r="C623" s="137"/>
      <c r="D623" s="138"/>
      <c r="E623" s="12"/>
      <c r="F623" s="72"/>
      <c r="G623" s="136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35"/>
      <c r="B624" s="136"/>
      <c r="C624" s="137"/>
      <c r="D624" s="138"/>
      <c r="E624" s="12"/>
      <c r="F624" s="72"/>
      <c r="G624" s="136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35"/>
      <c r="B625" s="136"/>
      <c r="C625" s="137"/>
      <c r="D625" s="138"/>
      <c r="E625" s="12"/>
      <c r="F625" s="72"/>
      <c r="G625" s="136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35"/>
      <c r="B626" s="136"/>
      <c r="C626" s="137"/>
      <c r="D626" s="138"/>
      <c r="E626" s="12"/>
      <c r="F626" s="72"/>
      <c r="G626" s="136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35"/>
      <c r="B627" s="136"/>
      <c r="C627" s="137"/>
      <c r="D627" s="138"/>
      <c r="E627" s="12"/>
      <c r="F627" s="72"/>
      <c r="G627" s="136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35"/>
      <c r="B628" s="136"/>
      <c r="C628" s="137"/>
      <c r="D628" s="138"/>
      <c r="E628" s="12"/>
      <c r="F628" s="72"/>
      <c r="G628" s="136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35"/>
      <c r="B629" s="136"/>
      <c r="C629" s="137"/>
      <c r="D629" s="138"/>
      <c r="E629" s="12"/>
      <c r="F629" s="72"/>
      <c r="G629" s="136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35"/>
      <c r="B630" s="136"/>
      <c r="C630" s="137"/>
      <c r="D630" s="138"/>
      <c r="E630" s="12"/>
      <c r="F630" s="72"/>
      <c r="G630" s="136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35"/>
      <c r="B631" s="136"/>
      <c r="C631" s="137"/>
      <c r="D631" s="138"/>
      <c r="E631" s="12"/>
      <c r="F631" s="72"/>
      <c r="G631" s="136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35"/>
      <c r="B632" s="136"/>
      <c r="C632" s="137"/>
      <c r="D632" s="138"/>
      <c r="E632" s="12"/>
      <c r="F632" s="72"/>
      <c r="G632" s="136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35"/>
      <c r="B633" s="136"/>
      <c r="C633" s="137"/>
      <c r="D633" s="138"/>
      <c r="E633" s="12"/>
      <c r="F633" s="72"/>
      <c r="G633" s="136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35"/>
      <c r="B634" s="136"/>
      <c r="C634" s="137"/>
      <c r="D634" s="138"/>
      <c r="E634" s="12"/>
      <c r="F634" s="72"/>
      <c r="G634" s="136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35"/>
      <c r="B635" s="136"/>
      <c r="C635" s="137"/>
      <c r="D635" s="138"/>
      <c r="E635" s="12"/>
      <c r="F635" s="72"/>
      <c r="G635" s="136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35"/>
      <c r="B636" s="136"/>
      <c r="C636" s="137"/>
      <c r="D636" s="138"/>
      <c r="E636" s="12"/>
      <c r="F636" s="72"/>
      <c r="G636" s="136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35"/>
      <c r="B637" s="136"/>
      <c r="C637" s="137"/>
      <c r="D637" s="138"/>
      <c r="E637" s="12"/>
      <c r="F637" s="72"/>
      <c r="G637" s="136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35"/>
      <c r="B638" s="136"/>
      <c r="C638" s="137"/>
      <c r="D638" s="138"/>
      <c r="E638" s="12"/>
      <c r="F638" s="72"/>
      <c r="G638" s="136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35"/>
      <c r="B639" s="136"/>
      <c r="C639" s="137"/>
      <c r="D639" s="138"/>
      <c r="E639" s="12"/>
      <c r="F639" s="72"/>
      <c r="G639" s="136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35"/>
      <c r="B640" s="136"/>
      <c r="C640" s="137"/>
      <c r="D640" s="138"/>
      <c r="E640" s="12"/>
      <c r="F640" s="72"/>
      <c r="G640" s="136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35"/>
      <c r="B641" s="136"/>
      <c r="C641" s="137"/>
      <c r="D641" s="138"/>
      <c r="E641" s="12"/>
      <c r="F641" s="72"/>
      <c r="G641" s="136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35"/>
      <c r="B642" s="136"/>
      <c r="C642" s="137"/>
      <c r="D642" s="138"/>
      <c r="E642" s="12"/>
      <c r="F642" s="72"/>
      <c r="G642" s="136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35"/>
      <c r="B643" s="136"/>
      <c r="C643" s="137"/>
      <c r="D643" s="138"/>
      <c r="E643" s="12"/>
      <c r="F643" s="72"/>
      <c r="G643" s="136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35"/>
      <c r="B644" s="136"/>
      <c r="C644" s="137"/>
      <c r="D644" s="138"/>
      <c r="E644" s="12"/>
      <c r="F644" s="72"/>
      <c r="G644" s="136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35"/>
      <c r="B645" s="136"/>
      <c r="C645" s="137"/>
      <c r="D645" s="138"/>
      <c r="E645" s="12"/>
      <c r="F645" s="72"/>
      <c r="G645" s="136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35"/>
      <c r="B646" s="136"/>
      <c r="C646" s="137"/>
      <c r="D646" s="138"/>
      <c r="E646" s="12"/>
      <c r="F646" s="72"/>
      <c r="G646" s="136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35"/>
      <c r="B647" s="136"/>
      <c r="C647" s="137"/>
      <c r="D647" s="138"/>
      <c r="E647" s="12"/>
      <c r="F647" s="72"/>
      <c r="G647" s="136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35"/>
      <c r="B648" s="136"/>
      <c r="C648" s="137"/>
      <c r="D648" s="138"/>
      <c r="E648" s="12"/>
      <c r="F648" s="72"/>
      <c r="G648" s="136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35"/>
      <c r="B649" s="136"/>
      <c r="C649" s="137"/>
      <c r="D649" s="138"/>
      <c r="E649" s="12"/>
      <c r="F649" s="72"/>
      <c r="G649" s="136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35"/>
      <c r="B650" s="136"/>
      <c r="C650" s="137"/>
      <c r="D650" s="138"/>
      <c r="E650" s="12"/>
      <c r="F650" s="72"/>
      <c r="G650" s="136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35"/>
      <c r="B651" s="136"/>
      <c r="C651" s="137"/>
      <c r="D651" s="138"/>
      <c r="E651" s="12"/>
      <c r="F651" s="72"/>
      <c r="G651" s="136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35"/>
      <c r="B652" s="136"/>
      <c r="C652" s="137"/>
      <c r="D652" s="138"/>
      <c r="E652" s="12"/>
      <c r="F652" s="72"/>
      <c r="G652" s="136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35"/>
      <c r="B653" s="136"/>
      <c r="C653" s="137"/>
      <c r="D653" s="138"/>
      <c r="E653" s="12"/>
      <c r="F653" s="72"/>
      <c r="G653" s="136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35"/>
      <c r="B654" s="136"/>
      <c r="C654" s="137"/>
      <c r="D654" s="138"/>
      <c r="E654" s="12"/>
      <c r="F654" s="72"/>
      <c r="G654" s="136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35"/>
      <c r="B655" s="136"/>
      <c r="C655" s="137"/>
      <c r="D655" s="138"/>
      <c r="E655" s="12"/>
      <c r="F655" s="72"/>
      <c r="G655" s="136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35"/>
      <c r="B656" s="136"/>
      <c r="C656" s="137"/>
      <c r="D656" s="138"/>
      <c r="E656" s="12"/>
      <c r="F656" s="72"/>
      <c r="G656" s="136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35"/>
      <c r="B657" s="136"/>
      <c r="C657" s="137"/>
      <c r="D657" s="138"/>
      <c r="E657" s="12"/>
      <c r="F657" s="72"/>
      <c r="G657" s="136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35"/>
      <c r="B658" s="136"/>
      <c r="C658" s="137"/>
      <c r="D658" s="138"/>
      <c r="E658" s="12"/>
      <c r="F658" s="72"/>
      <c r="G658" s="136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35"/>
      <c r="B659" s="136"/>
      <c r="C659" s="137"/>
      <c r="D659" s="138"/>
      <c r="E659" s="12"/>
      <c r="F659" s="72"/>
      <c r="G659" s="136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35"/>
      <c r="B660" s="136"/>
      <c r="C660" s="137"/>
      <c r="D660" s="138"/>
      <c r="E660" s="12"/>
      <c r="F660" s="72"/>
      <c r="G660" s="136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35"/>
      <c r="B661" s="136"/>
      <c r="C661" s="137"/>
      <c r="D661" s="138"/>
      <c r="E661" s="12"/>
      <c r="F661" s="72"/>
      <c r="G661" s="136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35"/>
      <c r="B662" s="136"/>
      <c r="C662" s="137"/>
      <c r="D662" s="138"/>
      <c r="E662" s="12"/>
      <c r="F662" s="72"/>
      <c r="G662" s="136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35"/>
      <c r="B663" s="136"/>
      <c r="C663" s="137"/>
      <c r="D663" s="138"/>
      <c r="E663" s="12"/>
      <c r="F663" s="72"/>
      <c r="G663" s="136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35"/>
      <c r="B664" s="136"/>
      <c r="C664" s="137"/>
      <c r="D664" s="138"/>
      <c r="E664" s="12"/>
      <c r="F664" s="72"/>
      <c r="G664" s="136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35"/>
      <c r="B665" s="136"/>
      <c r="C665" s="137"/>
      <c r="D665" s="138"/>
      <c r="E665" s="12"/>
      <c r="F665" s="72"/>
      <c r="G665" s="136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35"/>
      <c r="B666" s="136"/>
      <c r="C666" s="137"/>
      <c r="D666" s="138"/>
      <c r="E666" s="12"/>
      <c r="F666" s="72"/>
      <c r="G666" s="136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35"/>
      <c r="B667" s="136"/>
      <c r="C667" s="137"/>
      <c r="D667" s="138"/>
      <c r="E667" s="12"/>
      <c r="F667" s="72"/>
      <c r="G667" s="136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35"/>
      <c r="B668" s="136"/>
      <c r="C668" s="137"/>
      <c r="D668" s="138"/>
      <c r="E668" s="12"/>
      <c r="F668" s="72"/>
      <c r="G668" s="136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35"/>
      <c r="B669" s="136"/>
      <c r="C669" s="137"/>
      <c r="D669" s="138"/>
      <c r="E669" s="12"/>
      <c r="F669" s="72"/>
      <c r="G669" s="136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35"/>
      <c r="B670" s="136"/>
      <c r="C670" s="137"/>
      <c r="D670" s="138"/>
      <c r="E670" s="12"/>
      <c r="F670" s="72"/>
      <c r="G670" s="136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35"/>
      <c r="B671" s="136"/>
      <c r="C671" s="137"/>
      <c r="D671" s="138"/>
      <c r="E671" s="12"/>
      <c r="F671" s="72"/>
      <c r="G671" s="136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35"/>
      <c r="B672" s="136"/>
      <c r="C672" s="137"/>
      <c r="D672" s="138"/>
      <c r="E672" s="12"/>
      <c r="F672" s="72"/>
      <c r="G672" s="136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35"/>
      <c r="B673" s="136"/>
      <c r="C673" s="137"/>
      <c r="D673" s="138"/>
      <c r="E673" s="12"/>
      <c r="F673" s="72"/>
      <c r="G673" s="136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35"/>
      <c r="B674" s="136"/>
      <c r="C674" s="137"/>
      <c r="D674" s="138"/>
      <c r="E674" s="12"/>
      <c r="F674" s="72"/>
      <c r="G674" s="136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35"/>
      <c r="B675" s="136"/>
      <c r="C675" s="137"/>
      <c r="D675" s="138"/>
      <c r="E675" s="12"/>
      <c r="F675" s="72"/>
      <c r="G675" s="136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35"/>
      <c r="B676" s="136"/>
      <c r="C676" s="137"/>
      <c r="D676" s="138"/>
      <c r="E676" s="12"/>
      <c r="F676" s="72"/>
      <c r="G676" s="136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35"/>
      <c r="B677" s="136"/>
      <c r="C677" s="137"/>
      <c r="D677" s="138"/>
      <c r="E677" s="12"/>
      <c r="F677" s="72"/>
      <c r="G677" s="136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35"/>
      <c r="B678" s="136"/>
      <c r="C678" s="137"/>
      <c r="D678" s="138"/>
      <c r="E678" s="12"/>
      <c r="F678" s="72"/>
      <c r="G678" s="136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35"/>
      <c r="B679" s="136"/>
      <c r="C679" s="137"/>
      <c r="D679" s="138"/>
      <c r="E679" s="12"/>
      <c r="F679" s="72"/>
      <c r="G679" s="136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35"/>
      <c r="B680" s="136"/>
      <c r="C680" s="137"/>
      <c r="D680" s="138"/>
      <c r="E680" s="12"/>
      <c r="F680" s="72"/>
      <c r="G680" s="136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35"/>
      <c r="B681" s="136"/>
      <c r="C681" s="137"/>
      <c r="D681" s="138"/>
      <c r="E681" s="12"/>
      <c r="F681" s="72"/>
      <c r="G681" s="136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35"/>
      <c r="B682" s="136"/>
      <c r="C682" s="137"/>
      <c r="D682" s="138"/>
      <c r="E682" s="12"/>
      <c r="F682" s="72"/>
      <c r="G682" s="136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35"/>
      <c r="B683" s="136"/>
      <c r="C683" s="137"/>
      <c r="D683" s="138"/>
      <c r="E683" s="12"/>
      <c r="F683" s="72"/>
      <c r="G683" s="136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35"/>
      <c r="B684" s="136"/>
      <c r="C684" s="137"/>
      <c r="D684" s="138"/>
      <c r="E684" s="12"/>
      <c r="F684" s="72"/>
      <c r="G684" s="136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35"/>
      <c r="B685" s="136"/>
      <c r="C685" s="137"/>
      <c r="D685" s="138"/>
      <c r="E685" s="12"/>
      <c r="F685" s="72"/>
      <c r="G685" s="136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35"/>
      <c r="B686" s="136"/>
      <c r="C686" s="137"/>
      <c r="D686" s="138"/>
      <c r="E686" s="12"/>
      <c r="F686" s="72"/>
      <c r="G686" s="136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35"/>
      <c r="B687" s="136"/>
      <c r="C687" s="137"/>
      <c r="D687" s="138"/>
      <c r="E687" s="12"/>
      <c r="F687" s="72"/>
      <c r="G687" s="136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35"/>
      <c r="B688" s="136"/>
      <c r="C688" s="137"/>
      <c r="D688" s="138"/>
      <c r="E688" s="12"/>
      <c r="F688" s="72"/>
      <c r="G688" s="136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35"/>
      <c r="B689" s="136"/>
      <c r="C689" s="137"/>
      <c r="D689" s="138"/>
      <c r="E689" s="12"/>
      <c r="F689" s="72"/>
      <c r="G689" s="136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35"/>
      <c r="B690" s="136"/>
      <c r="C690" s="137"/>
      <c r="D690" s="138"/>
      <c r="E690" s="12"/>
      <c r="F690" s="72"/>
      <c r="G690" s="136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35"/>
      <c r="B691" s="136"/>
      <c r="C691" s="137"/>
      <c r="D691" s="138"/>
      <c r="E691" s="12"/>
      <c r="F691" s="72"/>
      <c r="G691" s="136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35"/>
      <c r="B692" s="136"/>
      <c r="C692" s="137"/>
      <c r="D692" s="138"/>
      <c r="E692" s="12"/>
      <c r="F692" s="72"/>
      <c r="G692" s="136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35"/>
      <c r="B693" s="136"/>
      <c r="C693" s="137"/>
      <c r="D693" s="138"/>
      <c r="E693" s="12"/>
      <c r="F693" s="72"/>
      <c r="G693" s="136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35"/>
      <c r="B694" s="136"/>
      <c r="C694" s="137"/>
      <c r="D694" s="138"/>
      <c r="E694" s="12"/>
      <c r="F694" s="72"/>
      <c r="G694" s="136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35"/>
      <c r="B695" s="136"/>
      <c r="C695" s="137"/>
      <c r="D695" s="138"/>
      <c r="E695" s="12"/>
      <c r="F695" s="72"/>
      <c r="G695" s="136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35"/>
      <c r="B696" s="136"/>
      <c r="C696" s="137"/>
      <c r="D696" s="138"/>
      <c r="E696" s="12"/>
      <c r="F696" s="72"/>
      <c r="G696" s="136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35"/>
      <c r="B697" s="136"/>
      <c r="C697" s="137"/>
      <c r="D697" s="138"/>
      <c r="E697" s="12"/>
      <c r="F697" s="72"/>
      <c r="G697" s="136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35"/>
      <c r="B698" s="136"/>
      <c r="C698" s="137"/>
      <c r="D698" s="138"/>
      <c r="E698" s="12"/>
      <c r="F698" s="72"/>
      <c r="G698" s="136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35"/>
      <c r="B699" s="136"/>
      <c r="C699" s="137"/>
      <c r="D699" s="138"/>
      <c r="E699" s="12"/>
      <c r="F699" s="72"/>
      <c r="G699" s="136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35"/>
      <c r="B700" s="136"/>
      <c r="C700" s="137"/>
      <c r="D700" s="138"/>
      <c r="E700" s="12"/>
      <c r="F700" s="72"/>
      <c r="G700" s="136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35"/>
      <c r="B701" s="136"/>
      <c r="C701" s="137"/>
      <c r="D701" s="138"/>
      <c r="E701" s="12"/>
      <c r="F701" s="72"/>
      <c r="G701" s="136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35"/>
      <c r="B702" s="136"/>
      <c r="C702" s="137"/>
      <c r="D702" s="138"/>
      <c r="E702" s="12"/>
      <c r="F702" s="72"/>
      <c r="G702" s="136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35"/>
      <c r="B703" s="136"/>
      <c r="C703" s="137"/>
      <c r="D703" s="138"/>
      <c r="E703" s="12"/>
      <c r="F703" s="72"/>
      <c r="G703" s="136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35"/>
      <c r="B704" s="136"/>
      <c r="C704" s="137"/>
      <c r="D704" s="138"/>
      <c r="E704" s="12"/>
      <c r="F704" s="72"/>
      <c r="G704" s="136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35"/>
      <c r="B705" s="136"/>
      <c r="C705" s="137"/>
      <c r="D705" s="138"/>
      <c r="E705" s="12"/>
      <c r="F705" s="72"/>
      <c r="G705" s="136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35"/>
      <c r="B706" s="136"/>
      <c r="C706" s="137"/>
      <c r="D706" s="138"/>
      <c r="E706" s="12"/>
      <c r="F706" s="72"/>
      <c r="G706" s="136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35"/>
      <c r="B707" s="136"/>
      <c r="C707" s="137"/>
      <c r="D707" s="138"/>
      <c r="E707" s="12"/>
      <c r="F707" s="72"/>
      <c r="G707" s="136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35"/>
      <c r="B708" s="136"/>
      <c r="C708" s="137"/>
      <c r="D708" s="138"/>
      <c r="E708" s="12"/>
      <c r="F708" s="72"/>
      <c r="G708" s="136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35"/>
      <c r="B709" s="136"/>
      <c r="C709" s="137"/>
      <c r="D709" s="138"/>
      <c r="E709" s="12"/>
      <c r="F709" s="72"/>
      <c r="G709" s="136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35"/>
      <c r="B710" s="136"/>
      <c r="C710" s="137"/>
      <c r="D710" s="138"/>
      <c r="E710" s="12"/>
      <c r="F710" s="72"/>
      <c r="G710" s="136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35"/>
      <c r="B711" s="136"/>
      <c r="C711" s="137"/>
      <c r="D711" s="138"/>
      <c r="E711" s="12"/>
      <c r="F711" s="72"/>
      <c r="G711" s="136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35"/>
      <c r="B712" s="136"/>
      <c r="C712" s="137"/>
      <c r="D712" s="138"/>
      <c r="E712" s="12"/>
      <c r="F712" s="72"/>
      <c r="G712" s="136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35"/>
      <c r="B713" s="136"/>
      <c r="C713" s="137"/>
      <c r="D713" s="138"/>
      <c r="E713" s="12"/>
      <c r="F713" s="72"/>
      <c r="G713" s="136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35"/>
      <c r="B714" s="136"/>
      <c r="C714" s="137"/>
      <c r="D714" s="138"/>
      <c r="E714" s="12"/>
      <c r="F714" s="72"/>
      <c r="G714" s="136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35"/>
      <c r="B715" s="136"/>
      <c r="C715" s="137"/>
      <c r="D715" s="138"/>
      <c r="E715" s="12"/>
      <c r="F715" s="72"/>
      <c r="G715" s="136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35"/>
      <c r="B716" s="136"/>
      <c r="C716" s="137"/>
      <c r="D716" s="138"/>
      <c r="E716" s="12"/>
      <c r="F716" s="72"/>
      <c r="G716" s="136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35"/>
      <c r="B717" s="136"/>
      <c r="C717" s="137"/>
      <c r="D717" s="138"/>
      <c r="E717" s="12"/>
      <c r="F717" s="72"/>
      <c r="G717" s="136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35"/>
      <c r="B718" s="136"/>
      <c r="C718" s="137"/>
      <c r="D718" s="138"/>
      <c r="E718" s="12"/>
      <c r="F718" s="72"/>
      <c r="G718" s="136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35"/>
      <c r="B719" s="136"/>
      <c r="C719" s="137"/>
      <c r="D719" s="138"/>
      <c r="E719" s="12"/>
      <c r="F719" s="72"/>
      <c r="G719" s="136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35"/>
      <c r="B720" s="136"/>
      <c r="C720" s="137"/>
      <c r="D720" s="138"/>
      <c r="E720" s="12"/>
      <c r="F720" s="72"/>
      <c r="G720" s="136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35"/>
      <c r="B721" s="136"/>
      <c r="C721" s="137"/>
      <c r="D721" s="138"/>
      <c r="E721" s="12"/>
      <c r="F721" s="72"/>
      <c r="G721" s="136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35"/>
      <c r="B722" s="136"/>
      <c r="C722" s="137"/>
      <c r="D722" s="138"/>
      <c r="E722" s="12"/>
      <c r="F722" s="72"/>
      <c r="G722" s="136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35"/>
      <c r="B723" s="136"/>
      <c r="C723" s="137"/>
      <c r="D723" s="138"/>
      <c r="E723" s="12"/>
      <c r="F723" s="72"/>
      <c r="G723" s="136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35"/>
      <c r="B724" s="136"/>
      <c r="C724" s="137"/>
      <c r="D724" s="138"/>
      <c r="E724" s="12"/>
      <c r="F724" s="72"/>
      <c r="G724" s="136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35"/>
      <c r="B725" s="136"/>
      <c r="C725" s="137"/>
      <c r="D725" s="138"/>
      <c r="E725" s="12"/>
      <c r="F725" s="72"/>
      <c r="G725" s="136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35"/>
      <c r="B726" s="136"/>
      <c r="C726" s="137"/>
      <c r="D726" s="138"/>
      <c r="E726" s="12"/>
      <c r="F726" s="72"/>
      <c r="G726" s="136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35"/>
      <c r="B727" s="136"/>
      <c r="C727" s="137"/>
      <c r="D727" s="138"/>
      <c r="E727" s="12"/>
      <c r="F727" s="72"/>
      <c r="G727" s="136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35"/>
      <c r="B728" s="136"/>
      <c r="C728" s="137"/>
      <c r="D728" s="138"/>
      <c r="E728" s="12"/>
      <c r="F728" s="72"/>
      <c r="G728" s="136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35"/>
      <c r="B729" s="136"/>
      <c r="C729" s="137"/>
      <c r="D729" s="138"/>
      <c r="E729" s="12"/>
      <c r="F729" s="72"/>
      <c r="G729" s="136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35"/>
      <c r="B730" s="136"/>
      <c r="C730" s="137"/>
      <c r="D730" s="138"/>
      <c r="E730" s="12"/>
      <c r="F730" s="72"/>
      <c r="G730" s="136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35"/>
      <c r="B731" s="136"/>
      <c r="C731" s="137"/>
      <c r="D731" s="138"/>
      <c r="E731" s="12"/>
      <c r="F731" s="72"/>
      <c r="G731" s="136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35"/>
      <c r="B732" s="136"/>
      <c r="C732" s="137"/>
      <c r="D732" s="138"/>
      <c r="E732" s="12"/>
      <c r="F732" s="72"/>
      <c r="G732" s="136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35"/>
      <c r="B733" s="136"/>
      <c r="C733" s="137"/>
      <c r="D733" s="138"/>
      <c r="E733" s="12"/>
      <c r="F733" s="72"/>
      <c r="G733" s="136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35"/>
      <c r="B734" s="136"/>
      <c r="C734" s="137"/>
      <c r="D734" s="138"/>
      <c r="E734" s="12"/>
      <c r="F734" s="72"/>
      <c r="G734" s="136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35"/>
      <c r="B735" s="136"/>
      <c r="C735" s="137"/>
      <c r="D735" s="138"/>
      <c r="E735" s="12"/>
      <c r="F735" s="72"/>
      <c r="G735" s="136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35"/>
      <c r="B736" s="136"/>
      <c r="C736" s="137"/>
      <c r="D736" s="138"/>
      <c r="E736" s="12"/>
      <c r="F736" s="72"/>
      <c r="G736" s="136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35"/>
      <c r="B737" s="136"/>
      <c r="C737" s="137"/>
      <c r="D737" s="138"/>
      <c r="E737" s="12"/>
      <c r="F737" s="72"/>
      <c r="G737" s="136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35"/>
      <c r="B738" s="136"/>
      <c r="C738" s="137"/>
      <c r="D738" s="138"/>
      <c r="E738" s="12"/>
      <c r="F738" s="72"/>
      <c r="G738" s="136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35"/>
      <c r="B739" s="136"/>
      <c r="C739" s="137"/>
      <c r="D739" s="138"/>
      <c r="E739" s="12"/>
      <c r="F739" s="72"/>
      <c r="G739" s="136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35"/>
      <c r="B740" s="136"/>
      <c r="C740" s="137"/>
      <c r="D740" s="138"/>
      <c r="E740" s="12"/>
      <c r="F740" s="72"/>
      <c r="G740" s="136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35"/>
      <c r="B741" s="136"/>
      <c r="C741" s="137"/>
      <c r="D741" s="138"/>
      <c r="E741" s="12"/>
      <c r="F741" s="72"/>
      <c r="G741" s="136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35"/>
      <c r="B742" s="136"/>
      <c r="C742" s="137"/>
      <c r="D742" s="138"/>
      <c r="E742" s="12"/>
      <c r="F742" s="72"/>
      <c r="G742" s="136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35"/>
      <c r="B743" s="136"/>
      <c r="C743" s="137"/>
      <c r="D743" s="138"/>
      <c r="E743" s="12"/>
      <c r="F743" s="72"/>
      <c r="G743" s="136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35"/>
      <c r="B744" s="136"/>
      <c r="C744" s="137"/>
      <c r="D744" s="138"/>
      <c r="E744" s="12"/>
      <c r="F744" s="72"/>
      <c r="G744" s="136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35"/>
      <c r="B745" s="136"/>
      <c r="C745" s="137"/>
      <c r="D745" s="138"/>
      <c r="E745" s="12"/>
      <c r="F745" s="72"/>
      <c r="G745" s="136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35"/>
      <c r="B746" s="136"/>
      <c r="C746" s="137"/>
      <c r="D746" s="138"/>
      <c r="E746" s="12"/>
      <c r="F746" s="72"/>
      <c r="G746" s="136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35"/>
      <c r="B747" s="136"/>
      <c r="C747" s="137"/>
      <c r="D747" s="138"/>
      <c r="E747" s="12"/>
      <c r="F747" s="72"/>
      <c r="G747" s="136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35"/>
      <c r="B748" s="136"/>
      <c r="C748" s="137"/>
      <c r="D748" s="138"/>
      <c r="E748" s="12"/>
      <c r="F748" s="72"/>
      <c r="G748" s="136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35"/>
      <c r="B749" s="136"/>
      <c r="C749" s="137"/>
      <c r="D749" s="138"/>
      <c r="E749" s="12"/>
      <c r="F749" s="72"/>
      <c r="G749" s="136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35"/>
      <c r="B750" s="136"/>
      <c r="C750" s="137"/>
      <c r="D750" s="138"/>
      <c r="E750" s="12"/>
      <c r="F750" s="72"/>
      <c r="G750" s="136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35"/>
      <c r="B751" s="136"/>
      <c r="C751" s="137"/>
      <c r="D751" s="138"/>
      <c r="E751" s="12"/>
      <c r="F751" s="72"/>
      <c r="G751" s="136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35"/>
      <c r="B752" s="136"/>
      <c r="C752" s="137"/>
      <c r="D752" s="138"/>
      <c r="E752" s="12"/>
      <c r="F752" s="72"/>
      <c r="G752" s="136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35"/>
      <c r="B753" s="136"/>
      <c r="C753" s="137"/>
      <c r="D753" s="138"/>
      <c r="E753" s="12"/>
      <c r="F753" s="72"/>
      <c r="G753" s="136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35"/>
      <c r="B754" s="136"/>
      <c r="C754" s="137"/>
      <c r="D754" s="138"/>
      <c r="E754" s="12"/>
      <c r="F754" s="72"/>
      <c r="G754" s="136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35"/>
      <c r="B755" s="136"/>
      <c r="C755" s="137"/>
      <c r="D755" s="138"/>
      <c r="E755" s="12"/>
      <c r="F755" s="72"/>
      <c r="G755" s="136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35"/>
      <c r="B756" s="136"/>
      <c r="C756" s="137"/>
      <c r="D756" s="138"/>
      <c r="E756" s="12"/>
      <c r="F756" s="72"/>
      <c r="G756" s="136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35"/>
      <c r="B757" s="136"/>
      <c r="C757" s="137"/>
      <c r="D757" s="138"/>
      <c r="E757" s="12"/>
      <c r="F757" s="72"/>
      <c r="G757" s="136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35"/>
      <c r="B758" s="136"/>
      <c r="C758" s="137"/>
      <c r="D758" s="138"/>
      <c r="E758" s="12"/>
      <c r="F758" s="72"/>
      <c r="G758" s="136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35"/>
      <c r="B759" s="136"/>
      <c r="C759" s="137"/>
      <c r="D759" s="138"/>
      <c r="E759" s="12"/>
      <c r="F759" s="72"/>
      <c r="G759" s="136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35"/>
      <c r="B760" s="136"/>
      <c r="C760" s="137"/>
      <c r="D760" s="138"/>
      <c r="E760" s="12"/>
      <c r="F760" s="72"/>
      <c r="G760" s="136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35"/>
      <c r="B761" s="136"/>
      <c r="C761" s="137"/>
      <c r="D761" s="138"/>
      <c r="E761" s="12"/>
      <c r="F761" s="72"/>
      <c r="G761" s="136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35"/>
      <c r="B762" s="136"/>
      <c r="C762" s="137"/>
      <c r="D762" s="138"/>
      <c r="E762" s="12"/>
      <c r="F762" s="72"/>
      <c r="G762" s="136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35"/>
      <c r="B763" s="136"/>
      <c r="C763" s="137"/>
      <c r="D763" s="138"/>
      <c r="E763" s="12"/>
      <c r="F763" s="72"/>
      <c r="G763" s="136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35"/>
      <c r="B764" s="136"/>
      <c r="C764" s="137"/>
      <c r="D764" s="138"/>
      <c r="E764" s="12"/>
      <c r="F764" s="72"/>
      <c r="G764" s="136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35"/>
      <c r="B765" s="136"/>
      <c r="C765" s="137"/>
      <c r="D765" s="138"/>
      <c r="E765" s="12"/>
      <c r="F765" s="72"/>
      <c r="G765" s="136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35"/>
      <c r="B766" s="136"/>
      <c r="C766" s="137"/>
      <c r="D766" s="138"/>
      <c r="E766" s="12"/>
      <c r="F766" s="72"/>
      <c r="G766" s="136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35"/>
      <c r="B767" s="136"/>
      <c r="C767" s="137"/>
      <c r="D767" s="138"/>
      <c r="E767" s="12"/>
      <c r="F767" s="72"/>
      <c r="G767" s="136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35"/>
      <c r="B768" s="136"/>
      <c r="C768" s="137"/>
      <c r="D768" s="138"/>
      <c r="E768" s="12"/>
      <c r="F768" s="72"/>
      <c r="G768" s="136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35"/>
      <c r="B769" s="136"/>
      <c r="C769" s="137"/>
      <c r="D769" s="138"/>
      <c r="E769" s="12"/>
      <c r="F769" s="72"/>
      <c r="G769" s="136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35"/>
      <c r="B770" s="136"/>
      <c r="C770" s="137"/>
      <c r="D770" s="138"/>
      <c r="E770" s="12"/>
      <c r="F770" s="72"/>
      <c r="G770" s="136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35"/>
      <c r="B771" s="136"/>
      <c r="C771" s="137"/>
      <c r="D771" s="138"/>
      <c r="E771" s="12"/>
      <c r="F771" s="72"/>
      <c r="G771" s="136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35"/>
      <c r="B772" s="136"/>
      <c r="C772" s="137"/>
      <c r="D772" s="138"/>
      <c r="E772" s="12"/>
      <c r="F772" s="72"/>
      <c r="G772" s="136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35"/>
      <c r="B773" s="136"/>
      <c r="C773" s="137"/>
      <c r="D773" s="138"/>
      <c r="E773" s="12"/>
      <c r="F773" s="72"/>
      <c r="G773" s="136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35"/>
      <c r="B774" s="136"/>
      <c r="C774" s="137"/>
      <c r="D774" s="138"/>
      <c r="E774" s="12"/>
      <c r="F774" s="72"/>
      <c r="G774" s="136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35"/>
      <c r="B775" s="136"/>
      <c r="C775" s="137"/>
      <c r="D775" s="138"/>
      <c r="E775" s="12"/>
      <c r="F775" s="72"/>
      <c r="G775" s="136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35"/>
      <c r="B776" s="136"/>
      <c r="C776" s="137"/>
      <c r="D776" s="138"/>
      <c r="E776" s="12"/>
      <c r="F776" s="72"/>
      <c r="G776" s="136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35"/>
      <c r="B777" s="136"/>
      <c r="C777" s="137"/>
      <c r="D777" s="138"/>
      <c r="E777" s="12"/>
      <c r="F777" s="72"/>
      <c r="G777" s="136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35"/>
      <c r="B778" s="136"/>
      <c r="C778" s="137"/>
      <c r="D778" s="138"/>
      <c r="E778" s="12"/>
      <c r="F778" s="72"/>
      <c r="G778" s="136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35"/>
      <c r="B779" s="136"/>
      <c r="C779" s="137"/>
      <c r="D779" s="138"/>
      <c r="E779" s="12"/>
      <c r="F779" s="72"/>
      <c r="G779" s="136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35"/>
      <c r="B780" s="136"/>
      <c r="C780" s="137"/>
      <c r="D780" s="138"/>
      <c r="E780" s="12"/>
      <c r="F780" s="72"/>
      <c r="G780" s="136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35"/>
      <c r="B781" s="136"/>
      <c r="C781" s="137"/>
      <c r="D781" s="138"/>
      <c r="E781" s="12"/>
      <c r="F781" s="72"/>
      <c r="G781" s="136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35"/>
      <c r="B782" s="136"/>
      <c r="C782" s="137"/>
      <c r="D782" s="138"/>
      <c r="E782" s="12"/>
      <c r="F782" s="72"/>
      <c r="G782" s="136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35"/>
      <c r="B783" s="136"/>
      <c r="C783" s="137"/>
      <c r="D783" s="138"/>
      <c r="E783" s="12"/>
      <c r="F783" s="72"/>
      <c r="G783" s="136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35"/>
      <c r="B784" s="136"/>
      <c r="C784" s="137"/>
      <c r="D784" s="138"/>
      <c r="E784" s="12"/>
      <c r="F784" s="72"/>
      <c r="G784" s="136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35"/>
      <c r="B785" s="136"/>
      <c r="C785" s="137"/>
      <c r="D785" s="138"/>
      <c r="E785" s="12"/>
      <c r="F785" s="72"/>
      <c r="G785" s="136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35"/>
      <c r="B786" s="136"/>
      <c r="C786" s="137"/>
      <c r="D786" s="138"/>
      <c r="E786" s="12"/>
      <c r="F786" s="72"/>
      <c r="G786" s="136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35"/>
      <c r="B787" s="136"/>
      <c r="C787" s="137"/>
      <c r="D787" s="138"/>
      <c r="E787" s="12"/>
      <c r="F787" s="72"/>
      <c r="G787" s="136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35"/>
      <c r="B788" s="136"/>
      <c r="C788" s="137"/>
      <c r="D788" s="138"/>
      <c r="E788" s="12"/>
      <c r="F788" s="72"/>
      <c r="G788" s="136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35"/>
      <c r="B789" s="136"/>
      <c r="C789" s="137"/>
      <c r="D789" s="138"/>
      <c r="E789" s="12"/>
      <c r="F789" s="72"/>
      <c r="G789" s="136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35"/>
      <c r="B790" s="136"/>
      <c r="C790" s="137"/>
      <c r="D790" s="138"/>
      <c r="E790" s="12"/>
      <c r="F790" s="72"/>
      <c r="G790" s="136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35"/>
      <c r="B791" s="136"/>
      <c r="C791" s="137"/>
      <c r="D791" s="138"/>
      <c r="E791" s="12"/>
      <c r="F791" s="72"/>
      <c r="G791" s="136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35"/>
      <c r="B792" s="136"/>
      <c r="C792" s="137"/>
      <c r="D792" s="138"/>
      <c r="E792" s="12"/>
      <c r="F792" s="72"/>
      <c r="G792" s="136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35"/>
      <c r="B793" s="136"/>
      <c r="C793" s="137"/>
      <c r="D793" s="138"/>
      <c r="E793" s="12"/>
      <c r="F793" s="72"/>
      <c r="G793" s="136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35"/>
      <c r="B794" s="136"/>
      <c r="C794" s="137"/>
      <c r="D794" s="138"/>
      <c r="E794" s="12"/>
      <c r="F794" s="72"/>
      <c r="G794" s="136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35"/>
      <c r="B795" s="136"/>
      <c r="C795" s="137"/>
      <c r="D795" s="138"/>
      <c r="E795" s="12"/>
      <c r="F795" s="72"/>
      <c r="G795" s="136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35"/>
      <c r="B796" s="136"/>
      <c r="C796" s="137"/>
      <c r="D796" s="138"/>
      <c r="E796" s="12"/>
      <c r="F796" s="72"/>
      <c r="G796" s="136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35"/>
      <c r="B797" s="136"/>
      <c r="C797" s="137"/>
      <c r="D797" s="138"/>
      <c r="E797" s="12"/>
      <c r="F797" s="72"/>
      <c r="G797" s="136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35"/>
      <c r="B798" s="136"/>
      <c r="C798" s="137"/>
      <c r="D798" s="138"/>
      <c r="E798" s="12"/>
      <c r="F798" s="72"/>
      <c r="G798" s="136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35"/>
      <c r="B799" s="136"/>
      <c r="C799" s="137"/>
      <c r="D799" s="138"/>
      <c r="E799" s="12"/>
      <c r="F799" s="72"/>
      <c r="G799" s="136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35"/>
      <c r="B800" s="136"/>
      <c r="C800" s="137"/>
      <c r="D800" s="138"/>
      <c r="E800" s="12"/>
      <c r="F800" s="72"/>
      <c r="G800" s="136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35"/>
      <c r="B801" s="136"/>
      <c r="C801" s="137"/>
      <c r="D801" s="138"/>
      <c r="E801" s="12"/>
      <c r="F801" s="72"/>
      <c r="G801" s="136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35"/>
      <c r="B802" s="136"/>
      <c r="C802" s="137"/>
      <c r="D802" s="138"/>
      <c r="E802" s="12"/>
      <c r="F802" s="72"/>
      <c r="G802" s="136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35"/>
      <c r="B803" s="136"/>
      <c r="C803" s="137"/>
      <c r="D803" s="138"/>
      <c r="E803" s="12"/>
      <c r="F803" s="72"/>
      <c r="G803" s="136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35"/>
      <c r="B804" s="136"/>
      <c r="C804" s="137"/>
      <c r="D804" s="138"/>
      <c r="E804" s="12"/>
      <c r="F804" s="72"/>
      <c r="G804" s="136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35"/>
      <c r="B805" s="136"/>
      <c r="C805" s="137"/>
      <c r="D805" s="138"/>
      <c r="E805" s="12"/>
      <c r="F805" s="72"/>
      <c r="G805" s="136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35"/>
      <c r="B806" s="136"/>
      <c r="C806" s="137"/>
      <c r="D806" s="138"/>
      <c r="E806" s="12"/>
      <c r="F806" s="72"/>
      <c r="G806" s="136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35"/>
      <c r="B807" s="136"/>
      <c r="C807" s="137"/>
      <c r="D807" s="138"/>
      <c r="E807" s="12"/>
      <c r="F807" s="72"/>
      <c r="G807" s="136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35"/>
      <c r="B808" s="136"/>
      <c r="C808" s="137"/>
      <c r="D808" s="138"/>
      <c r="E808" s="12"/>
      <c r="F808" s="72"/>
      <c r="G808" s="136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35"/>
      <c r="B809" s="136"/>
      <c r="C809" s="137"/>
      <c r="D809" s="138"/>
      <c r="E809" s="12"/>
      <c r="F809" s="72"/>
      <c r="G809" s="136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35"/>
      <c r="B810" s="136"/>
      <c r="C810" s="137"/>
      <c r="D810" s="138"/>
      <c r="E810" s="12"/>
      <c r="F810" s="72"/>
      <c r="G810" s="136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35"/>
      <c r="B811" s="136"/>
      <c r="C811" s="137"/>
      <c r="D811" s="138"/>
      <c r="E811" s="12"/>
      <c r="F811" s="72"/>
      <c r="G811" s="136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35"/>
      <c r="B812" s="136"/>
      <c r="C812" s="137"/>
      <c r="D812" s="138"/>
      <c r="E812" s="12"/>
      <c r="F812" s="72"/>
      <c r="G812" s="136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35"/>
      <c r="B813" s="136"/>
      <c r="C813" s="137"/>
      <c r="D813" s="138"/>
      <c r="E813" s="12"/>
      <c r="F813" s="72"/>
      <c r="G813" s="136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35"/>
      <c r="B814" s="136"/>
      <c r="C814" s="137"/>
      <c r="D814" s="138"/>
      <c r="E814" s="12"/>
      <c r="F814" s="72"/>
      <c r="G814" s="136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35"/>
      <c r="B815" s="136"/>
      <c r="C815" s="137"/>
      <c r="D815" s="138"/>
      <c r="E815" s="12"/>
      <c r="F815" s="72"/>
      <c r="G815" s="136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35"/>
      <c r="B816" s="136"/>
      <c r="C816" s="137"/>
      <c r="D816" s="138"/>
      <c r="E816" s="12"/>
      <c r="F816" s="72"/>
      <c r="G816" s="136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35"/>
      <c r="B817" s="136"/>
      <c r="C817" s="137"/>
      <c r="D817" s="138"/>
      <c r="E817" s="12"/>
      <c r="F817" s="72"/>
      <c r="G817" s="136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35"/>
      <c r="B818" s="136"/>
      <c r="C818" s="137"/>
      <c r="D818" s="138"/>
      <c r="E818" s="12"/>
      <c r="F818" s="72"/>
      <c r="G818" s="136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35"/>
      <c r="B819" s="136"/>
      <c r="C819" s="137"/>
      <c r="D819" s="138"/>
      <c r="E819" s="12"/>
      <c r="F819" s="72"/>
      <c r="G819" s="136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35"/>
      <c r="B820" s="136"/>
      <c r="C820" s="137"/>
      <c r="D820" s="138"/>
      <c r="E820" s="12"/>
      <c r="F820" s="72"/>
      <c r="G820" s="136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35"/>
      <c r="B821" s="136"/>
      <c r="C821" s="137"/>
      <c r="D821" s="138"/>
      <c r="E821" s="12"/>
      <c r="F821" s="72"/>
      <c r="G821" s="136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35"/>
      <c r="B822" s="136"/>
      <c r="C822" s="137"/>
      <c r="D822" s="138"/>
      <c r="E822" s="12"/>
      <c r="F822" s="72"/>
      <c r="G822" s="136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35"/>
      <c r="B823" s="136"/>
      <c r="C823" s="137"/>
      <c r="D823" s="138"/>
      <c r="E823" s="12"/>
      <c r="F823" s="72"/>
      <c r="G823" s="136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35"/>
      <c r="B824" s="136"/>
      <c r="C824" s="137"/>
      <c r="D824" s="138"/>
      <c r="E824" s="12"/>
      <c r="F824" s="72"/>
      <c r="G824" s="136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35"/>
      <c r="B825" s="136"/>
      <c r="C825" s="137"/>
      <c r="D825" s="138"/>
      <c r="E825" s="12"/>
      <c r="F825" s="72"/>
      <c r="G825" s="136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35"/>
      <c r="B826" s="136"/>
      <c r="C826" s="137"/>
      <c r="D826" s="138"/>
      <c r="E826" s="12"/>
      <c r="F826" s="72"/>
      <c r="G826" s="136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35"/>
      <c r="B827" s="136"/>
      <c r="C827" s="137"/>
      <c r="D827" s="138"/>
      <c r="E827" s="12"/>
      <c r="F827" s="72"/>
      <c r="G827" s="136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35"/>
      <c r="B828" s="136"/>
      <c r="C828" s="137"/>
      <c r="D828" s="138"/>
      <c r="E828" s="12"/>
      <c r="F828" s="72"/>
      <c r="G828" s="136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35"/>
      <c r="B829" s="136"/>
      <c r="C829" s="137"/>
      <c r="D829" s="138"/>
      <c r="E829" s="12"/>
      <c r="F829" s="72"/>
      <c r="G829" s="136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35"/>
      <c r="B830" s="136"/>
      <c r="C830" s="137"/>
      <c r="D830" s="138"/>
      <c r="E830" s="12"/>
      <c r="F830" s="72"/>
      <c r="G830" s="136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35"/>
      <c r="B831" s="136"/>
      <c r="C831" s="137"/>
      <c r="D831" s="138"/>
      <c r="E831" s="12"/>
      <c r="F831" s="72"/>
      <c r="G831" s="136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35"/>
      <c r="B832" s="136"/>
      <c r="C832" s="137"/>
      <c r="D832" s="138"/>
      <c r="E832" s="12"/>
      <c r="F832" s="72"/>
      <c r="G832" s="136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35"/>
      <c r="B833" s="136"/>
      <c r="C833" s="137"/>
      <c r="D833" s="138"/>
      <c r="E833" s="12"/>
      <c r="F833" s="72"/>
      <c r="G833" s="136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35"/>
      <c r="B834" s="136"/>
      <c r="C834" s="137"/>
      <c r="D834" s="138"/>
      <c r="E834" s="12"/>
      <c r="F834" s="72"/>
      <c r="G834" s="136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35"/>
      <c r="B835" s="136"/>
      <c r="C835" s="137"/>
      <c r="D835" s="138"/>
      <c r="E835" s="12"/>
      <c r="F835" s="72"/>
      <c r="G835" s="136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35"/>
      <c r="B836" s="136"/>
      <c r="C836" s="137"/>
      <c r="D836" s="138"/>
      <c r="E836" s="12"/>
      <c r="F836" s="72"/>
      <c r="G836" s="136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35"/>
      <c r="B837" s="136"/>
      <c r="C837" s="137"/>
      <c r="D837" s="138"/>
      <c r="E837" s="12"/>
      <c r="F837" s="72"/>
      <c r="G837" s="136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35"/>
      <c r="B838" s="136"/>
      <c r="C838" s="137"/>
      <c r="D838" s="138"/>
      <c r="E838" s="12"/>
      <c r="F838" s="72"/>
      <c r="G838" s="136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35"/>
      <c r="B839" s="136"/>
      <c r="C839" s="137"/>
      <c r="D839" s="138"/>
      <c r="E839" s="12"/>
      <c r="F839" s="72"/>
      <c r="G839" s="136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35"/>
      <c r="B840" s="136"/>
      <c r="C840" s="137"/>
      <c r="D840" s="138"/>
      <c r="E840" s="12"/>
      <c r="F840" s="72"/>
      <c r="G840" s="136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35"/>
      <c r="B841" s="136"/>
      <c r="C841" s="137"/>
      <c r="D841" s="138"/>
      <c r="E841" s="12"/>
      <c r="F841" s="72"/>
      <c r="G841" s="136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35"/>
      <c r="B842" s="136"/>
      <c r="C842" s="137"/>
      <c r="D842" s="138"/>
      <c r="E842" s="12"/>
      <c r="F842" s="72"/>
      <c r="G842" s="136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35"/>
      <c r="B843" s="136"/>
      <c r="C843" s="137"/>
      <c r="D843" s="138"/>
      <c r="E843" s="12"/>
      <c r="F843" s="72"/>
      <c r="G843" s="136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35"/>
      <c r="B844" s="136"/>
      <c r="C844" s="137"/>
      <c r="D844" s="138"/>
      <c r="E844" s="12"/>
      <c r="F844" s="72"/>
      <c r="G844" s="136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35"/>
      <c r="B845" s="136"/>
      <c r="C845" s="137"/>
      <c r="D845" s="138"/>
      <c r="E845" s="12"/>
      <c r="F845" s="72"/>
      <c r="G845" s="136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35"/>
      <c r="B846" s="136"/>
      <c r="C846" s="137"/>
      <c r="D846" s="138"/>
      <c r="E846" s="12"/>
      <c r="F846" s="72"/>
      <c r="G846" s="136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35"/>
      <c r="B847" s="136"/>
      <c r="C847" s="137"/>
      <c r="D847" s="138"/>
      <c r="E847" s="12"/>
      <c r="F847" s="72"/>
      <c r="G847" s="136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35"/>
      <c r="B848" s="136"/>
      <c r="C848" s="137"/>
      <c r="D848" s="138"/>
      <c r="E848" s="12"/>
      <c r="F848" s="72"/>
      <c r="G848" s="136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35"/>
      <c r="B849" s="136"/>
      <c r="C849" s="137"/>
      <c r="D849" s="138"/>
      <c r="E849" s="12"/>
      <c r="F849" s="72"/>
      <c r="G849" s="136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35"/>
      <c r="B850" s="136"/>
      <c r="C850" s="137"/>
      <c r="D850" s="138"/>
      <c r="E850" s="12"/>
      <c r="F850" s="72"/>
      <c r="G850" s="136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35"/>
      <c r="B851" s="136"/>
      <c r="C851" s="137"/>
      <c r="D851" s="138"/>
      <c r="E851" s="12"/>
      <c r="F851" s="72"/>
      <c r="G851" s="136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35"/>
      <c r="B852" s="136"/>
      <c r="C852" s="137"/>
      <c r="D852" s="138"/>
      <c r="E852" s="12"/>
      <c r="F852" s="72"/>
      <c r="G852" s="136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35"/>
      <c r="B853" s="136"/>
      <c r="C853" s="137"/>
      <c r="D853" s="138"/>
      <c r="E853" s="12"/>
      <c r="F853" s="72"/>
      <c r="G853" s="136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35"/>
      <c r="B854" s="136"/>
      <c r="C854" s="137"/>
      <c r="D854" s="138"/>
      <c r="E854" s="12"/>
      <c r="F854" s="72"/>
      <c r="G854" s="136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35"/>
      <c r="B855" s="136"/>
      <c r="C855" s="137"/>
      <c r="D855" s="138"/>
      <c r="E855" s="12"/>
      <c r="F855" s="72"/>
      <c r="G855" s="136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35"/>
      <c r="B856" s="136"/>
      <c r="C856" s="137"/>
      <c r="D856" s="138"/>
      <c r="E856" s="12"/>
      <c r="F856" s="72"/>
      <c r="G856" s="136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35"/>
      <c r="B857" s="136"/>
      <c r="C857" s="137"/>
      <c r="D857" s="138"/>
      <c r="E857" s="12"/>
      <c r="F857" s="72"/>
      <c r="G857" s="136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35"/>
      <c r="B858" s="136"/>
      <c r="C858" s="137"/>
      <c r="D858" s="138"/>
      <c r="E858" s="12"/>
      <c r="F858" s="72"/>
      <c r="G858" s="136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35"/>
      <c r="B859" s="136"/>
      <c r="C859" s="137"/>
      <c r="D859" s="138"/>
      <c r="E859" s="12"/>
      <c r="F859" s="72"/>
      <c r="G859" s="136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35"/>
      <c r="B860" s="136"/>
      <c r="C860" s="137"/>
      <c r="D860" s="138"/>
      <c r="E860" s="12"/>
      <c r="F860" s="72"/>
      <c r="G860" s="136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35"/>
      <c r="B861" s="136"/>
      <c r="C861" s="137"/>
      <c r="D861" s="138"/>
      <c r="E861" s="12"/>
      <c r="F861" s="72"/>
      <c r="G861" s="136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35"/>
      <c r="B862" s="136"/>
      <c r="C862" s="137"/>
      <c r="D862" s="138"/>
      <c r="E862" s="12"/>
      <c r="F862" s="72"/>
      <c r="G862" s="136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35"/>
      <c r="B863" s="136"/>
      <c r="C863" s="137"/>
      <c r="D863" s="138"/>
      <c r="E863" s="12"/>
      <c r="F863" s="72"/>
      <c r="G863" s="136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35"/>
      <c r="B864" s="136"/>
      <c r="C864" s="137"/>
      <c r="D864" s="138"/>
      <c r="E864" s="12"/>
      <c r="F864" s="72"/>
      <c r="G864" s="136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35"/>
      <c r="B865" s="136"/>
      <c r="C865" s="137"/>
      <c r="D865" s="138"/>
      <c r="E865" s="12"/>
      <c r="F865" s="72"/>
      <c r="G865" s="136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35"/>
      <c r="B866" s="136"/>
      <c r="C866" s="137"/>
      <c r="D866" s="138"/>
      <c r="E866" s="12"/>
      <c r="F866" s="72"/>
      <c r="G866" s="136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35"/>
      <c r="B867" s="136"/>
      <c r="C867" s="137"/>
      <c r="D867" s="138"/>
      <c r="E867" s="12"/>
      <c r="F867" s="72"/>
      <c r="G867" s="136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35"/>
      <c r="B868" s="136"/>
      <c r="C868" s="137"/>
      <c r="D868" s="138"/>
      <c r="E868" s="12"/>
      <c r="F868" s="72"/>
      <c r="G868" s="136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35"/>
      <c r="B869" s="136"/>
      <c r="C869" s="137"/>
      <c r="D869" s="138"/>
      <c r="E869" s="12"/>
      <c r="F869" s="72"/>
      <c r="G869" s="136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35"/>
      <c r="B870" s="136"/>
      <c r="C870" s="137"/>
      <c r="D870" s="138"/>
      <c r="E870" s="12"/>
      <c r="F870" s="72"/>
      <c r="G870" s="136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35"/>
      <c r="B871" s="136"/>
      <c r="C871" s="137"/>
      <c r="D871" s="138"/>
      <c r="E871" s="12"/>
      <c r="F871" s="72"/>
      <c r="G871" s="136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35"/>
      <c r="B872" s="136"/>
      <c r="C872" s="137"/>
      <c r="D872" s="138"/>
      <c r="E872" s="12"/>
      <c r="F872" s="72"/>
      <c r="G872" s="136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35"/>
      <c r="B873" s="136"/>
      <c r="C873" s="137"/>
      <c r="D873" s="138"/>
      <c r="E873" s="12"/>
      <c r="F873" s="72"/>
      <c r="G873" s="136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35"/>
      <c r="B874" s="136"/>
      <c r="C874" s="137"/>
      <c r="D874" s="138"/>
      <c r="E874" s="12"/>
      <c r="F874" s="72"/>
      <c r="G874" s="136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35"/>
      <c r="B875" s="136"/>
      <c r="C875" s="137"/>
      <c r="D875" s="138"/>
      <c r="E875" s="12"/>
      <c r="F875" s="72"/>
      <c r="G875" s="136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35"/>
      <c r="B876" s="136"/>
      <c r="C876" s="137"/>
      <c r="D876" s="138"/>
      <c r="E876" s="12"/>
      <c r="F876" s="72"/>
      <c r="G876" s="136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35"/>
      <c r="B877" s="136"/>
      <c r="C877" s="137"/>
      <c r="D877" s="138"/>
      <c r="E877" s="12"/>
      <c r="F877" s="72"/>
      <c r="G877" s="136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35"/>
      <c r="B878" s="136"/>
      <c r="C878" s="137"/>
      <c r="D878" s="138"/>
      <c r="E878" s="12"/>
      <c r="F878" s="72"/>
      <c r="G878" s="136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35"/>
      <c r="B879" s="136"/>
      <c r="C879" s="137"/>
      <c r="D879" s="138"/>
      <c r="E879" s="12"/>
      <c r="F879" s="72"/>
      <c r="G879" s="136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35"/>
      <c r="B880" s="136"/>
      <c r="C880" s="137"/>
      <c r="D880" s="138"/>
      <c r="E880" s="12"/>
      <c r="F880" s="72"/>
      <c r="G880" s="136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35"/>
      <c r="B881" s="136"/>
      <c r="C881" s="137"/>
      <c r="D881" s="138"/>
      <c r="E881" s="12"/>
      <c r="F881" s="72"/>
      <c r="G881" s="136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35"/>
      <c r="B882" s="136"/>
      <c r="C882" s="137"/>
      <c r="D882" s="138"/>
      <c r="E882" s="12"/>
      <c r="F882" s="72"/>
      <c r="G882" s="136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35"/>
      <c r="B883" s="136"/>
      <c r="C883" s="137"/>
      <c r="D883" s="138"/>
      <c r="E883" s="12"/>
      <c r="F883" s="72"/>
      <c r="G883" s="136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35"/>
      <c r="B884" s="136"/>
      <c r="C884" s="137"/>
      <c r="D884" s="138"/>
      <c r="E884" s="12"/>
      <c r="F884" s="72"/>
      <c r="G884" s="136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35"/>
      <c r="B885" s="136"/>
      <c r="C885" s="137"/>
      <c r="D885" s="138"/>
      <c r="E885" s="12"/>
      <c r="F885" s="72"/>
      <c r="G885" s="136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35"/>
      <c r="B886" s="136"/>
      <c r="C886" s="137"/>
      <c r="D886" s="138"/>
      <c r="E886" s="12"/>
      <c r="F886" s="72"/>
      <c r="G886" s="136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35"/>
      <c r="B887" s="136"/>
      <c r="C887" s="137"/>
      <c r="D887" s="138"/>
      <c r="E887" s="12"/>
      <c r="F887" s="72"/>
      <c r="G887" s="136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35"/>
      <c r="B888" s="136"/>
      <c r="C888" s="137"/>
      <c r="D888" s="138"/>
      <c r="E888" s="12"/>
      <c r="F888" s="72"/>
      <c r="G888" s="136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35"/>
      <c r="B889" s="136"/>
      <c r="C889" s="137"/>
      <c r="D889" s="138"/>
      <c r="E889" s="12"/>
      <c r="F889" s="72"/>
      <c r="G889" s="136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35"/>
      <c r="B890" s="136"/>
      <c r="C890" s="137"/>
      <c r="D890" s="138"/>
      <c r="E890" s="12"/>
      <c r="F890" s="72"/>
      <c r="G890" s="136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35"/>
      <c r="B891" s="136"/>
      <c r="C891" s="137"/>
      <c r="D891" s="138"/>
      <c r="E891" s="12"/>
      <c r="F891" s="72"/>
      <c r="G891" s="136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35"/>
      <c r="B892" s="136"/>
      <c r="C892" s="137"/>
      <c r="D892" s="138"/>
      <c r="E892" s="12"/>
      <c r="F892" s="72"/>
      <c r="G892" s="136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35"/>
      <c r="B893" s="136"/>
      <c r="C893" s="137"/>
      <c r="D893" s="138"/>
      <c r="E893" s="12"/>
      <c r="F893" s="72"/>
      <c r="G893" s="136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35"/>
      <c r="B894" s="136"/>
      <c r="C894" s="137"/>
      <c r="D894" s="138"/>
      <c r="E894" s="12"/>
      <c r="F894" s="72"/>
      <c r="G894" s="136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35"/>
      <c r="B895" s="136"/>
      <c r="C895" s="137"/>
      <c r="D895" s="138"/>
      <c r="E895" s="12"/>
      <c r="F895" s="72"/>
      <c r="G895" s="136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35"/>
      <c r="B896" s="136"/>
      <c r="C896" s="137"/>
      <c r="D896" s="138"/>
      <c r="E896" s="12"/>
      <c r="F896" s="72"/>
      <c r="G896" s="136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35"/>
      <c r="B897" s="136"/>
      <c r="C897" s="137"/>
      <c r="D897" s="138"/>
      <c r="E897" s="12"/>
      <c r="F897" s="72"/>
      <c r="G897" s="136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35"/>
      <c r="B898" s="136"/>
      <c r="C898" s="137"/>
      <c r="D898" s="138"/>
      <c r="E898" s="12"/>
      <c r="F898" s="72"/>
      <c r="G898" s="136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35"/>
      <c r="B899" s="136"/>
      <c r="C899" s="137"/>
      <c r="D899" s="138"/>
      <c r="E899" s="12"/>
      <c r="F899" s="72"/>
      <c r="G899" s="136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35"/>
      <c r="B900" s="136"/>
      <c r="C900" s="137"/>
      <c r="D900" s="138"/>
      <c r="E900" s="12"/>
      <c r="F900" s="72"/>
      <c r="G900" s="136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35"/>
      <c r="B901" s="136"/>
      <c r="C901" s="137"/>
      <c r="D901" s="138"/>
      <c r="E901" s="12"/>
      <c r="F901" s="72"/>
      <c r="G901" s="136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35"/>
      <c r="B902" s="136"/>
      <c r="C902" s="137"/>
      <c r="D902" s="138"/>
      <c r="E902" s="12"/>
      <c r="F902" s="72"/>
      <c r="G902" s="136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35"/>
      <c r="B903" s="136"/>
      <c r="C903" s="137"/>
      <c r="D903" s="138"/>
      <c r="E903" s="12"/>
      <c r="F903" s="72"/>
      <c r="G903" s="136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35"/>
      <c r="B904" s="136"/>
      <c r="C904" s="137"/>
      <c r="D904" s="138"/>
      <c r="E904" s="12"/>
      <c r="F904" s="72"/>
      <c r="G904" s="136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35"/>
      <c r="B905" s="136"/>
      <c r="C905" s="137"/>
      <c r="D905" s="138"/>
      <c r="E905" s="12"/>
      <c r="F905" s="72"/>
      <c r="G905" s="136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35"/>
      <c r="B906" s="136"/>
      <c r="C906" s="137"/>
      <c r="D906" s="138"/>
      <c r="E906" s="12"/>
      <c r="F906" s="72"/>
      <c r="G906" s="136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35"/>
      <c r="B907" s="136"/>
      <c r="C907" s="137"/>
      <c r="D907" s="138"/>
      <c r="E907" s="12"/>
      <c r="F907" s="72"/>
      <c r="G907" s="136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35"/>
      <c r="B908" s="136"/>
      <c r="C908" s="137"/>
      <c r="D908" s="138"/>
      <c r="E908" s="12"/>
      <c r="F908" s="72"/>
      <c r="G908" s="136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35"/>
      <c r="B909" s="136"/>
      <c r="C909" s="137"/>
      <c r="D909" s="138"/>
      <c r="E909" s="12"/>
      <c r="F909" s="72"/>
      <c r="G909" s="136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35"/>
      <c r="B910" s="136"/>
      <c r="C910" s="137"/>
      <c r="D910" s="138"/>
      <c r="E910" s="12"/>
      <c r="F910" s="72"/>
      <c r="G910" s="136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35"/>
      <c r="B911" s="136"/>
      <c r="C911" s="137"/>
      <c r="D911" s="138"/>
      <c r="E911" s="12"/>
      <c r="F911" s="72"/>
      <c r="G911" s="136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35"/>
      <c r="B912" s="136"/>
      <c r="C912" s="137"/>
      <c r="D912" s="138"/>
      <c r="E912" s="12"/>
      <c r="F912" s="72"/>
      <c r="G912" s="136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35"/>
      <c r="B913" s="136"/>
      <c r="C913" s="137"/>
      <c r="D913" s="138"/>
      <c r="E913" s="12"/>
      <c r="F913" s="72"/>
      <c r="G913" s="136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35"/>
      <c r="B914" s="136"/>
      <c r="C914" s="137"/>
      <c r="D914" s="138"/>
      <c r="E914" s="12"/>
      <c r="F914" s="72"/>
      <c r="G914" s="136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35"/>
      <c r="B915" s="136"/>
      <c r="C915" s="137"/>
      <c r="D915" s="138"/>
      <c r="E915" s="12"/>
      <c r="F915" s="72"/>
      <c r="G915" s="136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35"/>
      <c r="B916" s="136"/>
      <c r="C916" s="137"/>
      <c r="D916" s="138"/>
      <c r="E916" s="12"/>
      <c r="F916" s="72"/>
      <c r="G916" s="136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35"/>
      <c r="B917" s="136"/>
      <c r="C917" s="137"/>
      <c r="D917" s="138"/>
      <c r="E917" s="12"/>
      <c r="F917" s="72"/>
      <c r="G917" s="136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35"/>
      <c r="B918" s="136"/>
      <c r="C918" s="137"/>
      <c r="D918" s="138"/>
      <c r="E918" s="12"/>
      <c r="F918" s="72"/>
      <c r="G918" s="136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35"/>
      <c r="B919" s="136"/>
      <c r="C919" s="137"/>
      <c r="D919" s="138"/>
      <c r="E919" s="12"/>
      <c r="F919" s="72"/>
      <c r="G919" s="136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35"/>
      <c r="B920" s="136"/>
      <c r="C920" s="137"/>
      <c r="D920" s="138"/>
      <c r="E920" s="12"/>
      <c r="F920" s="72"/>
      <c r="G920" s="136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35"/>
      <c r="B921" s="136"/>
      <c r="C921" s="137"/>
      <c r="D921" s="138"/>
      <c r="E921" s="12"/>
      <c r="F921" s="72"/>
      <c r="G921" s="136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35"/>
      <c r="B922" s="136"/>
      <c r="C922" s="137"/>
      <c r="D922" s="138"/>
      <c r="E922" s="12"/>
      <c r="F922" s="72"/>
      <c r="G922" s="136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35"/>
      <c r="B923" s="136"/>
      <c r="C923" s="137"/>
      <c r="D923" s="138"/>
      <c r="E923" s="12"/>
      <c r="F923" s="72"/>
      <c r="G923" s="136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35"/>
      <c r="B924" s="136"/>
      <c r="C924" s="137"/>
      <c r="D924" s="138"/>
      <c r="E924" s="12"/>
      <c r="F924" s="72"/>
      <c r="G924" s="136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35"/>
      <c r="B925" s="136"/>
      <c r="C925" s="137"/>
      <c r="D925" s="138"/>
      <c r="E925" s="12"/>
      <c r="F925" s="72"/>
      <c r="G925" s="136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35"/>
      <c r="B926" s="136"/>
      <c r="C926" s="137"/>
      <c r="D926" s="138"/>
      <c r="E926" s="12"/>
      <c r="F926" s="72"/>
      <c r="G926" s="136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35"/>
      <c r="B927" s="136"/>
      <c r="C927" s="137"/>
      <c r="D927" s="138"/>
      <c r="E927" s="12"/>
      <c r="F927" s="72"/>
      <c r="G927" s="136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35"/>
      <c r="B928" s="136"/>
      <c r="C928" s="137"/>
      <c r="D928" s="138"/>
      <c r="E928" s="12"/>
      <c r="F928" s="72"/>
      <c r="G928" s="136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35"/>
      <c r="B929" s="136"/>
      <c r="C929" s="137"/>
      <c r="D929" s="138"/>
      <c r="E929" s="12"/>
      <c r="F929" s="72"/>
      <c r="G929" s="136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35"/>
      <c r="B930" s="136"/>
      <c r="C930" s="137"/>
      <c r="D930" s="138"/>
      <c r="E930" s="12"/>
      <c r="F930" s="72"/>
      <c r="G930" s="136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35"/>
      <c r="B931" s="136"/>
      <c r="C931" s="137"/>
      <c r="D931" s="138"/>
      <c r="E931" s="12"/>
      <c r="F931" s="72"/>
      <c r="G931" s="136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35"/>
      <c r="B932" s="136"/>
      <c r="C932" s="137"/>
      <c r="D932" s="138"/>
      <c r="E932" s="12"/>
      <c r="F932" s="72"/>
      <c r="G932" s="136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35"/>
      <c r="B933" s="136"/>
      <c r="C933" s="137"/>
      <c r="D933" s="138"/>
      <c r="E933" s="12"/>
      <c r="F933" s="72"/>
      <c r="G933" s="136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35"/>
      <c r="B934" s="136"/>
      <c r="C934" s="137"/>
      <c r="D934" s="138"/>
      <c r="E934" s="12"/>
      <c r="F934" s="72"/>
      <c r="G934" s="136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35"/>
      <c r="B935" s="136"/>
      <c r="C935" s="137"/>
      <c r="D935" s="138"/>
      <c r="E935" s="12"/>
      <c r="F935" s="72"/>
      <c r="G935" s="136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35"/>
      <c r="B936" s="136"/>
      <c r="C936" s="137"/>
      <c r="D936" s="138"/>
      <c r="E936" s="12"/>
      <c r="F936" s="72"/>
      <c r="G936" s="136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35"/>
      <c r="B937" s="136"/>
      <c r="C937" s="137"/>
      <c r="D937" s="138"/>
      <c r="E937" s="12"/>
      <c r="F937" s="72"/>
      <c r="G937" s="136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35"/>
      <c r="B938" s="136"/>
      <c r="C938" s="137"/>
      <c r="D938" s="138"/>
      <c r="E938" s="12"/>
      <c r="F938" s="72"/>
      <c r="G938" s="136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35"/>
      <c r="B939" s="136"/>
      <c r="C939" s="137"/>
      <c r="D939" s="138"/>
      <c r="E939" s="12"/>
      <c r="F939" s="72"/>
      <c r="G939" s="136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35"/>
      <c r="B940" s="136"/>
      <c r="C940" s="137"/>
      <c r="D940" s="138"/>
      <c r="E940" s="12"/>
      <c r="F940" s="72"/>
      <c r="G940" s="136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35"/>
      <c r="B941" s="136"/>
      <c r="C941" s="137"/>
      <c r="D941" s="138"/>
      <c r="E941" s="12"/>
      <c r="F941" s="72"/>
      <c r="G941" s="136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35"/>
      <c r="B942" s="136"/>
      <c r="C942" s="137"/>
      <c r="D942" s="138"/>
      <c r="E942" s="12"/>
      <c r="F942" s="72"/>
      <c r="G942" s="136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35"/>
      <c r="B943" s="136"/>
      <c r="C943" s="137"/>
      <c r="D943" s="138"/>
      <c r="E943" s="12"/>
      <c r="F943" s="72"/>
      <c r="G943" s="136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35"/>
      <c r="B944" s="136"/>
      <c r="C944" s="137"/>
      <c r="D944" s="138"/>
      <c r="E944" s="12"/>
      <c r="F944" s="72"/>
      <c r="G944" s="136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35"/>
      <c r="B945" s="136"/>
      <c r="C945" s="137"/>
      <c r="D945" s="138"/>
      <c r="E945" s="12"/>
      <c r="F945" s="72"/>
      <c r="G945" s="136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35"/>
      <c r="B946" s="136"/>
      <c r="C946" s="137"/>
      <c r="D946" s="138"/>
      <c r="E946" s="12"/>
      <c r="F946" s="72"/>
      <c r="G946" s="136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35"/>
      <c r="B947" s="136"/>
      <c r="C947" s="137"/>
      <c r="D947" s="138"/>
      <c r="E947" s="12"/>
      <c r="F947" s="72"/>
      <c r="G947" s="136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35"/>
      <c r="B948" s="136"/>
      <c r="C948" s="137"/>
      <c r="D948" s="138"/>
      <c r="E948" s="12"/>
      <c r="F948" s="72"/>
      <c r="G948" s="136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35"/>
      <c r="B949" s="136"/>
      <c r="C949" s="137"/>
      <c r="D949" s="138"/>
      <c r="E949" s="12"/>
      <c r="F949" s="72"/>
      <c r="G949" s="136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35"/>
      <c r="B950" s="136"/>
      <c r="C950" s="137"/>
      <c r="D950" s="138"/>
      <c r="E950" s="12"/>
      <c r="F950" s="72"/>
      <c r="G950" s="136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35"/>
      <c r="B951" s="136"/>
      <c r="C951" s="137"/>
      <c r="D951" s="138"/>
      <c r="E951" s="12"/>
      <c r="F951" s="72"/>
      <c r="G951" s="136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35"/>
      <c r="B952" s="136"/>
      <c r="C952" s="137"/>
      <c r="D952" s="138"/>
      <c r="E952" s="12"/>
      <c r="F952" s="72"/>
      <c r="G952" s="136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35"/>
      <c r="B953" s="136"/>
      <c r="C953" s="137"/>
      <c r="D953" s="138"/>
      <c r="E953" s="12"/>
      <c r="F953" s="72"/>
      <c r="G953" s="136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35"/>
      <c r="B954" s="136"/>
      <c r="C954" s="137"/>
      <c r="D954" s="138"/>
      <c r="E954" s="12"/>
      <c r="F954" s="72"/>
      <c r="G954" s="136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35"/>
      <c r="B955" s="136"/>
      <c r="C955" s="137"/>
      <c r="D955" s="138"/>
      <c r="E955" s="12"/>
      <c r="F955" s="72"/>
      <c r="G955" s="136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35"/>
      <c r="B956" s="136"/>
      <c r="C956" s="137"/>
      <c r="D956" s="138"/>
      <c r="E956" s="12"/>
      <c r="F956" s="72"/>
      <c r="G956" s="136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35"/>
      <c r="B957" s="136"/>
      <c r="C957" s="137"/>
      <c r="D957" s="138"/>
      <c r="E957" s="12"/>
      <c r="F957" s="72"/>
      <c r="G957" s="136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35"/>
      <c r="B958" s="136"/>
      <c r="C958" s="137"/>
      <c r="D958" s="138"/>
      <c r="E958" s="12"/>
      <c r="F958" s="72"/>
      <c r="G958" s="136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35"/>
      <c r="B959" s="136"/>
      <c r="C959" s="137"/>
      <c r="D959" s="138"/>
      <c r="E959" s="12"/>
      <c r="F959" s="72"/>
      <c r="G959" s="136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35"/>
      <c r="B960" s="136"/>
      <c r="C960" s="137"/>
      <c r="D960" s="138"/>
      <c r="E960" s="12"/>
      <c r="F960" s="72"/>
      <c r="G960" s="136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35"/>
      <c r="B961" s="136"/>
      <c r="C961" s="137"/>
      <c r="D961" s="138"/>
      <c r="E961" s="12"/>
      <c r="F961" s="72"/>
      <c r="G961" s="136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35"/>
      <c r="B962" s="136"/>
      <c r="C962" s="137"/>
      <c r="D962" s="138"/>
      <c r="E962" s="12"/>
      <c r="F962" s="72"/>
      <c r="G962" s="136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35"/>
      <c r="B963" s="136"/>
      <c r="C963" s="137"/>
      <c r="D963" s="138"/>
      <c r="E963" s="12"/>
      <c r="F963" s="72"/>
      <c r="G963" s="136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35"/>
      <c r="B964" s="136"/>
      <c r="C964" s="137"/>
      <c r="D964" s="138"/>
      <c r="E964" s="12"/>
      <c r="F964" s="72"/>
      <c r="G964" s="136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35"/>
      <c r="B965" s="136"/>
      <c r="C965" s="137"/>
      <c r="D965" s="138"/>
      <c r="E965" s="12"/>
      <c r="F965" s="72"/>
      <c r="G965" s="136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35"/>
      <c r="B966" s="136"/>
      <c r="C966" s="137"/>
      <c r="D966" s="138"/>
      <c r="E966" s="12"/>
      <c r="F966" s="72"/>
      <c r="G966" s="136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35"/>
      <c r="B967" s="139"/>
      <c r="C967" s="137"/>
      <c r="D967" s="138"/>
      <c r="F967" s="140"/>
      <c r="G967" s="139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35"/>
      <c r="B968" s="139"/>
      <c r="C968" s="137"/>
      <c r="D968" s="138"/>
      <c r="F968" s="140"/>
      <c r="G968" s="139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35"/>
      <c r="B969" s="139"/>
      <c r="C969" s="137"/>
      <c r="D969" s="138"/>
      <c r="F969" s="140"/>
      <c r="G969" s="139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35"/>
      <c r="B970" s="139"/>
      <c r="C970" s="137"/>
      <c r="D970" s="138"/>
      <c r="F970" s="140"/>
      <c r="G970" s="139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35"/>
      <c r="B971" s="139"/>
      <c r="C971" s="137"/>
      <c r="D971" s="138"/>
      <c r="F971" s="140"/>
      <c r="G971" s="139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35"/>
      <c r="B972" s="139"/>
      <c r="C972" s="137"/>
      <c r="D972" s="138"/>
      <c r="F972" s="140"/>
      <c r="G972" s="139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35"/>
      <c r="B973" s="139"/>
      <c r="C973" s="137"/>
      <c r="D973" s="138"/>
      <c r="F973" s="140"/>
      <c r="G973" s="139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35"/>
      <c r="B974" s="139"/>
      <c r="C974" s="137"/>
      <c r="D974" s="138"/>
      <c r="F974" s="140"/>
      <c r="G974" s="139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35"/>
      <c r="B975" s="139"/>
      <c r="C975" s="137"/>
      <c r="D975" s="138"/>
      <c r="F975" s="140"/>
      <c r="G975" s="139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35"/>
      <c r="B976" s="139"/>
      <c r="C976" s="137"/>
      <c r="D976" s="138"/>
      <c r="F976" s="140"/>
      <c r="G976" s="139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35"/>
      <c r="B977" s="139"/>
      <c r="C977" s="137"/>
      <c r="D977" s="138"/>
      <c r="F977" s="140"/>
      <c r="G977" s="139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35"/>
      <c r="B978" s="139"/>
      <c r="C978" s="137"/>
      <c r="D978" s="138"/>
      <c r="F978" s="140"/>
      <c r="G978" s="139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35"/>
      <c r="B979" s="139"/>
      <c r="C979" s="137"/>
      <c r="D979" s="138"/>
      <c r="F979" s="140"/>
      <c r="G979" s="139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35"/>
      <c r="B980" s="139"/>
      <c r="C980" s="137"/>
      <c r="D980" s="138"/>
      <c r="F980" s="140"/>
      <c r="G980" s="139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35"/>
      <c r="B981" s="139"/>
      <c r="C981" s="137"/>
      <c r="D981" s="138"/>
      <c r="F981" s="140"/>
      <c r="G981" s="139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35"/>
      <c r="B982" s="139"/>
      <c r="C982" s="137"/>
      <c r="D982" s="138"/>
      <c r="F982" s="140"/>
      <c r="G982" s="139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35"/>
      <c r="B983" s="139"/>
      <c r="C983" s="137"/>
      <c r="D983" s="138"/>
      <c r="F983" s="140"/>
      <c r="G983" s="139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35"/>
      <c r="B984" s="139"/>
      <c r="C984" s="137"/>
      <c r="D984" s="138"/>
      <c r="F984" s="140"/>
      <c r="G984" s="139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35"/>
      <c r="B985" s="139"/>
      <c r="C985" s="137"/>
      <c r="D985" s="138"/>
      <c r="F985" s="140"/>
      <c r="G985" s="139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35"/>
      <c r="B986" s="139"/>
      <c r="C986" s="137"/>
      <c r="D986" s="138"/>
      <c r="F986" s="140"/>
      <c r="G986" s="139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35"/>
      <c r="B987" s="139"/>
      <c r="C987" s="137"/>
      <c r="D987" s="138"/>
      <c r="F987" s="140"/>
      <c r="G987" s="139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35"/>
      <c r="B988" s="139"/>
      <c r="C988" s="137"/>
      <c r="D988" s="138"/>
      <c r="F988" s="140"/>
      <c r="G988" s="139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35"/>
      <c r="B989" s="139"/>
      <c r="C989" s="137"/>
      <c r="D989" s="138"/>
      <c r="F989" s="140"/>
      <c r="G989" s="139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35"/>
      <c r="B990" s="139"/>
      <c r="C990" s="137"/>
      <c r="D990" s="138"/>
      <c r="F990" s="140"/>
      <c r="G990" s="139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35"/>
      <c r="B991" s="139"/>
      <c r="C991" s="137"/>
      <c r="D991" s="138"/>
      <c r="F991" s="140"/>
      <c r="G991" s="139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35"/>
      <c r="B992" s="139"/>
      <c r="C992" s="137"/>
      <c r="D992" s="138"/>
      <c r="F992" s="140"/>
      <c r="G992" s="139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35"/>
      <c r="B993" s="139"/>
      <c r="C993" s="137"/>
      <c r="D993" s="138"/>
      <c r="F993" s="140"/>
      <c r="G993" s="139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35"/>
      <c r="B994" s="139"/>
      <c r="C994" s="137"/>
      <c r="D994" s="138"/>
      <c r="F994" s="140"/>
      <c r="G994" s="139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35"/>
      <c r="B995" s="139"/>
      <c r="C995" s="137"/>
      <c r="D995" s="138"/>
      <c r="F995" s="140"/>
      <c r="G995" s="139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35"/>
      <c r="B996" s="139"/>
      <c r="C996" s="137"/>
      <c r="D996" s="138"/>
      <c r="F996" s="140"/>
      <c r="G996" s="139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135"/>
      <c r="B997" s="139"/>
      <c r="C997" s="137"/>
      <c r="D997" s="138"/>
      <c r="F997" s="140"/>
      <c r="G997" s="139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135"/>
      <c r="B998" s="139"/>
      <c r="C998" s="137"/>
      <c r="D998" s="138"/>
      <c r="F998" s="140"/>
      <c r="G998" s="139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135"/>
      <c r="B999" s="139"/>
      <c r="C999" s="137"/>
      <c r="D999" s="138"/>
      <c r="F999" s="140"/>
      <c r="G999" s="139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135"/>
      <c r="B1000" s="139"/>
      <c r="C1000" s="137"/>
      <c r="D1000" s="138"/>
      <c r="F1000" s="140"/>
      <c r="G1000" s="139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>
      <c r="A1001" s="135"/>
      <c r="B1001" s="139"/>
      <c r="C1001" s="137"/>
      <c r="D1001" s="138"/>
      <c r="F1001" s="140"/>
      <c r="G1001" s="139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>
      <c r="A1002" s="135"/>
      <c r="B1002" s="139"/>
      <c r="C1002" s="137"/>
      <c r="D1002" s="138"/>
      <c r="F1002" s="140"/>
      <c r="G1002" s="139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>
      <c r="A1003" s="135"/>
      <c r="B1003" s="139"/>
      <c r="C1003" s="137"/>
      <c r="D1003" s="138"/>
      <c r="F1003" s="140"/>
      <c r="G1003" s="139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>
      <c r="A1004" s="135"/>
      <c r="B1004" s="139"/>
      <c r="C1004" s="137"/>
      <c r="D1004" s="138"/>
      <c r="F1004" s="140"/>
      <c r="G1004" s="139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>
      <c r="A1005" s="135"/>
      <c r="B1005" s="139"/>
      <c r="C1005" s="137"/>
      <c r="D1005" s="138"/>
      <c r="F1005" s="140"/>
      <c r="G1005" s="139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>
      <c r="A1006" s="135"/>
      <c r="B1006" s="139"/>
      <c r="C1006" s="137"/>
      <c r="D1006" s="138"/>
      <c r="F1006" s="140"/>
      <c r="G1006" s="139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>
      <c r="A1007" s="135"/>
      <c r="B1007" s="139"/>
      <c r="C1007" s="137"/>
      <c r="D1007" s="138"/>
      <c r="F1007" s="140"/>
      <c r="G1007" s="139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>
      <c r="A1008" s="135"/>
      <c r="B1008" s="139"/>
      <c r="C1008" s="137"/>
      <c r="D1008" s="138"/>
      <c r="F1008" s="140"/>
      <c r="G1008" s="139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>
      <c r="A1009" s="135"/>
      <c r="B1009" s="139"/>
      <c r="C1009" s="137"/>
      <c r="D1009" s="138"/>
      <c r="F1009" s="140"/>
      <c r="G1009" s="139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>
      <c r="A1010" s="135"/>
      <c r="B1010" s="139"/>
      <c r="C1010" s="137"/>
      <c r="D1010" s="138"/>
      <c r="F1010" s="140"/>
      <c r="G1010" s="139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>
      <c r="A1011" s="135"/>
      <c r="B1011" s="139"/>
      <c r="C1011" s="137"/>
      <c r="D1011" s="138"/>
      <c r="F1011" s="140"/>
      <c r="G1011" s="139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>
      <c r="A1012" s="135"/>
      <c r="B1012" s="139"/>
      <c r="C1012" s="137"/>
      <c r="D1012" s="138"/>
      <c r="F1012" s="140"/>
      <c r="G1012" s="139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>
      <c r="A1013" s="135"/>
      <c r="B1013" s="139"/>
      <c r="C1013" s="137"/>
      <c r="D1013" s="138"/>
      <c r="F1013" s="140"/>
      <c r="G1013" s="139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>
      <c r="A1014" s="135"/>
      <c r="B1014" s="139"/>
      <c r="C1014" s="137"/>
      <c r="D1014" s="138"/>
      <c r="F1014" s="140"/>
      <c r="G1014" s="139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  <row r="1015">
      <c r="A1015" s="135"/>
      <c r="B1015" s="139"/>
      <c r="C1015" s="137"/>
      <c r="D1015" s="138"/>
      <c r="F1015" s="140"/>
      <c r="G1015" s="139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</row>
    <row r="1016">
      <c r="A1016" s="135"/>
      <c r="B1016" s="139"/>
      <c r="C1016" s="137"/>
      <c r="D1016" s="138"/>
      <c r="F1016" s="140"/>
      <c r="G1016" s="139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</row>
    <row r="1017">
      <c r="A1017" s="135"/>
      <c r="B1017" s="139"/>
      <c r="C1017" s="137"/>
      <c r="D1017" s="138"/>
      <c r="F1017" s="140"/>
      <c r="G1017" s="139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</row>
    <row r="1018">
      <c r="A1018" s="135"/>
      <c r="B1018" s="139"/>
      <c r="C1018" s="137"/>
      <c r="D1018" s="138"/>
      <c r="F1018" s="140"/>
      <c r="G1018" s="139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</row>
    <row r="1019">
      <c r="A1019" s="135"/>
      <c r="B1019" s="139"/>
      <c r="C1019" s="137"/>
      <c r="D1019" s="138"/>
      <c r="F1019" s="140"/>
      <c r="G1019" s="139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</row>
  </sheetData>
  <mergeCells count="3">
    <mergeCell ref="A1:G1"/>
    <mergeCell ref="A2:B3"/>
    <mergeCell ref="C2:G3"/>
  </mergeCells>
  <conditionalFormatting sqref="C5:C587">
    <cfRule type="beginsWith" dxfId="0" priority="1" operator="beginsWith" text="/410/0">
      <formula>LEFT((C5),LEN("/410/0"))=("/410/0")</formula>
    </cfRule>
  </conditionalFormatting>
  <conditionalFormatting sqref="C5:C587">
    <cfRule type="beginsWith" dxfId="1" priority="2" operator="beginsWith" text="/410/1">
      <formula>LEFT((C5),LEN("/410/1"))=("/410/1")</formula>
    </cfRule>
  </conditionalFormatting>
  <conditionalFormatting sqref="C5:C587">
    <cfRule type="beginsWith" dxfId="2" priority="3" operator="beginsWith" text="/410/2">
      <formula>LEFT((C5),LEN("/410/2"))=("/410/2")</formula>
    </cfRule>
  </conditionalFormatting>
  <conditionalFormatting sqref="C5:C587">
    <cfRule type="beginsWith" dxfId="3" priority="4" operator="beginsWith" text="/410/3">
      <formula>LEFT((C5),LEN("/410/3"))=("/410/3")</formula>
    </cfRule>
  </conditionalFormatting>
  <conditionalFormatting sqref="C5:C587">
    <cfRule type="beginsWith" dxfId="4" priority="5" operator="beginsWith" text="/410/4">
      <formula>LEFT((C5),LEN("/410/4"))=("/410/4")</formula>
    </cfRule>
  </conditionalFormatting>
  <conditionalFormatting sqref="C5:C587">
    <cfRule type="beginsWith" dxfId="5" priority="6" operator="beginsWith" text="/412/0">
      <formula>LEFT((C5),LEN("/412/0"))=("/412/0")</formula>
    </cfRule>
  </conditionalFormatting>
  <conditionalFormatting sqref="C5:C587">
    <cfRule type="beginsWith" dxfId="6" priority="7" operator="beginsWith" text="/412/1">
      <formula>LEFT((C5),LEN("/412/1"))=("/412/1")</formula>
    </cfRule>
  </conditionalFormatting>
  <conditionalFormatting sqref="C5:C587">
    <cfRule type="beginsWith" dxfId="7" priority="8" operator="beginsWith" text="/412/2">
      <formula>LEFT((C5),LEN("/412/2"))=("/412/2")</formula>
    </cfRule>
  </conditionalFormatting>
  <conditionalFormatting sqref="C5:C587">
    <cfRule type="beginsWith" dxfId="8" priority="9" operator="beginsWith" text="/410/0">
      <formula>LEFT((C5),LEN("/410/0"))=("/410/0")</formula>
    </cfRule>
  </conditionalFormatting>
  <conditionalFormatting sqref="C5:C587">
    <cfRule type="beginsWith" dxfId="9" priority="10" operator="beginsWith" text="/410/1">
      <formula>LEFT((C5),LEN("/410/1"))=("/410/1")</formula>
    </cfRule>
  </conditionalFormatting>
  <conditionalFormatting sqref="C5:C587">
    <cfRule type="beginsWith" dxfId="10" priority="11" operator="beginsWith" text="/410/2">
      <formula>LEFT((C5),LEN("/410/2"))=("/410/2")</formula>
    </cfRule>
  </conditionalFormatting>
  <conditionalFormatting sqref="C5:C587">
    <cfRule type="beginsWith" dxfId="11" priority="12" operator="beginsWith" text="/410/3">
      <formula>LEFT((C5),LEN("/410/3"))=("/410/3")</formula>
    </cfRule>
  </conditionalFormatting>
  <conditionalFormatting sqref="C5:C587">
    <cfRule type="beginsWith" dxfId="12" priority="13" operator="beginsWith" text="/410/4">
      <formula>LEFT((C5),LEN("/410/4"))=("/410/4")</formula>
    </cfRule>
  </conditionalFormatting>
  <conditionalFormatting sqref="C21">
    <cfRule type="colorScale" priority="14">
      <colorScale>
        <cfvo type="min"/>
        <cfvo type="max"/>
        <color rgb="FF57BB8A"/>
        <color rgb="FFFFFFFF"/>
      </colorScale>
    </cfRule>
  </conditionalFormatting>
  <conditionalFormatting sqref="H2:H4">
    <cfRule type="colorScale" priority="15">
      <colorScale>
        <cfvo type="formula" val="7"/>
        <cfvo type="formula" val="9"/>
        <cfvo type="formula" val="12"/>
        <color rgb="FFD1FAE4"/>
        <color rgb="FFD1F3FA"/>
        <color rgb="FFDBD1FA"/>
      </colorScale>
    </cfRule>
  </conditionalFormatting>
  <conditionalFormatting sqref="H2:H4">
    <cfRule type="colorScale" priority="16">
      <colorScale>
        <cfvo type="formula" val="1"/>
        <cfvo type="formula" val="3"/>
        <cfvo type="formula" val="6"/>
        <color rgb="FFFAE0D1"/>
        <color rgb="FFF8FAD1"/>
        <color rgb="FFD1FAD6"/>
      </colorScale>
    </cfRule>
  </conditionalFormatting>
  <conditionalFormatting sqref="H2:H4">
    <cfRule type="colorScale" priority="17">
      <colorScale>
        <cfvo type="formula" val="13"/>
        <cfvo type="formula" val="15"/>
        <cfvo type="formula" val="17"/>
        <color rgb="FFE9D1FA"/>
        <color rgb="FFFAD1EE"/>
        <color rgb="FFFAD1D1"/>
      </colorScale>
    </cfRule>
  </conditionalFormatting>
  <dataValidations>
    <dataValidation type="list" allowBlank="1" showErrorMessage="1" sqref="G5:G587">
      <formula1>"Yes,No"</formula1>
    </dataValidation>
    <dataValidation type="list" allowBlank="1" showErrorMessage="1" sqref="C5:C587">
      <formula1>'Storage Locations'!$A:$A</formula1>
    </dataValidation>
    <dataValidation type="list" allowBlank="1" showErrorMessage="1" sqref="E5:E587">
      <formula1>'Rooms and Types'!$E$3:$E$1001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5.0"/>
    <col customWidth="1" min="4" max="4" width="16.0"/>
    <col customWidth="1" min="5" max="5" width="17.5"/>
  </cols>
  <sheetData>
    <row r="1" ht="30.0" customHeight="1">
      <c r="A1" s="141" t="s">
        <v>969</v>
      </c>
      <c r="D1" s="142" t="s">
        <v>970</v>
      </c>
      <c r="H1" s="143"/>
      <c r="I1" s="144"/>
      <c r="J1" s="145"/>
      <c r="K1" s="146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</row>
    <row r="2">
      <c r="A2" s="147" t="s">
        <v>971</v>
      </c>
      <c r="B2" s="147" t="s">
        <v>972</v>
      </c>
      <c r="C2" s="147" t="s">
        <v>922</v>
      </c>
      <c r="D2" s="148" t="s">
        <v>973</v>
      </c>
      <c r="E2" s="149" t="s">
        <v>974</v>
      </c>
      <c r="F2" s="149" t="s">
        <v>975</v>
      </c>
      <c r="G2" s="149" t="s">
        <v>976</v>
      </c>
      <c r="H2" s="150"/>
      <c r="I2" s="151"/>
      <c r="J2" s="152"/>
      <c r="K2" s="153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</row>
    <row r="3">
      <c r="A3" s="154" t="s">
        <v>633</v>
      </c>
      <c r="B3" s="154" t="s">
        <v>977</v>
      </c>
      <c r="C3" s="154" t="s">
        <v>978</v>
      </c>
      <c r="D3" s="155" t="s">
        <v>672</v>
      </c>
      <c r="E3" s="156" t="s">
        <v>862</v>
      </c>
      <c r="F3" s="157">
        <f>MAX(Items!$A$5:$A1001)</f>
        <v>258</v>
      </c>
      <c r="G3" s="158">
        <f>TODAY()</f>
        <v>45377</v>
      </c>
      <c r="H3" s="159"/>
      <c r="I3" s="157"/>
      <c r="J3" s="157"/>
      <c r="K3" s="156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</row>
    <row r="4">
      <c r="A4" s="154" t="s">
        <v>715</v>
      </c>
      <c r="B4" s="154" t="s">
        <v>979</v>
      </c>
      <c r="C4" s="154" t="s">
        <v>978</v>
      </c>
      <c r="D4" s="155" t="s">
        <v>643</v>
      </c>
      <c r="E4" s="156" t="s">
        <v>808</v>
      </c>
      <c r="F4" s="157"/>
      <c r="G4" s="157"/>
      <c r="H4" s="159"/>
      <c r="I4" s="157"/>
      <c r="J4" s="157"/>
      <c r="K4" s="156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</row>
    <row r="5">
      <c r="A5" s="154" t="s">
        <v>980</v>
      </c>
      <c r="B5" s="154" t="s">
        <v>981</v>
      </c>
      <c r="C5" s="154" t="s">
        <v>978</v>
      </c>
      <c r="D5" s="155" t="s">
        <v>696</v>
      </c>
      <c r="E5" s="156" t="s">
        <v>783</v>
      </c>
      <c r="F5" s="157"/>
      <c r="G5" s="157"/>
      <c r="H5" s="159"/>
      <c r="I5" s="157"/>
      <c r="J5" s="157"/>
      <c r="K5" s="156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</row>
    <row r="6">
      <c r="A6" s="154" t="s">
        <v>982</v>
      </c>
      <c r="B6" s="154" t="s">
        <v>983</v>
      </c>
      <c r="C6" s="154" t="s">
        <v>978</v>
      </c>
      <c r="D6" s="155" t="s">
        <v>646</v>
      </c>
      <c r="E6" s="156" t="s">
        <v>821</v>
      </c>
      <c r="F6" s="156"/>
      <c r="G6" s="157"/>
      <c r="H6" s="159"/>
      <c r="I6" s="157"/>
      <c r="J6" s="157"/>
      <c r="K6" s="156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</row>
    <row r="7">
      <c r="A7" s="154" t="s">
        <v>984</v>
      </c>
      <c r="B7" s="154" t="s">
        <v>985</v>
      </c>
      <c r="C7" s="154" t="s">
        <v>978</v>
      </c>
      <c r="D7" s="155" t="s">
        <v>640</v>
      </c>
      <c r="E7" s="156" t="s">
        <v>805</v>
      </c>
      <c r="F7" s="157"/>
      <c r="G7" s="157"/>
      <c r="H7" s="159"/>
      <c r="I7" s="157"/>
      <c r="J7" s="157"/>
      <c r="K7" s="156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</row>
    <row r="8">
      <c r="A8" s="154" t="s">
        <v>986</v>
      </c>
      <c r="B8" s="154" t="s">
        <v>987</v>
      </c>
      <c r="C8" s="154" t="s">
        <v>978</v>
      </c>
      <c r="D8" s="155" t="s">
        <v>655</v>
      </c>
      <c r="E8" s="156" t="s">
        <v>838</v>
      </c>
      <c r="F8" s="157"/>
      <c r="G8" s="157"/>
      <c r="H8" s="159"/>
      <c r="I8" s="157"/>
      <c r="J8" s="157"/>
      <c r="K8" s="156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</row>
    <row r="9">
      <c r="A9" s="154" t="s">
        <v>988</v>
      </c>
      <c r="B9" s="154" t="s">
        <v>989</v>
      </c>
      <c r="C9" s="154" t="s">
        <v>978</v>
      </c>
      <c r="D9" s="155" t="s">
        <v>663</v>
      </c>
      <c r="E9" s="156" t="s">
        <v>851</v>
      </c>
      <c r="F9" s="157"/>
      <c r="G9" s="157"/>
      <c r="H9" s="159"/>
      <c r="I9" s="157"/>
      <c r="J9" s="157"/>
      <c r="K9" s="156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</row>
    <row r="10">
      <c r="A10" s="154" t="s">
        <v>990</v>
      </c>
      <c r="B10" s="154" t="s">
        <v>991</v>
      </c>
      <c r="C10" s="154" t="s">
        <v>992</v>
      </c>
      <c r="D10" s="155" t="s">
        <v>632</v>
      </c>
      <c r="E10" s="156" t="s">
        <v>783</v>
      </c>
      <c r="F10" s="157"/>
      <c r="G10" s="157"/>
      <c r="H10" s="159"/>
      <c r="I10" s="157"/>
      <c r="J10" s="157"/>
      <c r="K10" s="156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</row>
    <row r="11">
      <c r="A11" s="154" t="s">
        <v>993</v>
      </c>
      <c r="B11" s="154" t="s">
        <v>994</v>
      </c>
      <c r="C11" s="154" t="s">
        <v>992</v>
      </c>
      <c r="D11" s="155" t="s">
        <v>658</v>
      </c>
      <c r="E11" s="156" t="s">
        <v>790</v>
      </c>
      <c r="F11" s="157"/>
      <c r="G11" s="157"/>
      <c r="H11" s="159"/>
      <c r="I11" s="157"/>
      <c r="J11" s="157"/>
      <c r="K11" s="156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</row>
    <row r="12">
      <c r="A12" s="154" t="s">
        <v>995</v>
      </c>
      <c r="B12" s="154" t="s">
        <v>996</v>
      </c>
      <c r="C12" s="154" t="s">
        <v>992</v>
      </c>
      <c r="D12" s="155" t="s">
        <v>997</v>
      </c>
      <c r="E12" s="156" t="s">
        <v>922</v>
      </c>
      <c r="F12" s="157"/>
      <c r="G12" s="157"/>
      <c r="H12" s="159"/>
      <c r="I12" s="157"/>
      <c r="J12" s="157"/>
      <c r="K12" s="156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</row>
    <row r="13">
      <c r="A13" s="154" t="s">
        <v>998</v>
      </c>
      <c r="B13" s="154" t="s">
        <v>999</v>
      </c>
      <c r="C13" s="154" t="s">
        <v>992</v>
      </c>
      <c r="D13" s="160"/>
      <c r="E13" s="156" t="s">
        <v>833</v>
      </c>
      <c r="F13" s="157"/>
      <c r="G13" s="157"/>
      <c r="H13" s="159"/>
      <c r="I13" s="157"/>
      <c r="J13" s="157"/>
      <c r="K13" s="156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</row>
    <row r="14">
      <c r="A14" s="154" t="s">
        <v>1000</v>
      </c>
      <c r="B14" s="154" t="s">
        <v>1001</v>
      </c>
      <c r="C14" s="154" t="s">
        <v>992</v>
      </c>
      <c r="D14" s="160"/>
      <c r="E14" s="157"/>
      <c r="F14" s="157"/>
      <c r="G14" s="157"/>
      <c r="H14" s="159"/>
      <c r="I14" s="157"/>
      <c r="J14" s="157"/>
      <c r="K14" s="156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</row>
    <row r="15">
      <c r="A15" s="154" t="s">
        <v>1002</v>
      </c>
      <c r="B15" s="154" t="s">
        <v>1003</v>
      </c>
      <c r="C15" s="154" t="s">
        <v>992</v>
      </c>
      <c r="D15" s="160"/>
      <c r="E15" s="157"/>
      <c r="F15" s="157"/>
      <c r="G15" s="157"/>
      <c r="H15" s="159"/>
      <c r="I15" s="157"/>
      <c r="J15" s="157"/>
      <c r="K15" s="156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</row>
    <row r="16">
      <c r="A16" s="161"/>
      <c r="B16" s="161"/>
      <c r="C16" s="161"/>
      <c r="D16" s="160"/>
      <c r="E16" s="157"/>
      <c r="F16" s="157"/>
      <c r="G16" s="157"/>
      <c r="H16" s="159"/>
      <c r="I16" s="157"/>
      <c r="J16" s="157"/>
      <c r="K16" s="156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</row>
    <row r="17">
      <c r="A17" s="161"/>
      <c r="B17" s="161"/>
      <c r="C17" s="161"/>
      <c r="D17" s="160"/>
      <c r="E17" s="157"/>
      <c r="F17" s="157"/>
      <c r="G17" s="157"/>
      <c r="H17" s="159"/>
      <c r="I17" s="157"/>
      <c r="J17" s="157"/>
      <c r="K17" s="156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</row>
    <row r="18">
      <c r="A18" s="161"/>
      <c r="B18" s="161"/>
      <c r="C18" s="161"/>
      <c r="D18" s="160"/>
      <c r="E18" s="157"/>
      <c r="F18" s="157"/>
      <c r="G18" s="157"/>
      <c r="H18" s="159"/>
      <c r="I18" s="157"/>
      <c r="J18" s="157"/>
      <c r="K18" s="156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</row>
    <row r="19">
      <c r="A19" s="161"/>
      <c r="B19" s="161"/>
      <c r="C19" s="161"/>
      <c r="D19" s="160"/>
      <c r="E19" s="157"/>
      <c r="F19" s="157"/>
      <c r="G19" s="157"/>
      <c r="H19" s="159"/>
      <c r="I19" s="157"/>
      <c r="J19" s="157"/>
      <c r="K19" s="156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</row>
    <row r="20">
      <c r="A20" s="161"/>
      <c r="B20" s="161"/>
      <c r="C20" s="161"/>
      <c r="D20" s="160"/>
      <c r="E20" s="157"/>
      <c r="F20" s="157"/>
      <c r="G20" s="157"/>
      <c r="H20" s="159"/>
      <c r="I20" s="157"/>
      <c r="J20" s="157"/>
      <c r="K20" s="156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</row>
    <row r="21">
      <c r="A21" s="161"/>
      <c r="B21" s="161"/>
      <c r="C21" s="161"/>
      <c r="D21" s="160"/>
      <c r="E21" s="157"/>
      <c r="F21" s="157"/>
      <c r="G21" s="157"/>
      <c r="H21" s="159"/>
      <c r="I21" s="157"/>
      <c r="J21" s="157"/>
      <c r="K21" s="156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</row>
    <row r="22">
      <c r="A22" s="161"/>
      <c r="B22" s="161"/>
      <c r="C22" s="161"/>
      <c r="D22" s="160"/>
      <c r="E22" s="157"/>
      <c r="F22" s="157"/>
      <c r="G22" s="157"/>
      <c r="H22" s="159"/>
      <c r="I22" s="157"/>
      <c r="J22" s="157"/>
      <c r="K22" s="156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</row>
    <row r="23">
      <c r="A23" s="161"/>
      <c r="B23" s="161"/>
      <c r="C23" s="161"/>
      <c r="D23" s="160"/>
      <c r="E23" s="157"/>
      <c r="F23" s="157"/>
      <c r="G23" s="157"/>
      <c r="H23" s="159"/>
      <c r="I23" s="157"/>
      <c r="J23" s="157"/>
      <c r="K23" s="156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</row>
    <row r="24">
      <c r="A24" s="161"/>
      <c r="B24" s="161"/>
      <c r="C24" s="161"/>
      <c r="D24" s="160"/>
      <c r="E24" s="157"/>
      <c r="F24" s="157"/>
      <c r="G24" s="157"/>
      <c r="H24" s="159"/>
      <c r="I24" s="157"/>
      <c r="J24" s="157"/>
      <c r="K24" s="156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</row>
    <row r="25">
      <c r="A25" s="161"/>
      <c r="B25" s="161"/>
      <c r="C25" s="161"/>
      <c r="D25" s="160"/>
      <c r="E25" s="157"/>
      <c r="F25" s="157"/>
      <c r="G25" s="157"/>
      <c r="H25" s="159"/>
      <c r="I25" s="157"/>
      <c r="J25" s="157"/>
      <c r="K25" s="156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</row>
    <row r="26">
      <c r="A26" s="161"/>
      <c r="B26" s="161"/>
      <c r="C26" s="161"/>
      <c r="D26" s="160"/>
      <c r="E26" s="157"/>
      <c r="F26" s="157"/>
      <c r="G26" s="157"/>
      <c r="H26" s="159"/>
      <c r="I26" s="157"/>
      <c r="J26" s="157"/>
      <c r="K26" s="156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</row>
    <row r="27">
      <c r="A27" s="161"/>
      <c r="B27" s="161"/>
      <c r="C27" s="161"/>
      <c r="D27" s="160"/>
      <c r="E27" s="157"/>
      <c r="F27" s="157"/>
      <c r="G27" s="157"/>
      <c r="H27" s="159"/>
      <c r="I27" s="157"/>
      <c r="J27" s="157"/>
      <c r="K27" s="156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</row>
    <row r="28">
      <c r="A28" s="161"/>
      <c r="B28" s="161"/>
      <c r="C28" s="161"/>
      <c r="D28" s="160"/>
      <c r="E28" s="157"/>
      <c r="F28" s="157"/>
      <c r="G28" s="157"/>
      <c r="H28" s="159"/>
      <c r="I28" s="157"/>
      <c r="J28" s="157"/>
      <c r="K28" s="156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</row>
    <row r="29">
      <c r="A29" s="161"/>
      <c r="B29" s="161"/>
      <c r="C29" s="161"/>
      <c r="D29" s="160"/>
      <c r="E29" s="157"/>
      <c r="F29" s="157"/>
      <c r="G29" s="157"/>
      <c r="H29" s="159"/>
      <c r="I29" s="157"/>
      <c r="J29" s="157"/>
      <c r="K29" s="156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</row>
    <row r="30">
      <c r="A30" s="161"/>
      <c r="B30" s="161"/>
      <c r="C30" s="161"/>
      <c r="D30" s="160"/>
      <c r="E30" s="157"/>
      <c r="F30" s="157"/>
      <c r="G30" s="157"/>
      <c r="H30" s="159"/>
      <c r="I30" s="157"/>
      <c r="J30" s="157"/>
      <c r="K30" s="156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</row>
    <row r="31">
      <c r="A31" s="161"/>
      <c r="B31" s="161"/>
      <c r="C31" s="161"/>
      <c r="D31" s="160"/>
      <c r="E31" s="157"/>
      <c r="F31" s="157"/>
      <c r="G31" s="157"/>
      <c r="H31" s="159"/>
      <c r="I31" s="157"/>
      <c r="J31" s="157"/>
      <c r="K31" s="156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</row>
    <row r="32">
      <c r="A32" s="161"/>
      <c r="B32" s="161"/>
      <c r="C32" s="161"/>
      <c r="D32" s="160"/>
      <c r="E32" s="157"/>
      <c r="F32" s="157"/>
      <c r="G32" s="157"/>
      <c r="H32" s="159"/>
      <c r="I32" s="157"/>
      <c r="J32" s="157"/>
      <c r="K32" s="156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</row>
    <row r="33">
      <c r="A33" s="161"/>
      <c r="B33" s="161"/>
      <c r="C33" s="161"/>
      <c r="D33" s="160"/>
      <c r="E33" s="157"/>
      <c r="F33" s="157"/>
      <c r="G33" s="157"/>
      <c r="H33" s="159"/>
      <c r="I33" s="157"/>
      <c r="J33" s="157"/>
      <c r="K33" s="156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</row>
    <row r="34">
      <c r="A34" s="161"/>
      <c r="B34" s="161"/>
      <c r="C34" s="161"/>
      <c r="D34" s="160"/>
      <c r="E34" s="157"/>
      <c r="F34" s="157"/>
      <c r="G34" s="157"/>
      <c r="H34" s="159"/>
      <c r="I34" s="157"/>
      <c r="J34" s="157"/>
      <c r="K34" s="156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</row>
    <row r="35">
      <c r="A35" s="161"/>
      <c r="B35" s="161"/>
      <c r="C35" s="161"/>
      <c r="D35" s="160"/>
      <c r="E35" s="157"/>
      <c r="F35" s="157"/>
      <c r="G35" s="157"/>
      <c r="H35" s="159"/>
      <c r="I35" s="157"/>
      <c r="J35" s="157"/>
      <c r="K35" s="156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</row>
    <row r="36">
      <c r="A36" s="161"/>
      <c r="B36" s="161"/>
      <c r="C36" s="161"/>
      <c r="D36" s="160"/>
      <c r="E36" s="157"/>
      <c r="F36" s="157"/>
      <c r="G36" s="157"/>
      <c r="H36" s="159"/>
      <c r="I36" s="157"/>
      <c r="J36" s="157"/>
      <c r="K36" s="156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</row>
    <row r="37">
      <c r="A37" s="161"/>
      <c r="B37" s="161"/>
      <c r="C37" s="161"/>
      <c r="D37" s="160"/>
      <c r="E37" s="157"/>
      <c r="F37" s="157"/>
      <c r="G37" s="157"/>
      <c r="H37" s="159"/>
      <c r="I37" s="157"/>
      <c r="J37" s="157"/>
      <c r="K37" s="156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</row>
    <row r="38">
      <c r="A38" s="161"/>
      <c r="B38" s="161"/>
      <c r="C38" s="161"/>
      <c r="D38" s="160"/>
      <c r="E38" s="157"/>
      <c r="F38" s="157"/>
      <c r="G38" s="157"/>
      <c r="H38" s="159"/>
      <c r="I38" s="157"/>
      <c r="J38" s="157"/>
      <c r="K38" s="156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</row>
    <row r="39">
      <c r="A39" s="161"/>
      <c r="B39" s="161"/>
      <c r="C39" s="161"/>
      <c r="D39" s="160"/>
      <c r="E39" s="157"/>
      <c r="F39" s="157"/>
      <c r="G39" s="157"/>
      <c r="H39" s="159"/>
      <c r="I39" s="157"/>
      <c r="J39" s="157"/>
      <c r="K39" s="156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</row>
    <row r="40">
      <c r="A40" s="161"/>
      <c r="B40" s="161"/>
      <c r="C40" s="161"/>
      <c r="D40" s="160"/>
      <c r="E40" s="157"/>
      <c r="F40" s="157"/>
      <c r="G40" s="157"/>
      <c r="H40" s="159"/>
      <c r="I40" s="157"/>
      <c r="J40" s="157"/>
      <c r="K40" s="156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</row>
    <row r="41">
      <c r="A41" s="161"/>
      <c r="B41" s="161"/>
      <c r="C41" s="161"/>
      <c r="D41" s="160"/>
      <c r="E41" s="157"/>
      <c r="F41" s="157"/>
      <c r="G41" s="157"/>
      <c r="H41" s="159"/>
      <c r="I41" s="157"/>
      <c r="J41" s="157"/>
      <c r="K41" s="156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</row>
    <row r="42">
      <c r="A42" s="161"/>
      <c r="B42" s="161"/>
      <c r="C42" s="161"/>
      <c r="D42" s="160"/>
      <c r="E42" s="157"/>
      <c r="F42" s="157"/>
      <c r="G42" s="157"/>
      <c r="H42" s="159"/>
      <c r="I42" s="157"/>
      <c r="J42" s="157"/>
      <c r="K42" s="156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</row>
    <row r="43">
      <c r="A43" s="161"/>
      <c r="B43" s="161"/>
      <c r="C43" s="161"/>
      <c r="D43" s="160"/>
      <c r="E43" s="157"/>
      <c r="F43" s="157"/>
      <c r="G43" s="157"/>
      <c r="H43" s="159"/>
      <c r="I43" s="157"/>
      <c r="J43" s="157"/>
      <c r="K43" s="156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</row>
    <row r="44">
      <c r="A44" s="161"/>
      <c r="B44" s="161"/>
      <c r="C44" s="161"/>
      <c r="D44" s="160"/>
      <c r="E44" s="157"/>
      <c r="F44" s="157"/>
      <c r="G44" s="157"/>
      <c r="H44" s="159"/>
      <c r="I44" s="157"/>
      <c r="J44" s="157"/>
      <c r="K44" s="156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</row>
    <row r="45">
      <c r="A45" s="161"/>
      <c r="B45" s="161"/>
      <c r="C45" s="161"/>
      <c r="D45" s="160"/>
      <c r="E45" s="157"/>
      <c r="F45" s="157"/>
      <c r="G45" s="157"/>
      <c r="H45" s="159"/>
      <c r="I45" s="157"/>
      <c r="J45" s="157"/>
      <c r="K45" s="156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</row>
    <row r="46">
      <c r="A46" s="161"/>
      <c r="B46" s="161"/>
      <c r="C46" s="161"/>
      <c r="D46" s="160"/>
      <c r="E46" s="157"/>
      <c r="F46" s="157"/>
      <c r="G46" s="157"/>
      <c r="H46" s="159"/>
      <c r="I46" s="157"/>
      <c r="J46" s="157"/>
      <c r="K46" s="156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</row>
    <row r="47">
      <c r="A47" s="161"/>
      <c r="B47" s="161"/>
      <c r="C47" s="161"/>
      <c r="D47" s="160"/>
      <c r="E47" s="157"/>
      <c r="F47" s="157"/>
      <c r="G47" s="157"/>
      <c r="H47" s="159"/>
      <c r="I47" s="157"/>
      <c r="J47" s="157"/>
      <c r="K47" s="156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</row>
    <row r="48">
      <c r="A48" s="161"/>
      <c r="B48" s="161"/>
      <c r="C48" s="161"/>
      <c r="D48" s="160"/>
      <c r="E48" s="157"/>
      <c r="F48" s="157"/>
      <c r="G48" s="157"/>
      <c r="H48" s="159"/>
      <c r="I48" s="157"/>
      <c r="J48" s="157"/>
      <c r="K48" s="156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</row>
    <row r="49">
      <c r="A49" s="161"/>
      <c r="B49" s="161"/>
      <c r="C49" s="161"/>
      <c r="D49" s="160"/>
      <c r="E49" s="157"/>
      <c r="F49" s="157"/>
      <c r="G49" s="157"/>
      <c r="H49" s="159"/>
      <c r="I49" s="157"/>
      <c r="J49" s="157"/>
      <c r="K49" s="156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</row>
    <row r="50">
      <c r="A50" s="161"/>
      <c r="B50" s="161"/>
      <c r="C50" s="161"/>
      <c r="D50" s="160"/>
      <c r="E50" s="157"/>
      <c r="F50" s="157"/>
      <c r="G50" s="157"/>
      <c r="H50" s="159"/>
      <c r="I50" s="157"/>
      <c r="J50" s="157"/>
      <c r="K50" s="156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</row>
    <row r="51">
      <c r="A51" s="161"/>
      <c r="B51" s="161"/>
      <c r="C51" s="161"/>
      <c r="D51" s="160"/>
      <c r="E51" s="157"/>
      <c r="F51" s="157"/>
      <c r="G51" s="157"/>
      <c r="H51" s="159"/>
      <c r="I51" s="157"/>
      <c r="J51" s="157"/>
      <c r="K51" s="156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</row>
    <row r="52">
      <c r="A52" s="161"/>
      <c r="B52" s="161"/>
      <c r="C52" s="161"/>
      <c r="D52" s="160"/>
      <c r="E52" s="157"/>
      <c r="F52" s="157"/>
      <c r="G52" s="157"/>
      <c r="H52" s="159"/>
      <c r="I52" s="157"/>
      <c r="J52" s="157"/>
      <c r="K52" s="156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</row>
    <row r="53">
      <c r="A53" s="161"/>
      <c r="B53" s="161"/>
      <c r="C53" s="161"/>
      <c r="D53" s="160"/>
      <c r="E53" s="157"/>
      <c r="F53" s="157"/>
      <c r="G53" s="157"/>
      <c r="H53" s="159"/>
      <c r="I53" s="157"/>
      <c r="J53" s="157"/>
      <c r="K53" s="156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</row>
    <row r="54">
      <c r="A54" s="161"/>
      <c r="B54" s="161"/>
      <c r="C54" s="161"/>
      <c r="D54" s="160"/>
      <c r="E54" s="157"/>
      <c r="F54" s="157"/>
      <c r="G54" s="157"/>
      <c r="H54" s="159"/>
      <c r="I54" s="157"/>
      <c r="J54" s="157"/>
      <c r="K54" s="156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</row>
    <row r="55">
      <c r="A55" s="161"/>
      <c r="B55" s="161"/>
      <c r="C55" s="161"/>
      <c r="D55" s="160"/>
      <c r="E55" s="157"/>
      <c r="F55" s="157"/>
      <c r="G55" s="157"/>
      <c r="H55" s="159"/>
      <c r="I55" s="157"/>
      <c r="J55" s="157"/>
      <c r="K55" s="156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</row>
    <row r="56">
      <c r="A56" s="161"/>
      <c r="B56" s="161"/>
      <c r="C56" s="161"/>
      <c r="D56" s="160"/>
      <c r="E56" s="157"/>
      <c r="F56" s="157"/>
      <c r="G56" s="157"/>
      <c r="H56" s="159"/>
      <c r="I56" s="157"/>
      <c r="J56" s="157"/>
      <c r="K56" s="15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</row>
    <row r="57">
      <c r="A57" s="161"/>
      <c r="B57" s="161"/>
      <c r="C57" s="161"/>
      <c r="D57" s="160"/>
      <c r="E57" s="157"/>
      <c r="F57" s="157"/>
      <c r="G57" s="157"/>
      <c r="H57" s="159"/>
      <c r="I57" s="157"/>
      <c r="J57" s="157"/>
      <c r="K57" s="156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</row>
    <row r="58">
      <c r="A58" s="161"/>
      <c r="B58" s="161"/>
      <c r="C58" s="161"/>
      <c r="D58" s="160"/>
      <c r="E58" s="157"/>
      <c r="F58" s="157"/>
      <c r="G58" s="157"/>
      <c r="H58" s="159"/>
      <c r="I58" s="157"/>
      <c r="J58" s="157"/>
      <c r="K58" s="156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</row>
    <row r="59">
      <c r="A59" s="161"/>
      <c r="B59" s="161"/>
      <c r="C59" s="161"/>
      <c r="D59" s="160"/>
      <c r="E59" s="157"/>
      <c r="F59" s="157"/>
      <c r="G59" s="157"/>
      <c r="H59" s="159"/>
      <c r="I59" s="157"/>
      <c r="J59" s="157"/>
      <c r="K59" s="156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</row>
    <row r="60">
      <c r="A60" s="161"/>
      <c r="B60" s="161"/>
      <c r="C60" s="161"/>
      <c r="D60" s="160"/>
      <c r="E60" s="157"/>
      <c r="F60" s="157"/>
      <c r="G60" s="157"/>
      <c r="H60" s="159"/>
      <c r="I60" s="157"/>
      <c r="J60" s="157"/>
      <c r="K60" s="156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</row>
    <row r="61">
      <c r="A61" s="161"/>
      <c r="B61" s="161"/>
      <c r="C61" s="161"/>
      <c r="D61" s="160"/>
      <c r="E61" s="157"/>
      <c r="F61" s="157"/>
      <c r="G61" s="157"/>
      <c r="H61" s="159"/>
      <c r="I61" s="157"/>
      <c r="J61" s="157"/>
      <c r="K61" s="156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</row>
    <row r="62">
      <c r="A62" s="161"/>
      <c r="B62" s="161"/>
      <c r="C62" s="161"/>
      <c r="D62" s="160"/>
      <c r="E62" s="157"/>
      <c r="F62" s="157"/>
      <c r="G62" s="157"/>
      <c r="H62" s="159"/>
      <c r="I62" s="157"/>
      <c r="J62" s="157"/>
      <c r="K62" s="156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</row>
    <row r="63">
      <c r="A63" s="161"/>
      <c r="B63" s="161"/>
      <c r="C63" s="161"/>
      <c r="D63" s="160"/>
      <c r="E63" s="157"/>
      <c r="F63" s="157"/>
      <c r="G63" s="157"/>
      <c r="H63" s="159"/>
      <c r="I63" s="157"/>
      <c r="J63" s="157"/>
      <c r="K63" s="156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</row>
    <row r="64">
      <c r="A64" s="161"/>
      <c r="B64" s="161"/>
      <c r="C64" s="161"/>
      <c r="D64" s="160"/>
      <c r="E64" s="157"/>
      <c r="F64" s="157"/>
      <c r="G64" s="157"/>
      <c r="H64" s="159"/>
      <c r="I64" s="157"/>
      <c r="J64" s="157"/>
      <c r="K64" s="156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</row>
    <row r="65">
      <c r="A65" s="161"/>
      <c r="B65" s="161"/>
      <c r="C65" s="161"/>
      <c r="D65" s="160"/>
      <c r="E65" s="157"/>
      <c r="F65" s="157"/>
      <c r="G65" s="157"/>
      <c r="H65" s="159"/>
      <c r="I65" s="157"/>
      <c r="J65" s="157"/>
      <c r="K65" s="156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</row>
    <row r="66">
      <c r="A66" s="161"/>
      <c r="B66" s="161"/>
      <c r="C66" s="161"/>
      <c r="D66" s="160"/>
      <c r="E66" s="157"/>
      <c r="F66" s="157"/>
      <c r="G66" s="157"/>
      <c r="H66" s="159"/>
      <c r="I66" s="157"/>
      <c r="J66" s="157"/>
      <c r="K66" s="156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</row>
    <row r="67">
      <c r="A67" s="161"/>
      <c r="B67" s="161"/>
      <c r="C67" s="161"/>
      <c r="D67" s="160"/>
      <c r="E67" s="157"/>
      <c r="F67" s="157"/>
      <c r="G67" s="157"/>
      <c r="H67" s="159"/>
      <c r="I67" s="157"/>
      <c r="J67" s="157"/>
      <c r="K67" s="156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</row>
    <row r="68">
      <c r="A68" s="161"/>
      <c r="B68" s="161"/>
      <c r="C68" s="161"/>
      <c r="D68" s="160"/>
      <c r="E68" s="157"/>
      <c r="F68" s="157"/>
      <c r="G68" s="157"/>
      <c r="H68" s="159"/>
      <c r="I68" s="157"/>
      <c r="J68" s="157"/>
      <c r="K68" s="156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</row>
    <row r="69">
      <c r="A69" s="161"/>
      <c r="B69" s="161"/>
      <c r="C69" s="161"/>
      <c r="D69" s="160"/>
      <c r="E69" s="157"/>
      <c r="F69" s="157"/>
      <c r="G69" s="157"/>
      <c r="H69" s="159"/>
      <c r="I69" s="157"/>
      <c r="J69" s="157"/>
      <c r="K69" s="156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</row>
    <row r="70">
      <c r="A70" s="161"/>
      <c r="B70" s="161"/>
      <c r="C70" s="161"/>
      <c r="D70" s="160"/>
      <c r="E70" s="157"/>
      <c r="F70" s="157"/>
      <c r="G70" s="157"/>
      <c r="H70" s="159"/>
      <c r="I70" s="157"/>
      <c r="J70" s="157"/>
      <c r="K70" s="156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</row>
    <row r="71">
      <c r="A71" s="161"/>
      <c r="B71" s="161"/>
      <c r="C71" s="161"/>
      <c r="D71" s="160"/>
      <c r="E71" s="157"/>
      <c r="F71" s="157"/>
      <c r="G71" s="157"/>
      <c r="H71" s="159"/>
      <c r="I71" s="157"/>
      <c r="J71" s="157"/>
      <c r="K71" s="156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</row>
    <row r="72">
      <c r="A72" s="161"/>
      <c r="B72" s="161"/>
      <c r="C72" s="161"/>
      <c r="D72" s="160"/>
      <c r="E72" s="157"/>
      <c r="F72" s="157"/>
      <c r="G72" s="157"/>
      <c r="H72" s="159"/>
      <c r="I72" s="157"/>
      <c r="J72" s="157"/>
      <c r="K72" s="156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</row>
    <row r="73">
      <c r="A73" s="161"/>
      <c r="B73" s="161"/>
      <c r="C73" s="161"/>
      <c r="D73" s="160"/>
      <c r="E73" s="157"/>
      <c r="F73" s="157"/>
      <c r="G73" s="157"/>
      <c r="H73" s="159"/>
      <c r="I73" s="157"/>
      <c r="J73" s="157"/>
      <c r="K73" s="156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</row>
    <row r="74">
      <c r="A74" s="161"/>
      <c r="B74" s="161"/>
      <c r="C74" s="161"/>
      <c r="D74" s="160"/>
      <c r="E74" s="157"/>
      <c r="F74" s="157"/>
      <c r="G74" s="157"/>
      <c r="H74" s="159"/>
      <c r="I74" s="157"/>
      <c r="J74" s="157"/>
      <c r="K74" s="156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</row>
    <row r="75">
      <c r="A75" s="161"/>
      <c r="B75" s="161"/>
      <c r="C75" s="161"/>
      <c r="D75" s="160"/>
      <c r="E75" s="157"/>
      <c r="F75" s="157"/>
      <c r="G75" s="157"/>
      <c r="H75" s="159"/>
      <c r="I75" s="157"/>
      <c r="J75" s="157"/>
      <c r="K75" s="156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</row>
    <row r="76">
      <c r="A76" s="161"/>
      <c r="B76" s="161"/>
      <c r="C76" s="161"/>
      <c r="D76" s="160"/>
      <c r="E76" s="157"/>
      <c r="F76" s="157"/>
      <c r="G76" s="157"/>
      <c r="H76" s="159"/>
      <c r="I76" s="157"/>
      <c r="J76" s="157"/>
      <c r="K76" s="156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</row>
    <row r="77">
      <c r="A77" s="161"/>
      <c r="B77" s="161"/>
      <c r="C77" s="161"/>
      <c r="D77" s="160"/>
      <c r="E77" s="157"/>
      <c r="F77" s="157"/>
      <c r="G77" s="157"/>
      <c r="H77" s="159"/>
      <c r="I77" s="157"/>
      <c r="J77" s="157"/>
      <c r="K77" s="156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</row>
    <row r="78">
      <c r="A78" s="161"/>
      <c r="B78" s="161"/>
      <c r="C78" s="161"/>
      <c r="D78" s="160"/>
      <c r="E78" s="157"/>
      <c r="F78" s="157"/>
      <c r="G78" s="157"/>
      <c r="H78" s="159"/>
      <c r="I78" s="157"/>
      <c r="J78" s="157"/>
      <c r="K78" s="156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</row>
    <row r="79">
      <c r="A79" s="161"/>
      <c r="B79" s="161"/>
      <c r="C79" s="161"/>
      <c r="D79" s="160"/>
      <c r="E79" s="157"/>
      <c r="F79" s="157"/>
      <c r="G79" s="157"/>
      <c r="H79" s="159"/>
      <c r="I79" s="157"/>
      <c r="J79" s="157"/>
      <c r="K79" s="156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</row>
    <row r="80">
      <c r="A80" s="161"/>
      <c r="B80" s="161"/>
      <c r="C80" s="161"/>
      <c r="D80" s="160"/>
      <c r="E80" s="157"/>
      <c r="F80" s="157"/>
      <c r="G80" s="157"/>
      <c r="H80" s="159"/>
      <c r="I80" s="157"/>
      <c r="J80" s="157"/>
      <c r="K80" s="156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</row>
    <row r="81">
      <c r="A81" s="161"/>
      <c r="B81" s="161"/>
      <c r="C81" s="161"/>
      <c r="D81" s="160"/>
      <c r="E81" s="157"/>
      <c r="F81" s="157"/>
      <c r="G81" s="157"/>
      <c r="H81" s="159"/>
      <c r="I81" s="157"/>
      <c r="J81" s="157"/>
      <c r="K81" s="156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</row>
    <row r="82">
      <c r="A82" s="161"/>
      <c r="B82" s="161"/>
      <c r="C82" s="161"/>
      <c r="D82" s="160"/>
      <c r="E82" s="157"/>
      <c r="F82" s="157"/>
      <c r="G82" s="157"/>
      <c r="H82" s="159"/>
      <c r="I82" s="157"/>
      <c r="J82" s="157"/>
      <c r="K82" s="156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</row>
    <row r="83">
      <c r="A83" s="161"/>
      <c r="B83" s="161"/>
      <c r="C83" s="161"/>
      <c r="D83" s="160"/>
      <c r="E83" s="157"/>
      <c r="F83" s="157"/>
      <c r="G83" s="157"/>
      <c r="H83" s="159"/>
      <c r="I83" s="157"/>
      <c r="J83" s="157"/>
      <c r="K83" s="156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</row>
    <row r="84">
      <c r="A84" s="161"/>
      <c r="B84" s="161"/>
      <c r="C84" s="161"/>
      <c r="D84" s="160"/>
      <c r="E84" s="157"/>
      <c r="F84" s="157"/>
      <c r="G84" s="157"/>
      <c r="H84" s="159"/>
      <c r="I84" s="157"/>
      <c r="J84" s="157"/>
      <c r="K84" s="156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</row>
    <row r="85">
      <c r="A85" s="161"/>
      <c r="B85" s="161"/>
      <c r="C85" s="161"/>
      <c r="D85" s="160"/>
      <c r="E85" s="157"/>
      <c r="F85" s="157"/>
      <c r="G85" s="157"/>
      <c r="H85" s="159"/>
      <c r="I85" s="157"/>
      <c r="J85" s="157"/>
      <c r="K85" s="156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</row>
    <row r="86">
      <c r="A86" s="161"/>
      <c r="B86" s="161"/>
      <c r="C86" s="161"/>
      <c r="D86" s="160"/>
      <c r="E86" s="157"/>
      <c r="F86" s="157"/>
      <c r="G86" s="157"/>
      <c r="H86" s="159"/>
      <c r="I86" s="157"/>
      <c r="J86" s="157"/>
      <c r="K86" s="156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</row>
    <row r="87">
      <c r="A87" s="161"/>
      <c r="B87" s="161"/>
      <c r="C87" s="161"/>
      <c r="D87" s="160"/>
      <c r="E87" s="157"/>
      <c r="F87" s="157"/>
      <c r="G87" s="157"/>
      <c r="H87" s="159"/>
      <c r="I87" s="157"/>
      <c r="J87" s="157"/>
      <c r="K87" s="156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</row>
    <row r="88">
      <c r="A88" s="161"/>
      <c r="B88" s="161"/>
      <c r="C88" s="161"/>
      <c r="D88" s="160"/>
      <c r="E88" s="157"/>
      <c r="F88" s="157"/>
      <c r="G88" s="157"/>
      <c r="H88" s="159"/>
      <c r="I88" s="157"/>
      <c r="J88" s="157"/>
      <c r="K88" s="156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</row>
    <row r="89">
      <c r="A89" s="161"/>
      <c r="B89" s="161"/>
      <c r="C89" s="161"/>
      <c r="D89" s="160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</row>
    <row r="90">
      <c r="A90" s="161"/>
      <c r="B90" s="161"/>
      <c r="C90" s="161"/>
      <c r="D90" s="160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</row>
    <row r="91">
      <c r="A91" s="161"/>
      <c r="B91" s="161"/>
      <c r="C91" s="161"/>
      <c r="D91" s="160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</row>
    <row r="92">
      <c r="A92" s="161"/>
      <c r="B92" s="161"/>
      <c r="C92" s="161"/>
      <c r="D92" s="160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</row>
    <row r="93">
      <c r="A93" s="161"/>
      <c r="B93" s="161"/>
      <c r="C93" s="161"/>
      <c r="D93" s="160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</row>
    <row r="94">
      <c r="A94" s="161"/>
      <c r="B94" s="161"/>
      <c r="C94" s="161"/>
      <c r="D94" s="160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</row>
    <row r="95">
      <c r="A95" s="161"/>
      <c r="B95" s="161"/>
      <c r="C95" s="161"/>
      <c r="D95" s="160"/>
      <c r="E95" s="157"/>
      <c r="F95" s="157"/>
      <c r="G95" s="157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</row>
    <row r="96">
      <c r="A96" s="161"/>
      <c r="B96" s="161"/>
      <c r="C96" s="161"/>
      <c r="D96" s="160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</row>
    <row r="97">
      <c r="A97" s="161"/>
      <c r="B97" s="161"/>
      <c r="C97" s="161"/>
      <c r="D97" s="160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</row>
    <row r="98">
      <c r="A98" s="161"/>
      <c r="B98" s="161"/>
      <c r="C98" s="161"/>
      <c r="D98" s="160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</row>
    <row r="99">
      <c r="A99" s="161"/>
      <c r="B99" s="161"/>
      <c r="C99" s="161"/>
      <c r="D99" s="160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</row>
    <row r="100">
      <c r="A100" s="161"/>
      <c r="B100" s="161"/>
      <c r="C100" s="161"/>
      <c r="D100" s="160"/>
      <c r="E100" s="157"/>
      <c r="F100" s="157"/>
      <c r="G100" s="157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</row>
    <row r="101">
      <c r="A101" s="161"/>
      <c r="B101" s="161"/>
      <c r="C101" s="161"/>
      <c r="D101" s="160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</row>
    <row r="102">
      <c r="A102" s="161"/>
      <c r="B102" s="161"/>
      <c r="C102" s="161"/>
      <c r="D102" s="160"/>
      <c r="E102" s="157"/>
      <c r="F102" s="157"/>
      <c r="G102" s="157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</row>
    <row r="103">
      <c r="A103" s="161"/>
      <c r="B103" s="161"/>
      <c r="C103" s="161"/>
      <c r="D103" s="160"/>
      <c r="E103" s="157"/>
      <c r="F103" s="157"/>
      <c r="G103" s="157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</row>
    <row r="104">
      <c r="A104" s="161"/>
      <c r="B104" s="161"/>
      <c r="C104" s="161"/>
      <c r="D104" s="160"/>
      <c r="E104" s="157"/>
      <c r="F104" s="157"/>
      <c r="G104" s="157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</row>
    <row r="105">
      <c r="A105" s="161"/>
      <c r="B105" s="161"/>
      <c r="C105" s="161"/>
      <c r="D105" s="160"/>
      <c r="E105" s="157"/>
      <c r="F105" s="157"/>
      <c r="G105" s="157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</row>
    <row r="106">
      <c r="A106" s="161"/>
      <c r="B106" s="161"/>
      <c r="C106" s="161"/>
      <c r="D106" s="160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</row>
    <row r="107">
      <c r="A107" s="161"/>
      <c r="B107" s="161"/>
      <c r="C107" s="161"/>
      <c r="D107" s="160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</row>
    <row r="108">
      <c r="A108" s="161"/>
      <c r="B108" s="161"/>
      <c r="C108" s="161"/>
      <c r="D108" s="160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</row>
    <row r="109">
      <c r="A109" s="161"/>
      <c r="B109" s="161"/>
      <c r="C109" s="161"/>
      <c r="D109" s="160"/>
      <c r="E109" s="157"/>
      <c r="F109" s="157"/>
      <c r="G109" s="157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</row>
    <row r="110">
      <c r="A110" s="161"/>
      <c r="B110" s="161"/>
      <c r="C110" s="161"/>
      <c r="D110" s="160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</row>
    <row r="111">
      <c r="A111" s="161"/>
      <c r="B111" s="161"/>
      <c r="C111" s="161"/>
      <c r="D111" s="160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</row>
    <row r="112">
      <c r="A112" s="161"/>
      <c r="B112" s="161"/>
      <c r="C112" s="161"/>
      <c r="D112" s="160"/>
      <c r="E112" s="157"/>
      <c r="F112" s="157"/>
      <c r="G112" s="157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</row>
    <row r="113">
      <c r="A113" s="161"/>
      <c r="B113" s="161"/>
      <c r="C113" s="161"/>
      <c r="D113" s="160"/>
      <c r="E113" s="157"/>
      <c r="F113" s="157"/>
      <c r="G113" s="157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</row>
    <row r="114">
      <c r="A114" s="161"/>
      <c r="B114" s="161"/>
      <c r="C114" s="161"/>
      <c r="D114" s="160"/>
      <c r="E114" s="157"/>
      <c r="F114" s="157"/>
      <c r="G114" s="157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</row>
    <row r="115">
      <c r="A115" s="161"/>
      <c r="B115" s="161"/>
      <c r="C115" s="161"/>
      <c r="D115" s="160"/>
      <c r="E115" s="157"/>
      <c r="F115" s="157"/>
      <c r="G115" s="157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</row>
    <row r="116">
      <c r="A116" s="161"/>
      <c r="B116" s="161"/>
      <c r="C116" s="161"/>
      <c r="D116" s="160"/>
      <c r="E116" s="157"/>
      <c r="F116" s="157"/>
      <c r="G116" s="157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</row>
    <row r="117">
      <c r="A117" s="161"/>
      <c r="B117" s="161"/>
      <c r="C117" s="161"/>
      <c r="D117" s="160"/>
      <c r="E117" s="157"/>
      <c r="F117" s="157"/>
      <c r="G117" s="157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</row>
    <row r="118">
      <c r="A118" s="161"/>
      <c r="B118" s="161"/>
      <c r="C118" s="161"/>
      <c r="D118" s="160"/>
      <c r="E118" s="157"/>
      <c r="F118" s="157"/>
      <c r="G118" s="157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</row>
    <row r="119">
      <c r="A119" s="161"/>
      <c r="B119" s="161"/>
      <c r="C119" s="161"/>
      <c r="D119" s="160"/>
      <c r="E119" s="157"/>
      <c r="F119" s="157"/>
      <c r="G119" s="157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</row>
    <row r="120">
      <c r="A120" s="161"/>
      <c r="B120" s="161"/>
      <c r="C120" s="161"/>
      <c r="D120" s="160"/>
      <c r="E120" s="157"/>
      <c r="F120" s="157"/>
      <c r="G120" s="157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</row>
    <row r="121">
      <c r="A121" s="161"/>
      <c r="B121" s="161"/>
      <c r="C121" s="161"/>
      <c r="D121" s="160"/>
      <c r="E121" s="157"/>
      <c r="F121" s="157"/>
      <c r="G121" s="157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</row>
    <row r="122">
      <c r="A122" s="161"/>
      <c r="B122" s="161"/>
      <c r="C122" s="161"/>
      <c r="D122" s="160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</row>
    <row r="123">
      <c r="A123" s="161"/>
      <c r="B123" s="161"/>
      <c r="C123" s="161"/>
      <c r="D123" s="160"/>
      <c r="E123" s="157"/>
      <c r="F123" s="157"/>
      <c r="G123" s="157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</row>
    <row r="124">
      <c r="A124" s="161"/>
      <c r="B124" s="161"/>
      <c r="C124" s="161"/>
      <c r="D124" s="160"/>
      <c r="E124" s="157"/>
      <c r="F124" s="157"/>
      <c r="G124" s="157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</row>
    <row r="125">
      <c r="A125" s="161"/>
      <c r="B125" s="161"/>
      <c r="C125" s="161"/>
      <c r="D125" s="160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</row>
    <row r="126">
      <c r="A126" s="161"/>
      <c r="B126" s="161"/>
      <c r="C126" s="161"/>
      <c r="D126" s="160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</row>
    <row r="127">
      <c r="A127" s="161"/>
      <c r="B127" s="161"/>
      <c r="C127" s="161"/>
      <c r="D127" s="160"/>
      <c r="E127" s="157"/>
      <c r="F127" s="157"/>
      <c r="G127" s="157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</row>
    <row r="128">
      <c r="A128" s="161"/>
      <c r="B128" s="161"/>
      <c r="C128" s="161"/>
      <c r="D128" s="160"/>
      <c r="E128" s="157"/>
      <c r="F128" s="157"/>
      <c r="G128" s="157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</row>
    <row r="129">
      <c r="A129" s="161"/>
      <c r="B129" s="161"/>
      <c r="C129" s="161"/>
      <c r="D129" s="160"/>
      <c r="E129" s="157"/>
      <c r="F129" s="157"/>
      <c r="G129" s="157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</row>
    <row r="130">
      <c r="A130" s="161"/>
      <c r="B130" s="161"/>
      <c r="C130" s="161"/>
      <c r="D130" s="160"/>
      <c r="E130" s="157"/>
      <c r="F130" s="157"/>
      <c r="G130" s="157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</row>
    <row r="131">
      <c r="A131" s="161"/>
      <c r="B131" s="161"/>
      <c r="C131" s="161"/>
      <c r="D131" s="160"/>
      <c r="E131" s="157"/>
      <c r="F131" s="157"/>
      <c r="G131" s="157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</row>
    <row r="132">
      <c r="A132" s="161"/>
      <c r="B132" s="161"/>
      <c r="C132" s="161"/>
      <c r="D132" s="160"/>
      <c r="E132" s="157"/>
      <c r="F132" s="157"/>
      <c r="G132" s="157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</row>
    <row r="133">
      <c r="A133" s="161"/>
      <c r="B133" s="161"/>
      <c r="C133" s="161"/>
      <c r="D133" s="160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</row>
    <row r="134">
      <c r="A134" s="161"/>
      <c r="B134" s="161"/>
      <c r="C134" s="161"/>
      <c r="D134" s="160"/>
      <c r="E134" s="157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</row>
    <row r="135">
      <c r="A135" s="161"/>
      <c r="B135" s="161"/>
      <c r="C135" s="161"/>
      <c r="D135" s="160"/>
      <c r="E135" s="157"/>
      <c r="F135" s="157"/>
      <c r="G135" s="157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</row>
    <row r="136">
      <c r="A136" s="161"/>
      <c r="B136" s="161"/>
      <c r="C136" s="161"/>
      <c r="D136" s="160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</row>
    <row r="137">
      <c r="A137" s="161"/>
      <c r="B137" s="161"/>
      <c r="C137" s="161"/>
      <c r="D137" s="160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</row>
    <row r="138">
      <c r="A138" s="161"/>
      <c r="B138" s="161"/>
      <c r="C138" s="161"/>
      <c r="D138" s="160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</row>
    <row r="139">
      <c r="A139" s="161"/>
      <c r="B139" s="161"/>
      <c r="C139" s="161"/>
      <c r="D139" s="160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</row>
    <row r="140">
      <c r="A140" s="161"/>
      <c r="B140" s="161"/>
      <c r="C140" s="161"/>
      <c r="D140" s="160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</row>
    <row r="141">
      <c r="A141" s="161"/>
      <c r="B141" s="161"/>
      <c r="C141" s="161"/>
      <c r="D141" s="160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</row>
    <row r="142">
      <c r="A142" s="161"/>
      <c r="B142" s="161"/>
      <c r="C142" s="161"/>
      <c r="D142" s="160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</row>
    <row r="143">
      <c r="A143" s="161"/>
      <c r="B143" s="161"/>
      <c r="C143" s="161"/>
      <c r="D143" s="160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</row>
    <row r="144">
      <c r="A144" s="161"/>
      <c r="B144" s="161"/>
      <c r="C144" s="161"/>
      <c r="D144" s="160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</row>
    <row r="145">
      <c r="A145" s="161"/>
      <c r="B145" s="161"/>
      <c r="C145" s="161"/>
      <c r="D145" s="160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</row>
    <row r="146">
      <c r="A146" s="161"/>
      <c r="B146" s="161"/>
      <c r="C146" s="161"/>
      <c r="D146" s="160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</row>
    <row r="147">
      <c r="A147" s="161"/>
      <c r="B147" s="161"/>
      <c r="C147" s="161"/>
      <c r="D147" s="160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</row>
    <row r="148">
      <c r="A148" s="161"/>
      <c r="B148" s="161"/>
      <c r="C148" s="161"/>
      <c r="D148" s="160"/>
      <c r="E148" s="157"/>
      <c r="F148" s="157"/>
      <c r="G148" s="157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</row>
    <row r="149">
      <c r="A149" s="161"/>
      <c r="B149" s="161"/>
      <c r="C149" s="161"/>
      <c r="D149" s="160"/>
      <c r="E149" s="157"/>
      <c r="F149" s="157"/>
      <c r="G149" s="157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</row>
    <row r="150">
      <c r="A150" s="161"/>
      <c r="B150" s="161"/>
      <c r="C150" s="161"/>
      <c r="D150" s="160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</row>
    <row r="151">
      <c r="A151" s="161"/>
      <c r="B151" s="161"/>
      <c r="C151" s="161"/>
      <c r="D151" s="160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</row>
    <row r="152">
      <c r="A152" s="161"/>
      <c r="B152" s="161"/>
      <c r="C152" s="161"/>
      <c r="D152" s="160"/>
      <c r="E152" s="157"/>
      <c r="F152" s="157"/>
      <c r="G152" s="157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</row>
    <row r="153">
      <c r="A153" s="161"/>
      <c r="B153" s="161"/>
      <c r="C153" s="161"/>
      <c r="D153" s="160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</row>
    <row r="154">
      <c r="A154" s="161"/>
      <c r="B154" s="161"/>
      <c r="C154" s="161"/>
      <c r="D154" s="160"/>
      <c r="E154" s="157"/>
      <c r="F154" s="157"/>
      <c r="G154" s="157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</row>
    <row r="155">
      <c r="A155" s="161"/>
      <c r="B155" s="161"/>
      <c r="C155" s="161"/>
      <c r="D155" s="160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</row>
    <row r="156">
      <c r="A156" s="161"/>
      <c r="B156" s="161"/>
      <c r="C156" s="161"/>
      <c r="D156" s="160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</row>
    <row r="157">
      <c r="A157" s="161"/>
      <c r="B157" s="161"/>
      <c r="C157" s="161"/>
      <c r="D157" s="160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</row>
    <row r="158">
      <c r="A158" s="161"/>
      <c r="B158" s="161"/>
      <c r="C158" s="161"/>
      <c r="D158" s="160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</row>
    <row r="159">
      <c r="A159" s="161"/>
      <c r="B159" s="161"/>
      <c r="C159" s="161"/>
      <c r="D159" s="160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</row>
    <row r="160">
      <c r="A160" s="161"/>
      <c r="B160" s="161"/>
      <c r="C160" s="161"/>
      <c r="D160" s="160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</row>
    <row r="161">
      <c r="A161" s="161"/>
      <c r="B161" s="161"/>
      <c r="C161" s="161"/>
      <c r="D161" s="160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</row>
    <row r="162">
      <c r="A162" s="161"/>
      <c r="B162" s="161"/>
      <c r="C162" s="161"/>
      <c r="D162" s="160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</row>
    <row r="163">
      <c r="A163" s="161"/>
      <c r="B163" s="161"/>
      <c r="C163" s="161"/>
      <c r="D163" s="160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</row>
    <row r="164">
      <c r="A164" s="161"/>
      <c r="B164" s="161"/>
      <c r="C164" s="161"/>
      <c r="D164" s="160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</row>
    <row r="165">
      <c r="A165" s="161"/>
      <c r="B165" s="161"/>
      <c r="C165" s="161"/>
      <c r="D165" s="160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</row>
    <row r="166">
      <c r="A166" s="161"/>
      <c r="B166" s="161"/>
      <c r="C166" s="161"/>
      <c r="D166" s="160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</row>
    <row r="167">
      <c r="A167" s="161"/>
      <c r="B167" s="161"/>
      <c r="C167" s="161"/>
      <c r="D167" s="160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</row>
    <row r="168">
      <c r="A168" s="161"/>
      <c r="B168" s="161"/>
      <c r="C168" s="161"/>
      <c r="D168" s="160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</row>
    <row r="169">
      <c r="A169" s="161"/>
      <c r="B169" s="161"/>
      <c r="C169" s="161"/>
      <c r="D169" s="160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</row>
    <row r="170">
      <c r="A170" s="161"/>
      <c r="B170" s="161"/>
      <c r="C170" s="161"/>
      <c r="D170" s="160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</row>
    <row r="171">
      <c r="A171" s="161"/>
      <c r="B171" s="161"/>
      <c r="C171" s="161"/>
      <c r="D171" s="160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</row>
    <row r="172">
      <c r="A172" s="161"/>
      <c r="B172" s="161"/>
      <c r="C172" s="161"/>
      <c r="D172" s="160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</row>
    <row r="173">
      <c r="A173" s="161"/>
      <c r="B173" s="161"/>
      <c r="C173" s="161"/>
      <c r="D173" s="160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</row>
    <row r="174">
      <c r="A174" s="161"/>
      <c r="B174" s="161"/>
      <c r="C174" s="161"/>
      <c r="D174" s="160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</row>
    <row r="175">
      <c r="A175" s="161"/>
      <c r="B175" s="161"/>
      <c r="C175" s="161"/>
      <c r="D175" s="160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</row>
    <row r="176">
      <c r="A176" s="161"/>
      <c r="B176" s="161"/>
      <c r="C176" s="161"/>
      <c r="D176" s="160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</row>
    <row r="177">
      <c r="A177" s="161"/>
      <c r="B177" s="161"/>
      <c r="C177" s="161"/>
      <c r="D177" s="160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</row>
    <row r="178">
      <c r="A178" s="161"/>
      <c r="B178" s="161"/>
      <c r="C178" s="161"/>
      <c r="D178" s="160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</row>
    <row r="179">
      <c r="A179" s="161"/>
      <c r="B179" s="161"/>
      <c r="C179" s="161"/>
      <c r="D179" s="160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</row>
    <row r="180">
      <c r="A180" s="161"/>
      <c r="B180" s="161"/>
      <c r="C180" s="161"/>
      <c r="D180" s="160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</row>
    <row r="181">
      <c r="A181" s="161"/>
      <c r="B181" s="161"/>
      <c r="C181" s="161"/>
      <c r="D181" s="160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</row>
    <row r="182">
      <c r="A182" s="161"/>
      <c r="B182" s="161"/>
      <c r="C182" s="161"/>
      <c r="D182" s="160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</row>
    <row r="183">
      <c r="A183" s="161"/>
      <c r="B183" s="161"/>
      <c r="C183" s="161"/>
      <c r="D183" s="160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</row>
    <row r="184">
      <c r="A184" s="161"/>
      <c r="B184" s="161"/>
      <c r="C184" s="161"/>
      <c r="D184" s="160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</row>
    <row r="185">
      <c r="A185" s="161"/>
      <c r="B185" s="161"/>
      <c r="C185" s="161"/>
      <c r="D185" s="160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</row>
    <row r="186">
      <c r="A186" s="161"/>
      <c r="B186" s="161"/>
      <c r="C186" s="161"/>
      <c r="D186" s="160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</row>
    <row r="187">
      <c r="A187" s="161"/>
      <c r="B187" s="161"/>
      <c r="C187" s="161"/>
      <c r="D187" s="160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</row>
    <row r="188">
      <c r="A188" s="161"/>
      <c r="B188" s="161"/>
      <c r="C188" s="161"/>
      <c r="D188" s="160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</row>
    <row r="189">
      <c r="A189" s="161"/>
      <c r="B189" s="161"/>
      <c r="C189" s="161"/>
      <c r="D189" s="160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</row>
    <row r="190">
      <c r="A190" s="161"/>
      <c r="B190" s="161"/>
      <c r="C190" s="161"/>
      <c r="D190" s="160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</row>
    <row r="191">
      <c r="A191" s="161"/>
      <c r="B191" s="161"/>
      <c r="C191" s="161"/>
      <c r="D191" s="160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</row>
    <row r="192">
      <c r="A192" s="161"/>
      <c r="B192" s="161"/>
      <c r="C192" s="161"/>
      <c r="D192" s="160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</row>
    <row r="193">
      <c r="A193" s="161"/>
      <c r="B193" s="161"/>
      <c r="C193" s="161"/>
      <c r="D193" s="160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</row>
    <row r="194">
      <c r="A194" s="161"/>
      <c r="B194" s="161"/>
      <c r="C194" s="161"/>
      <c r="D194" s="160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</row>
    <row r="195">
      <c r="A195" s="161"/>
      <c r="B195" s="161"/>
      <c r="C195" s="161"/>
      <c r="D195" s="160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</row>
    <row r="196">
      <c r="A196" s="161"/>
      <c r="B196" s="161"/>
      <c r="C196" s="161"/>
      <c r="D196" s="160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</row>
    <row r="197">
      <c r="A197" s="161"/>
      <c r="B197" s="161"/>
      <c r="C197" s="161"/>
      <c r="D197" s="160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</row>
    <row r="198">
      <c r="A198" s="161"/>
      <c r="B198" s="161"/>
      <c r="C198" s="161"/>
      <c r="D198" s="160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</row>
    <row r="199">
      <c r="A199" s="161"/>
      <c r="B199" s="161"/>
      <c r="C199" s="161"/>
      <c r="D199" s="160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</row>
    <row r="200">
      <c r="A200" s="161"/>
      <c r="B200" s="161"/>
      <c r="C200" s="161"/>
      <c r="D200" s="160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</row>
    <row r="201">
      <c r="A201" s="161"/>
      <c r="B201" s="161"/>
      <c r="C201" s="161"/>
      <c r="D201" s="160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</row>
    <row r="202">
      <c r="A202" s="161"/>
      <c r="B202" s="161"/>
      <c r="C202" s="161"/>
      <c r="D202" s="160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</row>
    <row r="203">
      <c r="A203" s="161"/>
      <c r="B203" s="161"/>
      <c r="C203" s="161"/>
      <c r="D203" s="160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</row>
    <row r="204">
      <c r="A204" s="161"/>
      <c r="B204" s="161"/>
      <c r="C204" s="161"/>
      <c r="D204" s="160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</row>
    <row r="205">
      <c r="A205" s="161"/>
      <c r="B205" s="161"/>
      <c r="C205" s="161"/>
      <c r="D205" s="160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</row>
    <row r="206">
      <c r="A206" s="161"/>
      <c r="B206" s="161"/>
      <c r="C206" s="161"/>
      <c r="D206" s="160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</row>
    <row r="207">
      <c r="A207" s="161"/>
      <c r="B207" s="161"/>
      <c r="C207" s="161"/>
      <c r="D207" s="160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</row>
    <row r="208">
      <c r="A208" s="161"/>
      <c r="B208" s="161"/>
      <c r="C208" s="161"/>
      <c r="D208" s="160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</row>
    <row r="209">
      <c r="A209" s="161"/>
      <c r="B209" s="161"/>
      <c r="C209" s="161"/>
      <c r="D209" s="160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</row>
    <row r="210">
      <c r="A210" s="161"/>
      <c r="B210" s="161"/>
      <c r="C210" s="161"/>
      <c r="D210" s="160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</row>
    <row r="211">
      <c r="A211" s="161"/>
      <c r="B211" s="161"/>
      <c r="C211" s="161"/>
      <c r="D211" s="160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</row>
    <row r="212">
      <c r="A212" s="161"/>
      <c r="B212" s="161"/>
      <c r="C212" s="161"/>
      <c r="D212" s="160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</row>
    <row r="213">
      <c r="A213" s="161"/>
      <c r="B213" s="161"/>
      <c r="C213" s="161"/>
      <c r="D213" s="160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</row>
    <row r="214">
      <c r="A214" s="161"/>
      <c r="B214" s="161"/>
      <c r="C214" s="161"/>
      <c r="D214" s="160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</row>
    <row r="215">
      <c r="A215" s="161"/>
      <c r="B215" s="161"/>
      <c r="C215" s="161"/>
      <c r="D215" s="160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</row>
    <row r="216">
      <c r="A216" s="161"/>
      <c r="B216" s="161"/>
      <c r="C216" s="161"/>
      <c r="D216" s="160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</row>
    <row r="217">
      <c r="A217" s="161"/>
      <c r="B217" s="161"/>
      <c r="C217" s="161"/>
      <c r="D217" s="160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</row>
    <row r="218">
      <c r="A218" s="161"/>
      <c r="B218" s="161"/>
      <c r="C218" s="161"/>
      <c r="D218" s="160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</row>
    <row r="219">
      <c r="A219" s="161"/>
      <c r="B219" s="161"/>
      <c r="C219" s="161"/>
      <c r="D219" s="160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</row>
    <row r="220">
      <c r="A220" s="161"/>
      <c r="B220" s="161"/>
      <c r="C220" s="161"/>
      <c r="D220" s="160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</row>
    <row r="221">
      <c r="A221" s="161"/>
      <c r="B221" s="161"/>
      <c r="C221" s="161"/>
      <c r="D221" s="160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</row>
    <row r="222">
      <c r="A222" s="161"/>
      <c r="B222" s="161"/>
      <c r="C222" s="161"/>
      <c r="D222" s="160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</row>
    <row r="223">
      <c r="A223" s="161"/>
      <c r="B223" s="161"/>
      <c r="C223" s="161"/>
      <c r="D223" s="160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</row>
    <row r="224">
      <c r="A224" s="161"/>
      <c r="B224" s="161"/>
      <c r="C224" s="161"/>
      <c r="D224" s="160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</row>
    <row r="225">
      <c r="A225" s="161"/>
      <c r="B225" s="161"/>
      <c r="C225" s="161"/>
      <c r="D225" s="160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</row>
    <row r="226">
      <c r="A226" s="161"/>
      <c r="B226" s="161"/>
      <c r="C226" s="161"/>
      <c r="D226" s="160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</row>
    <row r="227">
      <c r="A227" s="161"/>
      <c r="B227" s="161"/>
      <c r="C227" s="161"/>
      <c r="D227" s="160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</row>
    <row r="228">
      <c r="A228" s="161"/>
      <c r="B228" s="161"/>
      <c r="C228" s="161"/>
      <c r="D228" s="160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</row>
    <row r="229">
      <c r="A229" s="161"/>
      <c r="B229" s="161"/>
      <c r="C229" s="161"/>
      <c r="D229" s="160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</row>
    <row r="230">
      <c r="A230" s="161"/>
      <c r="B230" s="161"/>
      <c r="C230" s="161"/>
      <c r="D230" s="160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</row>
    <row r="231">
      <c r="A231" s="161"/>
      <c r="B231" s="161"/>
      <c r="C231" s="161"/>
      <c r="D231" s="160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</row>
    <row r="232">
      <c r="A232" s="161"/>
      <c r="B232" s="161"/>
      <c r="C232" s="161"/>
      <c r="D232" s="160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</row>
    <row r="233">
      <c r="A233" s="161"/>
      <c r="B233" s="161"/>
      <c r="C233" s="161"/>
      <c r="D233" s="160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</row>
    <row r="234">
      <c r="A234" s="161"/>
      <c r="B234" s="161"/>
      <c r="C234" s="161"/>
      <c r="D234" s="160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</row>
    <row r="235">
      <c r="A235" s="161"/>
      <c r="B235" s="161"/>
      <c r="C235" s="161"/>
      <c r="D235" s="160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</row>
    <row r="236">
      <c r="A236" s="161"/>
      <c r="B236" s="161"/>
      <c r="C236" s="161"/>
      <c r="D236" s="160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</row>
    <row r="237">
      <c r="A237" s="161"/>
      <c r="B237" s="161"/>
      <c r="C237" s="161"/>
      <c r="D237" s="160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</row>
    <row r="238">
      <c r="A238" s="161"/>
      <c r="B238" s="161"/>
      <c r="C238" s="161"/>
      <c r="D238" s="160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</row>
    <row r="239">
      <c r="A239" s="161"/>
      <c r="B239" s="161"/>
      <c r="C239" s="161"/>
      <c r="D239" s="160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</row>
    <row r="240">
      <c r="A240" s="161"/>
      <c r="B240" s="161"/>
      <c r="C240" s="161"/>
      <c r="D240" s="160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</row>
    <row r="241">
      <c r="A241" s="161"/>
      <c r="B241" s="161"/>
      <c r="C241" s="161"/>
      <c r="D241" s="160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</row>
    <row r="242">
      <c r="A242" s="161"/>
      <c r="B242" s="161"/>
      <c r="C242" s="161"/>
      <c r="D242" s="160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</row>
    <row r="243">
      <c r="A243" s="161"/>
      <c r="B243" s="161"/>
      <c r="C243" s="161"/>
      <c r="D243" s="160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</row>
    <row r="244">
      <c r="A244" s="161"/>
      <c r="B244" s="161"/>
      <c r="C244" s="161"/>
      <c r="D244" s="160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</row>
    <row r="245">
      <c r="A245" s="161"/>
      <c r="B245" s="161"/>
      <c r="C245" s="161"/>
      <c r="D245" s="160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</row>
    <row r="246">
      <c r="A246" s="161"/>
      <c r="B246" s="161"/>
      <c r="C246" s="161"/>
      <c r="D246" s="160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</row>
    <row r="247">
      <c r="A247" s="161"/>
      <c r="B247" s="161"/>
      <c r="C247" s="161"/>
      <c r="D247" s="160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</row>
    <row r="248">
      <c r="A248" s="161"/>
      <c r="B248" s="161"/>
      <c r="C248" s="161"/>
      <c r="D248" s="160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</row>
    <row r="249">
      <c r="A249" s="161"/>
      <c r="B249" s="161"/>
      <c r="C249" s="161"/>
      <c r="D249" s="160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</row>
    <row r="250">
      <c r="A250" s="161"/>
      <c r="B250" s="161"/>
      <c r="C250" s="161"/>
      <c r="D250" s="160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</row>
    <row r="251">
      <c r="A251" s="161"/>
      <c r="B251" s="161"/>
      <c r="C251" s="161"/>
      <c r="D251" s="160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</row>
    <row r="252">
      <c r="A252" s="161"/>
      <c r="B252" s="161"/>
      <c r="C252" s="161"/>
      <c r="D252" s="160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</row>
    <row r="253">
      <c r="A253" s="161"/>
      <c r="B253" s="161"/>
      <c r="C253" s="161"/>
      <c r="D253" s="160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</row>
    <row r="254">
      <c r="A254" s="161"/>
      <c r="B254" s="161"/>
      <c r="C254" s="161"/>
      <c r="D254" s="160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</row>
    <row r="255">
      <c r="A255" s="161"/>
      <c r="B255" s="161"/>
      <c r="C255" s="161"/>
      <c r="D255" s="160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</row>
    <row r="256">
      <c r="A256" s="161"/>
      <c r="B256" s="161"/>
      <c r="C256" s="161"/>
      <c r="D256" s="160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</row>
    <row r="257">
      <c r="A257" s="161"/>
      <c r="B257" s="161"/>
      <c r="C257" s="161"/>
      <c r="D257" s="160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</row>
    <row r="258">
      <c r="A258" s="161"/>
      <c r="B258" s="161"/>
      <c r="C258" s="161"/>
      <c r="D258" s="160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</row>
    <row r="259">
      <c r="A259" s="161"/>
      <c r="B259" s="161"/>
      <c r="C259" s="161"/>
      <c r="D259" s="160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</row>
    <row r="260">
      <c r="A260" s="161"/>
      <c r="B260" s="161"/>
      <c r="C260" s="161"/>
      <c r="D260" s="160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</row>
    <row r="261">
      <c r="A261" s="161"/>
      <c r="B261" s="161"/>
      <c r="C261" s="161"/>
      <c r="D261" s="160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</row>
    <row r="262">
      <c r="A262" s="161"/>
      <c r="B262" s="161"/>
      <c r="C262" s="161"/>
      <c r="D262" s="160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</row>
    <row r="263">
      <c r="A263" s="161"/>
      <c r="B263" s="161"/>
      <c r="C263" s="161"/>
      <c r="D263" s="160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</row>
    <row r="264">
      <c r="A264" s="161"/>
      <c r="B264" s="161"/>
      <c r="C264" s="161"/>
      <c r="D264" s="160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</row>
    <row r="265">
      <c r="A265" s="161"/>
      <c r="B265" s="161"/>
      <c r="C265" s="161"/>
      <c r="D265" s="160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</row>
    <row r="266">
      <c r="A266" s="161"/>
      <c r="B266" s="161"/>
      <c r="C266" s="161"/>
      <c r="D266" s="160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</row>
    <row r="267">
      <c r="A267" s="161"/>
      <c r="B267" s="161"/>
      <c r="C267" s="161"/>
      <c r="D267" s="160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</row>
    <row r="268">
      <c r="A268" s="161"/>
      <c r="B268" s="161"/>
      <c r="C268" s="161"/>
      <c r="D268" s="160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</row>
    <row r="269">
      <c r="A269" s="161"/>
      <c r="B269" s="161"/>
      <c r="C269" s="161"/>
      <c r="D269" s="160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</row>
    <row r="270">
      <c r="A270" s="161"/>
      <c r="B270" s="161"/>
      <c r="C270" s="161"/>
      <c r="D270" s="160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</row>
    <row r="271">
      <c r="A271" s="161"/>
      <c r="B271" s="161"/>
      <c r="C271" s="161"/>
      <c r="D271" s="160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</row>
    <row r="272">
      <c r="A272" s="161"/>
      <c r="B272" s="161"/>
      <c r="C272" s="161"/>
      <c r="D272" s="160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</row>
    <row r="273">
      <c r="A273" s="161"/>
      <c r="B273" s="161"/>
      <c r="C273" s="161"/>
      <c r="D273" s="160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</row>
    <row r="274">
      <c r="A274" s="161"/>
      <c r="B274" s="161"/>
      <c r="C274" s="161"/>
      <c r="D274" s="160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</row>
    <row r="275">
      <c r="A275" s="161"/>
      <c r="B275" s="161"/>
      <c r="C275" s="161"/>
      <c r="D275" s="160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</row>
    <row r="276">
      <c r="A276" s="161"/>
      <c r="B276" s="161"/>
      <c r="C276" s="161"/>
      <c r="D276" s="160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</row>
    <row r="277">
      <c r="A277" s="161"/>
      <c r="B277" s="161"/>
      <c r="C277" s="161"/>
      <c r="D277" s="160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</row>
    <row r="278">
      <c r="A278" s="161"/>
      <c r="B278" s="161"/>
      <c r="C278" s="161"/>
      <c r="D278" s="160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</row>
    <row r="279">
      <c r="A279" s="161"/>
      <c r="B279" s="161"/>
      <c r="C279" s="161"/>
      <c r="D279" s="160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</row>
    <row r="280">
      <c r="A280" s="161"/>
      <c r="B280" s="161"/>
      <c r="C280" s="161"/>
      <c r="D280" s="160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</row>
    <row r="281">
      <c r="A281" s="161"/>
      <c r="B281" s="161"/>
      <c r="C281" s="161"/>
      <c r="D281" s="160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</row>
    <row r="282">
      <c r="A282" s="161"/>
      <c r="B282" s="161"/>
      <c r="C282" s="161"/>
      <c r="D282" s="160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</row>
    <row r="283">
      <c r="A283" s="161"/>
      <c r="B283" s="161"/>
      <c r="C283" s="161"/>
      <c r="D283" s="160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</row>
    <row r="284">
      <c r="A284" s="161"/>
      <c r="B284" s="161"/>
      <c r="C284" s="161"/>
      <c r="D284" s="160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</row>
    <row r="285">
      <c r="A285" s="161"/>
      <c r="B285" s="161"/>
      <c r="C285" s="161"/>
      <c r="D285" s="160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</row>
    <row r="286">
      <c r="A286" s="161"/>
      <c r="B286" s="161"/>
      <c r="C286" s="161"/>
      <c r="D286" s="160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</row>
    <row r="287">
      <c r="A287" s="161"/>
      <c r="B287" s="161"/>
      <c r="C287" s="161"/>
      <c r="D287" s="160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</row>
    <row r="288">
      <c r="A288" s="161"/>
      <c r="B288" s="161"/>
      <c r="C288" s="161"/>
      <c r="D288" s="160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</row>
    <row r="289">
      <c r="A289" s="161"/>
      <c r="B289" s="161"/>
      <c r="C289" s="161"/>
      <c r="D289" s="160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</row>
    <row r="290">
      <c r="A290" s="161"/>
      <c r="B290" s="161"/>
      <c r="C290" s="161"/>
      <c r="D290" s="160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</row>
    <row r="291">
      <c r="A291" s="161"/>
      <c r="B291" s="161"/>
      <c r="C291" s="161"/>
      <c r="D291" s="160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</row>
    <row r="292">
      <c r="A292" s="161"/>
      <c r="B292" s="161"/>
      <c r="C292" s="161"/>
      <c r="D292" s="160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</row>
    <row r="293">
      <c r="A293" s="161"/>
      <c r="B293" s="161"/>
      <c r="C293" s="161"/>
      <c r="D293" s="160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</row>
    <row r="294">
      <c r="A294" s="161"/>
      <c r="B294" s="161"/>
      <c r="C294" s="161"/>
      <c r="D294" s="160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</row>
    <row r="295">
      <c r="A295" s="161"/>
      <c r="B295" s="161"/>
      <c r="C295" s="161"/>
      <c r="D295" s="160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</row>
    <row r="296">
      <c r="A296" s="161"/>
      <c r="B296" s="161"/>
      <c r="C296" s="161"/>
      <c r="D296" s="160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</row>
    <row r="297">
      <c r="A297" s="161"/>
      <c r="B297" s="161"/>
      <c r="C297" s="161"/>
      <c r="D297" s="160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</row>
    <row r="298">
      <c r="A298" s="161"/>
      <c r="B298" s="161"/>
      <c r="C298" s="161"/>
      <c r="D298" s="160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</row>
    <row r="299">
      <c r="A299" s="161"/>
      <c r="B299" s="161"/>
      <c r="C299" s="161"/>
      <c r="D299" s="160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</row>
    <row r="300">
      <c r="A300" s="161"/>
      <c r="B300" s="161"/>
      <c r="C300" s="161"/>
      <c r="D300" s="160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</row>
    <row r="301">
      <c r="A301" s="161"/>
      <c r="B301" s="161"/>
      <c r="C301" s="161"/>
      <c r="D301" s="160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</row>
    <row r="302">
      <c r="A302" s="161"/>
      <c r="B302" s="161"/>
      <c r="C302" s="161"/>
      <c r="D302" s="160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</row>
    <row r="303">
      <c r="A303" s="161"/>
      <c r="B303" s="161"/>
      <c r="C303" s="161"/>
      <c r="D303" s="160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</row>
    <row r="304">
      <c r="A304" s="161"/>
      <c r="B304" s="161"/>
      <c r="C304" s="161"/>
      <c r="D304" s="160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</row>
    <row r="305">
      <c r="A305" s="161"/>
      <c r="B305" s="161"/>
      <c r="C305" s="161"/>
      <c r="D305" s="160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</row>
    <row r="306">
      <c r="A306" s="161"/>
      <c r="B306" s="161"/>
      <c r="C306" s="161"/>
      <c r="D306" s="160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</row>
    <row r="307">
      <c r="A307" s="161"/>
      <c r="B307" s="161"/>
      <c r="C307" s="161"/>
      <c r="D307" s="160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</row>
    <row r="308">
      <c r="A308" s="161"/>
      <c r="B308" s="161"/>
      <c r="C308" s="161"/>
      <c r="D308" s="160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</row>
    <row r="309">
      <c r="A309" s="161"/>
      <c r="B309" s="161"/>
      <c r="C309" s="161"/>
      <c r="D309" s="160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</row>
    <row r="310">
      <c r="A310" s="161"/>
      <c r="B310" s="161"/>
      <c r="C310" s="161"/>
      <c r="D310" s="160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</row>
    <row r="311">
      <c r="A311" s="161"/>
      <c r="B311" s="161"/>
      <c r="C311" s="161"/>
      <c r="D311" s="160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</row>
    <row r="312">
      <c r="A312" s="161"/>
      <c r="B312" s="161"/>
      <c r="C312" s="161"/>
      <c r="D312" s="160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</row>
    <row r="313">
      <c r="A313" s="161"/>
      <c r="B313" s="161"/>
      <c r="C313" s="161"/>
      <c r="D313" s="160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</row>
    <row r="314">
      <c r="A314" s="161"/>
      <c r="B314" s="161"/>
      <c r="C314" s="161"/>
      <c r="D314" s="160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</row>
    <row r="315">
      <c r="A315" s="161"/>
      <c r="B315" s="161"/>
      <c r="C315" s="161"/>
      <c r="D315" s="160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</row>
    <row r="316">
      <c r="A316" s="161"/>
      <c r="B316" s="161"/>
      <c r="C316" s="161"/>
      <c r="D316" s="160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</row>
    <row r="317">
      <c r="A317" s="161"/>
      <c r="B317" s="161"/>
      <c r="C317" s="161"/>
      <c r="D317" s="160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</row>
    <row r="318">
      <c r="A318" s="161"/>
      <c r="B318" s="161"/>
      <c r="C318" s="161"/>
      <c r="D318" s="160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</row>
    <row r="319">
      <c r="A319" s="161"/>
      <c r="B319" s="161"/>
      <c r="C319" s="161"/>
      <c r="D319" s="160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</row>
    <row r="320">
      <c r="A320" s="161"/>
      <c r="B320" s="161"/>
      <c r="C320" s="161"/>
      <c r="D320" s="160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</row>
    <row r="321">
      <c r="A321" s="161"/>
      <c r="B321" s="161"/>
      <c r="C321" s="161"/>
      <c r="D321" s="160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</row>
    <row r="322">
      <c r="A322" s="161"/>
      <c r="B322" s="161"/>
      <c r="C322" s="161"/>
      <c r="D322" s="160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</row>
    <row r="323">
      <c r="A323" s="161"/>
      <c r="B323" s="161"/>
      <c r="C323" s="161"/>
      <c r="D323" s="160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</row>
    <row r="324">
      <c r="A324" s="161"/>
      <c r="B324" s="161"/>
      <c r="C324" s="161"/>
      <c r="D324" s="160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</row>
    <row r="325">
      <c r="A325" s="161"/>
      <c r="B325" s="161"/>
      <c r="C325" s="161"/>
      <c r="D325" s="160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</row>
    <row r="326">
      <c r="A326" s="161"/>
      <c r="B326" s="161"/>
      <c r="C326" s="161"/>
      <c r="D326" s="160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</row>
    <row r="327">
      <c r="A327" s="161"/>
      <c r="B327" s="161"/>
      <c r="C327" s="161"/>
      <c r="D327" s="160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</row>
    <row r="328">
      <c r="A328" s="161"/>
      <c r="B328" s="161"/>
      <c r="C328" s="161"/>
      <c r="D328" s="160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</row>
    <row r="329">
      <c r="A329" s="161"/>
      <c r="B329" s="161"/>
      <c r="C329" s="161"/>
      <c r="D329" s="160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</row>
    <row r="330">
      <c r="A330" s="161"/>
      <c r="B330" s="161"/>
      <c r="C330" s="161"/>
      <c r="D330" s="160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</row>
    <row r="331">
      <c r="A331" s="161"/>
      <c r="B331" s="161"/>
      <c r="C331" s="161"/>
      <c r="D331" s="160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</row>
    <row r="332">
      <c r="A332" s="161"/>
      <c r="B332" s="161"/>
      <c r="C332" s="161"/>
      <c r="D332" s="160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</row>
    <row r="333">
      <c r="A333" s="161"/>
      <c r="B333" s="161"/>
      <c r="C333" s="161"/>
      <c r="D333" s="160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</row>
    <row r="334">
      <c r="A334" s="161"/>
      <c r="B334" s="161"/>
      <c r="C334" s="161"/>
      <c r="D334" s="160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</row>
    <row r="335">
      <c r="A335" s="161"/>
      <c r="B335" s="161"/>
      <c r="C335" s="161"/>
      <c r="D335" s="160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</row>
    <row r="336">
      <c r="A336" s="161"/>
      <c r="B336" s="161"/>
      <c r="C336" s="161"/>
      <c r="D336" s="160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</row>
    <row r="337">
      <c r="A337" s="161"/>
      <c r="B337" s="161"/>
      <c r="C337" s="161"/>
      <c r="D337" s="160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</row>
    <row r="338">
      <c r="A338" s="161"/>
      <c r="B338" s="161"/>
      <c r="C338" s="161"/>
      <c r="D338" s="160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</row>
    <row r="339">
      <c r="A339" s="161"/>
      <c r="B339" s="161"/>
      <c r="C339" s="161"/>
      <c r="D339" s="160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</row>
    <row r="340">
      <c r="A340" s="161"/>
      <c r="B340" s="161"/>
      <c r="C340" s="161"/>
      <c r="D340" s="160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</row>
    <row r="341">
      <c r="A341" s="161"/>
      <c r="B341" s="161"/>
      <c r="C341" s="161"/>
      <c r="D341" s="160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</row>
    <row r="342">
      <c r="A342" s="161"/>
      <c r="B342" s="161"/>
      <c r="C342" s="161"/>
      <c r="D342" s="160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</row>
    <row r="343">
      <c r="A343" s="161"/>
      <c r="B343" s="161"/>
      <c r="C343" s="161"/>
      <c r="D343" s="160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</row>
    <row r="344">
      <c r="A344" s="161"/>
      <c r="B344" s="161"/>
      <c r="C344" s="161"/>
      <c r="D344" s="160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</row>
    <row r="345">
      <c r="A345" s="161"/>
      <c r="B345" s="161"/>
      <c r="C345" s="161"/>
      <c r="D345" s="160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</row>
    <row r="346">
      <c r="A346" s="161"/>
      <c r="B346" s="161"/>
      <c r="C346" s="161"/>
      <c r="D346" s="160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</row>
    <row r="347">
      <c r="A347" s="161"/>
      <c r="B347" s="161"/>
      <c r="C347" s="161"/>
      <c r="D347" s="160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</row>
    <row r="348">
      <c r="A348" s="161"/>
      <c r="B348" s="161"/>
      <c r="C348" s="161"/>
      <c r="D348" s="160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</row>
    <row r="349">
      <c r="A349" s="161"/>
      <c r="B349" s="161"/>
      <c r="C349" s="161"/>
      <c r="D349" s="160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</row>
    <row r="350">
      <c r="A350" s="161"/>
      <c r="B350" s="161"/>
      <c r="C350" s="161"/>
      <c r="D350" s="160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</row>
    <row r="351">
      <c r="A351" s="161"/>
      <c r="B351" s="161"/>
      <c r="C351" s="161"/>
      <c r="D351" s="160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</row>
    <row r="352">
      <c r="A352" s="161"/>
      <c r="B352" s="161"/>
      <c r="C352" s="161"/>
      <c r="D352" s="160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</row>
    <row r="353">
      <c r="A353" s="161"/>
      <c r="B353" s="161"/>
      <c r="C353" s="161"/>
      <c r="D353" s="160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</row>
    <row r="354">
      <c r="A354" s="161"/>
      <c r="B354" s="161"/>
      <c r="C354" s="161"/>
      <c r="D354" s="160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</row>
    <row r="355">
      <c r="A355" s="161"/>
      <c r="B355" s="161"/>
      <c r="C355" s="161"/>
      <c r="D355" s="160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</row>
    <row r="356">
      <c r="A356" s="161"/>
      <c r="B356" s="161"/>
      <c r="C356" s="161"/>
      <c r="D356" s="160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</row>
    <row r="357">
      <c r="A357" s="161"/>
      <c r="B357" s="161"/>
      <c r="C357" s="161"/>
      <c r="D357" s="160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</row>
    <row r="358">
      <c r="A358" s="161"/>
      <c r="B358" s="161"/>
      <c r="C358" s="161"/>
      <c r="D358" s="160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</row>
    <row r="359">
      <c r="A359" s="161"/>
      <c r="B359" s="161"/>
      <c r="C359" s="161"/>
      <c r="D359" s="160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</row>
    <row r="360">
      <c r="A360" s="161"/>
      <c r="B360" s="161"/>
      <c r="C360" s="161"/>
      <c r="D360" s="160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</row>
    <row r="361">
      <c r="A361" s="161"/>
      <c r="B361" s="161"/>
      <c r="C361" s="161"/>
      <c r="D361" s="160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</row>
    <row r="362">
      <c r="A362" s="161"/>
      <c r="B362" s="161"/>
      <c r="C362" s="161"/>
      <c r="D362" s="160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</row>
    <row r="363">
      <c r="A363" s="161"/>
      <c r="B363" s="161"/>
      <c r="C363" s="161"/>
      <c r="D363" s="160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</row>
    <row r="364">
      <c r="A364" s="161"/>
      <c r="B364" s="161"/>
      <c r="C364" s="161"/>
      <c r="D364" s="160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</row>
    <row r="365">
      <c r="A365" s="161"/>
      <c r="B365" s="161"/>
      <c r="C365" s="161"/>
      <c r="D365" s="160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</row>
    <row r="366">
      <c r="A366" s="161"/>
      <c r="B366" s="161"/>
      <c r="C366" s="161"/>
      <c r="D366" s="160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</row>
    <row r="367">
      <c r="A367" s="161"/>
      <c r="B367" s="161"/>
      <c r="C367" s="161"/>
      <c r="D367" s="160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</row>
    <row r="368">
      <c r="A368" s="161"/>
      <c r="B368" s="161"/>
      <c r="C368" s="161"/>
      <c r="D368" s="160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</row>
    <row r="369">
      <c r="A369" s="161"/>
      <c r="B369" s="161"/>
      <c r="C369" s="161"/>
      <c r="D369" s="160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</row>
    <row r="370">
      <c r="A370" s="161"/>
      <c r="B370" s="161"/>
      <c r="C370" s="161"/>
      <c r="D370" s="160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</row>
    <row r="371">
      <c r="A371" s="161"/>
      <c r="B371" s="161"/>
      <c r="C371" s="161"/>
      <c r="D371" s="160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</row>
    <row r="372">
      <c r="A372" s="161"/>
      <c r="B372" s="161"/>
      <c r="C372" s="161"/>
      <c r="D372" s="160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</row>
    <row r="373">
      <c r="A373" s="161"/>
      <c r="B373" s="161"/>
      <c r="C373" s="161"/>
      <c r="D373" s="160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</row>
    <row r="374">
      <c r="A374" s="161"/>
      <c r="B374" s="161"/>
      <c r="C374" s="161"/>
      <c r="D374" s="160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</row>
    <row r="375">
      <c r="A375" s="161"/>
      <c r="B375" s="161"/>
      <c r="C375" s="161"/>
      <c r="D375" s="160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</row>
    <row r="376">
      <c r="A376" s="161"/>
      <c r="B376" s="161"/>
      <c r="C376" s="161"/>
      <c r="D376" s="160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</row>
    <row r="377">
      <c r="A377" s="161"/>
      <c r="B377" s="161"/>
      <c r="C377" s="161"/>
      <c r="D377" s="160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</row>
    <row r="378">
      <c r="A378" s="161"/>
      <c r="B378" s="161"/>
      <c r="C378" s="161"/>
      <c r="D378" s="160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</row>
    <row r="379">
      <c r="A379" s="161"/>
      <c r="B379" s="161"/>
      <c r="C379" s="161"/>
      <c r="D379" s="160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</row>
    <row r="380">
      <c r="A380" s="161"/>
      <c r="B380" s="161"/>
      <c r="C380" s="161"/>
      <c r="D380" s="160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</row>
    <row r="381">
      <c r="A381" s="161"/>
      <c r="B381" s="161"/>
      <c r="C381" s="161"/>
      <c r="D381" s="160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</row>
    <row r="382">
      <c r="A382" s="161"/>
      <c r="B382" s="161"/>
      <c r="C382" s="161"/>
      <c r="D382" s="160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</row>
    <row r="383">
      <c r="A383" s="161"/>
      <c r="B383" s="161"/>
      <c r="C383" s="161"/>
      <c r="D383" s="160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</row>
    <row r="384">
      <c r="A384" s="161"/>
      <c r="B384" s="161"/>
      <c r="C384" s="161"/>
      <c r="D384" s="160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</row>
    <row r="385">
      <c r="A385" s="161"/>
      <c r="B385" s="161"/>
      <c r="C385" s="161"/>
      <c r="D385" s="160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</row>
    <row r="386">
      <c r="A386" s="161"/>
      <c r="B386" s="161"/>
      <c r="C386" s="161"/>
      <c r="D386" s="160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</row>
    <row r="387">
      <c r="A387" s="161"/>
      <c r="B387" s="161"/>
      <c r="C387" s="161"/>
      <c r="D387" s="160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</row>
    <row r="388">
      <c r="A388" s="161"/>
      <c r="B388" s="161"/>
      <c r="C388" s="161"/>
      <c r="D388" s="160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</row>
    <row r="389">
      <c r="A389" s="161"/>
      <c r="B389" s="161"/>
      <c r="C389" s="161"/>
      <c r="D389" s="160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</row>
    <row r="390">
      <c r="A390" s="161"/>
      <c r="B390" s="161"/>
      <c r="C390" s="161"/>
      <c r="D390" s="160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</row>
    <row r="391">
      <c r="A391" s="161"/>
      <c r="B391" s="161"/>
      <c r="C391" s="161"/>
      <c r="D391" s="160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</row>
    <row r="392">
      <c r="A392" s="161"/>
      <c r="B392" s="161"/>
      <c r="C392" s="161"/>
      <c r="D392" s="160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</row>
    <row r="393">
      <c r="A393" s="161"/>
      <c r="B393" s="161"/>
      <c r="C393" s="161"/>
      <c r="D393" s="160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</row>
    <row r="394">
      <c r="A394" s="161"/>
      <c r="B394" s="161"/>
      <c r="C394" s="161"/>
      <c r="D394" s="160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</row>
    <row r="395">
      <c r="A395" s="161"/>
      <c r="B395" s="161"/>
      <c r="C395" s="161"/>
      <c r="D395" s="160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</row>
    <row r="396">
      <c r="A396" s="161"/>
      <c r="B396" s="161"/>
      <c r="C396" s="161"/>
      <c r="D396" s="160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</row>
    <row r="397">
      <c r="A397" s="161"/>
      <c r="B397" s="161"/>
      <c r="C397" s="161"/>
      <c r="D397" s="160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</row>
    <row r="398">
      <c r="A398" s="161"/>
      <c r="B398" s="161"/>
      <c r="C398" s="161"/>
      <c r="D398" s="160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</row>
    <row r="399">
      <c r="A399" s="161"/>
      <c r="B399" s="161"/>
      <c r="C399" s="161"/>
      <c r="D399" s="160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</row>
    <row r="400">
      <c r="A400" s="161"/>
      <c r="B400" s="161"/>
      <c r="C400" s="161"/>
      <c r="D400" s="160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</row>
    <row r="401">
      <c r="A401" s="161"/>
      <c r="B401" s="161"/>
      <c r="C401" s="161"/>
      <c r="D401" s="160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</row>
    <row r="402">
      <c r="A402" s="161"/>
      <c r="B402" s="161"/>
      <c r="C402" s="161"/>
      <c r="D402" s="160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</row>
    <row r="403">
      <c r="A403" s="161"/>
      <c r="B403" s="161"/>
      <c r="C403" s="161"/>
      <c r="D403" s="160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</row>
    <row r="404">
      <c r="A404" s="161"/>
      <c r="B404" s="161"/>
      <c r="C404" s="161"/>
      <c r="D404" s="160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</row>
    <row r="405">
      <c r="A405" s="161"/>
      <c r="B405" s="161"/>
      <c r="C405" s="161"/>
      <c r="D405" s="160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</row>
    <row r="406">
      <c r="A406" s="161"/>
      <c r="B406" s="161"/>
      <c r="C406" s="161"/>
      <c r="D406" s="160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</row>
    <row r="407">
      <c r="A407" s="161"/>
      <c r="B407" s="161"/>
      <c r="C407" s="161"/>
      <c r="D407" s="160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</row>
    <row r="408">
      <c r="A408" s="161"/>
      <c r="B408" s="161"/>
      <c r="C408" s="161"/>
      <c r="D408" s="160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</row>
    <row r="409">
      <c r="A409" s="161"/>
      <c r="B409" s="161"/>
      <c r="C409" s="161"/>
      <c r="D409" s="160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</row>
    <row r="410">
      <c r="A410" s="161"/>
      <c r="B410" s="161"/>
      <c r="C410" s="161"/>
      <c r="D410" s="160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</row>
    <row r="411">
      <c r="A411" s="161"/>
      <c r="B411" s="161"/>
      <c r="C411" s="161"/>
      <c r="D411" s="160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</row>
    <row r="412">
      <c r="A412" s="161"/>
      <c r="B412" s="161"/>
      <c r="C412" s="161"/>
      <c r="D412" s="160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</row>
    <row r="413">
      <c r="A413" s="161"/>
      <c r="B413" s="161"/>
      <c r="C413" s="161"/>
      <c r="D413" s="160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</row>
    <row r="414">
      <c r="A414" s="161"/>
      <c r="B414" s="161"/>
      <c r="C414" s="161"/>
      <c r="D414" s="160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</row>
    <row r="415">
      <c r="A415" s="161"/>
      <c r="B415" s="161"/>
      <c r="C415" s="161"/>
      <c r="D415" s="160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</row>
    <row r="416">
      <c r="A416" s="161"/>
      <c r="B416" s="161"/>
      <c r="C416" s="161"/>
      <c r="D416" s="160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</row>
    <row r="417">
      <c r="A417" s="161"/>
      <c r="B417" s="161"/>
      <c r="C417" s="161"/>
      <c r="D417" s="160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</row>
    <row r="418">
      <c r="A418" s="161"/>
      <c r="B418" s="161"/>
      <c r="C418" s="161"/>
      <c r="D418" s="160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</row>
    <row r="419">
      <c r="A419" s="161"/>
      <c r="B419" s="161"/>
      <c r="C419" s="161"/>
      <c r="D419" s="160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</row>
    <row r="420">
      <c r="A420" s="161"/>
      <c r="B420" s="161"/>
      <c r="C420" s="161"/>
      <c r="D420" s="160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</row>
    <row r="421">
      <c r="A421" s="161"/>
      <c r="B421" s="161"/>
      <c r="C421" s="161"/>
      <c r="D421" s="160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</row>
    <row r="422">
      <c r="A422" s="161"/>
      <c r="B422" s="161"/>
      <c r="C422" s="161"/>
      <c r="D422" s="160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</row>
    <row r="423">
      <c r="A423" s="161"/>
      <c r="B423" s="161"/>
      <c r="C423" s="161"/>
      <c r="D423" s="160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</row>
    <row r="424">
      <c r="A424" s="161"/>
      <c r="B424" s="161"/>
      <c r="C424" s="161"/>
      <c r="D424" s="160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</row>
    <row r="425">
      <c r="A425" s="161"/>
      <c r="B425" s="161"/>
      <c r="C425" s="161"/>
      <c r="D425" s="160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</row>
    <row r="426">
      <c r="A426" s="161"/>
      <c r="B426" s="161"/>
      <c r="C426" s="161"/>
      <c r="D426" s="160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</row>
    <row r="427">
      <c r="A427" s="161"/>
      <c r="B427" s="161"/>
      <c r="C427" s="161"/>
      <c r="D427" s="160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</row>
    <row r="428">
      <c r="A428" s="161"/>
      <c r="B428" s="161"/>
      <c r="C428" s="161"/>
      <c r="D428" s="160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</row>
    <row r="429">
      <c r="A429" s="161"/>
      <c r="B429" s="161"/>
      <c r="C429" s="161"/>
      <c r="D429" s="160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</row>
    <row r="430">
      <c r="A430" s="161"/>
      <c r="B430" s="161"/>
      <c r="C430" s="161"/>
      <c r="D430" s="160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</row>
    <row r="431">
      <c r="A431" s="161"/>
      <c r="B431" s="161"/>
      <c r="C431" s="161"/>
      <c r="D431" s="160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</row>
    <row r="432">
      <c r="A432" s="161"/>
      <c r="B432" s="161"/>
      <c r="C432" s="161"/>
      <c r="D432" s="160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</row>
    <row r="433">
      <c r="A433" s="161"/>
      <c r="B433" s="161"/>
      <c r="C433" s="161"/>
      <c r="D433" s="160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</row>
    <row r="434">
      <c r="A434" s="161"/>
      <c r="B434" s="161"/>
      <c r="C434" s="161"/>
      <c r="D434" s="160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</row>
    <row r="435">
      <c r="A435" s="161"/>
      <c r="B435" s="161"/>
      <c r="C435" s="161"/>
      <c r="D435" s="160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</row>
    <row r="436">
      <c r="A436" s="161"/>
      <c r="B436" s="161"/>
      <c r="C436" s="161"/>
      <c r="D436" s="160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</row>
    <row r="437">
      <c r="A437" s="161"/>
      <c r="B437" s="161"/>
      <c r="C437" s="161"/>
      <c r="D437" s="160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</row>
    <row r="438">
      <c r="A438" s="161"/>
      <c r="B438" s="161"/>
      <c r="C438" s="161"/>
      <c r="D438" s="160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</row>
    <row r="439">
      <c r="A439" s="161"/>
      <c r="B439" s="161"/>
      <c r="C439" s="161"/>
      <c r="D439" s="160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</row>
    <row r="440">
      <c r="A440" s="161"/>
      <c r="B440" s="161"/>
      <c r="C440" s="161"/>
      <c r="D440" s="160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</row>
    <row r="441">
      <c r="A441" s="161"/>
      <c r="B441" s="161"/>
      <c r="C441" s="161"/>
      <c r="D441" s="160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</row>
    <row r="442">
      <c r="A442" s="161"/>
      <c r="B442" s="161"/>
      <c r="C442" s="161"/>
      <c r="D442" s="160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</row>
    <row r="443">
      <c r="A443" s="161"/>
      <c r="B443" s="161"/>
      <c r="C443" s="161"/>
      <c r="D443" s="160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</row>
    <row r="444">
      <c r="A444" s="161"/>
      <c r="B444" s="161"/>
      <c r="C444" s="161"/>
      <c r="D444" s="160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</row>
    <row r="445">
      <c r="A445" s="161"/>
      <c r="B445" s="161"/>
      <c r="C445" s="161"/>
      <c r="D445" s="160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</row>
    <row r="446">
      <c r="A446" s="161"/>
      <c r="B446" s="161"/>
      <c r="C446" s="161"/>
      <c r="D446" s="160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</row>
    <row r="447">
      <c r="A447" s="161"/>
      <c r="B447" s="161"/>
      <c r="C447" s="161"/>
      <c r="D447" s="160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</row>
    <row r="448">
      <c r="A448" s="161"/>
      <c r="B448" s="161"/>
      <c r="C448" s="161"/>
      <c r="D448" s="160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</row>
    <row r="449">
      <c r="A449" s="161"/>
      <c r="B449" s="161"/>
      <c r="C449" s="161"/>
      <c r="D449" s="160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</row>
    <row r="450">
      <c r="A450" s="161"/>
      <c r="B450" s="161"/>
      <c r="C450" s="161"/>
      <c r="D450" s="160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</row>
    <row r="451">
      <c r="A451" s="161"/>
      <c r="B451" s="161"/>
      <c r="C451" s="161"/>
      <c r="D451" s="160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</row>
    <row r="452">
      <c r="A452" s="161"/>
      <c r="B452" s="161"/>
      <c r="C452" s="161"/>
      <c r="D452" s="160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</row>
    <row r="453">
      <c r="A453" s="161"/>
      <c r="B453" s="161"/>
      <c r="C453" s="161"/>
      <c r="D453" s="160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</row>
    <row r="454">
      <c r="A454" s="161"/>
      <c r="B454" s="161"/>
      <c r="C454" s="161"/>
      <c r="D454" s="160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</row>
    <row r="455">
      <c r="A455" s="161"/>
      <c r="B455" s="161"/>
      <c r="C455" s="161"/>
      <c r="D455" s="160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</row>
    <row r="456">
      <c r="A456" s="161"/>
      <c r="B456" s="161"/>
      <c r="C456" s="161"/>
      <c r="D456" s="160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</row>
    <row r="457">
      <c r="A457" s="161"/>
      <c r="B457" s="161"/>
      <c r="C457" s="161"/>
      <c r="D457" s="160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</row>
    <row r="458">
      <c r="A458" s="161"/>
      <c r="B458" s="161"/>
      <c r="C458" s="161"/>
      <c r="D458" s="160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</row>
    <row r="459">
      <c r="A459" s="161"/>
      <c r="B459" s="161"/>
      <c r="C459" s="161"/>
      <c r="D459" s="160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</row>
    <row r="460">
      <c r="A460" s="161"/>
      <c r="B460" s="161"/>
      <c r="C460" s="161"/>
      <c r="D460" s="160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</row>
    <row r="461">
      <c r="A461" s="161"/>
      <c r="B461" s="161"/>
      <c r="C461" s="161"/>
      <c r="D461" s="160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</row>
    <row r="462">
      <c r="A462" s="161"/>
      <c r="B462" s="161"/>
      <c r="C462" s="161"/>
      <c r="D462" s="160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</row>
    <row r="463">
      <c r="A463" s="161"/>
      <c r="B463" s="161"/>
      <c r="C463" s="161"/>
      <c r="D463" s="160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</row>
    <row r="464">
      <c r="A464" s="161"/>
      <c r="B464" s="161"/>
      <c r="C464" s="161"/>
      <c r="D464" s="160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</row>
    <row r="465">
      <c r="A465" s="161"/>
      <c r="B465" s="161"/>
      <c r="C465" s="161"/>
      <c r="D465" s="160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</row>
    <row r="466">
      <c r="A466" s="161"/>
      <c r="B466" s="161"/>
      <c r="C466" s="161"/>
      <c r="D466" s="160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</row>
    <row r="467">
      <c r="A467" s="161"/>
      <c r="B467" s="161"/>
      <c r="C467" s="161"/>
      <c r="D467" s="160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</row>
    <row r="468">
      <c r="A468" s="161"/>
      <c r="B468" s="161"/>
      <c r="C468" s="161"/>
      <c r="D468" s="160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</row>
    <row r="469">
      <c r="A469" s="161"/>
      <c r="B469" s="161"/>
      <c r="C469" s="161"/>
      <c r="D469" s="160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</row>
    <row r="470">
      <c r="A470" s="161"/>
      <c r="B470" s="161"/>
      <c r="C470" s="161"/>
      <c r="D470" s="160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</row>
    <row r="471">
      <c r="A471" s="161"/>
      <c r="B471" s="161"/>
      <c r="C471" s="161"/>
      <c r="D471" s="160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</row>
    <row r="472">
      <c r="A472" s="161"/>
      <c r="B472" s="161"/>
      <c r="C472" s="161"/>
      <c r="D472" s="160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</row>
    <row r="473">
      <c r="A473" s="161"/>
      <c r="B473" s="161"/>
      <c r="C473" s="161"/>
      <c r="D473" s="160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</row>
    <row r="474">
      <c r="A474" s="161"/>
      <c r="B474" s="161"/>
      <c r="C474" s="161"/>
      <c r="D474" s="160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</row>
    <row r="475">
      <c r="A475" s="161"/>
      <c r="B475" s="161"/>
      <c r="C475" s="161"/>
      <c r="D475" s="160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</row>
    <row r="476">
      <c r="A476" s="161"/>
      <c r="B476" s="161"/>
      <c r="C476" s="161"/>
      <c r="D476" s="160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</row>
    <row r="477">
      <c r="A477" s="161"/>
      <c r="B477" s="161"/>
      <c r="C477" s="161"/>
      <c r="D477" s="160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</row>
    <row r="478">
      <c r="A478" s="161"/>
      <c r="B478" s="161"/>
      <c r="C478" s="161"/>
      <c r="D478" s="160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</row>
    <row r="479">
      <c r="A479" s="161"/>
      <c r="B479" s="161"/>
      <c r="C479" s="161"/>
      <c r="D479" s="160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</row>
    <row r="480">
      <c r="A480" s="161"/>
      <c r="B480" s="161"/>
      <c r="C480" s="161"/>
      <c r="D480" s="160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</row>
    <row r="481">
      <c r="A481" s="161"/>
      <c r="B481" s="161"/>
      <c r="C481" s="161"/>
      <c r="D481" s="160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</row>
    <row r="482">
      <c r="A482" s="161"/>
      <c r="B482" s="161"/>
      <c r="C482" s="161"/>
      <c r="D482" s="160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</row>
    <row r="483">
      <c r="A483" s="161"/>
      <c r="B483" s="161"/>
      <c r="C483" s="161"/>
      <c r="D483" s="160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</row>
    <row r="484">
      <c r="A484" s="161"/>
      <c r="B484" s="161"/>
      <c r="C484" s="161"/>
      <c r="D484" s="160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</row>
    <row r="485">
      <c r="A485" s="161"/>
      <c r="B485" s="161"/>
      <c r="C485" s="161"/>
      <c r="D485" s="160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</row>
    <row r="486">
      <c r="A486" s="161"/>
      <c r="B486" s="161"/>
      <c r="C486" s="161"/>
      <c r="D486" s="160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</row>
    <row r="487">
      <c r="A487" s="161"/>
      <c r="B487" s="161"/>
      <c r="C487" s="161"/>
      <c r="D487" s="160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</row>
    <row r="488">
      <c r="A488" s="161"/>
      <c r="B488" s="161"/>
      <c r="C488" s="161"/>
      <c r="D488" s="160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</row>
    <row r="489">
      <c r="A489" s="161"/>
      <c r="B489" s="161"/>
      <c r="C489" s="161"/>
      <c r="D489" s="160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</row>
    <row r="490">
      <c r="A490" s="161"/>
      <c r="B490" s="161"/>
      <c r="C490" s="161"/>
      <c r="D490" s="160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</row>
    <row r="491">
      <c r="A491" s="161"/>
      <c r="B491" s="161"/>
      <c r="C491" s="161"/>
      <c r="D491" s="160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</row>
    <row r="492">
      <c r="A492" s="161"/>
      <c r="B492" s="161"/>
      <c r="C492" s="161"/>
      <c r="D492" s="160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</row>
    <row r="493">
      <c r="A493" s="161"/>
      <c r="B493" s="161"/>
      <c r="C493" s="161"/>
      <c r="D493" s="160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</row>
    <row r="494">
      <c r="A494" s="161"/>
      <c r="B494" s="161"/>
      <c r="C494" s="161"/>
      <c r="D494" s="160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</row>
    <row r="495">
      <c r="A495" s="161"/>
      <c r="B495" s="161"/>
      <c r="C495" s="161"/>
      <c r="D495" s="160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</row>
    <row r="496">
      <c r="A496" s="161"/>
      <c r="B496" s="161"/>
      <c r="C496" s="161"/>
      <c r="D496" s="160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</row>
    <row r="497">
      <c r="A497" s="161"/>
      <c r="B497" s="161"/>
      <c r="C497" s="161"/>
      <c r="D497" s="160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</row>
    <row r="498">
      <c r="A498" s="161"/>
      <c r="B498" s="161"/>
      <c r="C498" s="161"/>
      <c r="D498" s="160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</row>
    <row r="499">
      <c r="A499" s="161"/>
      <c r="B499" s="161"/>
      <c r="C499" s="161"/>
      <c r="D499" s="160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</row>
    <row r="500">
      <c r="A500" s="161"/>
      <c r="B500" s="161"/>
      <c r="C500" s="161"/>
      <c r="D500" s="160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</row>
    <row r="501">
      <c r="A501" s="161"/>
      <c r="B501" s="161"/>
      <c r="C501" s="161"/>
      <c r="D501" s="160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</row>
    <row r="502">
      <c r="A502" s="161"/>
      <c r="B502" s="161"/>
      <c r="C502" s="161"/>
      <c r="D502" s="160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</row>
    <row r="503">
      <c r="A503" s="161"/>
      <c r="B503" s="161"/>
      <c r="C503" s="161"/>
      <c r="D503" s="160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</row>
    <row r="504">
      <c r="A504" s="161"/>
      <c r="B504" s="161"/>
      <c r="C504" s="161"/>
      <c r="D504" s="160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</row>
    <row r="505">
      <c r="A505" s="161"/>
      <c r="B505" s="161"/>
      <c r="C505" s="161"/>
      <c r="D505" s="160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</row>
    <row r="506">
      <c r="A506" s="161"/>
      <c r="B506" s="161"/>
      <c r="C506" s="161"/>
      <c r="D506" s="160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</row>
    <row r="507">
      <c r="A507" s="161"/>
      <c r="B507" s="161"/>
      <c r="C507" s="161"/>
      <c r="D507" s="160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</row>
    <row r="508">
      <c r="A508" s="161"/>
      <c r="B508" s="161"/>
      <c r="C508" s="161"/>
      <c r="D508" s="160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</row>
    <row r="509">
      <c r="A509" s="161"/>
      <c r="B509" s="161"/>
      <c r="C509" s="161"/>
      <c r="D509" s="160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</row>
    <row r="510">
      <c r="A510" s="161"/>
      <c r="B510" s="161"/>
      <c r="C510" s="161"/>
      <c r="D510" s="160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</row>
    <row r="511">
      <c r="A511" s="161"/>
      <c r="B511" s="161"/>
      <c r="C511" s="161"/>
      <c r="D511" s="160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</row>
    <row r="512">
      <c r="A512" s="161"/>
      <c r="B512" s="161"/>
      <c r="C512" s="161"/>
      <c r="D512" s="160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</row>
    <row r="513">
      <c r="A513" s="161"/>
      <c r="B513" s="161"/>
      <c r="C513" s="161"/>
      <c r="D513" s="160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</row>
    <row r="514">
      <c r="A514" s="161"/>
      <c r="B514" s="161"/>
      <c r="C514" s="161"/>
      <c r="D514" s="160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</row>
    <row r="515">
      <c r="A515" s="161"/>
      <c r="B515" s="161"/>
      <c r="C515" s="161"/>
      <c r="D515" s="160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</row>
    <row r="516">
      <c r="A516" s="161"/>
      <c r="B516" s="161"/>
      <c r="C516" s="161"/>
      <c r="D516" s="160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</row>
    <row r="517">
      <c r="A517" s="161"/>
      <c r="B517" s="161"/>
      <c r="C517" s="161"/>
      <c r="D517" s="160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</row>
    <row r="518">
      <c r="A518" s="161"/>
      <c r="B518" s="161"/>
      <c r="C518" s="161"/>
      <c r="D518" s="160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</row>
    <row r="519">
      <c r="A519" s="161"/>
      <c r="B519" s="161"/>
      <c r="C519" s="161"/>
      <c r="D519" s="160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</row>
    <row r="520">
      <c r="A520" s="161"/>
      <c r="B520" s="161"/>
      <c r="C520" s="161"/>
      <c r="D520" s="160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</row>
    <row r="521">
      <c r="A521" s="161"/>
      <c r="B521" s="161"/>
      <c r="C521" s="161"/>
      <c r="D521" s="160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</row>
    <row r="522">
      <c r="A522" s="161"/>
      <c r="B522" s="161"/>
      <c r="C522" s="161"/>
      <c r="D522" s="160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</row>
    <row r="523">
      <c r="A523" s="161"/>
      <c r="B523" s="161"/>
      <c r="C523" s="161"/>
      <c r="D523" s="160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</row>
    <row r="524">
      <c r="A524" s="161"/>
      <c r="B524" s="161"/>
      <c r="C524" s="161"/>
      <c r="D524" s="160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</row>
    <row r="525">
      <c r="A525" s="161"/>
      <c r="B525" s="161"/>
      <c r="C525" s="161"/>
      <c r="D525" s="160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</row>
    <row r="526">
      <c r="A526" s="161"/>
      <c r="B526" s="161"/>
      <c r="C526" s="161"/>
      <c r="D526" s="160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</row>
    <row r="527">
      <c r="A527" s="161"/>
      <c r="B527" s="161"/>
      <c r="C527" s="161"/>
      <c r="D527" s="160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</row>
    <row r="528">
      <c r="A528" s="161"/>
      <c r="B528" s="161"/>
      <c r="C528" s="161"/>
      <c r="D528" s="160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</row>
    <row r="529">
      <c r="A529" s="161"/>
      <c r="B529" s="161"/>
      <c r="C529" s="161"/>
      <c r="D529" s="160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</row>
    <row r="530">
      <c r="A530" s="161"/>
      <c r="B530" s="161"/>
      <c r="C530" s="161"/>
      <c r="D530" s="160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</row>
    <row r="531">
      <c r="A531" s="161"/>
      <c r="B531" s="161"/>
      <c r="C531" s="161"/>
      <c r="D531" s="160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</row>
    <row r="532">
      <c r="A532" s="161"/>
      <c r="B532" s="161"/>
      <c r="C532" s="161"/>
      <c r="D532" s="160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</row>
    <row r="533">
      <c r="A533" s="161"/>
      <c r="B533" s="161"/>
      <c r="C533" s="161"/>
      <c r="D533" s="160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</row>
    <row r="534">
      <c r="A534" s="161"/>
      <c r="B534" s="161"/>
      <c r="C534" s="161"/>
      <c r="D534" s="160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</row>
    <row r="535">
      <c r="A535" s="161"/>
      <c r="B535" s="161"/>
      <c r="C535" s="161"/>
      <c r="D535" s="160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</row>
    <row r="536">
      <c r="A536" s="161"/>
      <c r="B536" s="161"/>
      <c r="C536" s="161"/>
      <c r="D536" s="160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</row>
    <row r="537">
      <c r="A537" s="161"/>
      <c r="B537" s="161"/>
      <c r="C537" s="161"/>
      <c r="D537" s="160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</row>
    <row r="538">
      <c r="A538" s="161"/>
      <c r="B538" s="161"/>
      <c r="C538" s="161"/>
      <c r="D538" s="160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</row>
    <row r="539">
      <c r="A539" s="161"/>
      <c r="B539" s="161"/>
      <c r="C539" s="161"/>
      <c r="D539" s="160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</row>
    <row r="540">
      <c r="A540" s="161"/>
      <c r="B540" s="161"/>
      <c r="C540" s="161"/>
      <c r="D540" s="160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</row>
    <row r="541">
      <c r="A541" s="161"/>
      <c r="B541" s="161"/>
      <c r="C541" s="161"/>
      <c r="D541" s="160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</row>
    <row r="542">
      <c r="A542" s="161"/>
      <c r="B542" s="161"/>
      <c r="C542" s="161"/>
      <c r="D542" s="160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</row>
    <row r="543">
      <c r="A543" s="161"/>
      <c r="B543" s="161"/>
      <c r="C543" s="161"/>
      <c r="D543" s="160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</row>
    <row r="544">
      <c r="A544" s="161"/>
      <c r="B544" s="161"/>
      <c r="C544" s="161"/>
      <c r="D544" s="160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</row>
    <row r="545">
      <c r="A545" s="161"/>
      <c r="B545" s="161"/>
      <c r="C545" s="161"/>
      <c r="D545" s="160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</row>
    <row r="546">
      <c r="A546" s="161"/>
      <c r="B546" s="161"/>
      <c r="C546" s="161"/>
      <c r="D546" s="160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</row>
    <row r="547">
      <c r="A547" s="161"/>
      <c r="B547" s="161"/>
      <c r="C547" s="161"/>
      <c r="D547" s="160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</row>
    <row r="548">
      <c r="A548" s="161"/>
      <c r="B548" s="161"/>
      <c r="C548" s="161"/>
      <c r="D548" s="160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</row>
    <row r="549">
      <c r="A549" s="161"/>
      <c r="B549" s="161"/>
      <c r="C549" s="161"/>
      <c r="D549" s="160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</row>
    <row r="550">
      <c r="A550" s="161"/>
      <c r="B550" s="161"/>
      <c r="C550" s="161"/>
      <c r="D550" s="160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</row>
    <row r="551">
      <c r="A551" s="161"/>
      <c r="B551" s="161"/>
      <c r="C551" s="161"/>
      <c r="D551" s="160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</row>
    <row r="552">
      <c r="A552" s="161"/>
      <c r="B552" s="161"/>
      <c r="C552" s="161"/>
      <c r="D552" s="160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</row>
    <row r="553">
      <c r="A553" s="161"/>
      <c r="B553" s="161"/>
      <c r="C553" s="161"/>
      <c r="D553" s="160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</row>
    <row r="554">
      <c r="A554" s="161"/>
      <c r="B554" s="161"/>
      <c r="C554" s="161"/>
      <c r="D554" s="160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</row>
    <row r="555">
      <c r="A555" s="161"/>
      <c r="B555" s="161"/>
      <c r="C555" s="161"/>
      <c r="D555" s="160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</row>
    <row r="556">
      <c r="A556" s="161"/>
      <c r="B556" s="161"/>
      <c r="C556" s="161"/>
      <c r="D556" s="160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</row>
    <row r="557">
      <c r="A557" s="161"/>
      <c r="B557" s="161"/>
      <c r="C557" s="161"/>
      <c r="D557" s="160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</row>
    <row r="558">
      <c r="A558" s="161"/>
      <c r="B558" s="161"/>
      <c r="C558" s="161"/>
      <c r="D558" s="160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</row>
    <row r="559">
      <c r="A559" s="161"/>
      <c r="B559" s="161"/>
      <c r="C559" s="161"/>
      <c r="D559" s="160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</row>
    <row r="560">
      <c r="A560" s="161"/>
      <c r="B560" s="161"/>
      <c r="C560" s="161"/>
      <c r="D560" s="160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</row>
    <row r="561">
      <c r="A561" s="161"/>
      <c r="B561" s="161"/>
      <c r="C561" s="161"/>
      <c r="D561" s="160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</row>
    <row r="562">
      <c r="A562" s="161"/>
      <c r="B562" s="161"/>
      <c r="C562" s="161"/>
      <c r="D562" s="160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</row>
    <row r="563">
      <c r="A563" s="161"/>
      <c r="B563" s="161"/>
      <c r="C563" s="161"/>
      <c r="D563" s="160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</row>
    <row r="564">
      <c r="A564" s="161"/>
      <c r="B564" s="161"/>
      <c r="C564" s="161"/>
      <c r="D564" s="160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</row>
    <row r="565">
      <c r="A565" s="161"/>
      <c r="B565" s="161"/>
      <c r="C565" s="161"/>
      <c r="D565" s="160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</row>
    <row r="566">
      <c r="A566" s="161"/>
      <c r="B566" s="161"/>
      <c r="C566" s="161"/>
      <c r="D566" s="160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</row>
    <row r="567">
      <c r="A567" s="161"/>
      <c r="B567" s="161"/>
      <c r="C567" s="161"/>
      <c r="D567" s="160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</row>
    <row r="568">
      <c r="A568" s="161"/>
      <c r="B568" s="161"/>
      <c r="C568" s="161"/>
      <c r="D568" s="160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</row>
    <row r="569">
      <c r="A569" s="161"/>
      <c r="B569" s="161"/>
      <c r="C569" s="161"/>
      <c r="D569" s="160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</row>
    <row r="570">
      <c r="A570" s="161"/>
      <c r="B570" s="161"/>
      <c r="C570" s="161"/>
      <c r="D570" s="160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</row>
    <row r="571">
      <c r="A571" s="161"/>
      <c r="B571" s="161"/>
      <c r="C571" s="161"/>
      <c r="D571" s="160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</row>
    <row r="572">
      <c r="A572" s="161"/>
      <c r="B572" s="161"/>
      <c r="C572" s="161"/>
      <c r="D572" s="160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</row>
    <row r="573">
      <c r="A573" s="161"/>
      <c r="B573" s="161"/>
      <c r="C573" s="161"/>
      <c r="D573" s="160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</row>
    <row r="574">
      <c r="A574" s="161"/>
      <c r="B574" s="161"/>
      <c r="C574" s="161"/>
      <c r="D574" s="160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</row>
    <row r="575">
      <c r="A575" s="161"/>
      <c r="B575" s="161"/>
      <c r="C575" s="161"/>
      <c r="D575" s="160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</row>
    <row r="576">
      <c r="A576" s="161"/>
      <c r="B576" s="161"/>
      <c r="C576" s="161"/>
      <c r="D576" s="160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</row>
    <row r="577">
      <c r="A577" s="161"/>
      <c r="B577" s="161"/>
      <c r="C577" s="161"/>
      <c r="D577" s="160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</row>
    <row r="578">
      <c r="A578" s="161"/>
      <c r="B578" s="161"/>
      <c r="C578" s="161"/>
      <c r="D578" s="160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</row>
    <row r="579">
      <c r="A579" s="161"/>
      <c r="B579" s="161"/>
      <c r="C579" s="161"/>
      <c r="D579" s="160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</row>
    <row r="580">
      <c r="A580" s="161"/>
      <c r="B580" s="161"/>
      <c r="C580" s="161"/>
      <c r="D580" s="160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</row>
    <row r="581">
      <c r="A581" s="161"/>
      <c r="B581" s="161"/>
      <c r="C581" s="161"/>
      <c r="D581" s="160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</row>
    <row r="582">
      <c r="A582" s="161"/>
      <c r="B582" s="161"/>
      <c r="C582" s="161"/>
      <c r="D582" s="160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</row>
    <row r="583">
      <c r="A583" s="161"/>
      <c r="B583" s="161"/>
      <c r="C583" s="161"/>
      <c r="D583" s="160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</row>
    <row r="584">
      <c r="A584" s="161"/>
      <c r="B584" s="161"/>
      <c r="C584" s="161"/>
      <c r="D584" s="160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</row>
    <row r="585">
      <c r="A585" s="161"/>
      <c r="B585" s="161"/>
      <c r="C585" s="161"/>
      <c r="D585" s="160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</row>
    <row r="586">
      <c r="A586" s="161"/>
      <c r="B586" s="161"/>
      <c r="C586" s="161"/>
      <c r="D586" s="160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</row>
    <row r="587">
      <c r="A587" s="161"/>
      <c r="B587" s="161"/>
      <c r="C587" s="161"/>
      <c r="D587" s="160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</row>
    <row r="588">
      <c r="A588" s="161"/>
      <c r="B588" s="161"/>
      <c r="C588" s="161"/>
      <c r="D588" s="160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</row>
    <row r="589">
      <c r="A589" s="161"/>
      <c r="B589" s="161"/>
      <c r="C589" s="161"/>
      <c r="D589" s="160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</row>
    <row r="590">
      <c r="A590" s="161"/>
      <c r="B590" s="161"/>
      <c r="C590" s="161"/>
      <c r="D590" s="160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</row>
    <row r="591">
      <c r="A591" s="161"/>
      <c r="B591" s="161"/>
      <c r="C591" s="161"/>
      <c r="D591" s="160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</row>
    <row r="592">
      <c r="A592" s="161"/>
      <c r="B592" s="161"/>
      <c r="C592" s="161"/>
      <c r="D592" s="160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</row>
    <row r="593">
      <c r="A593" s="161"/>
      <c r="B593" s="161"/>
      <c r="C593" s="161"/>
      <c r="D593" s="160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</row>
    <row r="594">
      <c r="A594" s="161"/>
      <c r="B594" s="161"/>
      <c r="C594" s="161"/>
      <c r="D594" s="160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</row>
    <row r="595">
      <c r="A595" s="161"/>
      <c r="B595" s="161"/>
      <c r="C595" s="161"/>
      <c r="D595" s="160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</row>
    <row r="596">
      <c r="A596" s="161"/>
      <c r="B596" s="161"/>
      <c r="C596" s="161"/>
      <c r="D596" s="160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</row>
    <row r="597">
      <c r="A597" s="161"/>
      <c r="B597" s="161"/>
      <c r="C597" s="161"/>
      <c r="D597" s="160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</row>
    <row r="598">
      <c r="A598" s="161"/>
      <c r="B598" s="161"/>
      <c r="C598" s="161"/>
      <c r="D598" s="160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</row>
    <row r="599">
      <c r="A599" s="161"/>
      <c r="B599" s="161"/>
      <c r="C599" s="161"/>
      <c r="D599" s="160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</row>
    <row r="600">
      <c r="A600" s="161"/>
      <c r="B600" s="161"/>
      <c r="C600" s="161"/>
      <c r="D600" s="160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</row>
    <row r="601">
      <c r="A601" s="161"/>
      <c r="B601" s="161"/>
      <c r="C601" s="161"/>
      <c r="D601" s="160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</row>
    <row r="602">
      <c r="A602" s="161"/>
      <c r="B602" s="161"/>
      <c r="C602" s="161"/>
      <c r="D602" s="160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</row>
    <row r="603">
      <c r="A603" s="161"/>
      <c r="B603" s="161"/>
      <c r="C603" s="161"/>
      <c r="D603" s="160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</row>
    <row r="604">
      <c r="A604" s="161"/>
      <c r="B604" s="161"/>
      <c r="C604" s="161"/>
      <c r="D604" s="160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</row>
    <row r="605">
      <c r="A605" s="161"/>
      <c r="B605" s="161"/>
      <c r="C605" s="161"/>
      <c r="D605" s="160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</row>
    <row r="606">
      <c r="A606" s="161"/>
      <c r="B606" s="161"/>
      <c r="C606" s="161"/>
      <c r="D606" s="160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</row>
    <row r="607">
      <c r="A607" s="161"/>
      <c r="B607" s="161"/>
      <c r="C607" s="161"/>
      <c r="D607" s="160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</row>
    <row r="608">
      <c r="A608" s="161"/>
      <c r="B608" s="161"/>
      <c r="C608" s="161"/>
      <c r="D608" s="160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</row>
    <row r="609">
      <c r="A609" s="161"/>
      <c r="B609" s="161"/>
      <c r="C609" s="161"/>
      <c r="D609" s="160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</row>
    <row r="610">
      <c r="A610" s="161"/>
      <c r="B610" s="161"/>
      <c r="C610" s="161"/>
      <c r="D610" s="160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</row>
    <row r="611">
      <c r="A611" s="161"/>
      <c r="B611" s="161"/>
      <c r="C611" s="161"/>
      <c r="D611" s="160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</row>
    <row r="612">
      <c r="A612" s="161"/>
      <c r="B612" s="161"/>
      <c r="C612" s="161"/>
      <c r="D612" s="160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</row>
    <row r="613">
      <c r="A613" s="161"/>
      <c r="B613" s="161"/>
      <c r="C613" s="161"/>
      <c r="D613" s="160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</row>
    <row r="614">
      <c r="A614" s="161"/>
      <c r="B614" s="161"/>
      <c r="C614" s="161"/>
      <c r="D614" s="160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</row>
    <row r="615">
      <c r="A615" s="161"/>
      <c r="B615" s="161"/>
      <c r="C615" s="161"/>
      <c r="D615" s="160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</row>
    <row r="616">
      <c r="A616" s="161"/>
      <c r="B616" s="161"/>
      <c r="C616" s="161"/>
      <c r="D616" s="160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</row>
    <row r="617">
      <c r="A617" s="161"/>
      <c r="B617" s="161"/>
      <c r="C617" s="161"/>
      <c r="D617" s="160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</row>
    <row r="618">
      <c r="A618" s="161"/>
      <c r="B618" s="161"/>
      <c r="C618" s="161"/>
      <c r="D618" s="160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</row>
    <row r="619">
      <c r="A619" s="161"/>
      <c r="B619" s="161"/>
      <c r="C619" s="161"/>
      <c r="D619" s="160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</row>
    <row r="620">
      <c r="A620" s="161"/>
      <c r="B620" s="161"/>
      <c r="C620" s="161"/>
      <c r="D620" s="160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</row>
    <row r="621">
      <c r="A621" s="161"/>
      <c r="B621" s="161"/>
      <c r="C621" s="161"/>
      <c r="D621" s="160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</row>
    <row r="622">
      <c r="A622" s="161"/>
      <c r="B622" s="161"/>
      <c r="C622" s="161"/>
      <c r="D622" s="160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</row>
    <row r="623">
      <c r="A623" s="161"/>
      <c r="B623" s="161"/>
      <c r="C623" s="161"/>
      <c r="D623" s="160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</row>
    <row r="624">
      <c r="A624" s="161"/>
      <c r="B624" s="161"/>
      <c r="C624" s="161"/>
      <c r="D624" s="160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</row>
    <row r="625">
      <c r="A625" s="161"/>
      <c r="B625" s="161"/>
      <c r="C625" s="161"/>
      <c r="D625" s="160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</row>
    <row r="626">
      <c r="A626" s="161"/>
      <c r="B626" s="161"/>
      <c r="C626" s="161"/>
      <c r="D626" s="160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</row>
    <row r="627">
      <c r="A627" s="161"/>
      <c r="B627" s="161"/>
      <c r="C627" s="161"/>
      <c r="D627" s="160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</row>
    <row r="628">
      <c r="A628" s="161"/>
      <c r="B628" s="161"/>
      <c r="C628" s="161"/>
      <c r="D628" s="160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</row>
    <row r="629">
      <c r="A629" s="161"/>
      <c r="B629" s="161"/>
      <c r="C629" s="161"/>
      <c r="D629" s="160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</row>
    <row r="630">
      <c r="A630" s="161"/>
      <c r="B630" s="161"/>
      <c r="C630" s="161"/>
      <c r="D630" s="160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</row>
    <row r="631">
      <c r="A631" s="161"/>
      <c r="B631" s="161"/>
      <c r="C631" s="161"/>
      <c r="D631" s="160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</row>
    <row r="632">
      <c r="A632" s="161"/>
      <c r="B632" s="161"/>
      <c r="C632" s="161"/>
      <c r="D632" s="160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</row>
    <row r="633">
      <c r="A633" s="161"/>
      <c r="B633" s="161"/>
      <c r="C633" s="161"/>
      <c r="D633" s="160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</row>
    <row r="634">
      <c r="A634" s="161"/>
      <c r="B634" s="161"/>
      <c r="C634" s="161"/>
      <c r="D634" s="160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</row>
    <row r="635">
      <c r="A635" s="161"/>
      <c r="B635" s="161"/>
      <c r="C635" s="161"/>
      <c r="D635" s="160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</row>
    <row r="636">
      <c r="A636" s="161"/>
      <c r="B636" s="161"/>
      <c r="C636" s="161"/>
      <c r="D636" s="160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</row>
    <row r="637">
      <c r="A637" s="161"/>
      <c r="B637" s="161"/>
      <c r="C637" s="161"/>
      <c r="D637" s="160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</row>
    <row r="638">
      <c r="A638" s="161"/>
      <c r="B638" s="161"/>
      <c r="C638" s="161"/>
      <c r="D638" s="160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</row>
    <row r="639">
      <c r="A639" s="161"/>
      <c r="B639" s="161"/>
      <c r="C639" s="161"/>
      <c r="D639" s="160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</row>
    <row r="640">
      <c r="A640" s="161"/>
      <c r="B640" s="161"/>
      <c r="C640" s="161"/>
      <c r="D640" s="160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</row>
    <row r="641">
      <c r="A641" s="161"/>
      <c r="B641" s="161"/>
      <c r="C641" s="161"/>
      <c r="D641" s="160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</row>
    <row r="642">
      <c r="A642" s="161"/>
      <c r="B642" s="161"/>
      <c r="C642" s="161"/>
      <c r="D642" s="160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</row>
    <row r="643">
      <c r="A643" s="161"/>
      <c r="B643" s="161"/>
      <c r="C643" s="161"/>
      <c r="D643" s="160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</row>
    <row r="644">
      <c r="A644" s="161"/>
      <c r="B644" s="161"/>
      <c r="C644" s="161"/>
      <c r="D644" s="160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</row>
    <row r="645">
      <c r="A645" s="161"/>
      <c r="B645" s="161"/>
      <c r="C645" s="161"/>
      <c r="D645" s="160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</row>
    <row r="646">
      <c r="A646" s="161"/>
      <c r="B646" s="161"/>
      <c r="C646" s="161"/>
      <c r="D646" s="160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</row>
    <row r="647">
      <c r="A647" s="161"/>
      <c r="B647" s="161"/>
      <c r="C647" s="161"/>
      <c r="D647" s="160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</row>
    <row r="648">
      <c r="A648" s="161"/>
      <c r="B648" s="161"/>
      <c r="C648" s="161"/>
      <c r="D648" s="160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</row>
    <row r="649">
      <c r="A649" s="161"/>
      <c r="B649" s="161"/>
      <c r="C649" s="161"/>
      <c r="D649" s="160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</row>
    <row r="650">
      <c r="A650" s="161"/>
      <c r="B650" s="161"/>
      <c r="C650" s="161"/>
      <c r="D650" s="160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</row>
    <row r="651">
      <c r="A651" s="161"/>
      <c r="B651" s="161"/>
      <c r="C651" s="161"/>
      <c r="D651" s="160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</row>
    <row r="652">
      <c r="A652" s="161"/>
      <c r="B652" s="161"/>
      <c r="C652" s="161"/>
      <c r="D652" s="160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</row>
    <row r="653">
      <c r="A653" s="161"/>
      <c r="B653" s="161"/>
      <c r="C653" s="161"/>
      <c r="D653" s="160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</row>
    <row r="654">
      <c r="A654" s="161"/>
      <c r="B654" s="161"/>
      <c r="C654" s="161"/>
      <c r="D654" s="160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</row>
    <row r="655">
      <c r="A655" s="161"/>
      <c r="B655" s="161"/>
      <c r="C655" s="161"/>
      <c r="D655" s="160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</row>
    <row r="656">
      <c r="A656" s="161"/>
      <c r="B656" s="161"/>
      <c r="C656" s="161"/>
      <c r="D656" s="160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</row>
    <row r="657">
      <c r="A657" s="161"/>
      <c r="B657" s="161"/>
      <c r="C657" s="161"/>
      <c r="D657" s="160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</row>
    <row r="658">
      <c r="A658" s="161"/>
      <c r="B658" s="161"/>
      <c r="C658" s="161"/>
      <c r="D658" s="160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</row>
    <row r="659">
      <c r="A659" s="161"/>
      <c r="B659" s="161"/>
      <c r="C659" s="161"/>
      <c r="D659" s="160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</row>
    <row r="660">
      <c r="A660" s="161"/>
      <c r="B660" s="161"/>
      <c r="C660" s="161"/>
      <c r="D660" s="160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</row>
    <row r="661">
      <c r="A661" s="161"/>
      <c r="B661" s="161"/>
      <c r="C661" s="161"/>
      <c r="D661" s="160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</row>
    <row r="662">
      <c r="A662" s="161"/>
      <c r="B662" s="161"/>
      <c r="C662" s="161"/>
      <c r="D662" s="160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</row>
    <row r="663">
      <c r="A663" s="161"/>
      <c r="B663" s="161"/>
      <c r="C663" s="161"/>
      <c r="D663" s="160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</row>
    <row r="664">
      <c r="A664" s="161"/>
      <c r="B664" s="161"/>
      <c r="C664" s="161"/>
      <c r="D664" s="160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</row>
    <row r="665">
      <c r="A665" s="161"/>
      <c r="B665" s="161"/>
      <c r="C665" s="161"/>
      <c r="D665" s="160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</row>
    <row r="666">
      <c r="A666" s="161"/>
      <c r="B666" s="161"/>
      <c r="C666" s="161"/>
      <c r="D666" s="160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</row>
    <row r="667">
      <c r="A667" s="161"/>
      <c r="B667" s="161"/>
      <c r="C667" s="161"/>
      <c r="D667" s="160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</row>
    <row r="668">
      <c r="A668" s="161"/>
      <c r="B668" s="161"/>
      <c r="C668" s="161"/>
      <c r="D668" s="160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</row>
    <row r="669">
      <c r="A669" s="161"/>
      <c r="B669" s="161"/>
      <c r="C669" s="161"/>
      <c r="D669" s="160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</row>
    <row r="670">
      <c r="A670" s="161"/>
      <c r="B670" s="161"/>
      <c r="C670" s="161"/>
      <c r="D670" s="160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</row>
    <row r="671">
      <c r="A671" s="161"/>
      <c r="B671" s="161"/>
      <c r="C671" s="161"/>
      <c r="D671" s="160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</row>
    <row r="672">
      <c r="A672" s="161"/>
      <c r="B672" s="161"/>
      <c r="C672" s="161"/>
      <c r="D672" s="160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</row>
    <row r="673">
      <c r="A673" s="161"/>
      <c r="B673" s="161"/>
      <c r="C673" s="161"/>
      <c r="D673" s="160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</row>
    <row r="674">
      <c r="A674" s="161"/>
      <c r="B674" s="161"/>
      <c r="C674" s="161"/>
      <c r="D674" s="160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</row>
    <row r="675">
      <c r="A675" s="161"/>
      <c r="B675" s="161"/>
      <c r="C675" s="161"/>
      <c r="D675" s="160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</row>
    <row r="676">
      <c r="A676" s="161"/>
      <c r="B676" s="161"/>
      <c r="C676" s="161"/>
      <c r="D676" s="160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</row>
    <row r="677">
      <c r="A677" s="161"/>
      <c r="B677" s="161"/>
      <c r="C677" s="161"/>
      <c r="D677" s="160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</row>
    <row r="678">
      <c r="A678" s="161"/>
      <c r="B678" s="161"/>
      <c r="C678" s="161"/>
      <c r="D678" s="160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</row>
    <row r="679">
      <c r="A679" s="161"/>
      <c r="B679" s="161"/>
      <c r="C679" s="161"/>
      <c r="D679" s="160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</row>
    <row r="680">
      <c r="A680" s="161"/>
      <c r="B680" s="161"/>
      <c r="C680" s="161"/>
      <c r="D680" s="160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</row>
    <row r="681">
      <c r="A681" s="161"/>
      <c r="B681" s="161"/>
      <c r="C681" s="161"/>
      <c r="D681" s="160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</row>
    <row r="682">
      <c r="A682" s="161"/>
      <c r="B682" s="161"/>
      <c r="C682" s="161"/>
      <c r="D682" s="160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</row>
    <row r="683">
      <c r="A683" s="161"/>
      <c r="B683" s="161"/>
      <c r="C683" s="161"/>
      <c r="D683" s="160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</row>
    <row r="684">
      <c r="A684" s="161"/>
      <c r="B684" s="161"/>
      <c r="C684" s="161"/>
      <c r="D684" s="160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</row>
    <row r="685">
      <c r="A685" s="161"/>
      <c r="B685" s="161"/>
      <c r="C685" s="161"/>
      <c r="D685" s="160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</row>
    <row r="686">
      <c r="A686" s="161"/>
      <c r="B686" s="161"/>
      <c r="C686" s="161"/>
      <c r="D686" s="160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</row>
    <row r="687">
      <c r="A687" s="161"/>
      <c r="B687" s="161"/>
      <c r="C687" s="161"/>
      <c r="D687" s="160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</row>
    <row r="688">
      <c r="A688" s="161"/>
      <c r="B688" s="161"/>
      <c r="C688" s="161"/>
      <c r="D688" s="160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</row>
    <row r="689">
      <c r="A689" s="161"/>
      <c r="B689" s="161"/>
      <c r="C689" s="161"/>
      <c r="D689" s="160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</row>
    <row r="690">
      <c r="A690" s="161"/>
      <c r="B690" s="161"/>
      <c r="C690" s="161"/>
      <c r="D690" s="160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</row>
    <row r="691">
      <c r="A691" s="161"/>
      <c r="B691" s="161"/>
      <c r="C691" s="161"/>
      <c r="D691" s="160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</row>
    <row r="692">
      <c r="A692" s="161"/>
      <c r="B692" s="161"/>
      <c r="C692" s="161"/>
      <c r="D692" s="160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</row>
    <row r="693">
      <c r="A693" s="161"/>
      <c r="B693" s="161"/>
      <c r="C693" s="161"/>
      <c r="D693" s="160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</row>
    <row r="694">
      <c r="A694" s="161"/>
      <c r="B694" s="161"/>
      <c r="C694" s="161"/>
      <c r="D694" s="160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</row>
    <row r="695">
      <c r="A695" s="161"/>
      <c r="B695" s="161"/>
      <c r="C695" s="161"/>
      <c r="D695" s="160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</row>
    <row r="696">
      <c r="A696" s="161"/>
      <c r="B696" s="161"/>
      <c r="C696" s="161"/>
      <c r="D696" s="160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</row>
    <row r="697">
      <c r="A697" s="161"/>
      <c r="B697" s="161"/>
      <c r="C697" s="161"/>
      <c r="D697" s="160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</row>
    <row r="698">
      <c r="A698" s="161"/>
      <c r="B698" s="161"/>
      <c r="C698" s="161"/>
      <c r="D698" s="160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</row>
    <row r="699">
      <c r="A699" s="161"/>
      <c r="B699" s="161"/>
      <c r="C699" s="161"/>
      <c r="D699" s="160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</row>
    <row r="700">
      <c r="A700" s="161"/>
      <c r="B700" s="161"/>
      <c r="C700" s="161"/>
      <c r="D700" s="160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</row>
    <row r="701">
      <c r="A701" s="161"/>
      <c r="B701" s="161"/>
      <c r="C701" s="161"/>
      <c r="D701" s="160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</row>
    <row r="702">
      <c r="A702" s="161"/>
      <c r="B702" s="161"/>
      <c r="C702" s="161"/>
      <c r="D702" s="160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</row>
    <row r="703">
      <c r="A703" s="161"/>
      <c r="B703" s="161"/>
      <c r="C703" s="161"/>
      <c r="D703" s="160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</row>
    <row r="704">
      <c r="A704" s="161"/>
      <c r="B704" s="161"/>
      <c r="C704" s="161"/>
      <c r="D704" s="160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</row>
    <row r="705">
      <c r="A705" s="161"/>
      <c r="B705" s="161"/>
      <c r="C705" s="161"/>
      <c r="D705" s="160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</row>
    <row r="706">
      <c r="A706" s="161"/>
      <c r="B706" s="161"/>
      <c r="C706" s="161"/>
      <c r="D706" s="160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</row>
    <row r="707">
      <c r="A707" s="161"/>
      <c r="B707" s="161"/>
      <c r="C707" s="161"/>
      <c r="D707" s="160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</row>
    <row r="708">
      <c r="A708" s="161"/>
      <c r="B708" s="161"/>
      <c r="C708" s="161"/>
      <c r="D708" s="160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</row>
    <row r="709">
      <c r="A709" s="161"/>
      <c r="B709" s="161"/>
      <c r="C709" s="161"/>
      <c r="D709" s="160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</row>
    <row r="710">
      <c r="A710" s="161"/>
      <c r="B710" s="161"/>
      <c r="C710" s="161"/>
      <c r="D710" s="160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</row>
    <row r="711">
      <c r="A711" s="161"/>
      <c r="B711" s="161"/>
      <c r="C711" s="161"/>
      <c r="D711" s="160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</row>
    <row r="712">
      <c r="A712" s="161"/>
      <c r="B712" s="161"/>
      <c r="C712" s="161"/>
      <c r="D712" s="160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</row>
    <row r="713">
      <c r="A713" s="161"/>
      <c r="B713" s="161"/>
      <c r="C713" s="161"/>
      <c r="D713" s="160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</row>
    <row r="714">
      <c r="A714" s="161"/>
      <c r="B714" s="161"/>
      <c r="C714" s="161"/>
      <c r="D714" s="160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</row>
    <row r="715">
      <c r="A715" s="161"/>
      <c r="B715" s="161"/>
      <c r="C715" s="161"/>
      <c r="D715" s="160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</row>
    <row r="716">
      <c r="A716" s="161"/>
      <c r="B716" s="161"/>
      <c r="C716" s="161"/>
      <c r="D716" s="160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</row>
    <row r="717">
      <c r="A717" s="161"/>
      <c r="B717" s="161"/>
      <c r="C717" s="161"/>
      <c r="D717" s="160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</row>
    <row r="718">
      <c r="A718" s="161"/>
      <c r="B718" s="161"/>
      <c r="C718" s="161"/>
      <c r="D718" s="160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</row>
    <row r="719">
      <c r="A719" s="161"/>
      <c r="B719" s="161"/>
      <c r="C719" s="161"/>
      <c r="D719" s="160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</row>
    <row r="720">
      <c r="A720" s="161"/>
      <c r="B720" s="161"/>
      <c r="C720" s="161"/>
      <c r="D720" s="160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</row>
    <row r="721">
      <c r="A721" s="161"/>
      <c r="B721" s="161"/>
      <c r="C721" s="161"/>
      <c r="D721" s="160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</row>
    <row r="722">
      <c r="A722" s="161"/>
      <c r="B722" s="161"/>
      <c r="C722" s="161"/>
      <c r="D722" s="160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</row>
    <row r="723">
      <c r="A723" s="161"/>
      <c r="B723" s="161"/>
      <c r="C723" s="161"/>
      <c r="D723" s="160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</row>
    <row r="724">
      <c r="A724" s="161"/>
      <c r="B724" s="161"/>
      <c r="C724" s="161"/>
      <c r="D724" s="160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</row>
    <row r="725">
      <c r="A725" s="161"/>
      <c r="B725" s="161"/>
      <c r="C725" s="161"/>
      <c r="D725" s="160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</row>
    <row r="726">
      <c r="A726" s="161"/>
      <c r="B726" s="161"/>
      <c r="C726" s="161"/>
      <c r="D726" s="160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</row>
    <row r="727">
      <c r="A727" s="161"/>
      <c r="B727" s="161"/>
      <c r="C727" s="161"/>
      <c r="D727" s="160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</row>
    <row r="728">
      <c r="A728" s="161"/>
      <c r="B728" s="161"/>
      <c r="C728" s="161"/>
      <c r="D728" s="160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</row>
    <row r="729">
      <c r="A729" s="161"/>
      <c r="B729" s="161"/>
      <c r="C729" s="161"/>
      <c r="D729" s="160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</row>
    <row r="730">
      <c r="A730" s="161"/>
      <c r="B730" s="161"/>
      <c r="C730" s="161"/>
      <c r="D730" s="160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</row>
    <row r="731">
      <c r="A731" s="161"/>
      <c r="B731" s="161"/>
      <c r="C731" s="161"/>
      <c r="D731" s="160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</row>
    <row r="732">
      <c r="A732" s="161"/>
      <c r="B732" s="161"/>
      <c r="C732" s="161"/>
      <c r="D732" s="160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</row>
    <row r="733">
      <c r="A733" s="161"/>
      <c r="B733" s="161"/>
      <c r="C733" s="161"/>
      <c r="D733" s="160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</row>
    <row r="734">
      <c r="A734" s="161"/>
      <c r="B734" s="161"/>
      <c r="C734" s="161"/>
      <c r="D734" s="160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</row>
    <row r="735">
      <c r="A735" s="161"/>
      <c r="B735" s="161"/>
      <c r="C735" s="161"/>
      <c r="D735" s="160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</row>
    <row r="736">
      <c r="A736" s="161"/>
      <c r="B736" s="161"/>
      <c r="C736" s="161"/>
      <c r="D736" s="160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</row>
    <row r="737">
      <c r="A737" s="161"/>
      <c r="B737" s="161"/>
      <c r="C737" s="161"/>
      <c r="D737" s="160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</row>
    <row r="738">
      <c r="A738" s="161"/>
      <c r="B738" s="161"/>
      <c r="C738" s="161"/>
      <c r="D738" s="160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</row>
    <row r="739">
      <c r="A739" s="161"/>
      <c r="B739" s="161"/>
      <c r="C739" s="161"/>
      <c r="D739" s="160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</row>
    <row r="740">
      <c r="A740" s="161"/>
      <c r="B740" s="161"/>
      <c r="C740" s="161"/>
      <c r="D740" s="160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</row>
    <row r="741">
      <c r="A741" s="161"/>
      <c r="B741" s="161"/>
      <c r="C741" s="161"/>
      <c r="D741" s="160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</row>
    <row r="742">
      <c r="A742" s="161"/>
      <c r="B742" s="161"/>
      <c r="C742" s="161"/>
      <c r="D742" s="160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</row>
    <row r="743">
      <c r="A743" s="161"/>
      <c r="B743" s="161"/>
      <c r="C743" s="161"/>
      <c r="D743" s="160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</row>
    <row r="744">
      <c r="A744" s="161"/>
      <c r="B744" s="161"/>
      <c r="C744" s="161"/>
      <c r="D744" s="160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</row>
    <row r="745">
      <c r="A745" s="161"/>
      <c r="B745" s="161"/>
      <c r="C745" s="161"/>
      <c r="D745" s="160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</row>
    <row r="746">
      <c r="A746" s="161"/>
      <c r="B746" s="161"/>
      <c r="C746" s="161"/>
      <c r="D746" s="160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</row>
    <row r="747">
      <c r="A747" s="161"/>
      <c r="B747" s="161"/>
      <c r="C747" s="161"/>
      <c r="D747" s="160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</row>
    <row r="748">
      <c r="A748" s="161"/>
      <c r="B748" s="161"/>
      <c r="C748" s="161"/>
      <c r="D748" s="160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</row>
    <row r="749">
      <c r="A749" s="161"/>
      <c r="B749" s="161"/>
      <c r="C749" s="161"/>
      <c r="D749" s="160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</row>
    <row r="750">
      <c r="A750" s="161"/>
      <c r="B750" s="161"/>
      <c r="C750" s="161"/>
      <c r="D750" s="160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</row>
    <row r="751">
      <c r="A751" s="161"/>
      <c r="B751" s="161"/>
      <c r="C751" s="161"/>
      <c r="D751" s="160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</row>
    <row r="752">
      <c r="A752" s="161"/>
      <c r="B752" s="161"/>
      <c r="C752" s="161"/>
      <c r="D752" s="160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</row>
    <row r="753">
      <c r="A753" s="161"/>
      <c r="B753" s="161"/>
      <c r="C753" s="161"/>
      <c r="D753" s="160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</row>
    <row r="754">
      <c r="A754" s="161"/>
      <c r="B754" s="161"/>
      <c r="C754" s="161"/>
      <c r="D754" s="160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</row>
    <row r="755">
      <c r="A755" s="161"/>
      <c r="B755" s="161"/>
      <c r="C755" s="161"/>
      <c r="D755" s="160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</row>
    <row r="756">
      <c r="A756" s="161"/>
      <c r="B756" s="161"/>
      <c r="C756" s="161"/>
      <c r="D756" s="160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</row>
    <row r="757">
      <c r="A757" s="161"/>
      <c r="B757" s="161"/>
      <c r="C757" s="161"/>
      <c r="D757" s="160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</row>
    <row r="758">
      <c r="A758" s="161"/>
      <c r="B758" s="161"/>
      <c r="C758" s="161"/>
      <c r="D758" s="160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</row>
    <row r="759">
      <c r="A759" s="161"/>
      <c r="B759" s="161"/>
      <c r="C759" s="161"/>
      <c r="D759" s="160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</row>
    <row r="760">
      <c r="A760" s="161"/>
      <c r="B760" s="161"/>
      <c r="C760" s="161"/>
      <c r="D760" s="160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</row>
    <row r="761">
      <c r="A761" s="161"/>
      <c r="B761" s="161"/>
      <c r="C761" s="161"/>
      <c r="D761" s="160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</row>
    <row r="762">
      <c r="A762" s="161"/>
      <c r="B762" s="161"/>
      <c r="C762" s="161"/>
      <c r="D762" s="160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</row>
    <row r="763">
      <c r="A763" s="161"/>
      <c r="B763" s="161"/>
      <c r="C763" s="161"/>
      <c r="D763" s="160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</row>
    <row r="764">
      <c r="A764" s="161"/>
      <c r="B764" s="161"/>
      <c r="C764" s="161"/>
      <c r="D764" s="160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</row>
    <row r="765">
      <c r="A765" s="161"/>
      <c r="B765" s="161"/>
      <c r="C765" s="161"/>
      <c r="D765" s="160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</row>
    <row r="766">
      <c r="A766" s="161"/>
      <c r="B766" s="161"/>
      <c r="C766" s="161"/>
      <c r="D766" s="160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</row>
    <row r="767">
      <c r="A767" s="161"/>
      <c r="B767" s="161"/>
      <c r="C767" s="161"/>
      <c r="D767" s="160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</row>
    <row r="768">
      <c r="A768" s="161"/>
      <c r="B768" s="161"/>
      <c r="C768" s="161"/>
      <c r="D768" s="160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</row>
    <row r="769">
      <c r="A769" s="161"/>
      <c r="B769" s="161"/>
      <c r="C769" s="161"/>
      <c r="D769" s="160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</row>
    <row r="770">
      <c r="A770" s="161"/>
      <c r="B770" s="161"/>
      <c r="C770" s="161"/>
      <c r="D770" s="160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</row>
    <row r="771">
      <c r="A771" s="161"/>
      <c r="B771" s="161"/>
      <c r="C771" s="161"/>
      <c r="D771" s="160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</row>
    <row r="772">
      <c r="A772" s="161"/>
      <c r="B772" s="161"/>
      <c r="C772" s="161"/>
      <c r="D772" s="160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</row>
    <row r="773">
      <c r="A773" s="161"/>
      <c r="B773" s="161"/>
      <c r="C773" s="161"/>
      <c r="D773" s="160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</row>
    <row r="774">
      <c r="A774" s="161"/>
      <c r="B774" s="161"/>
      <c r="C774" s="161"/>
      <c r="D774" s="160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</row>
    <row r="775">
      <c r="A775" s="161"/>
      <c r="B775" s="161"/>
      <c r="C775" s="161"/>
      <c r="D775" s="160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</row>
    <row r="776">
      <c r="A776" s="161"/>
      <c r="B776" s="161"/>
      <c r="C776" s="161"/>
      <c r="D776" s="160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</row>
    <row r="777">
      <c r="A777" s="161"/>
      <c r="B777" s="161"/>
      <c r="C777" s="161"/>
      <c r="D777" s="160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</row>
    <row r="778">
      <c r="A778" s="161"/>
      <c r="B778" s="161"/>
      <c r="C778" s="161"/>
      <c r="D778" s="160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</row>
    <row r="779">
      <c r="A779" s="161"/>
      <c r="B779" s="161"/>
      <c r="C779" s="161"/>
      <c r="D779" s="160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</row>
    <row r="780">
      <c r="A780" s="161"/>
      <c r="B780" s="161"/>
      <c r="C780" s="161"/>
      <c r="D780" s="160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</row>
    <row r="781">
      <c r="A781" s="161"/>
      <c r="B781" s="161"/>
      <c r="C781" s="161"/>
      <c r="D781" s="160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</row>
    <row r="782">
      <c r="A782" s="161"/>
      <c r="B782" s="161"/>
      <c r="C782" s="161"/>
      <c r="D782" s="160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</row>
    <row r="783">
      <c r="A783" s="161"/>
      <c r="B783" s="161"/>
      <c r="C783" s="161"/>
      <c r="D783" s="160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</row>
    <row r="784">
      <c r="A784" s="161"/>
      <c r="B784" s="161"/>
      <c r="C784" s="161"/>
      <c r="D784" s="160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</row>
    <row r="785">
      <c r="A785" s="161"/>
      <c r="B785" s="161"/>
      <c r="C785" s="161"/>
      <c r="D785" s="160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</row>
    <row r="786">
      <c r="A786" s="161"/>
      <c r="B786" s="161"/>
      <c r="C786" s="161"/>
      <c r="D786" s="160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</row>
    <row r="787">
      <c r="A787" s="161"/>
      <c r="B787" s="161"/>
      <c r="C787" s="161"/>
      <c r="D787" s="160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</row>
    <row r="788">
      <c r="A788" s="161"/>
      <c r="B788" s="161"/>
      <c r="C788" s="161"/>
      <c r="D788" s="160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</row>
    <row r="789">
      <c r="A789" s="161"/>
      <c r="B789" s="161"/>
      <c r="C789" s="161"/>
      <c r="D789" s="160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</row>
    <row r="790">
      <c r="A790" s="161"/>
      <c r="B790" s="161"/>
      <c r="C790" s="161"/>
      <c r="D790" s="160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</row>
    <row r="791">
      <c r="A791" s="161"/>
      <c r="B791" s="161"/>
      <c r="C791" s="161"/>
      <c r="D791" s="160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</row>
    <row r="792">
      <c r="A792" s="161"/>
      <c r="B792" s="161"/>
      <c r="C792" s="161"/>
      <c r="D792" s="160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</row>
    <row r="793">
      <c r="A793" s="161"/>
      <c r="B793" s="161"/>
      <c r="C793" s="161"/>
      <c r="D793" s="160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</row>
    <row r="794">
      <c r="A794" s="161"/>
      <c r="B794" s="161"/>
      <c r="C794" s="161"/>
      <c r="D794" s="160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</row>
    <row r="795">
      <c r="A795" s="161"/>
      <c r="B795" s="161"/>
      <c r="C795" s="161"/>
      <c r="D795" s="160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</row>
    <row r="796">
      <c r="A796" s="161"/>
      <c r="B796" s="161"/>
      <c r="C796" s="161"/>
      <c r="D796" s="160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</row>
    <row r="797">
      <c r="A797" s="161"/>
      <c r="B797" s="161"/>
      <c r="C797" s="161"/>
      <c r="D797" s="160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</row>
    <row r="798">
      <c r="A798" s="161"/>
      <c r="B798" s="161"/>
      <c r="C798" s="161"/>
      <c r="D798" s="160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</row>
    <row r="799">
      <c r="A799" s="161"/>
      <c r="B799" s="161"/>
      <c r="C799" s="161"/>
      <c r="D799" s="160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</row>
    <row r="800">
      <c r="A800" s="161"/>
      <c r="B800" s="161"/>
      <c r="C800" s="161"/>
      <c r="D800" s="160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</row>
    <row r="801">
      <c r="A801" s="161"/>
      <c r="B801" s="161"/>
      <c r="C801" s="161"/>
      <c r="D801" s="160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</row>
    <row r="802">
      <c r="A802" s="161"/>
      <c r="B802" s="161"/>
      <c r="C802" s="161"/>
      <c r="D802" s="160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</row>
    <row r="803">
      <c r="A803" s="161"/>
      <c r="B803" s="161"/>
      <c r="C803" s="161"/>
      <c r="D803" s="160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</row>
    <row r="804">
      <c r="A804" s="161"/>
      <c r="B804" s="161"/>
      <c r="C804" s="161"/>
      <c r="D804" s="160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</row>
    <row r="805">
      <c r="A805" s="161"/>
      <c r="B805" s="161"/>
      <c r="C805" s="161"/>
      <c r="D805" s="160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</row>
    <row r="806">
      <c r="A806" s="161"/>
      <c r="B806" s="161"/>
      <c r="C806" s="161"/>
      <c r="D806" s="160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</row>
    <row r="807">
      <c r="A807" s="161"/>
      <c r="B807" s="161"/>
      <c r="C807" s="161"/>
      <c r="D807" s="160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</row>
    <row r="808">
      <c r="A808" s="161"/>
      <c r="B808" s="161"/>
      <c r="C808" s="161"/>
      <c r="D808" s="160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</row>
    <row r="809">
      <c r="A809" s="161"/>
      <c r="B809" s="161"/>
      <c r="C809" s="161"/>
      <c r="D809" s="160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</row>
    <row r="810">
      <c r="A810" s="161"/>
      <c r="B810" s="161"/>
      <c r="C810" s="161"/>
      <c r="D810" s="160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</row>
    <row r="811">
      <c r="A811" s="161"/>
      <c r="B811" s="161"/>
      <c r="C811" s="161"/>
      <c r="D811" s="160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</row>
    <row r="812">
      <c r="A812" s="161"/>
      <c r="B812" s="161"/>
      <c r="C812" s="161"/>
      <c r="D812" s="160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</row>
    <row r="813">
      <c r="A813" s="161"/>
      <c r="B813" s="161"/>
      <c r="C813" s="161"/>
      <c r="D813" s="160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</row>
    <row r="814">
      <c r="A814" s="161"/>
      <c r="B814" s="161"/>
      <c r="C814" s="161"/>
      <c r="D814" s="160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</row>
    <row r="815">
      <c r="A815" s="161"/>
      <c r="B815" s="161"/>
      <c r="C815" s="161"/>
      <c r="D815" s="160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</row>
    <row r="816">
      <c r="A816" s="161"/>
      <c r="B816" s="161"/>
      <c r="C816" s="161"/>
      <c r="D816" s="160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</row>
    <row r="817">
      <c r="A817" s="161"/>
      <c r="B817" s="161"/>
      <c r="C817" s="161"/>
      <c r="D817" s="160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</row>
    <row r="818">
      <c r="A818" s="161"/>
      <c r="B818" s="161"/>
      <c r="C818" s="161"/>
      <c r="D818" s="160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</row>
    <row r="819">
      <c r="A819" s="161"/>
      <c r="B819" s="161"/>
      <c r="C819" s="161"/>
      <c r="D819" s="160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</row>
    <row r="820">
      <c r="A820" s="161"/>
      <c r="B820" s="161"/>
      <c r="C820" s="161"/>
      <c r="D820" s="160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</row>
    <row r="821">
      <c r="A821" s="161"/>
      <c r="B821" s="161"/>
      <c r="C821" s="161"/>
      <c r="D821" s="160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</row>
    <row r="822">
      <c r="A822" s="161"/>
      <c r="B822" s="161"/>
      <c r="C822" s="161"/>
      <c r="D822" s="160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</row>
    <row r="823">
      <c r="A823" s="161"/>
      <c r="B823" s="161"/>
      <c r="C823" s="161"/>
      <c r="D823" s="160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</row>
    <row r="824">
      <c r="A824" s="161"/>
      <c r="B824" s="161"/>
      <c r="C824" s="161"/>
      <c r="D824" s="160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</row>
    <row r="825">
      <c r="A825" s="161"/>
      <c r="B825" s="161"/>
      <c r="C825" s="161"/>
      <c r="D825" s="160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</row>
    <row r="826">
      <c r="A826" s="161"/>
      <c r="B826" s="161"/>
      <c r="C826" s="161"/>
      <c r="D826" s="160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</row>
    <row r="827">
      <c r="A827" s="161"/>
      <c r="B827" s="161"/>
      <c r="C827" s="161"/>
      <c r="D827" s="160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</row>
    <row r="828">
      <c r="A828" s="161"/>
      <c r="B828" s="161"/>
      <c r="C828" s="161"/>
      <c r="D828" s="160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</row>
    <row r="829">
      <c r="A829" s="161"/>
      <c r="B829" s="161"/>
      <c r="C829" s="161"/>
      <c r="D829" s="160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</row>
    <row r="830">
      <c r="A830" s="161"/>
      <c r="B830" s="161"/>
      <c r="C830" s="161"/>
      <c r="D830" s="160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</row>
    <row r="831">
      <c r="A831" s="161"/>
      <c r="B831" s="161"/>
      <c r="C831" s="161"/>
      <c r="D831" s="160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</row>
    <row r="832">
      <c r="A832" s="161"/>
      <c r="B832" s="161"/>
      <c r="C832" s="161"/>
      <c r="D832" s="160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</row>
    <row r="833">
      <c r="A833" s="161"/>
      <c r="B833" s="161"/>
      <c r="C833" s="161"/>
      <c r="D833" s="160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</row>
    <row r="834">
      <c r="A834" s="161"/>
      <c r="B834" s="161"/>
      <c r="C834" s="161"/>
      <c r="D834" s="160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</row>
    <row r="835">
      <c r="A835" s="161"/>
      <c r="B835" s="161"/>
      <c r="C835" s="161"/>
      <c r="D835" s="160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</row>
    <row r="836">
      <c r="A836" s="161"/>
      <c r="B836" s="161"/>
      <c r="C836" s="161"/>
      <c r="D836" s="160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</row>
    <row r="837">
      <c r="A837" s="161"/>
      <c r="B837" s="161"/>
      <c r="C837" s="161"/>
      <c r="D837" s="160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</row>
    <row r="838">
      <c r="A838" s="161"/>
      <c r="B838" s="161"/>
      <c r="C838" s="161"/>
      <c r="D838" s="160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</row>
    <row r="839">
      <c r="A839" s="161"/>
      <c r="B839" s="161"/>
      <c r="C839" s="161"/>
      <c r="D839" s="160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</row>
    <row r="840">
      <c r="A840" s="161"/>
      <c r="B840" s="161"/>
      <c r="C840" s="161"/>
      <c r="D840" s="160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</row>
    <row r="841">
      <c r="A841" s="161"/>
      <c r="B841" s="161"/>
      <c r="C841" s="161"/>
      <c r="D841" s="160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</row>
    <row r="842">
      <c r="A842" s="161"/>
      <c r="B842" s="161"/>
      <c r="C842" s="161"/>
      <c r="D842" s="160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</row>
    <row r="843">
      <c r="A843" s="161"/>
      <c r="B843" s="161"/>
      <c r="C843" s="161"/>
      <c r="D843" s="160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</row>
    <row r="844">
      <c r="A844" s="161"/>
      <c r="B844" s="161"/>
      <c r="C844" s="161"/>
      <c r="D844" s="160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</row>
    <row r="845">
      <c r="A845" s="161"/>
      <c r="B845" s="161"/>
      <c r="C845" s="161"/>
      <c r="D845" s="160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</row>
    <row r="846">
      <c r="A846" s="161"/>
      <c r="B846" s="161"/>
      <c r="C846" s="161"/>
      <c r="D846" s="160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</row>
    <row r="847">
      <c r="A847" s="161"/>
      <c r="B847" s="161"/>
      <c r="C847" s="161"/>
      <c r="D847" s="160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</row>
    <row r="848">
      <c r="A848" s="161"/>
      <c r="B848" s="161"/>
      <c r="C848" s="161"/>
      <c r="D848" s="160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</row>
    <row r="849">
      <c r="A849" s="161"/>
      <c r="B849" s="161"/>
      <c r="C849" s="161"/>
      <c r="D849" s="160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</row>
    <row r="850">
      <c r="A850" s="161"/>
      <c r="B850" s="161"/>
      <c r="C850" s="161"/>
      <c r="D850" s="160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</row>
    <row r="851">
      <c r="A851" s="161"/>
      <c r="B851" s="161"/>
      <c r="C851" s="161"/>
      <c r="D851" s="160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</row>
    <row r="852">
      <c r="A852" s="161"/>
      <c r="B852" s="161"/>
      <c r="C852" s="161"/>
      <c r="D852" s="160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</row>
    <row r="853">
      <c r="A853" s="161"/>
      <c r="B853" s="161"/>
      <c r="C853" s="161"/>
      <c r="D853" s="160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</row>
    <row r="854">
      <c r="A854" s="161"/>
      <c r="B854" s="161"/>
      <c r="C854" s="161"/>
      <c r="D854" s="160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</row>
    <row r="855">
      <c r="A855" s="161"/>
      <c r="B855" s="161"/>
      <c r="C855" s="161"/>
      <c r="D855" s="160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</row>
    <row r="856">
      <c r="A856" s="161"/>
      <c r="B856" s="161"/>
      <c r="C856" s="161"/>
      <c r="D856" s="160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</row>
    <row r="857">
      <c r="A857" s="161"/>
      <c r="B857" s="161"/>
      <c r="C857" s="161"/>
      <c r="D857" s="160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</row>
    <row r="858">
      <c r="A858" s="161"/>
      <c r="B858" s="161"/>
      <c r="C858" s="161"/>
      <c r="D858" s="160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</row>
    <row r="859">
      <c r="A859" s="161"/>
      <c r="B859" s="161"/>
      <c r="C859" s="161"/>
      <c r="D859" s="160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</row>
    <row r="860">
      <c r="A860" s="161"/>
      <c r="B860" s="161"/>
      <c r="C860" s="161"/>
      <c r="D860" s="160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</row>
    <row r="861">
      <c r="A861" s="161"/>
      <c r="B861" s="161"/>
      <c r="C861" s="161"/>
      <c r="D861" s="160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</row>
    <row r="862">
      <c r="A862" s="161"/>
      <c r="B862" s="161"/>
      <c r="C862" s="161"/>
      <c r="D862" s="160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</row>
    <row r="863">
      <c r="A863" s="161"/>
      <c r="B863" s="161"/>
      <c r="C863" s="161"/>
      <c r="D863" s="160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</row>
    <row r="864">
      <c r="A864" s="161"/>
      <c r="B864" s="161"/>
      <c r="C864" s="161"/>
      <c r="D864" s="160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</row>
    <row r="865">
      <c r="A865" s="161"/>
      <c r="B865" s="161"/>
      <c r="C865" s="161"/>
      <c r="D865" s="160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</row>
    <row r="866">
      <c r="A866" s="161"/>
      <c r="B866" s="161"/>
      <c r="C866" s="161"/>
      <c r="D866" s="160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</row>
    <row r="867">
      <c r="A867" s="161"/>
      <c r="B867" s="161"/>
      <c r="C867" s="161"/>
      <c r="D867" s="160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</row>
    <row r="868">
      <c r="A868" s="161"/>
      <c r="B868" s="161"/>
      <c r="C868" s="161"/>
      <c r="D868" s="160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</row>
    <row r="869">
      <c r="A869" s="161"/>
      <c r="B869" s="161"/>
      <c r="C869" s="161"/>
      <c r="D869" s="160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</row>
    <row r="870">
      <c r="A870" s="161"/>
      <c r="B870" s="161"/>
      <c r="C870" s="161"/>
      <c r="D870" s="160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</row>
    <row r="871">
      <c r="A871" s="161"/>
      <c r="B871" s="161"/>
      <c r="C871" s="161"/>
      <c r="D871" s="160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</row>
    <row r="872">
      <c r="A872" s="161"/>
      <c r="B872" s="161"/>
      <c r="C872" s="161"/>
      <c r="D872" s="160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</row>
    <row r="873">
      <c r="A873" s="161"/>
      <c r="B873" s="161"/>
      <c r="C873" s="161"/>
      <c r="D873" s="160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</row>
    <row r="874">
      <c r="A874" s="161"/>
      <c r="B874" s="161"/>
      <c r="C874" s="161"/>
      <c r="D874" s="160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</row>
    <row r="875">
      <c r="A875" s="161"/>
      <c r="B875" s="161"/>
      <c r="C875" s="161"/>
      <c r="D875" s="160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</row>
    <row r="876">
      <c r="A876" s="161"/>
      <c r="B876" s="161"/>
      <c r="C876" s="161"/>
      <c r="D876" s="160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</row>
    <row r="877">
      <c r="A877" s="161"/>
      <c r="B877" s="161"/>
      <c r="C877" s="161"/>
      <c r="D877" s="160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</row>
    <row r="878">
      <c r="A878" s="161"/>
      <c r="B878" s="161"/>
      <c r="C878" s="161"/>
      <c r="D878" s="160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</row>
    <row r="879">
      <c r="A879" s="161"/>
      <c r="B879" s="161"/>
      <c r="C879" s="161"/>
      <c r="D879" s="160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</row>
    <row r="880">
      <c r="A880" s="161"/>
      <c r="B880" s="161"/>
      <c r="C880" s="161"/>
      <c r="D880" s="160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</row>
    <row r="881">
      <c r="A881" s="161"/>
      <c r="B881" s="161"/>
      <c r="C881" s="161"/>
      <c r="D881" s="160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</row>
    <row r="882">
      <c r="A882" s="161"/>
      <c r="B882" s="161"/>
      <c r="C882" s="161"/>
      <c r="D882" s="160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</row>
    <row r="883">
      <c r="A883" s="161"/>
      <c r="B883" s="161"/>
      <c r="C883" s="161"/>
      <c r="D883" s="160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</row>
    <row r="884">
      <c r="A884" s="161"/>
      <c r="B884" s="161"/>
      <c r="C884" s="161"/>
      <c r="D884" s="160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</row>
    <row r="885">
      <c r="A885" s="161"/>
      <c r="B885" s="161"/>
      <c r="C885" s="161"/>
      <c r="D885" s="160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</row>
    <row r="886">
      <c r="A886" s="161"/>
      <c r="B886" s="161"/>
      <c r="C886" s="161"/>
      <c r="D886" s="160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</row>
    <row r="887">
      <c r="A887" s="161"/>
      <c r="B887" s="161"/>
      <c r="C887" s="161"/>
      <c r="D887" s="160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</row>
    <row r="888">
      <c r="A888" s="161"/>
      <c r="B888" s="161"/>
      <c r="C888" s="161"/>
      <c r="D888" s="160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</row>
    <row r="889">
      <c r="A889" s="161"/>
      <c r="B889" s="161"/>
      <c r="C889" s="161"/>
      <c r="D889" s="160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</row>
    <row r="890">
      <c r="A890" s="161"/>
      <c r="B890" s="161"/>
      <c r="C890" s="161"/>
      <c r="D890" s="160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</row>
    <row r="891">
      <c r="A891" s="161"/>
      <c r="B891" s="161"/>
      <c r="C891" s="161"/>
      <c r="D891" s="160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</row>
    <row r="892">
      <c r="A892" s="161"/>
      <c r="B892" s="161"/>
      <c r="C892" s="161"/>
      <c r="D892" s="160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</row>
    <row r="893">
      <c r="A893" s="161"/>
      <c r="B893" s="161"/>
      <c r="C893" s="161"/>
      <c r="D893" s="160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</row>
    <row r="894">
      <c r="A894" s="161"/>
      <c r="B894" s="161"/>
      <c r="C894" s="161"/>
      <c r="D894" s="160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</row>
    <row r="895">
      <c r="A895" s="161"/>
      <c r="B895" s="161"/>
      <c r="C895" s="161"/>
      <c r="D895" s="160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</row>
    <row r="896">
      <c r="A896" s="161"/>
      <c r="B896" s="161"/>
      <c r="C896" s="161"/>
      <c r="D896" s="160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</row>
    <row r="897">
      <c r="A897" s="161"/>
      <c r="B897" s="161"/>
      <c r="C897" s="161"/>
      <c r="D897" s="160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</row>
    <row r="898">
      <c r="A898" s="161"/>
      <c r="B898" s="161"/>
      <c r="C898" s="161"/>
      <c r="D898" s="160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</row>
    <row r="899">
      <c r="A899" s="161"/>
      <c r="B899" s="161"/>
      <c r="C899" s="161"/>
      <c r="D899" s="160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</row>
    <row r="900">
      <c r="A900" s="161"/>
      <c r="B900" s="161"/>
      <c r="C900" s="161"/>
      <c r="D900" s="160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</row>
    <row r="901">
      <c r="A901" s="161"/>
      <c r="B901" s="161"/>
      <c r="C901" s="161"/>
      <c r="D901" s="160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</row>
    <row r="902">
      <c r="A902" s="161"/>
      <c r="B902" s="161"/>
      <c r="C902" s="161"/>
      <c r="D902" s="160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</row>
    <row r="903">
      <c r="A903" s="161"/>
      <c r="B903" s="161"/>
      <c r="C903" s="161"/>
      <c r="D903" s="160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</row>
    <row r="904">
      <c r="A904" s="161"/>
      <c r="B904" s="161"/>
      <c r="C904" s="161"/>
      <c r="D904" s="160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</row>
    <row r="905">
      <c r="A905" s="161"/>
      <c r="B905" s="161"/>
      <c r="C905" s="161"/>
      <c r="D905" s="160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</row>
    <row r="906">
      <c r="A906" s="161"/>
      <c r="B906" s="161"/>
      <c r="C906" s="161"/>
      <c r="D906" s="160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</row>
    <row r="907">
      <c r="A907" s="161"/>
      <c r="B907" s="161"/>
      <c r="C907" s="161"/>
      <c r="D907" s="160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</row>
    <row r="908">
      <c r="A908" s="161"/>
      <c r="B908" s="161"/>
      <c r="C908" s="161"/>
      <c r="D908" s="160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</row>
    <row r="909">
      <c r="A909" s="161"/>
      <c r="B909" s="161"/>
      <c r="C909" s="161"/>
      <c r="D909" s="160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</row>
    <row r="910">
      <c r="A910" s="161"/>
      <c r="B910" s="161"/>
      <c r="C910" s="161"/>
      <c r="D910" s="160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</row>
    <row r="911">
      <c r="A911" s="161"/>
      <c r="B911" s="161"/>
      <c r="C911" s="161"/>
      <c r="D911" s="160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</row>
    <row r="912">
      <c r="A912" s="161"/>
      <c r="B912" s="161"/>
      <c r="C912" s="161"/>
      <c r="D912" s="160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</row>
    <row r="913">
      <c r="A913" s="161"/>
      <c r="B913" s="161"/>
      <c r="C913" s="161"/>
      <c r="D913" s="160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</row>
    <row r="914">
      <c r="A914" s="161"/>
      <c r="B914" s="161"/>
      <c r="C914" s="161"/>
      <c r="D914" s="160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</row>
    <row r="915">
      <c r="A915" s="161"/>
      <c r="B915" s="161"/>
      <c r="C915" s="161"/>
      <c r="D915" s="160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</row>
    <row r="916">
      <c r="A916" s="161"/>
      <c r="B916" s="161"/>
      <c r="C916" s="161"/>
      <c r="D916" s="160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</row>
    <row r="917">
      <c r="A917" s="161"/>
      <c r="B917" s="161"/>
      <c r="C917" s="161"/>
      <c r="D917" s="160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</row>
    <row r="918">
      <c r="A918" s="161"/>
      <c r="B918" s="161"/>
      <c r="C918" s="161"/>
      <c r="D918" s="160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</row>
    <row r="919">
      <c r="A919" s="161"/>
      <c r="B919" s="161"/>
      <c r="C919" s="161"/>
      <c r="D919" s="160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</row>
    <row r="920">
      <c r="A920" s="161"/>
      <c r="B920" s="161"/>
      <c r="C920" s="161"/>
      <c r="D920" s="160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</row>
    <row r="921">
      <c r="A921" s="161"/>
      <c r="B921" s="161"/>
      <c r="C921" s="161"/>
      <c r="D921" s="160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</row>
    <row r="922">
      <c r="A922" s="161"/>
      <c r="B922" s="161"/>
      <c r="C922" s="161"/>
      <c r="D922" s="160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</row>
    <row r="923">
      <c r="A923" s="161"/>
      <c r="B923" s="161"/>
      <c r="C923" s="161"/>
      <c r="D923" s="160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</row>
    <row r="924">
      <c r="A924" s="161"/>
      <c r="B924" s="161"/>
      <c r="C924" s="161"/>
      <c r="D924" s="160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</row>
    <row r="925">
      <c r="A925" s="161"/>
      <c r="B925" s="161"/>
      <c r="C925" s="161"/>
      <c r="D925" s="160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</row>
    <row r="926">
      <c r="A926" s="161"/>
      <c r="B926" s="161"/>
      <c r="C926" s="161"/>
      <c r="D926" s="160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</row>
    <row r="927">
      <c r="A927" s="161"/>
      <c r="B927" s="161"/>
      <c r="C927" s="161"/>
      <c r="D927" s="160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</row>
    <row r="928">
      <c r="A928" s="161"/>
      <c r="B928" s="161"/>
      <c r="C928" s="161"/>
      <c r="D928" s="160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</row>
    <row r="929">
      <c r="A929" s="161"/>
      <c r="B929" s="161"/>
      <c r="C929" s="161"/>
      <c r="D929" s="160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</row>
    <row r="930">
      <c r="A930" s="161"/>
      <c r="B930" s="161"/>
      <c r="C930" s="161"/>
      <c r="D930" s="160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</row>
    <row r="931">
      <c r="A931" s="161"/>
      <c r="B931" s="161"/>
      <c r="C931" s="161"/>
      <c r="D931" s="160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</row>
    <row r="932">
      <c r="A932" s="161"/>
      <c r="B932" s="161"/>
      <c r="C932" s="161"/>
      <c r="D932" s="160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</row>
    <row r="933">
      <c r="A933" s="161"/>
      <c r="B933" s="161"/>
      <c r="C933" s="161"/>
      <c r="D933" s="160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</row>
    <row r="934">
      <c r="A934" s="161"/>
      <c r="B934" s="161"/>
      <c r="C934" s="161"/>
      <c r="D934" s="160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</row>
    <row r="935">
      <c r="A935" s="161"/>
      <c r="B935" s="161"/>
      <c r="C935" s="161"/>
      <c r="D935" s="160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</row>
    <row r="936">
      <c r="A936" s="161"/>
      <c r="B936" s="161"/>
      <c r="C936" s="161"/>
      <c r="D936" s="160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</row>
    <row r="937">
      <c r="A937" s="161"/>
      <c r="B937" s="161"/>
      <c r="C937" s="161"/>
      <c r="D937" s="160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</row>
    <row r="938">
      <c r="A938" s="161"/>
      <c r="B938" s="161"/>
      <c r="C938" s="161"/>
      <c r="D938" s="160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</row>
    <row r="939">
      <c r="A939" s="161"/>
      <c r="B939" s="161"/>
      <c r="C939" s="161"/>
      <c r="D939" s="160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</row>
    <row r="940">
      <c r="A940" s="161"/>
      <c r="B940" s="161"/>
      <c r="C940" s="161"/>
      <c r="D940" s="160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</row>
    <row r="941">
      <c r="A941" s="161"/>
      <c r="B941" s="161"/>
      <c r="C941" s="161"/>
      <c r="D941" s="160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</row>
    <row r="942">
      <c r="A942" s="161"/>
      <c r="B942" s="161"/>
      <c r="C942" s="161"/>
      <c r="D942" s="160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</row>
    <row r="943">
      <c r="A943" s="161"/>
      <c r="B943" s="161"/>
      <c r="C943" s="161"/>
      <c r="D943" s="160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</row>
    <row r="944">
      <c r="A944" s="161"/>
      <c r="B944" s="161"/>
      <c r="C944" s="161"/>
      <c r="D944" s="160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</row>
    <row r="945">
      <c r="A945" s="161"/>
      <c r="B945" s="161"/>
      <c r="C945" s="161"/>
      <c r="D945" s="160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</row>
    <row r="946">
      <c r="A946" s="161"/>
      <c r="B946" s="161"/>
      <c r="C946" s="161"/>
      <c r="D946" s="160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</row>
    <row r="947">
      <c r="A947" s="161"/>
      <c r="B947" s="161"/>
      <c r="C947" s="161"/>
      <c r="D947" s="160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</row>
    <row r="948">
      <c r="A948" s="161"/>
      <c r="B948" s="161"/>
      <c r="C948" s="161"/>
      <c r="D948" s="160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</row>
    <row r="949">
      <c r="A949" s="161"/>
      <c r="B949" s="161"/>
      <c r="C949" s="161"/>
      <c r="D949" s="160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</row>
    <row r="950">
      <c r="A950" s="161"/>
      <c r="B950" s="161"/>
      <c r="C950" s="161"/>
      <c r="D950" s="160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</row>
    <row r="951">
      <c r="A951" s="161"/>
      <c r="B951" s="161"/>
      <c r="C951" s="161"/>
      <c r="D951" s="160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</row>
    <row r="952">
      <c r="A952" s="161"/>
      <c r="B952" s="161"/>
      <c r="C952" s="161"/>
      <c r="D952" s="160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</row>
    <row r="953">
      <c r="A953" s="161"/>
      <c r="B953" s="161"/>
      <c r="C953" s="161"/>
      <c r="D953" s="160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</row>
    <row r="954">
      <c r="A954" s="161"/>
      <c r="B954" s="161"/>
      <c r="C954" s="161"/>
      <c r="D954" s="160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</row>
    <row r="955">
      <c r="A955" s="161"/>
      <c r="B955" s="161"/>
      <c r="C955" s="161"/>
      <c r="D955" s="160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</row>
    <row r="956">
      <c r="A956" s="161"/>
      <c r="B956" s="161"/>
      <c r="C956" s="161"/>
      <c r="D956" s="160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</row>
    <row r="957">
      <c r="A957" s="161"/>
      <c r="B957" s="161"/>
      <c r="C957" s="161"/>
      <c r="D957" s="160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</row>
    <row r="958">
      <c r="A958" s="161"/>
      <c r="B958" s="161"/>
      <c r="C958" s="161"/>
      <c r="D958" s="160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</row>
    <row r="959">
      <c r="A959" s="161"/>
      <c r="B959" s="161"/>
      <c r="C959" s="161"/>
      <c r="D959" s="160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</row>
    <row r="960">
      <c r="A960" s="161"/>
      <c r="B960" s="161"/>
      <c r="C960" s="161"/>
      <c r="D960" s="160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</row>
    <row r="961">
      <c r="A961" s="161"/>
      <c r="B961" s="161"/>
      <c r="C961" s="161"/>
      <c r="D961" s="160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</row>
    <row r="962">
      <c r="A962" s="161"/>
      <c r="B962" s="161"/>
      <c r="C962" s="161"/>
      <c r="D962" s="160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</row>
    <row r="963">
      <c r="A963" s="161"/>
      <c r="B963" s="161"/>
      <c r="C963" s="161"/>
      <c r="D963" s="160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</row>
    <row r="964">
      <c r="A964" s="161"/>
      <c r="B964" s="161"/>
      <c r="C964" s="161"/>
      <c r="D964" s="160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</row>
    <row r="965">
      <c r="A965" s="161"/>
      <c r="B965" s="161"/>
      <c r="C965" s="161"/>
      <c r="D965" s="160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</row>
    <row r="966">
      <c r="A966" s="161"/>
      <c r="B966" s="161"/>
      <c r="C966" s="161"/>
      <c r="D966" s="160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</row>
    <row r="967">
      <c r="A967" s="161"/>
      <c r="B967" s="161"/>
      <c r="C967" s="161"/>
      <c r="D967" s="160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</row>
    <row r="968">
      <c r="A968" s="161"/>
      <c r="B968" s="161"/>
      <c r="C968" s="161"/>
      <c r="D968" s="160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</row>
    <row r="969">
      <c r="A969" s="161"/>
      <c r="B969" s="161"/>
      <c r="C969" s="161"/>
      <c r="D969" s="160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</row>
    <row r="970">
      <c r="A970" s="161"/>
      <c r="B970" s="161"/>
      <c r="C970" s="161"/>
      <c r="D970" s="160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</row>
    <row r="971">
      <c r="A971" s="161"/>
      <c r="B971" s="161"/>
      <c r="C971" s="161"/>
      <c r="D971" s="160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</row>
    <row r="972">
      <c r="A972" s="161"/>
      <c r="B972" s="161"/>
      <c r="C972" s="161"/>
      <c r="D972" s="160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</row>
    <row r="973">
      <c r="A973" s="161"/>
      <c r="B973" s="161"/>
      <c r="C973" s="161"/>
      <c r="D973" s="160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</row>
    <row r="974">
      <c r="A974" s="161"/>
      <c r="B974" s="161"/>
      <c r="C974" s="161"/>
      <c r="D974" s="160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</row>
    <row r="975">
      <c r="A975" s="161"/>
      <c r="B975" s="161"/>
      <c r="C975" s="161"/>
      <c r="D975" s="160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</row>
    <row r="976">
      <c r="A976" s="161"/>
      <c r="B976" s="161"/>
      <c r="C976" s="161"/>
      <c r="D976" s="160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</row>
    <row r="977">
      <c r="A977" s="161"/>
      <c r="B977" s="161"/>
      <c r="C977" s="161"/>
      <c r="D977" s="160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</row>
    <row r="978">
      <c r="A978" s="161"/>
      <c r="B978" s="161"/>
      <c r="C978" s="161"/>
      <c r="D978" s="160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</row>
    <row r="979">
      <c r="A979" s="161"/>
      <c r="B979" s="161"/>
      <c r="C979" s="161"/>
      <c r="D979" s="160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</row>
    <row r="980">
      <c r="A980" s="161"/>
      <c r="B980" s="161"/>
      <c r="C980" s="161"/>
      <c r="D980" s="160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</row>
    <row r="981">
      <c r="A981" s="161"/>
      <c r="B981" s="161"/>
      <c r="C981" s="161"/>
      <c r="D981" s="160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</row>
    <row r="982">
      <c r="A982" s="161"/>
      <c r="B982" s="161"/>
      <c r="C982" s="161"/>
      <c r="D982" s="160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</row>
    <row r="983">
      <c r="A983" s="161"/>
      <c r="B983" s="161"/>
      <c r="C983" s="161"/>
      <c r="D983" s="160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</row>
    <row r="984">
      <c r="A984" s="161"/>
      <c r="B984" s="161"/>
      <c r="C984" s="161"/>
      <c r="D984" s="160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</row>
    <row r="985">
      <c r="A985" s="161"/>
      <c r="B985" s="161"/>
      <c r="C985" s="161"/>
      <c r="D985" s="160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</row>
    <row r="986">
      <c r="A986" s="161"/>
      <c r="B986" s="161"/>
      <c r="C986" s="161"/>
      <c r="D986" s="160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</row>
    <row r="987">
      <c r="A987" s="161"/>
      <c r="B987" s="161"/>
      <c r="C987" s="161"/>
      <c r="D987" s="160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</row>
    <row r="988">
      <c r="A988" s="161"/>
      <c r="B988" s="161"/>
      <c r="C988" s="161"/>
      <c r="D988" s="160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</row>
    <row r="989">
      <c r="A989" s="161"/>
      <c r="B989" s="161"/>
      <c r="C989" s="161"/>
      <c r="D989" s="160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</row>
    <row r="990">
      <c r="A990" s="161"/>
      <c r="B990" s="161"/>
      <c r="C990" s="161"/>
      <c r="D990" s="160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</row>
    <row r="991">
      <c r="A991" s="161"/>
      <c r="B991" s="161"/>
      <c r="C991" s="161"/>
      <c r="D991" s="160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</row>
    <row r="992">
      <c r="A992" s="161"/>
      <c r="B992" s="161"/>
      <c r="C992" s="161"/>
      <c r="D992" s="160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</row>
    <row r="993">
      <c r="A993" s="161"/>
      <c r="B993" s="161"/>
      <c r="C993" s="161"/>
      <c r="D993" s="160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</row>
    <row r="994">
      <c r="A994" s="161"/>
      <c r="B994" s="161"/>
      <c r="C994" s="161"/>
      <c r="D994" s="160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</row>
    <row r="995">
      <c r="A995" s="161"/>
      <c r="B995" s="161"/>
      <c r="C995" s="161"/>
      <c r="D995" s="160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</row>
    <row r="996">
      <c r="A996" s="161"/>
      <c r="B996" s="161"/>
      <c r="C996" s="161"/>
      <c r="D996" s="160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</row>
    <row r="997">
      <c r="A997" s="161"/>
      <c r="B997" s="161"/>
      <c r="C997" s="161"/>
      <c r="D997" s="160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</row>
    <row r="998">
      <c r="A998" s="161"/>
      <c r="B998" s="161"/>
      <c r="C998" s="161"/>
      <c r="D998" s="160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</row>
    <row r="999">
      <c r="A999" s="161"/>
      <c r="B999" s="161"/>
      <c r="C999" s="161"/>
      <c r="D999" s="160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  <c r="X999" s="157"/>
      <c r="Y999" s="157"/>
    </row>
    <row r="1000">
      <c r="A1000" s="161"/>
      <c r="B1000" s="161"/>
      <c r="C1000" s="161"/>
      <c r="D1000" s="160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7"/>
      <c r="Q1000" s="157"/>
      <c r="R1000" s="157"/>
      <c r="S1000" s="157"/>
      <c r="T1000" s="157"/>
      <c r="U1000" s="157"/>
      <c r="V1000" s="157"/>
      <c r="W1000" s="157"/>
      <c r="X1000" s="157"/>
      <c r="Y1000" s="157"/>
    </row>
    <row r="1001">
      <c r="A1001" s="161"/>
      <c r="B1001" s="161"/>
      <c r="C1001" s="161"/>
      <c r="D1001" s="160"/>
      <c r="E1001" s="157"/>
      <c r="F1001" s="157"/>
      <c r="G1001" s="157"/>
      <c r="H1001" s="157"/>
      <c r="I1001" s="157"/>
      <c r="J1001" s="157"/>
      <c r="K1001" s="157"/>
      <c r="L1001" s="157"/>
      <c r="M1001" s="157"/>
      <c r="N1001" s="157"/>
      <c r="O1001" s="157"/>
      <c r="P1001" s="157"/>
      <c r="Q1001" s="157"/>
      <c r="R1001" s="157"/>
      <c r="S1001" s="157"/>
      <c r="T1001" s="157"/>
      <c r="U1001" s="157"/>
      <c r="V1001" s="157"/>
      <c r="W1001" s="157"/>
      <c r="X1001" s="157"/>
      <c r="Y1001" s="157"/>
    </row>
  </sheetData>
  <mergeCells count="2">
    <mergeCell ref="A1:C1"/>
    <mergeCell ref="D1:G1"/>
  </mergeCells>
  <drawing r:id="rId1"/>
</worksheet>
</file>