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E:\Visual_Studio\Diet_Analyze\"/>
    </mc:Choice>
  </mc:AlternateContent>
  <xr:revisionPtr revIDLastSave="0" documentId="13_ncr:1_{F221EAA1-EAB6-4623-A842-1F436A066997}" xr6:coauthVersionLast="47" xr6:coauthVersionMax="47" xr10:uidLastSave="{00000000-0000-0000-0000-000000000000}"/>
  <bookViews>
    <workbookView xWindow="-120" yWindow="-120" windowWidth="29040" windowHeight="15840" tabRatio="602" firstSheet="4" activeTab="4" xr2:uid="{00000000-000D-0000-FFFF-FFFF00000000}"/>
  </bookViews>
  <sheets>
    <sheet name="CLAC_PJ_CLT" sheetId="37" r:id="rId1"/>
    <sheet name="ANAMNESE" sheetId="27" r:id="rId2"/>
    <sheet name="AVALIAÇÃO ANTROPOMÉTRICA" sheetId="25" r:id="rId3"/>
    <sheet name="ANÁLISES LABORATORIAIS" sheetId="29" r:id="rId4"/>
    <sheet name="FICHA &amp; DIETA" sheetId="8" r:id="rId5"/>
    <sheet name="EXEMPLO DE CARDÁPIO" sheetId="30" r:id="rId6"/>
    <sheet name="EXEMPLO DE CARDÁPIO LIVRE" sheetId="32" r:id="rId7"/>
    <sheet name="LISTA DE SUBSTITUIÇÕES" sheetId="31" r:id="rId8"/>
    <sheet name="Base" sheetId="2" r:id="rId9"/>
    <sheet name="BaseX" sheetId="36" r:id="rId10"/>
    <sheet name="Sobremesas" sheetId="21" r:id="rId11"/>
  </sheets>
  <definedNames>
    <definedName name="_xlnm.Print_Area" localSheetId="4">'FICHA &amp; DIETA'!$B$2:$AH$36</definedName>
  </definedNames>
  <calcPr calcId="181029"/>
</workbook>
</file>

<file path=xl/calcChain.xml><?xml version="1.0" encoding="utf-8"?>
<calcChain xmlns="http://schemas.openxmlformats.org/spreadsheetml/2006/main">
  <c r="C6" i="37" l="1"/>
  <c r="C5" i="37"/>
  <c r="C4" i="37"/>
  <c r="M145" i="36"/>
  <c r="I145" i="36"/>
  <c r="H145" i="36"/>
  <c r="F145" i="36"/>
  <c r="E145" i="36"/>
  <c r="C145" i="36"/>
  <c r="E111" i="36"/>
  <c r="D111" i="36"/>
  <c r="C111" i="36"/>
  <c r="E110" i="36"/>
  <c r="D110" i="36"/>
  <c r="C110" i="36"/>
  <c r="C24" i="21"/>
  <c r="C18" i="21"/>
  <c r="D110" i="2"/>
  <c r="E110" i="2"/>
  <c r="F110" i="2"/>
  <c r="D111" i="2"/>
  <c r="E111" i="2"/>
  <c r="F111" i="2"/>
  <c r="D145" i="2"/>
  <c r="F145" i="2"/>
  <c r="G37" i="21" s="1"/>
  <c r="G145" i="2"/>
  <c r="I145" i="2"/>
  <c r="J37" i="21" s="1"/>
  <c r="J145" i="2"/>
  <c r="N145" i="2"/>
  <c r="O37" i="21" s="1"/>
  <c r="O3" i="8"/>
  <c r="U3" i="8"/>
  <c r="W3" i="8"/>
  <c r="X3" i="8"/>
  <c r="Y3" i="8"/>
  <c r="Z3" i="8"/>
  <c r="AA3" i="8"/>
  <c r="AB3" i="8"/>
  <c r="AC3" i="8"/>
  <c r="AD3" i="8"/>
  <c r="AE3" i="8"/>
  <c r="AF3" i="8"/>
  <c r="AG3" i="8"/>
  <c r="AH3" i="8"/>
  <c r="D4" i="8"/>
  <c r="E4" i="8"/>
  <c r="B4" i="8" s="1"/>
  <c r="U5" i="8"/>
  <c r="W5" i="8"/>
  <c r="X5" i="8"/>
  <c r="Y5" i="8"/>
  <c r="Z5" i="8"/>
  <c r="AA5" i="8"/>
  <c r="AB5" i="8"/>
  <c r="AC5" i="8"/>
  <c r="AD5" i="8"/>
  <c r="AE5" i="8"/>
  <c r="AF5" i="8"/>
  <c r="AG5" i="8"/>
  <c r="AH5" i="8"/>
  <c r="U6" i="8"/>
  <c r="W6" i="8"/>
  <c r="X6" i="8"/>
  <c r="Y6" i="8"/>
  <c r="Z6" i="8"/>
  <c r="AA6" i="8"/>
  <c r="AB6" i="8"/>
  <c r="AC6" i="8"/>
  <c r="AD6" i="8"/>
  <c r="AE6" i="8"/>
  <c r="AF6" i="8"/>
  <c r="AG6" i="8"/>
  <c r="AH6" i="8"/>
  <c r="U7" i="8"/>
  <c r="W7" i="8"/>
  <c r="X7" i="8"/>
  <c r="Y7" i="8"/>
  <c r="Z7" i="8"/>
  <c r="AA7" i="8"/>
  <c r="AB7" i="8"/>
  <c r="AC7" i="8"/>
  <c r="AD7" i="8"/>
  <c r="AE7" i="8"/>
  <c r="AF7" i="8"/>
  <c r="AG7" i="8"/>
  <c r="AH7" i="8"/>
  <c r="U8" i="8"/>
  <c r="W8" i="8"/>
  <c r="X8" i="8"/>
  <c r="Y8" i="8"/>
  <c r="Z8" i="8"/>
  <c r="AA8" i="8"/>
  <c r="AB8" i="8"/>
  <c r="AC8" i="8"/>
  <c r="AD8" i="8"/>
  <c r="AE8" i="8"/>
  <c r="AF8" i="8"/>
  <c r="AG8" i="8"/>
  <c r="AH8" i="8"/>
  <c r="F9" i="8"/>
  <c r="U9" i="8"/>
  <c r="W9" i="8"/>
  <c r="X9" i="8"/>
  <c r="Y9" i="8"/>
  <c r="Z9" i="8"/>
  <c r="AA9" i="8"/>
  <c r="AB9" i="8"/>
  <c r="AC9" i="8"/>
  <c r="AD9" i="8"/>
  <c r="AE9" i="8"/>
  <c r="AF9" i="8"/>
  <c r="AG9" i="8"/>
  <c r="AH9" i="8"/>
  <c r="U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U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U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U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U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U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U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U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U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U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W21" i="8"/>
  <c r="X21" i="8"/>
  <c r="Y21" i="8"/>
  <c r="Z21" i="8"/>
  <c r="AA21" i="8"/>
  <c r="AB21" i="8"/>
  <c r="AC21" i="8"/>
  <c r="AD21" i="8"/>
  <c r="AE21" i="8"/>
  <c r="AF21" i="8"/>
  <c r="AG21" i="8"/>
  <c r="AH21" i="8"/>
  <c r="W22" i="8"/>
  <c r="X22" i="8"/>
  <c r="Y22" i="8"/>
  <c r="Z22" i="8"/>
  <c r="AA22" i="8"/>
  <c r="AB22" i="8"/>
  <c r="AC22" i="8"/>
  <c r="AD22" i="8"/>
  <c r="AE22" i="8"/>
  <c r="AF22" i="8"/>
  <c r="AG22" i="8"/>
  <c r="AH22" i="8"/>
  <c r="W23" i="8"/>
  <c r="X23" i="8"/>
  <c r="Y23" i="8"/>
  <c r="Z23" i="8"/>
  <c r="AA23" i="8"/>
  <c r="AB23" i="8"/>
  <c r="AC23" i="8"/>
  <c r="AD23" i="8"/>
  <c r="AE23" i="8"/>
  <c r="AF23" i="8"/>
  <c r="AG23" i="8"/>
  <c r="AH23" i="8"/>
  <c r="W24" i="8"/>
  <c r="X24" i="8"/>
  <c r="Y24" i="8"/>
  <c r="Z24" i="8"/>
  <c r="AA24" i="8"/>
  <c r="AB24" i="8"/>
  <c r="AC24" i="8"/>
  <c r="AD24" i="8"/>
  <c r="AE24" i="8"/>
  <c r="AF24" i="8"/>
  <c r="AG24" i="8"/>
  <c r="AH24" i="8"/>
  <c r="W25" i="8"/>
  <c r="X25" i="8"/>
  <c r="Y25" i="8"/>
  <c r="Z25" i="8"/>
  <c r="AA25" i="8"/>
  <c r="AB25" i="8"/>
  <c r="AC25" i="8"/>
  <c r="AD25" i="8"/>
  <c r="AE25" i="8"/>
  <c r="AF25" i="8"/>
  <c r="AG25" i="8"/>
  <c r="AH25" i="8"/>
  <c r="U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U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U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U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U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U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U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U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U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U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C4" i="21"/>
  <c r="E4" i="21"/>
  <c r="F4" i="21"/>
  <c r="G4" i="21"/>
  <c r="H4" i="21"/>
  <c r="I4" i="21"/>
  <c r="J4" i="21"/>
  <c r="K4" i="21"/>
  <c r="L4" i="21"/>
  <c r="M4" i="21"/>
  <c r="N4" i="21"/>
  <c r="O4" i="21"/>
  <c r="P4" i="21"/>
  <c r="C5" i="21"/>
  <c r="E5" i="21"/>
  <c r="F5" i="21"/>
  <c r="G5" i="21"/>
  <c r="C6" i="21"/>
  <c r="E6" i="21"/>
  <c r="F6" i="21"/>
  <c r="G6" i="21"/>
  <c r="P6" i="21"/>
  <c r="C7" i="21"/>
  <c r="D7" i="21"/>
  <c r="F7" i="21" s="1"/>
  <c r="E7" i="21"/>
  <c r="G7" i="21"/>
  <c r="C8" i="21"/>
  <c r="E8" i="21"/>
  <c r="F8" i="21"/>
  <c r="G8" i="21"/>
  <c r="H8" i="21"/>
  <c r="I8" i="21"/>
  <c r="J8" i="21"/>
  <c r="K8" i="21"/>
  <c r="L8" i="21"/>
  <c r="M8" i="21"/>
  <c r="M11" i="21" s="1"/>
  <c r="N8" i="21"/>
  <c r="O8" i="21"/>
  <c r="O11" i="21" s="1"/>
  <c r="P8" i="21"/>
  <c r="C9" i="21"/>
  <c r="E9" i="21"/>
  <c r="F9" i="21"/>
  <c r="G9" i="21"/>
  <c r="H9" i="21"/>
  <c r="J9" i="21"/>
  <c r="O9" i="21"/>
  <c r="C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K11" i="21"/>
  <c r="C16" i="21"/>
  <c r="E16" i="21"/>
  <c r="F16" i="21"/>
  <c r="G16" i="21"/>
  <c r="H16" i="21"/>
  <c r="J16" i="21"/>
  <c r="K16" i="21"/>
  <c r="O16" i="21"/>
  <c r="C17" i="21"/>
  <c r="E17" i="21"/>
  <c r="F17" i="21"/>
  <c r="G17" i="21"/>
  <c r="H17" i="21"/>
  <c r="J17" i="21"/>
  <c r="K17" i="21"/>
  <c r="O17" i="21"/>
  <c r="E18" i="21"/>
  <c r="F18" i="21"/>
  <c r="G18" i="21"/>
  <c r="H18" i="21"/>
  <c r="J18" i="21"/>
  <c r="K18" i="21"/>
  <c r="O18" i="21"/>
  <c r="P18" i="21"/>
  <c r="C19" i="21"/>
  <c r="E19" i="21"/>
  <c r="F19" i="21"/>
  <c r="G19" i="21"/>
  <c r="H19" i="21"/>
  <c r="J19" i="21"/>
  <c r="K19" i="21"/>
  <c r="O19" i="21"/>
  <c r="C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C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C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C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C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C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C32" i="21"/>
  <c r="E32" i="21"/>
  <c r="F32" i="21"/>
  <c r="G32" i="21"/>
  <c r="H32" i="21"/>
  <c r="J32" i="21"/>
  <c r="K32" i="21"/>
  <c r="O32" i="21"/>
  <c r="C33" i="21"/>
  <c r="E33" i="21"/>
  <c r="F33" i="21"/>
  <c r="G33" i="21"/>
  <c r="H33" i="21"/>
  <c r="J33" i="21"/>
  <c r="K33" i="21"/>
  <c r="O33" i="21"/>
  <c r="C34" i="21"/>
  <c r="E34" i="21"/>
  <c r="F34" i="21"/>
  <c r="G34" i="21"/>
  <c r="H34" i="21"/>
  <c r="J34" i="21"/>
  <c r="K34" i="21"/>
  <c r="O34" i="21"/>
  <c r="C35" i="21"/>
  <c r="E35" i="21"/>
  <c r="F35" i="21"/>
  <c r="G35" i="21"/>
  <c r="H35" i="21"/>
  <c r="I35" i="21"/>
  <c r="J35" i="21"/>
  <c r="K35" i="21"/>
  <c r="L35" i="21"/>
  <c r="L39" i="21" s="1"/>
  <c r="M35" i="21"/>
  <c r="M39" i="21" s="1"/>
  <c r="N35" i="21"/>
  <c r="O35" i="21"/>
  <c r="P35" i="21"/>
  <c r="C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C37" i="21"/>
  <c r="E37" i="21"/>
  <c r="F37" i="21"/>
  <c r="H37" i="21"/>
  <c r="K37" i="21"/>
  <c r="C38" i="21"/>
  <c r="E38" i="21"/>
  <c r="F38" i="21"/>
  <c r="G38" i="21"/>
  <c r="I39" i="21"/>
  <c r="C43" i="21"/>
  <c r="E43" i="21"/>
  <c r="F43" i="21"/>
  <c r="G43" i="21"/>
  <c r="H43" i="21"/>
  <c r="J43" i="21"/>
  <c r="K43" i="21"/>
  <c r="O43" i="21"/>
  <c r="C44" i="21"/>
  <c r="E44" i="21"/>
  <c r="F44" i="21"/>
  <c r="G44" i="21"/>
  <c r="H44" i="21"/>
  <c r="J44" i="21"/>
  <c r="K44" i="21"/>
  <c r="O44" i="21"/>
  <c r="C45" i="21"/>
  <c r="E45" i="21"/>
  <c r="F45" i="21"/>
  <c r="G45" i="21"/>
  <c r="H45" i="21"/>
  <c r="J45" i="21"/>
  <c r="K45" i="21"/>
  <c r="O45" i="21"/>
  <c r="C46" i="21"/>
  <c r="E46" i="21"/>
  <c r="F46" i="21"/>
  <c r="G46" i="21"/>
  <c r="H46" i="21"/>
  <c r="I46" i="21"/>
  <c r="I49" i="21" s="1"/>
  <c r="J46" i="21"/>
  <c r="K46" i="21"/>
  <c r="L46" i="21"/>
  <c r="M46" i="21"/>
  <c r="M49" i="21" s="1"/>
  <c r="N46" i="21"/>
  <c r="O46" i="21"/>
  <c r="P46" i="21"/>
  <c r="P49" i="21" s="1"/>
  <c r="C47" i="21"/>
  <c r="E47" i="21"/>
  <c r="F47" i="21"/>
  <c r="G47" i="21"/>
  <c r="C48" i="21"/>
  <c r="E48" i="21"/>
  <c r="F48" i="21"/>
  <c r="F49" i="21" s="1"/>
  <c r="G48" i="21"/>
  <c r="H48" i="21"/>
  <c r="J48" i="21"/>
  <c r="K48" i="21"/>
  <c r="O48" i="21"/>
  <c r="L49" i="21"/>
  <c r="N49" i="21"/>
  <c r="C9" i="37" l="1"/>
  <c r="F2" i="37" s="1"/>
  <c r="I11" i="21"/>
  <c r="P39" i="21"/>
  <c r="H49" i="21"/>
  <c r="I27" i="21"/>
  <c r="K39" i="21"/>
  <c r="O27" i="21"/>
  <c r="G27" i="21"/>
  <c r="G39" i="21"/>
  <c r="E39" i="21"/>
  <c r="E11" i="21"/>
  <c r="G11" i="21"/>
  <c r="L11" i="21"/>
  <c r="M27" i="21"/>
  <c r="E27" i="21"/>
  <c r="J11" i="21"/>
  <c r="AC36" i="8"/>
  <c r="M15" i="8" s="1"/>
  <c r="N15" i="8" s="1"/>
  <c r="O39" i="21"/>
  <c r="J49" i="21"/>
  <c r="N39" i="21"/>
  <c r="P11" i="21"/>
  <c r="H11" i="21"/>
  <c r="L27" i="21"/>
  <c r="J27" i="21"/>
  <c r="K27" i="21"/>
  <c r="H39" i="21"/>
  <c r="F39" i="21"/>
  <c r="AG36" i="8"/>
  <c r="M16" i="8" s="1"/>
  <c r="N16" i="8" s="1"/>
  <c r="Y36" i="8"/>
  <c r="O28" i="8" s="1"/>
  <c r="Q28" i="8" s="1"/>
  <c r="H27" i="21"/>
  <c r="G49" i="21"/>
  <c r="F27" i="21"/>
  <c r="O49" i="21"/>
  <c r="N27" i="21"/>
  <c r="P27" i="21"/>
  <c r="N11" i="21"/>
  <c r="F11" i="21"/>
  <c r="E49" i="21"/>
  <c r="K49" i="21"/>
  <c r="AE36" i="8"/>
  <c r="M19" i="8" s="1"/>
  <c r="N19" i="8" s="1"/>
  <c r="AA36" i="8"/>
  <c r="M22" i="8" s="1"/>
  <c r="N22" i="8" s="1"/>
  <c r="W36" i="8"/>
  <c r="O26" i="8" s="1"/>
  <c r="M26" i="8" s="1"/>
  <c r="AH36" i="8"/>
  <c r="M23" i="8" s="1"/>
  <c r="N23" i="8" s="1"/>
  <c r="AF36" i="8"/>
  <c r="M18" i="8" s="1"/>
  <c r="N18" i="8" s="1"/>
  <c r="AD36" i="8"/>
  <c r="M17" i="8" s="1"/>
  <c r="N17" i="8" s="1"/>
  <c r="AB36" i="8"/>
  <c r="M21" i="8" s="1"/>
  <c r="Z36" i="8"/>
  <c r="M20" i="8" s="1"/>
  <c r="X36" i="8"/>
  <c r="O27" i="8" s="1"/>
  <c r="M27" i="8" s="1"/>
  <c r="J39" i="21"/>
  <c r="C4" i="8"/>
  <c r="C11" i="8" s="1"/>
  <c r="Q26" i="8" l="1"/>
  <c r="M28" i="8"/>
  <c r="M25" i="8" s="1"/>
  <c r="L27" i="8" s="1"/>
  <c r="Q27" i="8"/>
  <c r="F11" i="8"/>
  <c r="F6" i="37" l="1"/>
  <c r="L28" i="8"/>
  <c r="L26" i="8"/>
  <c r="M6" i="8"/>
  <c r="M7" i="8"/>
  <c r="M8" i="8"/>
  <c r="M12" i="8" l="1"/>
  <c r="O8" i="8"/>
  <c r="Q8" i="8" s="1"/>
  <c r="O12" i="8"/>
  <c r="M10" i="8"/>
  <c r="O6" i="8"/>
  <c r="Q6" i="8" s="1"/>
  <c r="O10" i="8"/>
  <c r="O11" i="8"/>
  <c r="O7" i="8"/>
  <c r="Q7" i="8" s="1"/>
  <c r="M11" i="8"/>
</calcChain>
</file>

<file path=xl/sharedStrings.xml><?xml version="1.0" encoding="utf-8"?>
<sst xmlns="http://schemas.openxmlformats.org/spreadsheetml/2006/main" count="938" uniqueCount="583">
  <si>
    <t>COD</t>
  </si>
  <si>
    <t>Alimento</t>
  </si>
  <si>
    <t>quant.</t>
  </si>
  <si>
    <t>Fibra</t>
  </si>
  <si>
    <t>Leite Desnatado</t>
  </si>
  <si>
    <t>Leite Integral</t>
  </si>
  <si>
    <t>Manteiga</t>
  </si>
  <si>
    <t>LIP</t>
  </si>
  <si>
    <t>TIA</t>
  </si>
  <si>
    <t>RIBO</t>
  </si>
  <si>
    <t>NIA</t>
  </si>
  <si>
    <t>Ca</t>
  </si>
  <si>
    <t>P</t>
  </si>
  <si>
    <t>Fe</t>
  </si>
  <si>
    <t>Total:</t>
  </si>
  <si>
    <t>VIT-A</t>
  </si>
  <si>
    <t>PTN</t>
  </si>
  <si>
    <t>GLI</t>
  </si>
  <si>
    <t>VIT-C</t>
  </si>
  <si>
    <t>Quant</t>
  </si>
  <si>
    <t>Ficha para Análise de Dietas</t>
  </si>
  <si>
    <t>VET previsto:</t>
  </si>
  <si>
    <t>Kcal</t>
  </si>
  <si>
    <t>Dados Pessoais e Anamnese Alimentar</t>
  </si>
  <si>
    <t>Protéinas:</t>
  </si>
  <si>
    <t>g</t>
  </si>
  <si>
    <t>g/Kg</t>
  </si>
  <si>
    <t>Glicídios:</t>
  </si>
  <si>
    <t>Nome:</t>
  </si>
  <si>
    <t>Sexo:</t>
  </si>
  <si>
    <t>Idade:</t>
  </si>
  <si>
    <t>Lipídios:</t>
  </si>
  <si>
    <t>Altura (m):</t>
  </si>
  <si>
    <t>IMC:</t>
  </si>
  <si>
    <t>Atividade:</t>
  </si>
  <si>
    <t>Nutrientes</t>
  </si>
  <si>
    <t>Rec.</t>
  </si>
  <si>
    <t>Obtido</t>
  </si>
  <si>
    <t>IA</t>
  </si>
  <si>
    <t>Anamnese:</t>
  </si>
  <si>
    <t>Vet real:</t>
  </si>
  <si>
    <t>Características da Dieta:</t>
  </si>
  <si>
    <t>Consistência:</t>
  </si>
  <si>
    <t>Fracionamento:</t>
  </si>
  <si>
    <t>Temperatura:</t>
  </si>
  <si>
    <t>Volume:</t>
  </si>
  <si>
    <t>Hortaliça A</t>
  </si>
  <si>
    <t>Hortaliça B</t>
  </si>
  <si>
    <t>Hortaliça C</t>
  </si>
  <si>
    <t>Carnes</t>
  </si>
  <si>
    <t>Arroz</t>
  </si>
  <si>
    <t>Feijão</t>
  </si>
  <si>
    <t>Queijos</t>
  </si>
  <si>
    <t>Óleo e Azeite</t>
  </si>
  <si>
    <t>Fruta A</t>
  </si>
  <si>
    <t>Fruta B</t>
  </si>
  <si>
    <t>Presunto</t>
  </si>
  <si>
    <t>Nescau</t>
  </si>
  <si>
    <t>Barra de cereal</t>
  </si>
  <si>
    <t>Geléia de fruta</t>
  </si>
  <si>
    <t>Açúcar</t>
  </si>
  <si>
    <t>Biscoitos</t>
  </si>
  <si>
    <t>Leite semidesnatado</t>
  </si>
  <si>
    <t>Iogurte</t>
  </si>
  <si>
    <t>Ricota</t>
  </si>
  <si>
    <t>Leguminosas coz</t>
  </si>
  <si>
    <t>Ovo de galinha</t>
  </si>
  <si>
    <t>Doce em calda</t>
  </si>
  <si>
    <t>Suco ind.</t>
  </si>
  <si>
    <t>Gelatina</t>
  </si>
  <si>
    <t>Maionese</t>
  </si>
  <si>
    <t>Margarina</t>
  </si>
  <si>
    <t>Chocolate barra</t>
  </si>
  <si>
    <t>Macarrão coz.</t>
  </si>
  <si>
    <t>Leve</t>
  </si>
  <si>
    <t>Abacate</t>
  </si>
  <si>
    <t>Abacaxi</t>
  </si>
  <si>
    <t>Abacaxi em calda</t>
  </si>
  <si>
    <t>Açaí</t>
  </si>
  <si>
    <t>Aipim cozido</t>
  </si>
  <si>
    <t>Aipim Frito</t>
  </si>
  <si>
    <t>Ameixa em calda</t>
  </si>
  <si>
    <t>Amêndoa</t>
  </si>
  <si>
    <t>Amendoim caramelizado</t>
  </si>
  <si>
    <t>Angu de milho</t>
  </si>
  <si>
    <t>Aspargo em conserva</t>
  </si>
  <si>
    <t>Azeitona preta nacional</t>
  </si>
  <si>
    <t>Azeitona verde em conserva</t>
  </si>
  <si>
    <t>Bacon c/pouca gordura</t>
  </si>
  <si>
    <t>Baconc/muita gordura defumado</t>
  </si>
  <si>
    <t>Bananada</t>
  </si>
  <si>
    <t>Batata inglesa cozida</t>
  </si>
  <si>
    <t>Batata inglesa frita</t>
  </si>
  <si>
    <t>Batata-doce frita</t>
  </si>
  <si>
    <t>Biscoitos de polvilho</t>
  </si>
  <si>
    <t>Biscoitos doce</t>
  </si>
  <si>
    <t>Cereja em calda</t>
  </si>
  <si>
    <t>Cerveja</t>
  </si>
  <si>
    <t>Coca-cola</t>
  </si>
  <si>
    <t>Cocada</t>
  </si>
  <si>
    <t>Creme de amendoim</t>
  </si>
  <si>
    <t>Creme de milho</t>
  </si>
  <si>
    <t>Doce Batata-doce</t>
  </si>
  <si>
    <t>Doce de Laranja</t>
  </si>
  <si>
    <t>Doce de Leite</t>
  </si>
  <si>
    <t>Geléia de Damasco</t>
  </si>
  <si>
    <t>Geléia de Laranja</t>
  </si>
  <si>
    <t>Geléia de maçã</t>
  </si>
  <si>
    <t>Geléia de Morango</t>
  </si>
  <si>
    <t>Geléia de Pêra</t>
  </si>
  <si>
    <t>Geléia de Uva</t>
  </si>
  <si>
    <t>Goiabada</t>
  </si>
  <si>
    <t>Ketchup</t>
  </si>
  <si>
    <t>Licores</t>
  </si>
  <si>
    <t>Marmelada</t>
  </si>
  <si>
    <t>Marshmellow</t>
  </si>
  <si>
    <t xml:space="preserve">Mel </t>
  </si>
  <si>
    <t>Mingaus</t>
  </si>
  <si>
    <t>Mortadela</t>
  </si>
  <si>
    <t>Mucilon</t>
  </si>
  <si>
    <t>Nhoque</t>
  </si>
  <si>
    <t>Nozes</t>
  </si>
  <si>
    <t>Omelete</t>
  </si>
  <si>
    <t>Ovomaltine</t>
  </si>
  <si>
    <t>Palmito em conserva</t>
  </si>
  <si>
    <t>Pamonha</t>
  </si>
  <si>
    <t>Panqueca</t>
  </si>
  <si>
    <t>Pé-de-moleque</t>
  </si>
  <si>
    <t>Pêssego em calda</t>
  </si>
  <si>
    <t>Pipoca</t>
  </si>
  <si>
    <t>Pizza</t>
  </si>
  <si>
    <t>Presunto cozido</t>
  </si>
  <si>
    <t>Purê de batata</t>
  </si>
  <si>
    <t>Queijadinha de coco</t>
  </si>
  <si>
    <t>Rabanada</t>
  </si>
  <si>
    <t>Requeijão</t>
  </si>
  <si>
    <t>Risoto</t>
  </si>
  <si>
    <t>Rosquinhas</t>
  </si>
  <si>
    <t>Salame</t>
  </si>
  <si>
    <t>Suspiro</t>
  </si>
  <si>
    <t>Sustagem</t>
  </si>
  <si>
    <t>Torradas</t>
  </si>
  <si>
    <t>Trufas</t>
  </si>
  <si>
    <t>Vinho</t>
  </si>
  <si>
    <t>Vitamina de frutas c/leite</t>
  </si>
  <si>
    <t>Vitamina de frutas s/leite</t>
  </si>
  <si>
    <t>Waffles</t>
  </si>
  <si>
    <t>Acarajé</t>
  </si>
  <si>
    <t>Açúcar granulado</t>
  </si>
  <si>
    <t>Açúcar mascavo</t>
  </si>
  <si>
    <t>Açúcar refinado</t>
  </si>
  <si>
    <t>Algas marinhas</t>
  </si>
  <si>
    <t>Batidas</t>
  </si>
  <si>
    <t>Bolo de milho</t>
  </si>
  <si>
    <t>Castanha-de-caju (sem sal)</t>
  </si>
  <si>
    <t>Castanha-do-pará</t>
  </si>
  <si>
    <t>Feijoada caseira</t>
  </si>
  <si>
    <t>Gemada</t>
  </si>
  <si>
    <t>Linguiça</t>
  </si>
  <si>
    <t>Patê</t>
  </si>
  <si>
    <t>Salada de frutas</t>
  </si>
  <si>
    <t>Sopas</t>
  </si>
  <si>
    <t>Sorvete cremoso</t>
  </si>
  <si>
    <t>Sorvete de frutas</t>
  </si>
  <si>
    <t>Vatapá</t>
  </si>
  <si>
    <t>Café solúvel</t>
  </si>
  <si>
    <t>Biscoitos salgados</t>
  </si>
  <si>
    <t>Bolo com recheio</t>
  </si>
  <si>
    <t>Doce cremoso</t>
  </si>
  <si>
    <t>Mousse</t>
  </si>
  <si>
    <t>Bolo Simples</t>
  </si>
  <si>
    <t>Bolo c/ recheio e glacê</t>
  </si>
  <si>
    <t>Bolo de aipim c/ coco</t>
  </si>
  <si>
    <t>Bolo de banana</t>
  </si>
  <si>
    <t>Bolo de Cenoura</t>
  </si>
  <si>
    <t>Bolo de choc rech calda de choc</t>
  </si>
  <si>
    <t>Bolo de chocolate simples</t>
  </si>
  <si>
    <t>Brigadeiro</t>
  </si>
  <si>
    <t>Pudim de Leite</t>
  </si>
  <si>
    <t>Picolé de frutas</t>
  </si>
  <si>
    <t xml:space="preserve">Picolé </t>
  </si>
  <si>
    <t>Paçoca</t>
  </si>
  <si>
    <t>Torta de limão</t>
  </si>
  <si>
    <t>Sorvete tipo Sundae</t>
  </si>
  <si>
    <t>Amendoim, torrado com sal</t>
  </si>
  <si>
    <t xml:space="preserve">Pão </t>
  </si>
  <si>
    <t>Cuscuz de Tapioca</t>
  </si>
  <si>
    <t>Sobremesas Grupo - VI-A</t>
  </si>
  <si>
    <t>Total</t>
  </si>
  <si>
    <t>Sobremesas Grupo - VI-B</t>
  </si>
  <si>
    <t>Sobremesas Grupo - VI-C</t>
  </si>
  <si>
    <t>Sobremesas Grupo - VI-D</t>
  </si>
  <si>
    <t>Sobremesas VI-A</t>
  </si>
  <si>
    <t>Sobremesas VI-B</t>
  </si>
  <si>
    <t>Sobremesas VI-C</t>
  </si>
  <si>
    <t>Sobremesas VI-D</t>
  </si>
  <si>
    <t>P.atual(Kg):</t>
  </si>
  <si>
    <t>P.teórico(Kg):</t>
  </si>
  <si>
    <t>TMB: (Kcal)</t>
  </si>
  <si>
    <t>TMB/h: (Kcal/h)</t>
  </si>
  <si>
    <t>Vit-A (mcg/dia)</t>
  </si>
  <si>
    <t>Vit-C (mg/dia)</t>
  </si>
  <si>
    <t>Tiamina (mg/dia)</t>
  </si>
  <si>
    <t>Niacina (mg/dia)</t>
  </si>
  <si>
    <t>Riboflavina (mg/dia)</t>
  </si>
  <si>
    <t>Cálcio (mg/dia)</t>
  </si>
  <si>
    <t>Ferro (mg/dia)</t>
  </si>
  <si>
    <t>Fósforo (mg/dia)</t>
  </si>
  <si>
    <t>Fibra (8,0g/1000Kcal)</t>
  </si>
  <si>
    <t>Queijo de minas fresco</t>
  </si>
  <si>
    <t>Farinha de mesa</t>
  </si>
  <si>
    <t>Ades Original</t>
  </si>
  <si>
    <t>Biscoito Cream-Cracker</t>
  </si>
  <si>
    <t xml:space="preserve"> </t>
  </si>
  <si>
    <t>Normal</t>
  </si>
  <si>
    <t>Das preparações</t>
  </si>
  <si>
    <t>6 refeições</t>
  </si>
  <si>
    <t>ANAMNESE</t>
  </si>
  <si>
    <t>NOME:</t>
  </si>
  <si>
    <t>ESTADO CIVIL:</t>
  </si>
  <si>
    <t>EMAIL:</t>
  </si>
  <si>
    <t>PROFISSÃO/LOCAL DE TRABALHO/RENDA:</t>
  </si>
  <si>
    <t>ENDEREÇO/COM QUEM RESIDE:</t>
  </si>
  <si>
    <t>LAZER/HÁBITOS:</t>
  </si>
  <si>
    <t>ALERGIAS ALIMENTARES:</t>
  </si>
  <si>
    <t>HÁBITOS URINÁRIOS:</t>
  </si>
  <si>
    <t>HÁBITOS INTESTINAIS:</t>
  </si>
  <si>
    <t>PESO ATUAL:</t>
  </si>
  <si>
    <t>ALTURA:</t>
  </si>
  <si>
    <t>CIRC. BRAÇO:</t>
  </si>
  <si>
    <t>CIRC. CINTURA:</t>
  </si>
  <si>
    <t>CIRC. ABDOMEM:</t>
  </si>
  <si>
    <t>CIRC. QUADRIL:</t>
  </si>
  <si>
    <t>PCT:</t>
  </si>
  <si>
    <t>CMB:</t>
  </si>
  <si>
    <t>EDEMA:</t>
  </si>
  <si>
    <t>ANÁLISES LABORATORIAIS</t>
  </si>
  <si>
    <t>EXAME</t>
  </si>
  <si>
    <t>KEILA</t>
  </si>
  <si>
    <t>MOTIVO DA CONSULTA:</t>
  </si>
  <si>
    <t>CIRURGIAS/PATOLOGIAS/SINTOMAS:</t>
  </si>
  <si>
    <t>APETITE/HORÁRIO QUE SENTE MAIS FOME:</t>
  </si>
  <si>
    <t>SONO:</t>
  </si>
  <si>
    <t>INGESTÃO DE DOCES:</t>
  </si>
  <si>
    <t>INGESTÃO DE SALGADINHOS E FRITURAS:</t>
  </si>
  <si>
    <t>ALIMENTOS INDISPENSÁVEIS:</t>
  </si>
  <si>
    <t>INFECÇÕES FREQUENTES:</t>
  </si>
  <si>
    <t>PELE/UNHA/CABELOS:</t>
  </si>
  <si>
    <t>ENXAQUECA/DOR DE CABEÇA:</t>
  </si>
  <si>
    <t>ESTRESSE/DEPRESSÃO:</t>
  </si>
  <si>
    <t>DOR ABDOMINAL:</t>
  </si>
  <si>
    <t>DIGESTÃO:</t>
  </si>
  <si>
    <t>EXEMPLO DE CARDÁPIO</t>
  </si>
  <si>
    <t>(Utilizar a lista de subtituições para variar o cardápio)</t>
  </si>
  <si>
    <t>Desjejum</t>
  </si>
  <si>
    <t>1 fruta</t>
  </si>
  <si>
    <t>1 copo de leite com cacau</t>
  </si>
  <si>
    <t>café</t>
  </si>
  <si>
    <t>2 fatias de pão integral</t>
  </si>
  <si>
    <t>1 fatia de queijo minas</t>
  </si>
  <si>
    <t>1 copo de café com leite (1/2 leite)</t>
  </si>
  <si>
    <t>vitamina:</t>
  </si>
  <si>
    <t xml:space="preserve">1 copo de leite  </t>
  </si>
  <si>
    <t>+ 2 colheres de aveia</t>
  </si>
  <si>
    <t>+ 1 porção de fruta</t>
  </si>
  <si>
    <t>Colação</t>
  </si>
  <si>
    <t>1 porção de fruta</t>
  </si>
  <si>
    <t>1 barra de cereal</t>
  </si>
  <si>
    <t>4 unidades de biscoito</t>
  </si>
  <si>
    <t>Almoço</t>
  </si>
  <si>
    <t>Hortaliças folhosas a vontade</t>
  </si>
  <si>
    <t>Grupo</t>
  </si>
  <si>
    <t>Opção 1</t>
  </si>
  <si>
    <t>Opção 2</t>
  </si>
  <si>
    <t>Opção 3</t>
  </si>
  <si>
    <t>1 porção de legumes cozidos</t>
  </si>
  <si>
    <t>1 porção de carne (palma da mão)</t>
  </si>
  <si>
    <t>1 Fruta (sobremesa)</t>
  </si>
  <si>
    <t>1 porção de purê misto de cenoura e batata</t>
  </si>
  <si>
    <t>1/2 porção de arroz</t>
  </si>
  <si>
    <t>1 porção de feijão</t>
  </si>
  <si>
    <t>1 porção de salada de feijão</t>
  </si>
  <si>
    <t>2 ovos</t>
  </si>
  <si>
    <t>1 copo de suco</t>
  </si>
  <si>
    <t>1 copo de suco (200mL)</t>
  </si>
  <si>
    <t>1 pedaço de torta de legumes</t>
  </si>
  <si>
    <t>1/2 porção de feijão</t>
  </si>
  <si>
    <t>1 picolé de fruta</t>
  </si>
  <si>
    <t xml:space="preserve">1 - leite e derivados </t>
  </si>
  <si>
    <t>3 - frutas</t>
  </si>
  <si>
    <t>4 - hortaliças A</t>
  </si>
  <si>
    <t>5 - hortaliças B</t>
  </si>
  <si>
    <t>6 - carboidratos</t>
  </si>
  <si>
    <t>1 porção de macarrão</t>
  </si>
  <si>
    <t>7 - leguminosas</t>
  </si>
  <si>
    <t>8 - proteínas</t>
  </si>
  <si>
    <t>6 unidades de biscoito</t>
  </si>
  <si>
    <t>Lanche</t>
  </si>
  <si>
    <t>1 fatia de bolo simples</t>
  </si>
  <si>
    <t>2 - cereais</t>
  </si>
  <si>
    <t>2 torradas com geleia</t>
  </si>
  <si>
    <t>1 fruta assada</t>
  </si>
  <si>
    <t>1 pão frances</t>
  </si>
  <si>
    <t>2 bolinhos de arroz assados</t>
  </si>
  <si>
    <t>Jantar</t>
  </si>
  <si>
    <t>salada de agrião + cenoura + manga</t>
  </si>
  <si>
    <t>1 pedaço de torta de frango</t>
  </si>
  <si>
    <t>sopa de legumes com folhosos e carne</t>
  </si>
  <si>
    <t>2 Espetos de legumes e carne</t>
  </si>
  <si>
    <t xml:space="preserve">1 porção de arroz </t>
  </si>
  <si>
    <t>Ceia</t>
  </si>
  <si>
    <t>1 copo de iogurte</t>
  </si>
  <si>
    <t>1copo de leite com cacau</t>
  </si>
  <si>
    <t>1 copo de mingau de aveia</t>
  </si>
  <si>
    <t>EQUIVALENTES DE PORÇÕES</t>
  </si>
  <si>
    <t xml:space="preserve">PORÇÃO </t>
  </si>
  <si>
    <t>ALIMENTOS</t>
  </si>
  <si>
    <t>2 unidades</t>
  </si>
  <si>
    <t>1 fatia</t>
  </si>
  <si>
    <t>3 colheres de sopa</t>
  </si>
  <si>
    <t>1 unidade</t>
  </si>
  <si>
    <t xml:space="preserve">Agrião </t>
  </si>
  <si>
    <t>Alface</t>
  </si>
  <si>
    <t>Brocolis</t>
  </si>
  <si>
    <t xml:space="preserve">Cenoura crua </t>
  </si>
  <si>
    <t>Tomate</t>
  </si>
  <si>
    <t>Suco de laranja puro</t>
  </si>
  <si>
    <t>1/2 unidade</t>
  </si>
  <si>
    <t>9 unidades</t>
  </si>
  <si>
    <t>2 colheres de sopa</t>
  </si>
  <si>
    <t>Consumir à vontade</t>
  </si>
  <si>
    <t>Bertalha</t>
  </si>
  <si>
    <t>Almeirão</t>
  </si>
  <si>
    <t>Couve</t>
  </si>
  <si>
    <t>Espinafre</t>
  </si>
  <si>
    <t>Abobrinha</t>
  </si>
  <si>
    <t>Acelga</t>
  </si>
  <si>
    <t>Aipo</t>
  </si>
  <si>
    <t>Chicória</t>
  </si>
  <si>
    <t>Maxixe</t>
  </si>
  <si>
    <t>Nabo</t>
  </si>
  <si>
    <t>Pimentão</t>
  </si>
  <si>
    <t>Rabanete</t>
  </si>
  <si>
    <t>Pepino</t>
  </si>
  <si>
    <t>Repolho</t>
  </si>
  <si>
    <t>Taioba</t>
  </si>
  <si>
    <t>Abóbora</t>
  </si>
  <si>
    <t>Beringela</t>
  </si>
  <si>
    <t>Cenoura</t>
  </si>
  <si>
    <t>Aspargo</t>
  </si>
  <si>
    <t>Beterraba</t>
  </si>
  <si>
    <t>Cebola</t>
  </si>
  <si>
    <t>Chuchu</t>
  </si>
  <si>
    <t>Cogumelo</t>
  </si>
  <si>
    <t>Couve-flor</t>
  </si>
  <si>
    <t>Ervilha</t>
  </si>
  <si>
    <t>Palmito</t>
  </si>
  <si>
    <t>Quiabo</t>
  </si>
  <si>
    <t xml:space="preserve">Vagem </t>
  </si>
  <si>
    <t>1/2 copo</t>
  </si>
  <si>
    <t>1 unidade pequena</t>
  </si>
  <si>
    <t xml:space="preserve">Frutas </t>
  </si>
  <si>
    <t>PT:</t>
  </si>
  <si>
    <t>PU:</t>
  </si>
  <si>
    <t xml:space="preserve">Couve-flor </t>
  </si>
  <si>
    <t>Cogumelos</t>
  </si>
  <si>
    <t>Jiló</t>
  </si>
  <si>
    <t>Alcachofra</t>
  </si>
  <si>
    <t>Alho poró</t>
  </si>
  <si>
    <t>Petit pois</t>
  </si>
  <si>
    <t>1 colher de sopa</t>
  </si>
  <si>
    <t>Arroz branco cozido (25g)</t>
  </si>
  <si>
    <t>Macarrão (40g)</t>
  </si>
  <si>
    <t>Milho verde em conversa (40g)</t>
  </si>
  <si>
    <t>Mandioca cozida (30g)</t>
  </si>
  <si>
    <t>1 pedaço pequeno</t>
  </si>
  <si>
    <t>Batata doce (30g)</t>
  </si>
  <si>
    <t>Batata inglesa (40g)</t>
  </si>
  <si>
    <t>Cará (40g)</t>
  </si>
  <si>
    <t>Inhame (50g)</t>
  </si>
  <si>
    <t>Quinoa em grãos</t>
  </si>
  <si>
    <t>Cuscus (amarelo)</t>
  </si>
  <si>
    <t>Leguminosas</t>
  </si>
  <si>
    <t>Feijão simples cozido (40g)</t>
  </si>
  <si>
    <t>Ervilha seca cozida (50g)</t>
  </si>
  <si>
    <t>Lentilha cozida (40g)</t>
  </si>
  <si>
    <t>Petit pois (40g)</t>
  </si>
  <si>
    <t>Grão de bico cozido (60g)</t>
  </si>
  <si>
    <t>Hortaliças B</t>
  </si>
  <si>
    <t>Hortaliças A (comer à vontade)</t>
  </si>
  <si>
    <t>Hortaliças C,  arroz e massas</t>
  </si>
  <si>
    <t>CONSULTA DE NUTRIÇÃO - KEILA ELLER - CRN4: 08100596</t>
  </si>
  <si>
    <t>DATA DE NASC.:</t>
  </si>
  <si>
    <t>GÊNERO:</t>
  </si>
  <si>
    <t>AVALIAÇÃO  ANTROPOMÉTRICA</t>
  </si>
  <si>
    <t>ESTATURA/IDADE:</t>
  </si>
  <si>
    <t>PESO/IDADE:</t>
  </si>
  <si>
    <t>PESO/ESTATURA:</t>
  </si>
  <si>
    <t>IMC/IDADE:</t>
  </si>
  <si>
    <t>CRIANÇAS</t>
  </si>
  <si>
    <t>0 - 5   ANOS</t>
  </si>
  <si>
    <t>5 - 10 ANOS   ANOS</t>
  </si>
  <si>
    <t>ADOLESCENTES</t>
  </si>
  <si>
    <t>10 - 19 ANOS   ANOS</t>
  </si>
  <si>
    <t>ADULTOS</t>
  </si>
  <si>
    <t>DATA</t>
  </si>
  <si>
    <t>RESULTADO 1</t>
  </si>
  <si>
    <t>RESULTADO 2</t>
  </si>
  <si>
    <t>RESULTADO 3</t>
  </si>
  <si>
    <t>Abacate (150g)</t>
  </si>
  <si>
    <t>1/2 abacate pequeno</t>
  </si>
  <si>
    <t>Abacaxi (75g)</t>
  </si>
  <si>
    <t>1 fatia média</t>
  </si>
  <si>
    <t xml:space="preserve">Ameixa vermelha (75g) </t>
  </si>
  <si>
    <t xml:space="preserve">4 ameixas médias </t>
  </si>
  <si>
    <t>Banana prata/nanica/maça (45g)</t>
  </si>
  <si>
    <t>Banana d'água (45g)</t>
  </si>
  <si>
    <t xml:space="preserve">Amora </t>
  </si>
  <si>
    <t>Cajá (85g)</t>
  </si>
  <si>
    <t>2 pequenos</t>
  </si>
  <si>
    <t>Caju (125g)</t>
  </si>
  <si>
    <t>Caqui (70g)</t>
  </si>
  <si>
    <t>Carambola (135g)</t>
  </si>
  <si>
    <t>3 unidades médias</t>
  </si>
  <si>
    <t>Figo (65g)</t>
  </si>
  <si>
    <t>1 grande</t>
  </si>
  <si>
    <t>Fruta-do-conde (70g)</t>
  </si>
  <si>
    <t>Goiaba (125g)</t>
  </si>
  <si>
    <t>Jabuticaba (90g)</t>
  </si>
  <si>
    <t>15 unidades</t>
  </si>
  <si>
    <t>Jaca (100g)</t>
  </si>
  <si>
    <t>4 bagos grandes</t>
  </si>
  <si>
    <t>Jambo (80g)</t>
  </si>
  <si>
    <t>Kiwi (70g)</t>
  </si>
  <si>
    <t>Laranja (100g)</t>
  </si>
  <si>
    <t>Lima da pérsia (145g)</t>
  </si>
  <si>
    <t>Maçã (140g)</t>
  </si>
  <si>
    <t>Mamão (70g)</t>
  </si>
  <si>
    <t>1 fatia pequena</t>
  </si>
  <si>
    <t>Manga (60g)</t>
  </si>
  <si>
    <t>1 pequena</t>
  </si>
  <si>
    <t>Maracujá (50g)</t>
  </si>
  <si>
    <t>2 médios</t>
  </si>
  <si>
    <t>Melancia (145g)</t>
  </si>
  <si>
    <t>Melão (160g)</t>
  </si>
  <si>
    <t>Morango (135g)</t>
  </si>
  <si>
    <t>Pêra (140g)</t>
  </si>
  <si>
    <t>1 unidade média</t>
  </si>
  <si>
    <t>Pêssego (85g)</t>
  </si>
  <si>
    <t>Tangerina (90g)</t>
  </si>
  <si>
    <t xml:space="preserve">1/2 copo </t>
  </si>
  <si>
    <t>Uva (60g)</t>
  </si>
  <si>
    <t>8 bagos</t>
  </si>
  <si>
    <t>Uva passa (15g)</t>
  </si>
  <si>
    <t>1 colher de sopa cheia</t>
  </si>
  <si>
    <t>Pão (50g) - 1 pão francês</t>
  </si>
  <si>
    <t>Biscoito d'água  (40g)</t>
  </si>
  <si>
    <t>4 unidades</t>
  </si>
  <si>
    <t>Torrada (biscoito) de arroz integral</t>
  </si>
  <si>
    <t>Aveia (40g)</t>
  </si>
  <si>
    <t>Canjica (40g de grão cru)</t>
  </si>
  <si>
    <t>Biscoito de polvilho (30g)</t>
  </si>
  <si>
    <t>30g</t>
  </si>
  <si>
    <t>Gérmen de trigo (20g)</t>
  </si>
  <si>
    <t>Amido de milho (20g)</t>
  </si>
  <si>
    <t>Milho verde (45g)</t>
  </si>
  <si>
    <t>1/2 espiga</t>
  </si>
  <si>
    <t>Pão careca (50g)</t>
  </si>
  <si>
    <t>Pão de forma (50g)</t>
  </si>
  <si>
    <t>2 fatias</t>
  </si>
  <si>
    <t>Pão de milho (50g)</t>
  </si>
  <si>
    <t>Pão de forma integral (50g)</t>
  </si>
  <si>
    <t>Tapioca</t>
  </si>
  <si>
    <t>Leite (200mL)</t>
  </si>
  <si>
    <t>Leite em pó desnatado (20g)</t>
  </si>
  <si>
    <t>Leite semi desnatado (150mL)</t>
  </si>
  <si>
    <t>1 copo pequeno</t>
  </si>
  <si>
    <t>Iogurte natural desnatado (200g)</t>
  </si>
  <si>
    <t xml:space="preserve">1 copo  </t>
  </si>
  <si>
    <t>Iogurte natural integral (150g)</t>
  </si>
  <si>
    <t>1 potinho</t>
  </si>
  <si>
    <t>Queijo tipo "cottage" (50g)</t>
  </si>
  <si>
    <t>Queijo minas frescal (50g)</t>
  </si>
  <si>
    <t>1 fatia grossa</t>
  </si>
  <si>
    <t>Ricota (50g)</t>
  </si>
  <si>
    <t>Requeijão light (20g)</t>
  </si>
  <si>
    <t>1 colher de sopa rasa</t>
  </si>
  <si>
    <t xml:space="preserve">Presunto de parma </t>
  </si>
  <si>
    <t xml:space="preserve">Mussarela de búfala </t>
  </si>
  <si>
    <t>3 fatias</t>
  </si>
  <si>
    <t>Ovo</t>
  </si>
  <si>
    <t>Azeite (5mL)</t>
  </si>
  <si>
    <t>Óleo vegetal (5mL)</t>
  </si>
  <si>
    <t>1 colher de chá</t>
  </si>
  <si>
    <t>1 colher de sobremesa</t>
  </si>
  <si>
    <t>Manteiga - 1 colher de sopa rasa</t>
  </si>
  <si>
    <t>Maionese light (5g)</t>
  </si>
  <si>
    <t>Creme de leite (5g)</t>
  </si>
  <si>
    <t xml:space="preserve">Carne de boi moída (50g) </t>
  </si>
  <si>
    <t>Almôndega (50g)</t>
  </si>
  <si>
    <t>Carne assada (75g)</t>
  </si>
  <si>
    <t>2 unidades pequenas</t>
  </si>
  <si>
    <t>Bife (75g)</t>
  </si>
  <si>
    <t>Bife rolê (50g)</t>
  </si>
  <si>
    <t>Atum (60g)</t>
  </si>
  <si>
    <t>Frango desfiado (60g)</t>
  </si>
  <si>
    <t>Frango coxa ou sobrecoxa(60g)</t>
  </si>
  <si>
    <t>Frango (filé) (80g)</t>
  </si>
  <si>
    <t>1 filé médio</t>
  </si>
  <si>
    <t xml:space="preserve">Ovo de galinha </t>
  </si>
  <si>
    <t>Peixe (posta cozida ou assada)</t>
  </si>
  <si>
    <t>1 posta pequena</t>
  </si>
  <si>
    <t>Peito de peru (filé)</t>
  </si>
  <si>
    <t>1 filé pequeno</t>
  </si>
  <si>
    <t>Pernil (60g)</t>
  </si>
  <si>
    <t>Oleaginosas - 30g (5,5g de proteína)</t>
  </si>
  <si>
    <t xml:space="preserve">Amêndoa </t>
  </si>
  <si>
    <t>ALIMENTO</t>
  </si>
  <si>
    <t>PORÇÃO DIÁRIA</t>
  </si>
  <si>
    <t>PESO POR PORÇÃO</t>
  </si>
  <si>
    <t>Far. de mandioca/farofa/pirão (20g)</t>
  </si>
  <si>
    <t>7,5 unidades</t>
  </si>
  <si>
    <t>4g (1 unidade)</t>
  </si>
  <si>
    <t>4,8g (4 unidades)</t>
  </si>
  <si>
    <t>25 unidades</t>
  </si>
  <si>
    <t>Avelã</t>
  </si>
  <si>
    <t>4,5g (5 unidades)</t>
  </si>
  <si>
    <t>33 unidades</t>
  </si>
  <si>
    <t>Castanha de caju</t>
  </si>
  <si>
    <t>4,8g (3 unidades)</t>
  </si>
  <si>
    <t>19 unidades</t>
  </si>
  <si>
    <t>Castanha do Pará</t>
  </si>
  <si>
    <t>Noz</t>
  </si>
  <si>
    <t>6 unidades</t>
  </si>
  <si>
    <t>Noz pecã</t>
  </si>
  <si>
    <t>4,5g (3 metades)</t>
  </si>
  <si>
    <t>5g (1 unidade/2 metades)</t>
  </si>
  <si>
    <t>10 unidades</t>
  </si>
  <si>
    <t>Semente de abóbora</t>
  </si>
  <si>
    <t>4 colheres de sopa</t>
  </si>
  <si>
    <t>8g (1 colher de sopa)</t>
  </si>
  <si>
    <t>Semente de girassol</t>
  </si>
  <si>
    <t>30g(2 xíc. de cafezinho)</t>
  </si>
  <si>
    <t>2 xíc. de cafezinho</t>
  </si>
  <si>
    <t>Proteínas vegetais</t>
  </si>
  <si>
    <t>2 ovos de galinha (12g de proteína) podem ser substituídos por:</t>
  </si>
  <si>
    <t>Tofu - 100g</t>
  </si>
  <si>
    <t>2 col. sopa pasta de amendoim</t>
  </si>
  <si>
    <t>4 col. sopa queijo cottage</t>
  </si>
  <si>
    <t>4 col. sopa leite em po</t>
  </si>
  <si>
    <t>3 xícaras de aspargos cozido</t>
  </si>
  <si>
    <t>3 xícaras de espinafre cozido</t>
  </si>
  <si>
    <t>6 xícaras de brócolis cozido</t>
  </si>
  <si>
    <t>6 xícaras de cogumelos</t>
  </si>
  <si>
    <t>6 xícaras de couve cozida</t>
  </si>
  <si>
    <t>16 unidades castanhas de caju</t>
  </si>
  <si>
    <t>8 unidades castanha do para</t>
  </si>
  <si>
    <t>23 unidades de amêndoas</t>
  </si>
  <si>
    <r>
      <rPr>
        <b/>
        <sz val="12"/>
        <rFont val="Arial"/>
        <family val="2"/>
      </rPr>
      <t>Carne de frango sem pele</t>
    </r>
    <r>
      <rPr>
        <sz val="12"/>
        <rFont val="Arial"/>
        <family val="2"/>
      </rPr>
      <t>: peito de frango; peito de peru.</t>
    </r>
  </si>
  <si>
    <t xml:space="preserve">1 col. sopa pasta de amendoim (5 g proteína) pode ser substituído por: </t>
  </si>
  <si>
    <r>
      <rPr>
        <b/>
        <sz val="12"/>
        <rFont val="Arial"/>
        <family val="2"/>
      </rPr>
      <t>Carne magra</t>
    </r>
    <r>
      <rPr>
        <sz val="12"/>
        <rFont val="Arial"/>
        <family val="2"/>
      </rPr>
      <t>: patinho, alcatra, maminha, lagarto, músculo,</t>
    </r>
  </si>
  <si>
    <r>
      <rPr>
        <b/>
        <sz val="12"/>
        <rFont val="Arial"/>
        <family val="2"/>
      </rPr>
      <t>Carnes de peixe magro</t>
    </r>
    <r>
      <rPr>
        <sz val="12"/>
        <rFont val="Arial"/>
        <family val="2"/>
      </rPr>
      <t xml:space="preserve">: mero, robalo, voador, dourado, </t>
    </r>
  </si>
  <si>
    <t>patela, coxão mole e duro.</t>
  </si>
  <si>
    <t xml:space="preserve">pescadinha, corvina, pargo, pescada, xerelete, garoupa, </t>
  </si>
  <si>
    <t>cherne, linguado, atum, vermelho, badejo.</t>
  </si>
  <si>
    <t>REFEIÇÃO 1:</t>
  </si>
  <si>
    <t>REFEIÇÃO 2:</t>
  </si>
  <si>
    <t>REFEIÇÃO 3:</t>
  </si>
  <si>
    <t>REFEIÇÃO 4:</t>
  </si>
  <si>
    <t>REFEIÇÃO 5:</t>
  </si>
  <si>
    <t>VIT_A</t>
  </si>
  <si>
    <t>VIT_C</t>
  </si>
  <si>
    <t>quant</t>
  </si>
  <si>
    <t>SALARIO CLT</t>
  </si>
  <si>
    <t>Bruto</t>
  </si>
  <si>
    <t>Alimentação</t>
  </si>
  <si>
    <t>13º</t>
  </si>
  <si>
    <t>Férias</t>
  </si>
  <si>
    <t>PL</t>
  </si>
  <si>
    <t>Desconto</t>
  </si>
  <si>
    <t>SALÁRIO PJ</t>
  </si>
  <si>
    <t>Plano</t>
  </si>
  <si>
    <t>Calculo da dieta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</si>
</sst>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00"/>
  </numFmts>
  <fonts count="1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5"/>
      <name val="Arial"/>
      <family val="2"/>
    </font>
    <font>
      <sz val="10"/>
      <color indexed="9"/>
      <name val="Arial"/>
      <family val="2"/>
    </font>
    <font>
      <sz val="10"/>
      <color indexed="60"/>
      <name val="Arial"/>
      <family val="2"/>
    </font>
    <font>
      <sz val="8"/>
      <color rgb="FF000000"/>
      <name val="Tahoma"/>
      <family val="2"/>
    </font>
    <font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rgb="FFFFC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3F3F3F"/>
      </bottom>
      <diagonal/>
    </border>
    <border>
      <left/>
      <right/>
      <top style="thin">
        <color rgb="FF7F7F7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3F3F3F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5" fillId="25" borderId="50" applyNumberFormat="0" applyAlignment="0" applyProtection="0"/>
    <xf numFmtId="0" fontId="16" fillId="26" borderId="51" applyNumberFormat="0" applyAlignment="0" applyProtection="0"/>
    <xf numFmtId="0" fontId="17" fillId="27" borderId="0" applyNumberFormat="0" applyBorder="0" applyAlignment="0" applyProtection="0"/>
  </cellStyleXfs>
  <cellXfs count="3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0" applyFont="1"/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/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1" applyFont="1"/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/>
    <xf numFmtId="0" fontId="2" fillId="0" borderId="0" xfId="0" applyFont="1" applyAlignment="1">
      <alignment horizontal="right"/>
    </xf>
    <xf numFmtId="165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5" xfId="0" applyFont="1" applyBorder="1" applyAlignment="1">
      <alignment horizontal="left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5" fillId="0" borderId="5" xfId="0" applyFont="1" applyBorder="1"/>
    <xf numFmtId="0" fontId="5" fillId="0" borderId="0" xfId="0" applyFont="1"/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0" xfId="0" applyFont="1" applyAlignment="1" applyProtection="1">
      <alignment horizontal="center"/>
      <protection locked="0" hidden="1"/>
    </xf>
    <xf numFmtId="0" fontId="4" fillId="0" borderId="0" xfId="0" applyFont="1" applyProtection="1">
      <protection hidden="1"/>
    </xf>
    <xf numFmtId="0" fontId="2" fillId="0" borderId="2" xfId="0" applyFont="1" applyBorder="1" applyAlignment="1">
      <alignment horizontal="center"/>
    </xf>
    <xf numFmtId="166" fontId="2" fillId="0" borderId="5" xfId="0" applyNumberFormat="1" applyFont="1" applyBorder="1" applyAlignment="1" applyProtection="1">
      <alignment horizontal="center"/>
      <protection locked="0"/>
    </xf>
    <xf numFmtId="2" fontId="2" fillId="0" borderId="6" xfId="0" applyNumberFormat="1" applyFont="1" applyBorder="1" applyAlignment="1">
      <alignment horizontal="center"/>
    </xf>
    <xf numFmtId="0" fontId="2" fillId="0" borderId="7" xfId="0" applyFont="1" applyBorder="1" applyProtection="1">
      <protection locked="0"/>
    </xf>
    <xf numFmtId="2" fontId="2" fillId="0" borderId="8" xfId="0" applyNumberFormat="1" applyFont="1" applyBorder="1"/>
    <xf numFmtId="2" fontId="2" fillId="0" borderId="9" xfId="0" applyNumberFormat="1" applyFont="1" applyBorder="1"/>
    <xf numFmtId="0" fontId="2" fillId="0" borderId="3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0" xfId="0" applyFont="1" applyAlignment="1" applyProtection="1">
      <alignment horizontal="center"/>
      <protection locked="0"/>
    </xf>
    <xf numFmtId="0" fontId="2" fillId="0" borderId="3" xfId="0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8" xfId="0" applyFont="1" applyBorder="1" applyAlignment="1">
      <alignment horizontal="right"/>
    </xf>
    <xf numFmtId="9" fontId="2" fillId="0" borderId="0" xfId="0" applyNumberFormat="1" applyFont="1"/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2" fillId="0" borderId="8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right"/>
    </xf>
    <xf numFmtId="0" fontId="2" fillId="0" borderId="2" xfId="0" applyFont="1" applyBorder="1"/>
    <xf numFmtId="9" fontId="2" fillId="0" borderId="3" xfId="0" applyNumberFormat="1" applyFont="1" applyBorder="1"/>
    <xf numFmtId="164" fontId="2" fillId="0" borderId="3" xfId="0" applyNumberFormat="1" applyFont="1" applyBorder="1"/>
    <xf numFmtId="9" fontId="2" fillId="0" borderId="8" xfId="0" applyNumberFormat="1" applyFont="1" applyBorder="1"/>
    <xf numFmtId="164" fontId="2" fillId="0" borderId="8" xfId="0" applyNumberFormat="1" applyFont="1" applyBorder="1"/>
    <xf numFmtId="165" fontId="2" fillId="0" borderId="8" xfId="0" applyNumberFormat="1" applyFont="1" applyBorder="1" applyAlignment="1" applyProtection="1">
      <alignment horizontal="center"/>
      <protection locked="0"/>
    </xf>
    <xf numFmtId="2" fontId="2" fillId="0" borderId="8" xfId="0" applyNumberFormat="1" applyFont="1" applyBorder="1" applyAlignment="1">
      <alignment horizontal="center"/>
    </xf>
    <xf numFmtId="0" fontId="2" fillId="10" borderId="0" xfId="0" applyFont="1" applyFill="1"/>
    <xf numFmtId="0" fontId="7" fillId="0" borderId="0" xfId="0" applyFont="1"/>
    <xf numFmtId="0" fontId="0" fillId="0" borderId="0" xfId="0" applyAlignment="1">
      <alignment horizontal="left"/>
    </xf>
    <xf numFmtId="0" fontId="0" fillId="0" borderId="5" xfId="0" applyBorder="1"/>
    <xf numFmtId="2" fontId="2" fillId="6" borderId="0" xfId="0" applyNumberFormat="1" applyFont="1" applyFill="1" applyAlignment="1">
      <alignment horizontal="left"/>
    </xf>
    <xf numFmtId="2" fontId="2" fillId="18" borderId="0" xfId="0" applyNumberFormat="1" applyFont="1" applyFill="1"/>
    <xf numFmtId="0" fontId="2" fillId="19" borderId="6" xfId="0" applyFont="1" applyFill="1" applyBorder="1" applyAlignment="1" applyProtection="1">
      <alignment horizontal="left"/>
      <protection locked="0"/>
    </xf>
    <xf numFmtId="0" fontId="2" fillId="10" borderId="3" xfId="0" applyFont="1" applyFill="1" applyBorder="1"/>
    <xf numFmtId="0" fontId="2" fillId="10" borderId="4" xfId="0" applyFont="1" applyFill="1" applyBorder="1"/>
    <xf numFmtId="0" fontId="2" fillId="10" borderId="6" xfId="0" applyFont="1" applyFill="1" applyBorder="1"/>
    <xf numFmtId="0" fontId="2" fillId="10" borderId="8" xfId="0" applyFont="1" applyFill="1" applyBorder="1"/>
    <xf numFmtId="0" fontId="2" fillId="10" borderId="9" xfId="0" applyFont="1" applyFill="1" applyBorder="1"/>
    <xf numFmtId="2" fontId="2" fillId="2" borderId="0" xfId="0" applyNumberFormat="1" applyFont="1" applyFill="1" applyAlignment="1" applyProtection="1">
      <alignment horizontal="left"/>
      <protection locked="0"/>
    </xf>
    <xf numFmtId="0" fontId="2" fillId="8" borderId="0" xfId="0" applyFont="1" applyFill="1" applyAlignment="1">
      <alignment horizontal="left"/>
    </xf>
    <xf numFmtId="0" fontId="2" fillId="16" borderId="0" xfId="0" applyFont="1" applyFill="1" applyAlignment="1">
      <alignment horizontal="left"/>
    </xf>
    <xf numFmtId="164" fontId="2" fillId="17" borderId="3" xfId="1" applyFont="1" applyFill="1" applyBorder="1"/>
    <xf numFmtId="0" fontId="2" fillId="17" borderId="0" xfId="0" applyFont="1" applyFill="1" applyAlignment="1">
      <alignment horizontal="center"/>
    </xf>
    <xf numFmtId="0" fontId="2" fillId="17" borderId="8" xfId="0" applyFont="1" applyFill="1" applyBorder="1" applyAlignment="1">
      <alignment horizontal="center"/>
    </xf>
    <xf numFmtId="0" fontId="0" fillId="0" borderId="6" xfId="0" applyBorder="1"/>
    <xf numFmtId="0" fontId="8" fillId="0" borderId="0" xfId="0" applyFont="1"/>
    <xf numFmtId="0" fontId="8" fillId="0" borderId="13" xfId="0" applyFont="1" applyBorder="1"/>
    <xf numFmtId="0" fontId="2" fillId="0" borderId="14" xfId="0" applyFont="1" applyBorder="1"/>
    <xf numFmtId="0" fontId="0" fillId="0" borderId="15" xfId="0" applyBorder="1"/>
    <xf numFmtId="0" fontId="2" fillId="0" borderId="13" xfId="0" applyFont="1" applyBorder="1"/>
    <xf numFmtId="0" fontId="0" fillId="0" borderId="14" xfId="0" applyBorder="1"/>
    <xf numFmtId="0" fontId="8" fillId="0" borderId="20" xfId="0" applyFont="1" applyBorder="1"/>
    <xf numFmtId="0" fontId="8" fillId="0" borderId="6" xfId="0" applyFont="1" applyBorder="1"/>
    <xf numFmtId="0" fontId="2" fillId="0" borderId="21" xfId="0" applyFont="1" applyBorder="1"/>
    <xf numFmtId="0" fontId="2" fillId="0" borderId="6" xfId="0" quotePrefix="1" applyFont="1" applyBorder="1"/>
    <xf numFmtId="0" fontId="0" fillId="0" borderId="22" xfId="0" applyBorder="1"/>
    <xf numFmtId="0" fontId="2" fillId="0" borderId="25" xfId="0" applyFont="1" applyBorder="1"/>
    <xf numFmtId="0" fontId="8" fillId="0" borderId="10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2" fillId="0" borderId="12" xfId="0" applyFont="1" applyBorder="1" applyAlignment="1">
      <alignment horizontal="center"/>
    </xf>
    <xf numFmtId="0" fontId="7" fillId="9" borderId="0" xfId="0" applyFont="1" applyFill="1"/>
    <xf numFmtId="0" fontId="10" fillId="0" borderId="0" xfId="0" applyFont="1"/>
    <xf numFmtId="0" fontId="10" fillId="5" borderId="26" xfId="0" applyFont="1" applyFill="1" applyBorder="1"/>
    <xf numFmtId="0" fontId="10" fillId="4" borderId="26" xfId="0" applyFont="1" applyFill="1" applyBorder="1"/>
    <xf numFmtId="0" fontId="10" fillId="20" borderId="26" xfId="0" applyFont="1" applyFill="1" applyBorder="1"/>
    <xf numFmtId="0" fontId="10" fillId="8" borderId="26" xfId="0" applyFont="1" applyFill="1" applyBorder="1"/>
    <xf numFmtId="0" fontId="10" fillId="17" borderId="26" xfId="0" applyFont="1" applyFill="1" applyBorder="1"/>
    <xf numFmtId="0" fontId="10" fillId="3" borderId="26" xfId="0" applyFont="1" applyFill="1" applyBorder="1"/>
    <xf numFmtId="0" fontId="10" fillId="18" borderId="32" xfId="0" applyFont="1" applyFill="1" applyBorder="1"/>
    <xf numFmtId="0" fontId="10" fillId="5" borderId="29" xfId="0" applyFont="1" applyFill="1" applyBorder="1"/>
    <xf numFmtId="0" fontId="10" fillId="7" borderId="26" xfId="0" applyFont="1" applyFill="1" applyBorder="1"/>
    <xf numFmtId="0" fontId="10" fillId="6" borderId="26" xfId="0" applyFont="1" applyFill="1" applyBorder="1"/>
    <xf numFmtId="0" fontId="10" fillId="21" borderId="26" xfId="0" applyFont="1" applyFill="1" applyBorder="1"/>
    <xf numFmtId="0" fontId="10" fillId="16" borderId="26" xfId="0" applyFont="1" applyFill="1" applyBorder="1"/>
    <xf numFmtId="0" fontId="10" fillId="9" borderId="0" xfId="0" applyFont="1" applyFill="1"/>
    <xf numFmtId="0" fontId="10" fillId="8" borderId="26" xfId="0" applyFont="1" applyFill="1" applyBorder="1" applyAlignment="1">
      <alignment horizontal="left" vertical="top"/>
    </xf>
    <xf numFmtId="0" fontId="10" fillId="14" borderId="26" xfId="0" applyFont="1" applyFill="1" applyBorder="1" applyAlignment="1">
      <alignment vertical="top"/>
    </xf>
    <xf numFmtId="0" fontId="10" fillId="17" borderId="32" xfId="0" applyFont="1" applyFill="1" applyBorder="1" applyAlignment="1">
      <alignment vertical="top"/>
    </xf>
    <xf numFmtId="0" fontId="10" fillId="21" borderId="29" xfId="0" applyFont="1" applyFill="1" applyBorder="1" applyAlignment="1">
      <alignment vertical="top"/>
    </xf>
    <xf numFmtId="0" fontId="10" fillId="13" borderId="26" xfId="0" applyFont="1" applyFill="1" applyBorder="1"/>
    <xf numFmtId="0" fontId="10" fillId="11" borderId="26" xfId="0" applyFont="1" applyFill="1" applyBorder="1" applyAlignment="1">
      <alignment vertical="top"/>
    </xf>
    <xf numFmtId="0" fontId="10" fillId="22" borderId="26" xfId="0" applyFont="1" applyFill="1" applyBorder="1" applyAlignment="1">
      <alignment vertical="top"/>
    </xf>
    <xf numFmtId="0" fontId="10" fillId="22" borderId="32" xfId="0" applyFont="1" applyFill="1" applyBorder="1"/>
    <xf numFmtId="0" fontId="10" fillId="0" borderId="0" xfId="0" applyFont="1" applyBorder="1"/>
    <xf numFmtId="0" fontId="10" fillId="0" borderId="0" xfId="0" applyFont="1" applyAlignment="1">
      <alignment horizontal="left" vertical="center"/>
    </xf>
    <xf numFmtId="0" fontId="10" fillId="4" borderId="31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17" borderId="31" xfId="0" applyFont="1" applyFill="1" applyBorder="1" applyAlignment="1">
      <alignment horizontal="left"/>
    </xf>
    <xf numFmtId="0" fontId="10" fillId="3" borderId="31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left"/>
    </xf>
    <xf numFmtId="0" fontId="10" fillId="5" borderId="31" xfId="0" applyFont="1" applyFill="1" applyBorder="1" applyAlignment="1">
      <alignment horizontal="left"/>
    </xf>
    <xf numFmtId="0" fontId="10" fillId="13" borderId="29" xfId="0" applyFont="1" applyFill="1" applyBorder="1" applyAlignment="1">
      <alignment horizontal="left"/>
    </xf>
    <xf numFmtId="0" fontId="10" fillId="13" borderId="34" xfId="0" applyFont="1" applyFill="1" applyBorder="1" applyAlignment="1">
      <alignment horizontal="left"/>
    </xf>
    <xf numFmtId="0" fontId="10" fillId="13" borderId="34" xfId="0" applyFont="1" applyFill="1" applyBorder="1" applyAlignment="1">
      <alignment horizontal="right"/>
    </xf>
    <xf numFmtId="0" fontId="10" fillId="13" borderId="30" xfId="0" applyFont="1" applyFill="1" applyBorder="1" applyAlignment="1">
      <alignment horizontal="left"/>
    </xf>
    <xf numFmtId="0" fontId="10" fillId="5" borderId="26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right"/>
    </xf>
    <xf numFmtId="0" fontId="10" fillId="5" borderId="0" xfId="0" applyFont="1" applyFill="1" applyBorder="1"/>
    <xf numFmtId="0" fontId="10" fillId="4" borderId="26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left"/>
    </xf>
    <xf numFmtId="0" fontId="10" fillId="4" borderId="0" xfId="0" applyFont="1" applyFill="1" applyBorder="1"/>
    <xf numFmtId="0" fontId="10" fillId="4" borderId="0" xfId="0" applyFont="1" applyFill="1" applyBorder="1" applyAlignment="1">
      <alignment horizontal="right"/>
    </xf>
    <xf numFmtId="0" fontId="10" fillId="8" borderId="26" xfId="0" applyFont="1" applyFill="1" applyBorder="1" applyAlignment="1">
      <alignment horizontal="left"/>
    </xf>
    <xf numFmtId="0" fontId="10" fillId="8" borderId="0" xfId="0" applyFont="1" applyFill="1" applyBorder="1" applyAlignment="1">
      <alignment horizontal="left"/>
    </xf>
    <xf numFmtId="0" fontId="10" fillId="8" borderId="0" xfId="0" applyFont="1" applyFill="1" applyBorder="1"/>
    <xf numFmtId="0" fontId="10" fillId="8" borderId="0" xfId="0" applyFont="1" applyFill="1" applyBorder="1" applyAlignment="1">
      <alignment horizontal="right"/>
    </xf>
    <xf numFmtId="0" fontId="10" fillId="17" borderId="26" xfId="0" applyFont="1" applyFill="1" applyBorder="1" applyAlignment="1">
      <alignment horizontal="left"/>
    </xf>
    <xf numFmtId="0" fontId="10" fillId="17" borderId="0" xfId="0" applyFont="1" applyFill="1" applyBorder="1" applyAlignment="1">
      <alignment horizontal="left"/>
    </xf>
    <xf numFmtId="0" fontId="10" fillId="17" borderId="0" xfId="0" applyFont="1" applyFill="1" applyBorder="1"/>
    <xf numFmtId="0" fontId="10" fillId="17" borderId="0" xfId="0" applyFont="1" applyFill="1" applyBorder="1" applyAlignment="1">
      <alignment horizontal="right"/>
    </xf>
    <xf numFmtId="0" fontId="10" fillId="3" borderId="26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/>
    <xf numFmtId="0" fontId="10" fillId="3" borderId="0" xfId="0" applyFont="1" applyFill="1" applyBorder="1" applyAlignment="1">
      <alignment horizontal="right"/>
    </xf>
    <xf numFmtId="0" fontId="10" fillId="18" borderId="26" xfId="0" applyFont="1" applyFill="1" applyBorder="1" applyAlignment="1">
      <alignment horizontal="left"/>
    </xf>
    <xf numFmtId="0" fontId="10" fillId="18" borderId="0" xfId="0" applyFont="1" applyFill="1" applyBorder="1" applyAlignment="1">
      <alignment horizontal="left"/>
    </xf>
    <xf numFmtId="0" fontId="10" fillId="18" borderId="0" xfId="0" applyFont="1" applyFill="1" applyBorder="1"/>
    <xf numFmtId="0" fontId="10" fillId="18" borderId="0" xfId="0" applyFont="1" applyFill="1" applyBorder="1" applyAlignment="1">
      <alignment horizontal="right"/>
    </xf>
    <xf numFmtId="0" fontId="10" fillId="18" borderId="31" xfId="0" applyFont="1" applyFill="1" applyBorder="1" applyAlignment="1">
      <alignment horizontal="left"/>
    </xf>
    <xf numFmtId="0" fontId="10" fillId="10" borderId="26" xfId="0" applyFont="1" applyFill="1" applyBorder="1" applyAlignment="1">
      <alignment horizontal="left"/>
    </xf>
    <xf numFmtId="0" fontId="10" fillId="10" borderId="0" xfId="0" applyFont="1" applyFill="1" applyBorder="1" applyAlignment="1">
      <alignment horizontal="right"/>
    </xf>
    <xf numFmtId="0" fontId="10" fillId="10" borderId="0" xfId="0" applyFont="1" applyFill="1" applyBorder="1" applyAlignment="1">
      <alignment horizontal="left"/>
    </xf>
    <xf numFmtId="0" fontId="10" fillId="10" borderId="31" xfId="0" applyFont="1" applyFill="1" applyBorder="1" applyAlignment="1">
      <alignment horizontal="left"/>
    </xf>
    <xf numFmtId="0" fontId="10" fillId="17" borderId="32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0" fillId="13" borderId="27" xfId="0" applyFont="1" applyFill="1" applyBorder="1"/>
    <xf numFmtId="0" fontId="10" fillId="13" borderId="1" xfId="0" applyFont="1" applyFill="1" applyBorder="1"/>
    <xf numFmtId="0" fontId="10" fillId="13" borderId="36" xfId="0" applyFont="1" applyFill="1" applyBorder="1"/>
    <xf numFmtId="0" fontId="10" fillId="5" borderId="27" xfId="0" applyFont="1" applyFill="1" applyBorder="1"/>
    <xf numFmtId="0" fontId="10" fillId="5" borderId="1" xfId="0" applyFont="1" applyFill="1" applyBorder="1"/>
    <xf numFmtId="0" fontId="10" fillId="5" borderId="36" xfId="0" applyFont="1" applyFill="1" applyBorder="1"/>
    <xf numFmtId="0" fontId="10" fillId="4" borderId="27" xfId="0" applyFont="1" applyFill="1" applyBorder="1"/>
    <xf numFmtId="0" fontId="10" fillId="4" borderId="1" xfId="0" applyFont="1" applyFill="1" applyBorder="1"/>
    <xf numFmtId="0" fontId="10" fillId="4" borderId="36" xfId="0" applyFont="1" applyFill="1" applyBorder="1"/>
    <xf numFmtId="0" fontId="10" fillId="8" borderId="27" xfId="0" applyFont="1" applyFill="1" applyBorder="1"/>
    <xf numFmtId="0" fontId="10" fillId="8" borderId="1" xfId="0" applyFont="1" applyFill="1" applyBorder="1"/>
    <xf numFmtId="0" fontId="10" fillId="8" borderId="36" xfId="0" applyFont="1" applyFill="1" applyBorder="1"/>
    <xf numFmtId="0" fontId="10" fillId="17" borderId="27" xfId="0" applyFont="1" applyFill="1" applyBorder="1"/>
    <xf numFmtId="0" fontId="10" fillId="17" borderId="1" xfId="0" applyFont="1" applyFill="1" applyBorder="1"/>
    <xf numFmtId="0" fontId="10" fillId="17" borderId="36" xfId="0" applyFont="1" applyFill="1" applyBorder="1"/>
    <xf numFmtId="0" fontId="10" fillId="3" borderId="27" xfId="0" applyFont="1" applyFill="1" applyBorder="1"/>
    <xf numFmtId="0" fontId="10" fillId="3" borderId="1" xfId="0" applyFont="1" applyFill="1" applyBorder="1"/>
    <xf numFmtId="0" fontId="10" fillId="3" borderId="36" xfId="0" applyFont="1" applyFill="1" applyBorder="1"/>
    <xf numFmtId="0" fontId="10" fillId="18" borderId="27" xfId="0" applyFont="1" applyFill="1" applyBorder="1"/>
    <xf numFmtId="0" fontId="10" fillId="18" borderId="1" xfId="0" applyFont="1" applyFill="1" applyBorder="1"/>
    <xf numFmtId="0" fontId="10" fillId="18" borderId="36" xfId="0" applyFont="1" applyFill="1" applyBorder="1"/>
    <xf numFmtId="0" fontId="10" fillId="7" borderId="27" xfId="0" applyFont="1" applyFill="1" applyBorder="1"/>
    <xf numFmtId="0" fontId="10" fillId="7" borderId="1" xfId="0" applyFont="1" applyFill="1" applyBorder="1"/>
    <xf numFmtId="0" fontId="10" fillId="7" borderId="36" xfId="0" applyFont="1" applyFill="1" applyBorder="1"/>
    <xf numFmtId="0" fontId="10" fillId="6" borderId="27" xfId="0" applyFont="1" applyFill="1" applyBorder="1"/>
    <xf numFmtId="0" fontId="10" fillId="6" borderId="1" xfId="0" applyFont="1" applyFill="1" applyBorder="1"/>
    <xf numFmtId="0" fontId="10" fillId="6" borderId="36" xfId="0" applyFont="1" applyFill="1" applyBorder="1"/>
    <xf numFmtId="0" fontId="10" fillId="12" borderId="27" xfId="0" applyFont="1" applyFill="1" applyBorder="1"/>
    <xf numFmtId="0" fontId="10" fillId="12" borderId="1" xfId="0" applyFont="1" applyFill="1" applyBorder="1"/>
    <xf numFmtId="0" fontId="10" fillId="12" borderId="36" xfId="0" applyFont="1" applyFill="1" applyBorder="1"/>
    <xf numFmtId="0" fontId="10" fillId="9" borderId="27" xfId="0" applyFont="1" applyFill="1" applyBorder="1"/>
    <xf numFmtId="0" fontId="10" fillId="9" borderId="1" xfId="0" applyFont="1" applyFill="1" applyBorder="1"/>
    <xf numFmtId="0" fontId="10" fillId="9" borderId="36" xfId="0" applyFont="1" applyFill="1" applyBorder="1"/>
    <xf numFmtId="0" fontId="10" fillId="16" borderId="27" xfId="0" applyFont="1" applyFill="1" applyBorder="1"/>
    <xf numFmtId="0" fontId="10" fillId="16" borderId="1" xfId="0" applyFont="1" applyFill="1" applyBorder="1"/>
    <xf numFmtId="0" fontId="10" fillId="16" borderId="36" xfId="0" applyFont="1" applyFill="1" applyBorder="1"/>
    <xf numFmtId="0" fontId="10" fillId="14" borderId="27" xfId="0" applyFont="1" applyFill="1" applyBorder="1"/>
    <xf numFmtId="0" fontId="10" fillId="14" borderId="1" xfId="0" applyFont="1" applyFill="1" applyBorder="1"/>
    <xf numFmtId="0" fontId="10" fillId="14" borderId="36" xfId="0" applyFont="1" applyFill="1" applyBorder="1"/>
    <xf numFmtId="0" fontId="10" fillId="11" borderId="27" xfId="0" applyFont="1" applyFill="1" applyBorder="1"/>
    <xf numFmtId="0" fontId="10" fillId="11" borderId="1" xfId="0" applyFont="1" applyFill="1" applyBorder="1"/>
    <xf numFmtId="0" fontId="10" fillId="11" borderId="36" xfId="0" applyFont="1" applyFill="1" applyBorder="1"/>
    <xf numFmtId="0" fontId="10" fillId="11" borderId="28" xfId="0" applyFont="1" applyFill="1" applyBorder="1"/>
    <xf numFmtId="0" fontId="10" fillId="11" borderId="25" xfId="0" applyFont="1" applyFill="1" applyBorder="1"/>
    <xf numFmtId="0" fontId="10" fillId="11" borderId="37" xfId="0" applyFont="1" applyFill="1" applyBorder="1"/>
    <xf numFmtId="14" fontId="10" fillId="0" borderId="15" xfId="0" applyNumberFormat="1" applyFont="1" applyBorder="1" applyAlignment="1">
      <alignment horizontal="center"/>
    </xf>
    <xf numFmtId="14" fontId="10" fillId="0" borderId="40" xfId="0" applyNumberFormat="1" applyFont="1" applyBorder="1" applyAlignment="1">
      <alignment horizontal="center"/>
    </xf>
    <xf numFmtId="0" fontId="10" fillId="0" borderId="22" xfId="0" applyFont="1" applyBorder="1" applyAlignment="1">
      <alignment horizontal="left"/>
    </xf>
    <xf numFmtId="0" fontId="10" fillId="0" borderId="0" xfId="0" applyFont="1" applyAlignment="1">
      <alignment vertical="center"/>
    </xf>
    <xf numFmtId="0" fontId="10" fillId="0" borderId="46" xfId="0" applyFont="1" applyBorder="1"/>
    <xf numFmtId="0" fontId="10" fillId="0" borderId="45" xfId="0" applyFont="1" applyBorder="1"/>
    <xf numFmtId="0" fontId="10" fillId="0" borderId="48" xfId="0" applyFont="1" applyBorder="1"/>
    <xf numFmtId="0" fontId="10" fillId="0" borderId="41" xfId="0" applyFont="1" applyBorder="1"/>
    <xf numFmtId="0" fontId="10" fillId="0" borderId="44" xfId="0" applyFont="1" applyBorder="1"/>
    <xf numFmtId="0" fontId="10" fillId="0" borderId="47" xfId="0" applyFont="1" applyBorder="1"/>
    <xf numFmtId="0" fontId="10" fillId="0" borderId="43" xfId="0" applyFont="1" applyBorder="1"/>
    <xf numFmtId="0" fontId="10" fillId="0" borderId="49" xfId="0" applyFont="1" applyBorder="1"/>
    <xf numFmtId="0" fontId="10" fillId="0" borderId="42" xfId="0" applyFont="1" applyBorder="1"/>
    <xf numFmtId="0" fontId="10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 vertical="center" wrapText="1"/>
    </xf>
    <xf numFmtId="0" fontId="10" fillId="9" borderId="0" xfId="0" applyFont="1" applyFill="1" applyAlignment="1">
      <alignment horizontal="left"/>
    </xf>
    <xf numFmtId="0" fontId="14" fillId="9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left" vertical="center" wrapText="1"/>
    </xf>
    <xf numFmtId="0" fontId="12" fillId="9" borderId="39" xfId="0" applyFont="1" applyFill="1" applyBorder="1" applyAlignment="1">
      <alignment horizontal="center" vertical="center" wrapText="1"/>
    </xf>
    <xf numFmtId="0" fontId="1" fillId="0" borderId="26" xfId="0" applyFont="1" applyBorder="1"/>
    <xf numFmtId="0" fontId="0" fillId="0" borderId="0" xfId="0" applyBorder="1"/>
    <xf numFmtId="0" fontId="0" fillId="0" borderId="31" xfId="0" applyBorder="1"/>
    <xf numFmtId="0" fontId="0" fillId="0" borderId="26" xfId="0" applyBorder="1"/>
    <xf numFmtId="0" fontId="0" fillId="0" borderId="32" xfId="0" applyBorder="1"/>
    <xf numFmtId="0" fontId="0" fillId="0" borderId="35" xfId="0" applyBorder="1"/>
    <xf numFmtId="0" fontId="0" fillId="0" borderId="33" xfId="0" applyBorder="1"/>
    <xf numFmtId="0" fontId="1" fillId="0" borderId="29" xfId="0" applyFont="1" applyBorder="1"/>
    <xf numFmtId="0" fontId="0" fillId="0" borderId="34" xfId="0" applyBorder="1"/>
    <xf numFmtId="0" fontId="0" fillId="0" borderId="30" xfId="0" applyBorder="1"/>
    <xf numFmtId="0" fontId="0" fillId="0" borderId="0" xfId="0" applyAlignment="1">
      <alignment horizontal="right"/>
    </xf>
    <xf numFmtId="0" fontId="16" fillId="0" borderId="51" xfId="3" applyFill="1"/>
    <xf numFmtId="0" fontId="0" fillId="0" borderId="0" xfId="0" applyFill="1"/>
    <xf numFmtId="9" fontId="16" fillId="26" borderId="51" xfId="3" applyNumberFormat="1" applyAlignment="1">
      <alignment horizontal="right"/>
    </xf>
    <xf numFmtId="2" fontId="0" fillId="0" borderId="0" xfId="0" applyNumberFormat="1"/>
    <xf numFmtId="43" fontId="16" fillId="0" borderId="51" xfId="3" applyNumberFormat="1" applyFill="1" applyAlignment="1">
      <alignment horizontal="right"/>
    </xf>
    <xf numFmtId="43" fontId="16" fillId="26" borderId="51" xfId="3" applyNumberFormat="1" applyAlignment="1">
      <alignment horizontal="right"/>
    </xf>
    <xf numFmtId="43" fontId="17" fillId="27" borderId="51" xfId="4" applyNumberFormat="1" applyBorder="1" applyAlignment="1">
      <alignment horizontal="right"/>
    </xf>
    <xf numFmtId="0" fontId="15" fillId="25" borderId="52" xfId="2" applyBorder="1" applyAlignment="1">
      <alignment horizontal="center"/>
    </xf>
    <xf numFmtId="0" fontId="15" fillId="25" borderId="53" xfId="2" applyBorder="1" applyAlignment="1">
      <alignment horizontal="center"/>
    </xf>
    <xf numFmtId="0" fontId="15" fillId="25" borderId="54" xfId="2" applyBorder="1" applyAlignment="1">
      <alignment horizontal="center"/>
    </xf>
    <xf numFmtId="0" fontId="10" fillId="22" borderId="0" xfId="0" applyFont="1" applyFill="1" applyBorder="1"/>
    <xf numFmtId="0" fontId="10" fillId="22" borderId="31" xfId="0" applyFont="1" applyFill="1" applyBorder="1"/>
    <xf numFmtId="0" fontId="10" fillId="22" borderId="35" xfId="0" applyFont="1" applyFill="1" applyBorder="1"/>
    <xf numFmtId="0" fontId="10" fillId="22" borderId="33" xfId="0" applyFont="1" applyFill="1" applyBorder="1"/>
    <xf numFmtId="0" fontId="10" fillId="16" borderId="31" xfId="0" applyFont="1" applyFill="1" applyBorder="1"/>
    <xf numFmtId="0" fontId="10" fillId="17" borderId="35" xfId="0" applyFont="1" applyFill="1" applyBorder="1"/>
    <xf numFmtId="0" fontId="10" fillId="17" borderId="33" xfId="0" applyFont="1" applyFill="1" applyBorder="1"/>
    <xf numFmtId="0" fontId="10" fillId="21" borderId="34" xfId="0" applyFont="1" applyFill="1" applyBorder="1"/>
    <xf numFmtId="0" fontId="10" fillId="21" borderId="30" xfId="0" applyFont="1" applyFill="1" applyBorder="1"/>
    <xf numFmtId="0" fontId="10" fillId="13" borderId="31" xfId="0" applyFont="1" applyFill="1" applyBorder="1"/>
    <xf numFmtId="0" fontId="10" fillId="11" borderId="31" xfId="0" applyFont="1" applyFill="1" applyBorder="1"/>
    <xf numFmtId="0" fontId="10" fillId="7" borderId="31" xfId="0" applyFont="1" applyFill="1" applyBorder="1" applyAlignment="1">
      <alignment horizontal="left"/>
    </xf>
    <xf numFmtId="0" fontId="10" fillId="17" borderId="31" xfId="0" applyFont="1" applyFill="1" applyBorder="1" applyAlignment="1">
      <alignment horizontal="left"/>
    </xf>
    <xf numFmtId="0" fontId="10" fillId="6" borderId="31" xfId="0" applyFont="1" applyFill="1" applyBorder="1" applyAlignment="1">
      <alignment horizontal="left"/>
    </xf>
    <xf numFmtId="0" fontId="10" fillId="21" borderId="31" xfId="0" applyFont="1" applyFill="1" applyBorder="1"/>
    <xf numFmtId="0" fontId="10" fillId="8" borderId="31" xfId="0" applyFont="1" applyFill="1" applyBorder="1"/>
    <xf numFmtId="0" fontId="10" fillId="15" borderId="38" xfId="0" applyFont="1" applyFill="1" applyBorder="1"/>
    <xf numFmtId="0" fontId="10" fillId="15" borderId="16" xfId="0" applyFont="1" applyFill="1" applyBorder="1"/>
    <xf numFmtId="0" fontId="10" fillId="15" borderId="39" xfId="0" applyFont="1" applyFill="1" applyBorder="1"/>
    <xf numFmtId="0" fontId="10" fillId="23" borderId="26" xfId="0" applyFont="1" applyFill="1" applyBorder="1"/>
    <xf numFmtId="0" fontId="10" fillId="23" borderId="0" xfId="0" applyFont="1" applyFill="1" applyBorder="1"/>
    <xf numFmtId="0" fontId="10" fillId="23" borderId="31" xfId="0" applyFont="1" applyFill="1" applyBorder="1"/>
    <xf numFmtId="0" fontId="10" fillId="4" borderId="31" xfId="0" applyFont="1" applyFill="1" applyBorder="1" applyAlignment="1">
      <alignment horizontal="left"/>
    </xf>
    <xf numFmtId="0" fontId="10" fillId="0" borderId="29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35" xfId="0" applyFont="1" applyBorder="1" applyAlignment="1">
      <alignment horizontal="left" vertical="center"/>
    </xf>
    <xf numFmtId="0" fontId="10" fillId="5" borderId="34" xfId="0" applyFont="1" applyFill="1" applyBorder="1" applyAlignment="1">
      <alignment horizontal="left"/>
    </xf>
    <xf numFmtId="0" fontId="10" fillId="5" borderId="30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left"/>
    </xf>
    <xf numFmtId="0" fontId="10" fillId="5" borderId="31" xfId="0" applyFont="1" applyFill="1" applyBorder="1" applyAlignment="1">
      <alignment horizontal="left"/>
    </xf>
    <xf numFmtId="0" fontId="10" fillId="14" borderId="31" xfId="0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0" fontId="10" fillId="20" borderId="31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3" borderId="31" xfId="0" applyFont="1" applyFill="1" applyBorder="1" applyAlignment="1">
      <alignment horizontal="left"/>
    </xf>
    <xf numFmtId="0" fontId="10" fillId="18" borderId="35" xfId="0" applyFont="1" applyFill="1" applyBorder="1" applyAlignment="1">
      <alignment horizontal="left"/>
    </xf>
    <xf numFmtId="0" fontId="10" fillId="18" borderId="33" xfId="0" applyFont="1" applyFill="1" applyBorder="1" applyAlignment="1">
      <alignment horizontal="left"/>
    </xf>
    <xf numFmtId="0" fontId="10" fillId="0" borderId="16" xfId="0" applyFont="1" applyBorder="1"/>
    <xf numFmtId="0" fontId="10" fillId="15" borderId="38" xfId="0" applyFont="1" applyFill="1" applyBorder="1" applyAlignment="1">
      <alignment horizontal="center"/>
    </xf>
    <xf numFmtId="0" fontId="10" fillId="15" borderId="16" xfId="0" applyFont="1" applyFill="1" applyBorder="1" applyAlignment="1">
      <alignment horizontal="center"/>
    </xf>
    <xf numFmtId="0" fontId="10" fillId="15" borderId="39" xfId="0" applyFont="1" applyFill="1" applyBorder="1" applyAlignment="1">
      <alignment horizontal="center"/>
    </xf>
    <xf numFmtId="0" fontId="10" fillId="19" borderId="32" xfId="0" applyFont="1" applyFill="1" applyBorder="1"/>
    <xf numFmtId="0" fontId="10" fillId="19" borderId="35" xfId="0" applyFont="1" applyFill="1" applyBorder="1"/>
    <xf numFmtId="0" fontId="10" fillId="19" borderId="33" xfId="0" applyFont="1" applyFill="1" applyBorder="1"/>
    <xf numFmtId="0" fontId="10" fillId="0" borderId="38" xfId="0" applyFont="1" applyBorder="1"/>
    <xf numFmtId="0" fontId="10" fillId="0" borderId="39" xfId="0" applyFont="1" applyBorder="1"/>
    <xf numFmtId="0" fontId="10" fillId="5" borderId="29" xfId="0" applyFont="1" applyFill="1" applyBorder="1"/>
    <xf numFmtId="0" fontId="10" fillId="5" borderId="34" xfId="0" applyFont="1" applyFill="1" applyBorder="1"/>
    <xf numFmtId="0" fontId="10" fillId="5" borderId="30" xfId="0" applyFont="1" applyFill="1" applyBorder="1"/>
    <xf numFmtId="0" fontId="10" fillId="4" borderId="26" xfId="0" applyFont="1" applyFill="1" applyBorder="1"/>
    <xf numFmtId="0" fontId="10" fillId="4" borderId="0" xfId="0" applyFont="1" applyFill="1" applyBorder="1"/>
    <xf numFmtId="0" fontId="10" fillId="4" borderId="31" xfId="0" applyFont="1" applyFill="1" applyBorder="1"/>
    <xf numFmtId="0" fontId="10" fillId="17" borderId="26" xfId="0" applyFont="1" applyFill="1" applyBorder="1"/>
    <xf numFmtId="0" fontId="10" fillId="17" borderId="0" xfId="0" applyFont="1" applyFill="1" applyBorder="1"/>
    <xf numFmtId="0" fontId="10" fillId="17" borderId="31" xfId="0" applyFont="1" applyFill="1" applyBorder="1"/>
    <xf numFmtId="0" fontId="10" fillId="10" borderId="0" xfId="0" applyFont="1" applyFill="1" applyBorder="1" applyAlignment="1">
      <alignment horizontal="center"/>
    </xf>
    <xf numFmtId="0" fontId="10" fillId="0" borderId="34" xfId="0" applyFont="1" applyBorder="1"/>
    <xf numFmtId="0" fontId="10" fillId="0" borderId="35" xfId="0" applyFont="1" applyBorder="1"/>
    <xf numFmtId="0" fontId="10" fillId="17" borderId="35" xfId="0" applyFont="1" applyFill="1" applyBorder="1" applyAlignment="1">
      <alignment horizontal="left"/>
    </xf>
    <xf numFmtId="0" fontId="10" fillId="17" borderId="33" xfId="0" applyFont="1" applyFill="1" applyBorder="1" applyAlignment="1">
      <alignment horizontal="left"/>
    </xf>
    <xf numFmtId="0" fontId="10" fillId="0" borderId="0" xfId="0" applyFont="1" applyBorder="1"/>
    <xf numFmtId="0" fontId="10" fillId="24" borderId="32" xfId="0" applyFont="1" applyFill="1" applyBorder="1"/>
    <xf numFmtId="0" fontId="10" fillId="24" borderId="35" xfId="0" applyFont="1" applyFill="1" applyBorder="1"/>
    <xf numFmtId="0" fontId="10" fillId="24" borderId="33" xfId="0" applyFont="1" applyFill="1" applyBorder="1"/>
    <xf numFmtId="0" fontId="10" fillId="15" borderId="1" xfId="0" applyFont="1" applyFill="1" applyBorder="1" applyAlignment="1">
      <alignment horizontal="center"/>
    </xf>
    <xf numFmtId="0" fontId="2" fillId="10" borderId="0" xfId="0" applyFont="1" applyFill="1" applyAlignment="1" applyProtection="1">
      <alignment horizontal="left"/>
      <protection locked="0"/>
    </xf>
    <xf numFmtId="0" fontId="2" fillId="10" borderId="8" xfId="0" applyFont="1" applyFill="1" applyBorder="1" applyAlignment="1" applyProtection="1">
      <alignment horizontal="left"/>
      <protection locked="0"/>
    </xf>
    <xf numFmtId="0" fontId="2" fillId="17" borderId="0" xfId="0" applyFont="1" applyFill="1" applyAlignment="1" applyProtection="1">
      <alignment horizontal="left"/>
      <protection locked="0"/>
    </xf>
    <xf numFmtId="0" fontId="2" fillId="17" borderId="6" xfId="0" applyFont="1" applyFill="1" applyBorder="1" applyAlignment="1" applyProtection="1">
      <alignment horizontal="left"/>
      <protection locked="0"/>
    </xf>
    <xf numFmtId="0" fontId="2" fillId="8" borderId="2" xfId="0" applyFont="1" applyFill="1" applyBorder="1" applyAlignment="1" applyProtection="1">
      <alignment vertical="top" wrapText="1"/>
      <protection locked="0"/>
    </xf>
    <xf numFmtId="0" fontId="2" fillId="8" borderId="3" xfId="0" applyFont="1" applyFill="1" applyBorder="1" applyAlignment="1" applyProtection="1">
      <alignment vertical="top" wrapText="1"/>
      <protection locked="0"/>
    </xf>
    <xf numFmtId="0" fontId="2" fillId="8" borderId="4" xfId="0" applyFont="1" applyFill="1" applyBorder="1" applyAlignment="1" applyProtection="1">
      <alignment vertical="top" wrapText="1"/>
      <protection locked="0"/>
    </xf>
    <xf numFmtId="0" fontId="2" fillId="8" borderId="5" xfId="0" applyFont="1" applyFill="1" applyBorder="1" applyAlignment="1" applyProtection="1">
      <alignment vertical="top" wrapText="1"/>
      <protection locked="0"/>
    </xf>
    <xf numFmtId="0" fontId="2" fillId="8" borderId="0" xfId="0" applyFont="1" applyFill="1" applyAlignment="1" applyProtection="1">
      <alignment vertical="top" wrapText="1"/>
      <protection locked="0"/>
    </xf>
    <xf numFmtId="0" fontId="2" fillId="8" borderId="6" xfId="0" applyFont="1" applyFill="1" applyBorder="1" applyAlignment="1" applyProtection="1">
      <alignment vertical="top" wrapText="1"/>
      <protection locked="0"/>
    </xf>
    <xf numFmtId="0" fontId="2" fillId="8" borderId="7" xfId="0" applyFont="1" applyFill="1" applyBorder="1" applyAlignment="1" applyProtection="1">
      <alignment vertical="top" wrapText="1"/>
      <protection locked="0"/>
    </xf>
    <xf numFmtId="0" fontId="2" fillId="8" borderId="8" xfId="0" applyFont="1" applyFill="1" applyBorder="1" applyAlignment="1" applyProtection="1">
      <alignment vertical="top" wrapText="1"/>
      <protection locked="0"/>
    </xf>
    <xf numFmtId="0" fontId="2" fillId="8" borderId="9" xfId="0" applyFont="1" applyFill="1" applyBorder="1" applyAlignment="1" applyProtection="1">
      <alignment vertical="top" wrapText="1"/>
      <protection locked="0"/>
    </xf>
    <xf numFmtId="0" fontId="2" fillId="10" borderId="3" xfId="0" applyFont="1" applyFill="1" applyBorder="1" applyAlignment="1" applyProtection="1">
      <alignment horizontal="left"/>
      <protection locked="0"/>
    </xf>
    <xf numFmtId="0" fontId="9" fillId="0" borderId="23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12" fillId="9" borderId="38" xfId="0" applyFont="1" applyFill="1" applyBorder="1" applyAlignment="1">
      <alignment horizontal="center" vertical="center" wrapText="1"/>
    </xf>
    <xf numFmtId="0" fontId="12" fillId="9" borderId="39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9" borderId="16" xfId="0" applyFont="1" applyFill="1" applyBorder="1" applyAlignment="1">
      <alignment horizontal="center" vertical="center" wrapText="1"/>
    </xf>
    <xf numFmtId="0" fontId="12" fillId="9" borderId="34" xfId="0" applyFont="1" applyFill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0" fillId="0" borderId="0" xfId="0" applyFont="1"/>
    <xf numFmtId="0" fontId="2" fillId="28" borderId="2" xfId="0" applyFont="1" applyFill="1" applyBorder="1" applyAlignment="1">
      <alignment horizontal="right"/>
    </xf>
    <xf numFmtId="0" fontId="2" fillId="28" borderId="3" xfId="0" applyFont="1" applyFill="1" applyBorder="1" applyAlignment="1">
      <alignment horizontal="right"/>
    </xf>
    <xf numFmtId="164" fontId="2" fillId="28" borderId="3" xfId="1" applyFont="1" applyFill="1" applyBorder="1"/>
    <xf numFmtId="0" fontId="2" fillId="28" borderId="3" xfId="0" applyFont="1" applyFill="1" applyBorder="1"/>
    <xf numFmtId="0" fontId="2" fillId="28" borderId="4" xfId="0" applyFont="1" applyFill="1" applyBorder="1"/>
    <xf numFmtId="0" fontId="2" fillId="28" borderId="5" xfId="0" applyFont="1" applyFill="1" applyBorder="1"/>
    <xf numFmtId="2" fontId="2" fillId="28" borderId="0" xfId="0" applyNumberFormat="1" applyFont="1" applyFill="1" applyAlignment="1">
      <alignment horizontal="left"/>
    </xf>
    <xf numFmtId="164" fontId="2" fillId="28" borderId="0" xfId="0" applyNumberFormat="1" applyFont="1" applyFill="1"/>
    <xf numFmtId="0" fontId="2" fillId="28" borderId="0" xfId="0" applyFont="1" applyFill="1"/>
    <xf numFmtId="164" fontId="2" fillId="28" borderId="0" xfId="0" applyNumberFormat="1" applyFont="1" applyFill="1" applyAlignment="1">
      <alignment horizontal="right"/>
    </xf>
    <xf numFmtId="0" fontId="2" fillId="28" borderId="6" xfId="0" applyFont="1" applyFill="1" applyBorder="1"/>
    <xf numFmtId="0" fontId="2" fillId="28" borderId="7" xfId="0" applyFont="1" applyFill="1" applyBorder="1"/>
    <xf numFmtId="2" fontId="2" fillId="28" borderId="8" xfId="0" applyNumberFormat="1" applyFont="1" applyFill="1" applyBorder="1" applyAlignment="1">
      <alignment horizontal="left"/>
    </xf>
    <xf numFmtId="164" fontId="2" fillId="28" borderId="8" xfId="0" applyNumberFormat="1" applyFont="1" applyFill="1" applyBorder="1"/>
    <xf numFmtId="0" fontId="2" fillId="28" borderId="8" xfId="0" applyFont="1" applyFill="1" applyBorder="1"/>
    <xf numFmtId="164" fontId="2" fillId="28" borderId="8" xfId="0" applyNumberFormat="1" applyFont="1" applyFill="1" applyBorder="1" applyAlignment="1">
      <alignment horizontal="right"/>
    </xf>
    <xf numFmtId="0" fontId="2" fillId="28" borderId="9" xfId="0" applyFont="1" applyFill="1" applyBorder="1"/>
  </cellXfs>
  <cellStyles count="5">
    <cellStyle name="Ênfase2" xfId="4" builtinId="33"/>
    <cellStyle name="Entrada" xfId="2" builtinId="20"/>
    <cellStyle name="Normal" xfId="0" builtinId="0"/>
    <cellStyle name="Saída" xfId="3" builtinId="2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fmlaLink="$F$4" noThreeD="1"/>
</file>

<file path=xl/ctrlProps/ctrlProp2.xml><?xml version="1.0" encoding="utf-8"?>
<formControlPr xmlns="http://schemas.microsoft.com/office/spreadsheetml/2009/9/main" objectType="Radio" checked="Checked"/>
</file>

<file path=xl/ctrlProps/ctrlProp3.xml><?xml version="1.0" encoding="utf-8"?>
<formControlPr xmlns="http://schemas.microsoft.com/office/spreadsheetml/2009/9/main" objectType="Drop" dropStyle="combo" dx="22" fmlaLink="$G$4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638175</xdr:colOff>
      <xdr:row>20</xdr:row>
      <xdr:rowOff>66675</xdr:rowOff>
    </xdr:from>
    <xdr:to>
      <xdr:col>28</xdr:col>
      <xdr:colOff>0</xdr:colOff>
      <xdr:row>23</xdr:row>
      <xdr:rowOff>95250</xdr:rowOff>
    </xdr:to>
    <xdr:sp macro="" textlink="">
      <xdr:nvSpPr>
        <xdr:cNvPr id="6149" name="Text Box 5">
          <a:extLst>
            <a:ext uri="{FF2B5EF4-FFF2-40B4-BE49-F238E27FC236}">
              <a16:creationId xmlns:a16="http://schemas.microsoft.com/office/drawing/2014/main" id="{00000000-0008-0000-0400-000005180000}"/>
            </a:ext>
          </a:extLst>
        </xdr:cNvPr>
        <xdr:cNvSpPr txBox="1">
          <a:spLocks noChangeArrowheads="1"/>
        </xdr:cNvSpPr>
      </xdr:nvSpPr>
      <xdr:spPr bwMode="auto">
        <a:xfrm>
          <a:off x="16621125" y="3867150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11</xdr:col>
      <xdr:colOff>419100</xdr:colOff>
      <xdr:row>5</xdr:row>
      <xdr:rowOff>66675</xdr:rowOff>
    </xdr:from>
    <xdr:to>
      <xdr:col>11</xdr:col>
      <xdr:colOff>571500</xdr:colOff>
      <xdr:row>8</xdr:row>
      <xdr:rowOff>133350</xdr:rowOff>
    </xdr:to>
    <xdr:sp macro="" textlink="">
      <xdr:nvSpPr>
        <xdr:cNvPr id="6150" name="Text Box 6">
          <a:extLst>
            <a:ext uri="{FF2B5EF4-FFF2-40B4-BE49-F238E27FC236}">
              <a16:creationId xmlns:a16="http://schemas.microsoft.com/office/drawing/2014/main" id="{00000000-0008-0000-0400-000006180000}"/>
            </a:ext>
          </a:extLst>
        </xdr:cNvPr>
        <xdr:cNvSpPr txBox="1">
          <a:spLocks noChangeArrowheads="1"/>
        </xdr:cNvSpPr>
      </xdr:nvSpPr>
      <xdr:spPr bwMode="auto">
        <a:xfrm>
          <a:off x="7105650" y="866775"/>
          <a:ext cx="1428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11</xdr:col>
      <xdr:colOff>638175</xdr:colOff>
      <xdr:row>25</xdr:row>
      <xdr:rowOff>66675</xdr:rowOff>
    </xdr:from>
    <xdr:to>
      <xdr:col>12</xdr:col>
      <xdr:colOff>0</xdr:colOff>
      <xdr:row>28</xdr:row>
      <xdr:rowOff>95250</xdr:rowOff>
    </xdr:to>
    <xdr:sp macro="" textlink="">
      <xdr:nvSpPr>
        <xdr:cNvPr id="6151" name="Text Box 7">
          <a:extLst>
            <a:ext uri="{FF2B5EF4-FFF2-40B4-BE49-F238E27FC236}">
              <a16:creationId xmlns:a16="http://schemas.microsoft.com/office/drawing/2014/main" id="{00000000-0008-0000-0400-000007180000}"/>
            </a:ext>
          </a:extLst>
        </xdr:cNvPr>
        <xdr:cNvSpPr txBox="1">
          <a:spLocks noChangeArrowheads="1"/>
        </xdr:cNvSpPr>
      </xdr:nvSpPr>
      <xdr:spPr bwMode="auto">
        <a:xfrm>
          <a:off x="7248525" y="48672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11</xdr:col>
      <xdr:colOff>381000</xdr:colOff>
      <xdr:row>25</xdr:row>
      <xdr:rowOff>19050</xdr:rowOff>
    </xdr:from>
    <xdr:to>
      <xdr:col>12</xdr:col>
      <xdr:colOff>9525</xdr:colOff>
      <xdr:row>28</xdr:row>
      <xdr:rowOff>85725</xdr:rowOff>
    </xdr:to>
    <xdr:sp macro="" textlink="">
      <xdr:nvSpPr>
        <xdr:cNvPr id="6152" name="Text Box 8">
          <a:extLst>
            <a:ext uri="{FF2B5EF4-FFF2-40B4-BE49-F238E27FC236}">
              <a16:creationId xmlns:a16="http://schemas.microsoft.com/office/drawing/2014/main" id="{00000000-0008-0000-0400-000008180000}"/>
            </a:ext>
          </a:extLst>
        </xdr:cNvPr>
        <xdr:cNvSpPr txBox="1">
          <a:spLocks noChangeArrowheads="1"/>
        </xdr:cNvSpPr>
      </xdr:nvSpPr>
      <xdr:spPr bwMode="auto">
        <a:xfrm>
          <a:off x="7067550" y="4819650"/>
          <a:ext cx="1905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0</xdr:col>
      <xdr:colOff>0</xdr:colOff>
      <xdr:row>59</xdr:row>
      <xdr:rowOff>66675</xdr:rowOff>
    </xdr:from>
    <xdr:to>
      <xdr:col>0</xdr:col>
      <xdr:colOff>0</xdr:colOff>
      <xdr:row>62</xdr:row>
      <xdr:rowOff>95250</xdr:rowOff>
    </xdr:to>
    <xdr:sp macro="" textlink="">
      <xdr:nvSpPr>
        <xdr:cNvPr id="6153" name="Text Box 9">
          <a:extLst>
            <a:ext uri="{FF2B5EF4-FFF2-40B4-BE49-F238E27FC236}">
              <a16:creationId xmlns:a16="http://schemas.microsoft.com/office/drawing/2014/main" id="{00000000-0008-0000-0400-000009180000}"/>
            </a:ext>
          </a:extLst>
        </xdr:cNvPr>
        <xdr:cNvSpPr txBox="1">
          <a:spLocks noChangeArrowheads="1"/>
        </xdr:cNvSpPr>
      </xdr:nvSpPr>
      <xdr:spPr bwMode="auto">
        <a:xfrm>
          <a:off x="0" y="1166812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28</xdr:col>
      <xdr:colOff>419100</xdr:colOff>
      <xdr:row>11</xdr:row>
      <xdr:rowOff>66675</xdr:rowOff>
    </xdr:from>
    <xdr:to>
      <xdr:col>28</xdr:col>
      <xdr:colOff>571500</xdr:colOff>
      <xdr:row>14</xdr:row>
      <xdr:rowOff>133350</xdr:rowOff>
    </xdr:to>
    <xdr:sp macro="" textlink="">
      <xdr:nvSpPr>
        <xdr:cNvPr id="6154" name="Text Box 10">
          <a:extLst>
            <a:ext uri="{FF2B5EF4-FFF2-40B4-BE49-F238E27FC236}">
              <a16:creationId xmlns:a16="http://schemas.microsoft.com/office/drawing/2014/main" id="{00000000-0008-0000-0400-00000A180000}"/>
            </a:ext>
          </a:extLst>
        </xdr:cNvPr>
        <xdr:cNvSpPr txBox="1">
          <a:spLocks noChangeArrowheads="1"/>
        </xdr:cNvSpPr>
      </xdr:nvSpPr>
      <xdr:spPr bwMode="auto">
        <a:xfrm>
          <a:off x="17040225" y="2066925"/>
          <a:ext cx="1524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28</xdr:col>
      <xdr:colOff>638175</xdr:colOff>
      <xdr:row>28</xdr:row>
      <xdr:rowOff>66675</xdr:rowOff>
    </xdr:from>
    <xdr:to>
      <xdr:col>29</xdr:col>
      <xdr:colOff>0</xdr:colOff>
      <xdr:row>31</xdr:row>
      <xdr:rowOff>95250</xdr:rowOff>
    </xdr:to>
    <xdr:sp macro="" textlink="">
      <xdr:nvSpPr>
        <xdr:cNvPr id="6155" name="Text Box 11">
          <a:extLst>
            <a:ext uri="{FF2B5EF4-FFF2-40B4-BE49-F238E27FC236}">
              <a16:creationId xmlns:a16="http://schemas.microsoft.com/office/drawing/2014/main" id="{00000000-0008-0000-0400-00000B180000}"/>
            </a:ext>
          </a:extLst>
        </xdr:cNvPr>
        <xdr:cNvSpPr txBox="1">
          <a:spLocks noChangeArrowheads="1"/>
        </xdr:cNvSpPr>
      </xdr:nvSpPr>
      <xdr:spPr bwMode="auto">
        <a:xfrm>
          <a:off x="17230725" y="5467350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0</xdr:col>
      <xdr:colOff>0</xdr:colOff>
      <xdr:row>97</xdr:row>
      <xdr:rowOff>66675</xdr:rowOff>
    </xdr:from>
    <xdr:to>
      <xdr:col>0</xdr:col>
      <xdr:colOff>0</xdr:colOff>
      <xdr:row>100</xdr:row>
      <xdr:rowOff>95250</xdr:rowOff>
    </xdr:to>
    <xdr:sp macro="" textlink="">
      <xdr:nvSpPr>
        <xdr:cNvPr id="6157" name="Text Box 13">
          <a:extLst>
            <a:ext uri="{FF2B5EF4-FFF2-40B4-BE49-F238E27FC236}">
              <a16:creationId xmlns:a16="http://schemas.microsoft.com/office/drawing/2014/main" id="{00000000-0008-0000-0400-00000D180000}"/>
            </a:ext>
          </a:extLst>
        </xdr:cNvPr>
        <xdr:cNvSpPr txBox="1">
          <a:spLocks noChangeArrowheads="1"/>
        </xdr:cNvSpPr>
      </xdr:nvSpPr>
      <xdr:spPr bwMode="auto">
        <a:xfrm>
          <a:off x="0" y="192690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11</xdr:col>
      <xdr:colOff>419100</xdr:colOff>
      <xdr:row>80</xdr:row>
      <xdr:rowOff>66675</xdr:rowOff>
    </xdr:from>
    <xdr:to>
      <xdr:col>11</xdr:col>
      <xdr:colOff>571500</xdr:colOff>
      <xdr:row>83</xdr:row>
      <xdr:rowOff>133350</xdr:rowOff>
    </xdr:to>
    <xdr:sp macro="" textlink="">
      <xdr:nvSpPr>
        <xdr:cNvPr id="6158" name="Text Box 14">
          <a:extLst>
            <a:ext uri="{FF2B5EF4-FFF2-40B4-BE49-F238E27FC236}">
              <a16:creationId xmlns:a16="http://schemas.microsoft.com/office/drawing/2014/main" id="{00000000-0008-0000-0400-00000E180000}"/>
            </a:ext>
          </a:extLst>
        </xdr:cNvPr>
        <xdr:cNvSpPr txBox="1">
          <a:spLocks noChangeArrowheads="1"/>
        </xdr:cNvSpPr>
      </xdr:nvSpPr>
      <xdr:spPr bwMode="auto">
        <a:xfrm>
          <a:off x="7105650" y="15868650"/>
          <a:ext cx="1428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11</xdr:col>
      <xdr:colOff>638175</xdr:colOff>
      <xdr:row>97</xdr:row>
      <xdr:rowOff>66675</xdr:rowOff>
    </xdr:from>
    <xdr:to>
      <xdr:col>12</xdr:col>
      <xdr:colOff>0</xdr:colOff>
      <xdr:row>100</xdr:row>
      <xdr:rowOff>95250</xdr:rowOff>
    </xdr:to>
    <xdr:sp macro="" textlink="">
      <xdr:nvSpPr>
        <xdr:cNvPr id="6159" name="Text Box 15">
          <a:extLst>
            <a:ext uri="{FF2B5EF4-FFF2-40B4-BE49-F238E27FC236}">
              <a16:creationId xmlns:a16="http://schemas.microsoft.com/office/drawing/2014/main" id="{00000000-0008-0000-0400-00000F180000}"/>
            </a:ext>
          </a:extLst>
        </xdr:cNvPr>
        <xdr:cNvSpPr txBox="1">
          <a:spLocks noChangeArrowheads="1"/>
        </xdr:cNvSpPr>
      </xdr:nvSpPr>
      <xdr:spPr bwMode="auto">
        <a:xfrm>
          <a:off x="7248525" y="192690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11</xdr:col>
      <xdr:colOff>400050</xdr:colOff>
      <xdr:row>97</xdr:row>
      <xdr:rowOff>66675</xdr:rowOff>
    </xdr:from>
    <xdr:to>
      <xdr:col>11</xdr:col>
      <xdr:colOff>542925</xdr:colOff>
      <xdr:row>100</xdr:row>
      <xdr:rowOff>133350</xdr:rowOff>
    </xdr:to>
    <xdr:sp macro="" textlink="">
      <xdr:nvSpPr>
        <xdr:cNvPr id="6160" name="Text Box 16">
          <a:extLst>
            <a:ext uri="{FF2B5EF4-FFF2-40B4-BE49-F238E27FC236}">
              <a16:creationId xmlns:a16="http://schemas.microsoft.com/office/drawing/2014/main" id="{00000000-0008-0000-0400-000010180000}"/>
            </a:ext>
          </a:extLst>
        </xdr:cNvPr>
        <xdr:cNvSpPr txBox="1">
          <a:spLocks noChangeArrowheads="1"/>
        </xdr:cNvSpPr>
      </xdr:nvSpPr>
      <xdr:spPr bwMode="auto">
        <a:xfrm>
          <a:off x="7086600" y="19269075"/>
          <a:ext cx="1428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0</xdr:col>
      <xdr:colOff>0</xdr:colOff>
      <xdr:row>135</xdr:row>
      <xdr:rowOff>66675</xdr:rowOff>
    </xdr:from>
    <xdr:to>
      <xdr:col>0</xdr:col>
      <xdr:colOff>0</xdr:colOff>
      <xdr:row>138</xdr:row>
      <xdr:rowOff>95250</xdr:rowOff>
    </xdr:to>
    <xdr:sp macro="" textlink="">
      <xdr:nvSpPr>
        <xdr:cNvPr id="6161" name="Text Box 17">
          <a:extLst>
            <a:ext uri="{FF2B5EF4-FFF2-40B4-BE49-F238E27FC236}">
              <a16:creationId xmlns:a16="http://schemas.microsoft.com/office/drawing/2014/main" id="{00000000-0008-0000-0400-000011180000}"/>
            </a:ext>
          </a:extLst>
        </xdr:cNvPr>
        <xdr:cNvSpPr txBox="1">
          <a:spLocks noChangeArrowheads="1"/>
        </xdr:cNvSpPr>
      </xdr:nvSpPr>
      <xdr:spPr bwMode="auto">
        <a:xfrm>
          <a:off x="0" y="2687002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11</xdr:col>
      <xdr:colOff>419100</xdr:colOff>
      <xdr:row>118</xdr:row>
      <xdr:rowOff>66675</xdr:rowOff>
    </xdr:from>
    <xdr:to>
      <xdr:col>11</xdr:col>
      <xdr:colOff>571500</xdr:colOff>
      <xdr:row>121</xdr:row>
      <xdr:rowOff>133350</xdr:rowOff>
    </xdr:to>
    <xdr:sp macro="" textlink="">
      <xdr:nvSpPr>
        <xdr:cNvPr id="6162" name="Text Box 18">
          <a:extLst>
            <a:ext uri="{FF2B5EF4-FFF2-40B4-BE49-F238E27FC236}">
              <a16:creationId xmlns:a16="http://schemas.microsoft.com/office/drawing/2014/main" id="{00000000-0008-0000-0400-000012180000}"/>
            </a:ext>
          </a:extLst>
        </xdr:cNvPr>
        <xdr:cNvSpPr txBox="1">
          <a:spLocks noChangeArrowheads="1"/>
        </xdr:cNvSpPr>
      </xdr:nvSpPr>
      <xdr:spPr bwMode="auto">
        <a:xfrm>
          <a:off x="7105650" y="23469600"/>
          <a:ext cx="1428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11</xdr:col>
      <xdr:colOff>638175</xdr:colOff>
      <xdr:row>135</xdr:row>
      <xdr:rowOff>66675</xdr:rowOff>
    </xdr:from>
    <xdr:to>
      <xdr:col>12</xdr:col>
      <xdr:colOff>0</xdr:colOff>
      <xdr:row>138</xdr:row>
      <xdr:rowOff>95250</xdr:rowOff>
    </xdr:to>
    <xdr:sp macro="" textlink="">
      <xdr:nvSpPr>
        <xdr:cNvPr id="6163" name="Text Box 19">
          <a:extLst>
            <a:ext uri="{FF2B5EF4-FFF2-40B4-BE49-F238E27FC236}">
              <a16:creationId xmlns:a16="http://schemas.microsoft.com/office/drawing/2014/main" id="{00000000-0008-0000-0400-000013180000}"/>
            </a:ext>
          </a:extLst>
        </xdr:cNvPr>
        <xdr:cNvSpPr txBox="1">
          <a:spLocks noChangeArrowheads="1"/>
        </xdr:cNvSpPr>
      </xdr:nvSpPr>
      <xdr:spPr bwMode="auto">
        <a:xfrm>
          <a:off x="7248525" y="2687002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11</xdr:col>
      <xdr:colOff>400050</xdr:colOff>
      <xdr:row>135</xdr:row>
      <xdr:rowOff>66675</xdr:rowOff>
    </xdr:from>
    <xdr:to>
      <xdr:col>11</xdr:col>
      <xdr:colOff>542925</xdr:colOff>
      <xdr:row>138</xdr:row>
      <xdr:rowOff>133350</xdr:rowOff>
    </xdr:to>
    <xdr:sp macro="" textlink="">
      <xdr:nvSpPr>
        <xdr:cNvPr id="6164" name="Text Box 20">
          <a:extLst>
            <a:ext uri="{FF2B5EF4-FFF2-40B4-BE49-F238E27FC236}">
              <a16:creationId xmlns:a16="http://schemas.microsoft.com/office/drawing/2014/main" id="{00000000-0008-0000-0400-000014180000}"/>
            </a:ext>
          </a:extLst>
        </xdr:cNvPr>
        <xdr:cNvSpPr txBox="1">
          <a:spLocks noChangeArrowheads="1"/>
        </xdr:cNvSpPr>
      </xdr:nvSpPr>
      <xdr:spPr bwMode="auto">
        <a:xfrm>
          <a:off x="7086600" y="26870025"/>
          <a:ext cx="1428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314325</xdr:colOff>
          <xdr:row>8</xdr:row>
          <xdr:rowOff>19050</xdr:rowOff>
        </xdr:to>
        <xdr:sp macro="" textlink="">
          <xdr:nvSpPr>
            <xdr:cNvPr id="6170" name="Option Button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4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7</xdr:row>
          <xdr:rowOff>0</xdr:rowOff>
        </xdr:from>
        <xdr:to>
          <xdr:col>6</xdr:col>
          <xdr:colOff>0</xdr:colOff>
          <xdr:row>8</xdr:row>
          <xdr:rowOff>19050</xdr:rowOff>
        </xdr:to>
        <xdr:sp macro="" textlink="">
          <xdr:nvSpPr>
            <xdr:cNvPr id="6171" name="Option Button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4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9</xdr:row>
          <xdr:rowOff>0</xdr:rowOff>
        </xdr:from>
        <xdr:to>
          <xdr:col>2</xdr:col>
          <xdr:colOff>704850</xdr:colOff>
          <xdr:row>10</xdr:row>
          <xdr:rowOff>0</xdr:rowOff>
        </xdr:to>
        <xdr:sp macro="" textlink="">
          <xdr:nvSpPr>
            <xdr:cNvPr id="6183" name="Drop Down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4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638175</xdr:colOff>
      <xdr:row>20</xdr:row>
      <xdr:rowOff>66675</xdr:rowOff>
    </xdr:from>
    <xdr:to>
      <xdr:col>9</xdr:col>
      <xdr:colOff>0</xdr:colOff>
      <xdr:row>23</xdr:row>
      <xdr:rowOff>85725</xdr:rowOff>
    </xdr:to>
    <xdr:sp macro="" textlink="">
      <xdr:nvSpPr>
        <xdr:cNvPr id="19459" name="Text Box 3">
          <a:extLst>
            <a:ext uri="{FF2B5EF4-FFF2-40B4-BE49-F238E27FC236}">
              <a16:creationId xmlns:a16="http://schemas.microsoft.com/office/drawing/2014/main" id="{00000000-0008-0000-0A00-0000034C0000}"/>
            </a:ext>
          </a:extLst>
        </xdr:cNvPr>
        <xdr:cNvSpPr txBox="1">
          <a:spLocks noChangeArrowheads="1"/>
        </xdr:cNvSpPr>
      </xdr:nvSpPr>
      <xdr:spPr bwMode="auto">
        <a:xfrm>
          <a:off x="5857875" y="3324225"/>
          <a:ext cx="104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8</xdr:col>
      <xdr:colOff>638175</xdr:colOff>
      <xdr:row>20</xdr:row>
      <xdr:rowOff>66675</xdr:rowOff>
    </xdr:from>
    <xdr:to>
      <xdr:col>9</xdr:col>
      <xdr:colOff>0</xdr:colOff>
      <xdr:row>23</xdr:row>
      <xdr:rowOff>85725</xdr:rowOff>
    </xdr:to>
    <xdr:sp macro="" textlink="">
      <xdr:nvSpPr>
        <xdr:cNvPr id="19460" name="Text Box 4">
          <a:extLst>
            <a:ext uri="{FF2B5EF4-FFF2-40B4-BE49-F238E27FC236}">
              <a16:creationId xmlns:a16="http://schemas.microsoft.com/office/drawing/2014/main" id="{00000000-0008-0000-0A00-0000044C0000}"/>
            </a:ext>
          </a:extLst>
        </xdr:cNvPr>
        <xdr:cNvSpPr txBox="1">
          <a:spLocks noChangeArrowheads="1"/>
        </xdr:cNvSpPr>
      </xdr:nvSpPr>
      <xdr:spPr bwMode="auto">
        <a:xfrm>
          <a:off x="5857875" y="3324225"/>
          <a:ext cx="104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BD5BC-8982-4524-9643-03A2493F7A2A}">
  <dimension ref="A1:H9"/>
  <sheetViews>
    <sheetView zoomScale="160" zoomScaleNormal="160" workbookViewId="0">
      <selection activeCell="K6" sqref="K6"/>
    </sheetView>
  </sheetViews>
  <sheetFormatPr defaultRowHeight="12.75" x14ac:dyDescent="0.2"/>
  <cols>
    <col min="1" max="1" width="2" bestFit="1" customWidth="1"/>
    <col min="2" max="2" width="12.85546875" bestFit="1" customWidth="1"/>
    <col min="3" max="3" width="14.7109375" style="244" customWidth="1"/>
    <col min="4" max="4" width="3" customWidth="1"/>
    <col min="5" max="5" width="12.140625" bestFit="1" customWidth="1"/>
    <col min="6" max="6" width="14.7109375" customWidth="1"/>
  </cols>
  <sheetData>
    <row r="1" spans="1:8" ht="15" x14ac:dyDescent="0.25">
      <c r="A1" s="252" t="s">
        <v>573</v>
      </c>
      <c r="B1" s="253"/>
      <c r="C1" s="254"/>
      <c r="E1" s="253" t="s">
        <v>580</v>
      </c>
      <c r="F1" s="254"/>
    </row>
    <row r="2" spans="1:8" ht="15" x14ac:dyDescent="0.25">
      <c r="A2" s="245"/>
      <c r="B2" s="245" t="s">
        <v>574</v>
      </c>
      <c r="C2" s="249">
        <v>6200</v>
      </c>
      <c r="E2" s="245" t="s">
        <v>574</v>
      </c>
      <c r="F2" s="250">
        <f>(C9*25%)+C9</f>
        <v>9336.1111111111113</v>
      </c>
    </row>
    <row r="3" spans="1:8" ht="15" x14ac:dyDescent="0.25">
      <c r="A3" s="245"/>
      <c r="B3" s="245" t="s">
        <v>575</v>
      </c>
      <c r="C3" s="249">
        <v>580</v>
      </c>
      <c r="E3" s="245" t="s">
        <v>579</v>
      </c>
      <c r="F3" s="247">
        <v>0.12</v>
      </c>
    </row>
    <row r="4" spans="1:8" ht="15" x14ac:dyDescent="0.25">
      <c r="A4" s="245"/>
      <c r="B4" s="245" t="s">
        <v>576</v>
      </c>
      <c r="C4" s="250">
        <f>C2/12</f>
        <v>516.66666666666663</v>
      </c>
      <c r="E4" s="245" t="s">
        <v>581</v>
      </c>
      <c r="F4" s="250">
        <v>1500</v>
      </c>
    </row>
    <row r="5" spans="1:8" ht="15" x14ac:dyDescent="0.25">
      <c r="A5" s="245"/>
      <c r="B5" s="245" t="s">
        <v>577</v>
      </c>
      <c r="C5" s="250">
        <f>(C2/3)/12</f>
        <v>172.2222222222222</v>
      </c>
      <c r="H5" s="248"/>
    </row>
    <row r="6" spans="1:8" ht="15" x14ac:dyDescent="0.25">
      <c r="A6" s="245">
        <v>0</v>
      </c>
      <c r="B6" s="245" t="s">
        <v>578</v>
      </c>
      <c r="C6" s="250">
        <f>(C2*A6)/12</f>
        <v>0</v>
      </c>
      <c r="F6" s="251">
        <f>F2-((F2*F3)+F4)</f>
        <v>6715.7777777777783</v>
      </c>
    </row>
    <row r="7" spans="1:8" ht="15" x14ac:dyDescent="0.25">
      <c r="A7" s="245"/>
      <c r="B7" s="245"/>
      <c r="C7" s="250"/>
    </row>
    <row r="8" spans="1:8" s="246" customFormat="1" ht="11.25" customHeight="1" x14ac:dyDescent="0.2">
      <c r="A8"/>
      <c r="B8"/>
      <c r="C8"/>
      <c r="D8"/>
    </row>
    <row r="9" spans="1:8" ht="15" x14ac:dyDescent="0.25">
      <c r="C9" s="251">
        <f>SUM(C2:C6)</f>
        <v>7468.8888888888896</v>
      </c>
    </row>
  </sheetData>
  <mergeCells count="2">
    <mergeCell ref="A1:C1"/>
    <mergeCell ref="E1:F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B3E3D-ACDB-4C5F-B4A1-12F4E9A3D0BA}">
  <sheetPr codeName="Planilha9"/>
  <dimension ref="A1:O152"/>
  <sheetViews>
    <sheetView workbookViewId="0">
      <selection activeCell="U24" sqref="U24"/>
    </sheetView>
  </sheetViews>
  <sheetFormatPr defaultRowHeight="12.75" x14ac:dyDescent="0.2"/>
  <cols>
    <col min="1" max="1" width="27.7109375" customWidth="1"/>
    <col min="2" max="2" width="6.140625" style="1" customWidth="1"/>
    <col min="3" max="5" width="9.140625" style="1"/>
    <col min="6" max="6" width="9.5703125" style="1" bestFit="1" customWidth="1"/>
    <col min="7" max="9" width="9.140625" style="1"/>
    <col min="10" max="10" width="7.7109375" style="1" customWidth="1"/>
    <col min="11" max="11" width="9.140625" style="1"/>
    <col min="12" max="12" width="7.5703125" style="1" customWidth="1"/>
    <col min="13" max="13" width="8" style="1" customWidth="1"/>
    <col min="14" max="14" width="5.5703125" style="1" customWidth="1"/>
    <col min="15" max="15" width="9.140625" style="1"/>
  </cols>
  <sheetData>
    <row r="1" spans="1:14" x14ac:dyDescent="0.2">
      <c r="A1" s="1" t="s">
        <v>1</v>
      </c>
      <c r="B1" s="10" t="s">
        <v>572</v>
      </c>
      <c r="C1" s="1" t="s">
        <v>16</v>
      </c>
      <c r="D1" s="1" t="s">
        <v>17</v>
      </c>
      <c r="E1" s="1" t="s">
        <v>7</v>
      </c>
      <c r="F1" s="1" t="s">
        <v>11</v>
      </c>
      <c r="G1" s="1" t="s">
        <v>12</v>
      </c>
      <c r="H1" s="1" t="s">
        <v>13</v>
      </c>
      <c r="I1" s="10" t="s">
        <v>570</v>
      </c>
      <c r="J1" s="1" t="s">
        <v>8</v>
      </c>
      <c r="K1" s="1" t="s">
        <v>9</v>
      </c>
      <c r="L1" s="1" t="s">
        <v>10</v>
      </c>
      <c r="M1" s="10" t="s">
        <v>571</v>
      </c>
      <c r="N1" s="1" t="s">
        <v>3</v>
      </c>
    </row>
    <row r="2" spans="1:14" x14ac:dyDescent="0.2">
      <c r="A2" s="3" t="s">
        <v>75</v>
      </c>
      <c r="B2" s="1">
        <v>100</v>
      </c>
      <c r="C2" s="6">
        <v>1.8</v>
      </c>
      <c r="D2" s="6">
        <v>6.4</v>
      </c>
      <c r="E2" s="6">
        <v>16</v>
      </c>
      <c r="F2" s="6">
        <v>13</v>
      </c>
      <c r="G2" s="6">
        <v>47</v>
      </c>
      <c r="H2" s="6">
        <v>0.7</v>
      </c>
      <c r="I2" s="6">
        <v>20</v>
      </c>
      <c r="J2" s="6">
        <v>7.0000000000000007E-2</v>
      </c>
      <c r="K2" s="6">
        <v>0.1</v>
      </c>
      <c r="L2" s="6">
        <v>0.8</v>
      </c>
      <c r="M2" s="6">
        <v>10.199999999999999</v>
      </c>
      <c r="N2" s="6"/>
    </row>
    <row r="3" spans="1:14" x14ac:dyDescent="0.2">
      <c r="A3" t="s">
        <v>76</v>
      </c>
      <c r="B3" s="1">
        <v>100</v>
      </c>
      <c r="C3" s="6">
        <v>0.4</v>
      </c>
      <c r="D3" s="6">
        <v>13.7</v>
      </c>
      <c r="E3" s="6">
        <v>0.2</v>
      </c>
      <c r="F3" s="6">
        <v>18</v>
      </c>
      <c r="G3" s="6">
        <v>8</v>
      </c>
      <c r="H3" s="6">
        <v>0.5</v>
      </c>
      <c r="I3" s="6">
        <v>5</v>
      </c>
      <c r="J3" s="6">
        <v>0.08</v>
      </c>
      <c r="K3" s="6">
        <v>0.128</v>
      </c>
      <c r="L3" s="6">
        <v>0.82</v>
      </c>
      <c r="M3" s="6">
        <v>27.2</v>
      </c>
      <c r="N3" s="6"/>
    </row>
    <row r="4" spans="1:14" x14ac:dyDescent="0.2">
      <c r="A4" t="s">
        <v>77</v>
      </c>
      <c r="B4" s="1">
        <v>100</v>
      </c>
      <c r="C4" s="6">
        <v>0.44</v>
      </c>
      <c r="D4" s="6">
        <v>29.77</v>
      </c>
      <c r="E4" s="6">
        <v>0.18</v>
      </c>
      <c r="F4" s="6">
        <v>27</v>
      </c>
      <c r="G4" s="6">
        <v>11</v>
      </c>
      <c r="H4" s="6">
        <v>0.75</v>
      </c>
      <c r="I4" s="6"/>
      <c r="J4" s="6"/>
      <c r="K4" s="6"/>
      <c r="L4" s="6"/>
      <c r="M4" s="6">
        <v>4.4000000000000004</v>
      </c>
      <c r="N4" s="6"/>
    </row>
    <row r="5" spans="1:14" x14ac:dyDescent="0.2">
      <c r="A5" t="s">
        <v>78</v>
      </c>
      <c r="B5" s="1">
        <v>100</v>
      </c>
      <c r="C5" s="6">
        <v>3.8</v>
      </c>
      <c r="D5" s="6">
        <v>36.6</v>
      </c>
      <c r="E5" s="6">
        <v>12.2</v>
      </c>
      <c r="F5" s="6">
        <v>118</v>
      </c>
      <c r="G5" s="6">
        <v>0.5</v>
      </c>
      <c r="H5" s="6">
        <v>11.8</v>
      </c>
      <c r="I5" s="6">
        <v>0</v>
      </c>
      <c r="J5" s="6">
        <v>0.36</v>
      </c>
      <c r="K5" s="6">
        <v>0.01</v>
      </c>
      <c r="L5" s="6">
        <v>0.4</v>
      </c>
      <c r="M5" s="6">
        <v>9</v>
      </c>
      <c r="N5" s="6"/>
    </row>
    <row r="6" spans="1:14" x14ac:dyDescent="0.2">
      <c r="A6" s="3" t="s">
        <v>147</v>
      </c>
      <c r="B6" s="1">
        <v>100</v>
      </c>
      <c r="C6" s="10">
        <v>13.1</v>
      </c>
      <c r="D6" s="10">
        <v>22.3</v>
      </c>
      <c r="E6" s="10">
        <v>15.6</v>
      </c>
      <c r="N6" s="10">
        <v>1.8</v>
      </c>
    </row>
    <row r="7" spans="1:14" x14ac:dyDescent="0.2">
      <c r="A7" t="s">
        <v>60</v>
      </c>
      <c r="B7" s="1">
        <v>100</v>
      </c>
      <c r="C7" s="6">
        <v>0</v>
      </c>
      <c r="D7" s="6">
        <v>100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/>
      <c r="K7" s="6">
        <v>0</v>
      </c>
      <c r="L7" s="6"/>
      <c r="M7" s="6">
        <v>0</v>
      </c>
      <c r="N7" s="6"/>
    </row>
    <row r="8" spans="1:14" x14ac:dyDescent="0.2">
      <c r="A8" s="3" t="s">
        <v>148</v>
      </c>
      <c r="B8" s="1">
        <v>100</v>
      </c>
      <c r="C8" s="10"/>
      <c r="D8" s="10">
        <v>99.1</v>
      </c>
      <c r="E8" s="10">
        <v>0</v>
      </c>
      <c r="N8" s="10"/>
    </row>
    <row r="9" spans="1:14" x14ac:dyDescent="0.2">
      <c r="A9" s="3" t="s">
        <v>149</v>
      </c>
      <c r="B9" s="1">
        <v>100</v>
      </c>
      <c r="C9" s="10"/>
      <c r="D9" s="10">
        <v>96.4</v>
      </c>
      <c r="E9" s="10">
        <v>0</v>
      </c>
      <c r="N9" s="10"/>
    </row>
    <row r="10" spans="1:14" x14ac:dyDescent="0.2">
      <c r="A10" s="3" t="s">
        <v>150</v>
      </c>
      <c r="B10" s="1">
        <v>100</v>
      </c>
      <c r="C10" s="10"/>
      <c r="D10" s="10">
        <v>99.5</v>
      </c>
      <c r="E10" s="10">
        <v>0</v>
      </c>
      <c r="N10" s="10"/>
    </row>
    <row r="11" spans="1:14" x14ac:dyDescent="0.2">
      <c r="A11" t="s">
        <v>79</v>
      </c>
      <c r="B11" s="1">
        <v>100</v>
      </c>
      <c r="C11" s="6">
        <v>0.6</v>
      </c>
      <c r="D11" s="6">
        <v>28.9</v>
      </c>
      <c r="E11" s="6">
        <v>0.2</v>
      </c>
      <c r="F11" s="6">
        <v>35</v>
      </c>
      <c r="G11" s="6">
        <v>37</v>
      </c>
      <c r="H11" s="6">
        <v>0.9</v>
      </c>
      <c r="I11" s="6">
        <v>2</v>
      </c>
      <c r="J11" s="6">
        <v>0.05</v>
      </c>
      <c r="K11" s="6">
        <v>0.03</v>
      </c>
      <c r="L11" s="6">
        <v>0.6</v>
      </c>
      <c r="M11" s="6">
        <v>26.8</v>
      </c>
      <c r="N11" s="6"/>
    </row>
    <row r="12" spans="1:14" x14ac:dyDescent="0.2">
      <c r="A12" t="s">
        <v>80</v>
      </c>
      <c r="B12" s="1">
        <v>100</v>
      </c>
      <c r="C12" s="6">
        <v>1.2</v>
      </c>
      <c r="D12" s="6">
        <v>55.2</v>
      </c>
      <c r="E12" s="6">
        <v>14.5</v>
      </c>
      <c r="F12" s="6">
        <v>54</v>
      </c>
      <c r="G12" s="6">
        <v>70</v>
      </c>
      <c r="H12" s="6">
        <v>1.7</v>
      </c>
      <c r="I12" s="6">
        <v>3</v>
      </c>
      <c r="J12" s="6">
        <v>0.09</v>
      </c>
      <c r="K12" s="6">
        <v>0.06</v>
      </c>
      <c r="L12" s="6">
        <v>1.1000000000000001</v>
      </c>
      <c r="M12" s="6">
        <v>7</v>
      </c>
      <c r="N12" s="6"/>
    </row>
    <row r="13" spans="1:14" x14ac:dyDescent="0.2">
      <c r="A13" s="3" t="s">
        <v>151</v>
      </c>
      <c r="B13" s="1">
        <v>100</v>
      </c>
      <c r="C13" s="10">
        <v>1.8</v>
      </c>
      <c r="D13" s="10">
        <v>11.5</v>
      </c>
      <c r="E13" s="10">
        <v>0.2</v>
      </c>
      <c r="N13" s="10">
        <v>0.5</v>
      </c>
    </row>
    <row r="14" spans="1:14" x14ac:dyDescent="0.2">
      <c r="A14" t="s">
        <v>81</v>
      </c>
      <c r="B14" s="1">
        <v>100</v>
      </c>
      <c r="C14" s="6">
        <v>0.43</v>
      </c>
      <c r="D14" s="6">
        <v>28.42</v>
      </c>
      <c r="E14" s="6">
        <v>0.24</v>
      </c>
      <c r="F14" s="6">
        <v>12</v>
      </c>
      <c r="G14" s="6">
        <v>39</v>
      </c>
      <c r="H14" s="6">
        <v>1.36</v>
      </c>
      <c r="I14" s="6">
        <v>105</v>
      </c>
      <c r="J14" s="6">
        <v>2.4E-2</v>
      </c>
      <c r="K14" s="6">
        <v>2.5999999999999999E-2</v>
      </c>
      <c r="L14" s="6">
        <v>0.36</v>
      </c>
      <c r="M14" s="6">
        <v>1.1000000000000001</v>
      </c>
      <c r="N14" s="6"/>
    </row>
    <row r="15" spans="1:14" x14ac:dyDescent="0.2">
      <c r="A15" t="s">
        <v>82</v>
      </c>
      <c r="B15" s="1">
        <v>100</v>
      </c>
      <c r="C15" s="6">
        <v>18.600000000000001</v>
      </c>
      <c r="D15" s="6">
        <v>19.600000000000001</v>
      </c>
      <c r="E15" s="6">
        <v>54.1</v>
      </c>
      <c r="F15" s="6">
        <v>254</v>
      </c>
      <c r="G15" s="6">
        <v>457</v>
      </c>
      <c r="H15" s="6">
        <v>4.4000000000000004</v>
      </c>
      <c r="I15" s="6">
        <v>0</v>
      </c>
      <c r="J15" s="6">
        <v>0.71</v>
      </c>
      <c r="K15" s="6">
        <v>0.28000000000000003</v>
      </c>
      <c r="L15" s="6">
        <v>0.7</v>
      </c>
      <c r="M15" s="6"/>
      <c r="N15" s="6"/>
    </row>
    <row r="16" spans="1:14" x14ac:dyDescent="0.2">
      <c r="A16" t="s">
        <v>184</v>
      </c>
      <c r="B16" s="1">
        <v>100</v>
      </c>
      <c r="C16" s="6">
        <v>23.2</v>
      </c>
      <c r="D16" s="6">
        <v>21.7</v>
      </c>
      <c r="E16" s="6">
        <v>50.9</v>
      </c>
      <c r="F16" s="6">
        <v>42</v>
      </c>
      <c r="G16" s="6">
        <v>354</v>
      </c>
      <c r="H16" s="6">
        <v>1.6</v>
      </c>
      <c r="I16" s="6"/>
      <c r="J16" s="6">
        <v>0.24</v>
      </c>
      <c r="K16" s="6">
        <v>0.14000000000000001</v>
      </c>
      <c r="L16" s="6">
        <v>19</v>
      </c>
      <c r="M16" s="6">
        <v>1</v>
      </c>
      <c r="N16" s="6"/>
    </row>
    <row r="17" spans="1:14" x14ac:dyDescent="0.2">
      <c r="A17" t="s">
        <v>83</v>
      </c>
      <c r="B17" s="1">
        <v>100</v>
      </c>
      <c r="C17" s="6">
        <v>8.1</v>
      </c>
      <c r="D17" s="6">
        <v>73.8</v>
      </c>
      <c r="E17" s="6">
        <v>15.7</v>
      </c>
      <c r="F17" s="6">
        <v>17</v>
      </c>
      <c r="G17" s="6">
        <v>143</v>
      </c>
      <c r="H17" s="6">
        <v>1.3</v>
      </c>
      <c r="I17" s="6">
        <v>2</v>
      </c>
      <c r="J17" s="6">
        <v>0.14499999999999999</v>
      </c>
      <c r="K17" s="6">
        <v>8.5999999999999993E-2</v>
      </c>
      <c r="L17" s="6">
        <v>2.6539999999999999</v>
      </c>
      <c r="M17" s="6"/>
      <c r="N17" s="6"/>
    </row>
    <row r="18" spans="1:14" x14ac:dyDescent="0.2">
      <c r="A18" t="s">
        <v>84</v>
      </c>
      <c r="B18" s="1">
        <v>100</v>
      </c>
      <c r="C18" s="6">
        <v>3.3</v>
      </c>
      <c r="D18" s="6">
        <v>26.2</v>
      </c>
      <c r="E18" s="6">
        <v>0.7</v>
      </c>
      <c r="F18" s="6">
        <v>2</v>
      </c>
      <c r="G18" s="6">
        <v>56</v>
      </c>
      <c r="H18" s="6">
        <v>0.6</v>
      </c>
      <c r="I18" s="6">
        <v>12</v>
      </c>
      <c r="J18" s="6">
        <v>7.0000000000000007E-2</v>
      </c>
      <c r="K18" s="6">
        <v>0.1</v>
      </c>
      <c r="L18" s="6">
        <v>0.5</v>
      </c>
      <c r="M18" s="6">
        <v>1</v>
      </c>
      <c r="N18" s="6"/>
    </row>
    <row r="19" spans="1:14" x14ac:dyDescent="0.2">
      <c r="A19" t="s">
        <v>50</v>
      </c>
      <c r="B19" s="1">
        <v>100</v>
      </c>
      <c r="C19" s="6">
        <v>2.2999999999999998</v>
      </c>
      <c r="D19" s="6">
        <v>32.299999999999997</v>
      </c>
      <c r="E19" s="6">
        <v>2.1</v>
      </c>
      <c r="F19" s="6">
        <v>3</v>
      </c>
      <c r="G19" s="6">
        <v>36</v>
      </c>
      <c r="H19" s="6">
        <v>0.93</v>
      </c>
      <c r="I19" s="6">
        <v>0</v>
      </c>
      <c r="J19" s="6">
        <v>0.18</v>
      </c>
      <c r="K19" s="6">
        <v>0.05</v>
      </c>
      <c r="L19" s="6">
        <v>0.55000000000000004</v>
      </c>
      <c r="M19" s="6">
        <v>0</v>
      </c>
      <c r="N19" s="6">
        <v>2.88</v>
      </c>
    </row>
    <row r="20" spans="1:14" x14ac:dyDescent="0.2">
      <c r="A20" t="s">
        <v>85</v>
      </c>
      <c r="B20" s="1">
        <v>100</v>
      </c>
      <c r="C20" s="6">
        <v>1.9</v>
      </c>
      <c r="D20" s="6">
        <v>2.4</v>
      </c>
      <c r="E20" s="6">
        <v>0.1</v>
      </c>
      <c r="F20" s="6">
        <v>14</v>
      </c>
      <c r="G20" s="6">
        <v>36</v>
      </c>
      <c r="H20" s="6">
        <v>0.9</v>
      </c>
      <c r="I20" s="6">
        <v>50</v>
      </c>
      <c r="J20" s="6">
        <v>7.0000000000000007E-2</v>
      </c>
      <c r="K20" s="6">
        <v>0.13</v>
      </c>
      <c r="L20" s="6">
        <v>0.754</v>
      </c>
      <c r="M20" s="6">
        <v>16</v>
      </c>
      <c r="N20" s="6"/>
    </row>
    <row r="21" spans="1:14" x14ac:dyDescent="0.2">
      <c r="A21" t="s">
        <v>86</v>
      </c>
      <c r="B21" s="1">
        <v>100</v>
      </c>
      <c r="C21" s="6">
        <v>3.4</v>
      </c>
      <c r="D21" s="6">
        <v>3.5</v>
      </c>
      <c r="E21" s="6">
        <v>17.09</v>
      </c>
      <c r="F21" s="6"/>
      <c r="G21" s="6"/>
      <c r="H21" s="6"/>
      <c r="I21" s="6">
        <v>23</v>
      </c>
      <c r="J21" s="6">
        <v>6.0000000000000001E-3</v>
      </c>
      <c r="K21" s="6">
        <v>0.01</v>
      </c>
      <c r="L21" s="6">
        <v>0.12</v>
      </c>
      <c r="M21" s="6">
        <v>0</v>
      </c>
      <c r="N21" s="6"/>
    </row>
    <row r="22" spans="1:14" x14ac:dyDescent="0.2">
      <c r="A22" t="s">
        <v>87</v>
      </c>
      <c r="B22" s="1">
        <v>100</v>
      </c>
      <c r="C22" s="6">
        <v>1.5</v>
      </c>
      <c r="D22" s="6">
        <v>2.8</v>
      </c>
      <c r="E22" s="6">
        <v>13.5</v>
      </c>
      <c r="F22" s="6">
        <v>61</v>
      </c>
      <c r="G22" s="6">
        <v>17</v>
      </c>
      <c r="H22" s="6">
        <v>1.03</v>
      </c>
      <c r="I22" s="6">
        <v>25</v>
      </c>
      <c r="J22" s="6">
        <v>8.0000000000000002E-3</v>
      </c>
      <c r="K22" s="6">
        <v>1.2E-2</v>
      </c>
      <c r="L22" s="6">
        <v>0.23</v>
      </c>
      <c r="M22" s="6">
        <v>5.9</v>
      </c>
      <c r="N22" s="6"/>
    </row>
    <row r="23" spans="1:14" x14ac:dyDescent="0.2">
      <c r="A23" t="s">
        <v>88</v>
      </c>
      <c r="B23" s="1">
        <v>100</v>
      </c>
      <c r="C23" s="6">
        <v>15.5</v>
      </c>
      <c r="D23" s="6">
        <v>0</v>
      </c>
      <c r="E23" s="6">
        <v>42.6</v>
      </c>
      <c r="F23" s="6">
        <v>13</v>
      </c>
      <c r="G23" s="6">
        <v>108</v>
      </c>
      <c r="H23" s="6">
        <v>0.8</v>
      </c>
      <c r="I23" s="6">
        <v>0</v>
      </c>
      <c r="J23" s="6">
        <v>0.36</v>
      </c>
      <c r="K23" s="6">
        <v>0.11</v>
      </c>
      <c r="L23" s="6">
        <v>1.8</v>
      </c>
      <c r="M23" s="6">
        <v>0</v>
      </c>
      <c r="N23" s="6"/>
    </row>
    <row r="24" spans="1:14" x14ac:dyDescent="0.2">
      <c r="A24" t="s">
        <v>89</v>
      </c>
      <c r="B24" s="1">
        <v>100</v>
      </c>
      <c r="C24" s="6">
        <v>9.5</v>
      </c>
      <c r="D24" s="6">
        <v>0</v>
      </c>
      <c r="E24" s="6">
        <v>59.4</v>
      </c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">
      <c r="A25" s="7" t="s">
        <v>90</v>
      </c>
      <c r="B25" s="1">
        <v>100</v>
      </c>
      <c r="C25" s="6">
        <v>3.16</v>
      </c>
      <c r="D25" s="6">
        <v>67.73</v>
      </c>
      <c r="E25" s="6">
        <v>0.5</v>
      </c>
      <c r="F25" s="6"/>
      <c r="G25" s="6"/>
      <c r="H25" s="6"/>
      <c r="I25" s="6"/>
      <c r="J25" s="6">
        <v>0.13900000000000001</v>
      </c>
      <c r="K25" s="6">
        <v>0.10100000000000001</v>
      </c>
      <c r="L25" s="6">
        <v>1</v>
      </c>
      <c r="M25" s="6">
        <v>4.4000000000000004</v>
      </c>
      <c r="N25" s="6"/>
    </row>
    <row r="26" spans="1:14" x14ac:dyDescent="0.2">
      <c r="A26" t="s">
        <v>58</v>
      </c>
      <c r="B26" s="1">
        <v>100</v>
      </c>
      <c r="C26" s="6">
        <v>5</v>
      </c>
      <c r="D26" s="6">
        <v>63</v>
      </c>
      <c r="E26" s="6">
        <v>18.100000000000001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4</v>
      </c>
    </row>
    <row r="27" spans="1:14" x14ac:dyDescent="0.2">
      <c r="A27" t="s">
        <v>91</v>
      </c>
      <c r="B27" s="1">
        <v>100</v>
      </c>
      <c r="C27" s="6">
        <v>2</v>
      </c>
      <c r="D27" s="6">
        <v>19.100000000000001</v>
      </c>
      <c r="E27" s="6">
        <v>0.1</v>
      </c>
      <c r="F27" s="6">
        <v>11</v>
      </c>
      <c r="G27" s="6">
        <v>56</v>
      </c>
      <c r="H27" s="6">
        <v>0.7</v>
      </c>
      <c r="I27" s="6"/>
      <c r="J27" s="6"/>
      <c r="K27" s="6"/>
      <c r="L27" s="6"/>
      <c r="M27" s="6">
        <v>13.1</v>
      </c>
      <c r="N27" s="6"/>
    </row>
    <row r="28" spans="1:14" x14ac:dyDescent="0.2">
      <c r="A28" t="s">
        <v>92</v>
      </c>
      <c r="B28" s="1">
        <v>100</v>
      </c>
      <c r="C28" s="6">
        <v>4.3</v>
      </c>
      <c r="D28" s="6">
        <v>36</v>
      </c>
      <c r="E28" s="6">
        <v>13.2</v>
      </c>
      <c r="F28" s="6">
        <v>15</v>
      </c>
      <c r="G28" s="6">
        <v>89</v>
      </c>
      <c r="H28" s="6">
        <v>0.8</v>
      </c>
      <c r="I28" s="6">
        <v>0</v>
      </c>
      <c r="J28" s="6">
        <v>0.13</v>
      </c>
      <c r="K28" s="6">
        <v>0.08</v>
      </c>
      <c r="L28" s="6">
        <v>3.1</v>
      </c>
      <c r="M28" s="6">
        <v>10</v>
      </c>
      <c r="N28" s="6"/>
    </row>
    <row r="29" spans="1:14" x14ac:dyDescent="0.2">
      <c r="A29" t="s">
        <v>93</v>
      </c>
      <c r="B29" s="1">
        <v>100</v>
      </c>
      <c r="C29" s="6">
        <v>2.7</v>
      </c>
      <c r="D29" s="6">
        <v>60.1</v>
      </c>
      <c r="E29" s="6">
        <v>14.6</v>
      </c>
      <c r="F29" s="6">
        <v>45</v>
      </c>
      <c r="G29" s="6">
        <v>58</v>
      </c>
      <c r="H29" s="6">
        <v>1.6</v>
      </c>
      <c r="I29" s="6">
        <v>630</v>
      </c>
      <c r="J29" s="6">
        <v>0.23</v>
      </c>
      <c r="K29" s="6">
        <v>0.08</v>
      </c>
      <c r="L29" s="6">
        <v>1.7</v>
      </c>
      <c r="M29" s="6">
        <v>7</v>
      </c>
      <c r="N29" s="6"/>
    </row>
    <row r="30" spans="1:14" x14ac:dyDescent="0.2">
      <c r="A30" s="3" t="s">
        <v>152</v>
      </c>
      <c r="B30" s="1">
        <v>100</v>
      </c>
      <c r="C30" s="10">
        <v>0.5</v>
      </c>
      <c r="D30" s="10">
        <v>17.899999999999999</v>
      </c>
      <c r="E30" s="10">
        <v>0.5</v>
      </c>
      <c r="N30" s="10"/>
    </row>
    <row r="31" spans="1:14" x14ac:dyDescent="0.2">
      <c r="A31" t="s">
        <v>61</v>
      </c>
      <c r="B31" s="1">
        <v>100</v>
      </c>
      <c r="C31" s="6">
        <v>9.48</v>
      </c>
      <c r="D31" s="6">
        <v>70.58</v>
      </c>
      <c r="E31" s="6">
        <v>10.07</v>
      </c>
      <c r="F31" s="6">
        <v>31.17</v>
      </c>
      <c r="G31" s="6">
        <v>57.83</v>
      </c>
      <c r="H31" s="6">
        <v>1.1200000000000001</v>
      </c>
      <c r="I31" s="6">
        <v>0</v>
      </c>
      <c r="J31" s="6">
        <v>0.1</v>
      </c>
      <c r="K31" s="6">
        <v>0.06</v>
      </c>
      <c r="L31" s="6">
        <v>0.64</v>
      </c>
      <c r="M31" s="6">
        <v>0</v>
      </c>
      <c r="N31" s="6">
        <v>6.31</v>
      </c>
    </row>
    <row r="32" spans="1:14" x14ac:dyDescent="0.2">
      <c r="A32" t="s">
        <v>94</v>
      </c>
      <c r="B32" s="1">
        <v>100</v>
      </c>
      <c r="C32" s="6">
        <v>2.7</v>
      </c>
      <c r="D32" s="6">
        <v>79.599999999999994</v>
      </c>
      <c r="E32" s="6">
        <v>10.199999999999999</v>
      </c>
      <c r="F32" s="6">
        <v>18</v>
      </c>
      <c r="G32" s="6">
        <v>22</v>
      </c>
      <c r="H32" s="6">
        <v>0.8</v>
      </c>
      <c r="I32" s="6">
        <v>0</v>
      </c>
      <c r="J32" s="6">
        <v>8.0000000000000002E-3</v>
      </c>
      <c r="K32" s="6">
        <v>0.01</v>
      </c>
      <c r="L32" s="6">
        <v>0.1</v>
      </c>
      <c r="M32" s="6">
        <v>0</v>
      </c>
      <c r="N32" s="6"/>
    </row>
    <row r="33" spans="1:14" x14ac:dyDescent="0.2">
      <c r="A33" t="s">
        <v>95</v>
      </c>
      <c r="B33" s="1">
        <v>100</v>
      </c>
      <c r="C33" s="6">
        <v>8.9600000000000009</v>
      </c>
      <c r="D33" s="6">
        <v>67.260000000000005</v>
      </c>
      <c r="E33" s="6">
        <v>8.2200000000000006</v>
      </c>
      <c r="F33" s="6">
        <v>22</v>
      </c>
      <c r="G33" s="6">
        <v>31</v>
      </c>
      <c r="H33" s="6">
        <v>0.2</v>
      </c>
      <c r="I33" s="6">
        <v>0</v>
      </c>
      <c r="J33" s="6">
        <v>0.18</v>
      </c>
      <c r="K33" s="6">
        <v>0.05</v>
      </c>
      <c r="L33" s="6">
        <v>0.4</v>
      </c>
      <c r="M33" s="6">
        <v>0</v>
      </c>
      <c r="N33" s="6"/>
    </row>
    <row r="34" spans="1:14" x14ac:dyDescent="0.2">
      <c r="A34" t="s">
        <v>166</v>
      </c>
      <c r="B34" s="1">
        <v>100</v>
      </c>
      <c r="C34" s="6">
        <v>9</v>
      </c>
      <c r="D34" s="6">
        <v>69.7</v>
      </c>
      <c r="E34" s="6">
        <v>13.2</v>
      </c>
      <c r="F34" s="6">
        <v>49</v>
      </c>
      <c r="G34" s="6">
        <v>126</v>
      </c>
      <c r="H34" s="6">
        <v>1.6</v>
      </c>
      <c r="I34" s="6">
        <v>0</v>
      </c>
      <c r="J34" s="6">
        <v>0.13</v>
      </c>
      <c r="K34" s="6">
        <v>0.13</v>
      </c>
      <c r="L34" s="6">
        <v>1.1000000000000001</v>
      </c>
      <c r="M34" s="6">
        <v>0</v>
      </c>
      <c r="N34" s="6"/>
    </row>
    <row r="35" spans="1:14" x14ac:dyDescent="0.2">
      <c r="A35" t="s">
        <v>171</v>
      </c>
      <c r="B35" s="1">
        <v>100</v>
      </c>
      <c r="C35" s="1">
        <v>5.5</v>
      </c>
      <c r="D35" s="1">
        <v>64.8</v>
      </c>
      <c r="E35" s="1">
        <v>11.38</v>
      </c>
      <c r="F35" s="1">
        <v>84.91</v>
      </c>
      <c r="H35" s="1">
        <v>0.79</v>
      </c>
      <c r="I35" s="1">
        <v>151.97</v>
      </c>
      <c r="M35" s="1">
        <v>0.2</v>
      </c>
    </row>
    <row r="36" spans="1:14" x14ac:dyDescent="0.2">
      <c r="A36" t="s">
        <v>167</v>
      </c>
      <c r="B36" s="1">
        <v>100</v>
      </c>
      <c r="C36" s="1">
        <v>5.5</v>
      </c>
      <c r="D36" s="1">
        <v>64.8</v>
      </c>
      <c r="E36" s="1">
        <v>11.38</v>
      </c>
      <c r="F36" s="1">
        <v>84.91</v>
      </c>
      <c r="G36" s="1">
        <v>0</v>
      </c>
      <c r="H36" s="1">
        <v>0.79</v>
      </c>
      <c r="I36" s="1">
        <v>151.97</v>
      </c>
      <c r="J36" s="1">
        <v>0</v>
      </c>
      <c r="K36" s="1">
        <v>0</v>
      </c>
      <c r="L36" s="1">
        <v>0</v>
      </c>
      <c r="M36" s="1">
        <v>0.2</v>
      </c>
      <c r="N36" s="1">
        <v>0</v>
      </c>
    </row>
    <row r="37" spans="1:14" x14ac:dyDescent="0.2">
      <c r="A37" t="s">
        <v>172</v>
      </c>
      <c r="B37" s="1">
        <v>100</v>
      </c>
      <c r="C37" s="1">
        <v>2.5</v>
      </c>
      <c r="D37" s="1">
        <v>46.63</v>
      </c>
      <c r="E37" s="1">
        <v>11.88</v>
      </c>
      <c r="F37" s="1">
        <v>56.97</v>
      </c>
      <c r="H37" s="1">
        <v>1.23</v>
      </c>
      <c r="I37" s="1">
        <v>113.78</v>
      </c>
      <c r="M37" s="1">
        <v>22.94</v>
      </c>
    </row>
    <row r="38" spans="1:14" x14ac:dyDescent="0.2">
      <c r="A38" t="s">
        <v>173</v>
      </c>
      <c r="B38" s="1">
        <v>100</v>
      </c>
      <c r="C38" s="1">
        <v>6.38</v>
      </c>
      <c r="D38" s="1">
        <v>47.67</v>
      </c>
      <c r="E38" s="1">
        <v>9.51</v>
      </c>
      <c r="F38" s="1">
        <v>130.75</v>
      </c>
      <c r="H38" s="1">
        <v>1.52</v>
      </c>
      <c r="I38" s="1">
        <v>144.96</v>
      </c>
      <c r="M38" s="1">
        <v>4.55</v>
      </c>
    </row>
    <row r="39" spans="1:14" x14ac:dyDescent="0.2">
      <c r="A39" t="s">
        <v>174</v>
      </c>
      <c r="B39" s="1">
        <v>100</v>
      </c>
      <c r="C39" s="1">
        <v>6.37</v>
      </c>
      <c r="D39" s="1">
        <v>64.260000000000005</v>
      </c>
      <c r="E39" s="1">
        <v>10.72</v>
      </c>
      <c r="F39" s="1">
        <v>73.849999999999994</v>
      </c>
      <c r="H39" s="1">
        <v>1.19</v>
      </c>
      <c r="I39" s="1">
        <v>293</v>
      </c>
      <c r="M39" s="1">
        <v>1.36</v>
      </c>
    </row>
    <row r="40" spans="1:14" x14ac:dyDescent="0.2">
      <c r="A40" t="s">
        <v>175</v>
      </c>
      <c r="B40" s="1">
        <v>100</v>
      </c>
      <c r="C40" s="1">
        <v>9.8000000000000007</v>
      </c>
      <c r="D40" s="1">
        <v>56.74</v>
      </c>
      <c r="E40" s="1">
        <v>22.56</v>
      </c>
      <c r="F40" s="1">
        <v>108.86</v>
      </c>
      <c r="H40" s="1">
        <v>2.27</v>
      </c>
      <c r="I40" s="1">
        <v>225.86</v>
      </c>
      <c r="M40" s="1">
        <v>0.24</v>
      </c>
    </row>
    <row r="41" spans="1:14" x14ac:dyDescent="0.2">
      <c r="A41" t="s">
        <v>176</v>
      </c>
      <c r="B41" s="1">
        <v>100</v>
      </c>
      <c r="C41" s="1">
        <v>9.25</v>
      </c>
      <c r="D41" s="1">
        <v>56.67</v>
      </c>
      <c r="E41" s="1">
        <v>27.49</v>
      </c>
      <c r="F41" s="1">
        <v>50.12</v>
      </c>
      <c r="H41" s="1">
        <v>2.86</v>
      </c>
      <c r="I41" s="1">
        <v>288.89999999999998</v>
      </c>
      <c r="M41" s="1">
        <v>0</v>
      </c>
    </row>
    <row r="42" spans="1:14" x14ac:dyDescent="0.2">
      <c r="A42" s="3" t="s">
        <v>153</v>
      </c>
      <c r="B42" s="1">
        <v>100</v>
      </c>
      <c r="C42" s="10">
        <v>5.0999999999999996</v>
      </c>
      <c r="D42" s="10">
        <v>54.3</v>
      </c>
      <c r="E42" s="10">
        <v>6.7</v>
      </c>
      <c r="N42" s="10">
        <v>0.4</v>
      </c>
    </row>
    <row r="43" spans="1:14" x14ac:dyDescent="0.2">
      <c r="A43" t="s">
        <v>170</v>
      </c>
      <c r="B43" s="1">
        <v>100</v>
      </c>
      <c r="C43" s="1">
        <v>8.23</v>
      </c>
      <c r="D43" s="1">
        <v>55.55</v>
      </c>
      <c r="E43" s="1">
        <v>20.39</v>
      </c>
      <c r="F43" s="1">
        <v>127.45</v>
      </c>
      <c r="H43" s="1">
        <v>1.33</v>
      </c>
      <c r="I43" s="1">
        <v>280.10000000000002</v>
      </c>
      <c r="M43" s="1">
        <v>0.2</v>
      </c>
    </row>
    <row r="44" spans="1:14" x14ac:dyDescent="0.2">
      <c r="A44" t="s">
        <v>177</v>
      </c>
      <c r="B44" s="1">
        <v>100</v>
      </c>
      <c r="C44" s="1">
        <v>9.5</v>
      </c>
      <c r="D44" s="1">
        <v>62</v>
      </c>
      <c r="E44" s="1">
        <v>12.86</v>
      </c>
      <c r="F44" s="1">
        <v>292.10000000000002</v>
      </c>
      <c r="H44" s="1">
        <v>0.48</v>
      </c>
      <c r="I44" s="1">
        <v>114.28</v>
      </c>
      <c r="M44" s="1">
        <v>1.1000000000000001</v>
      </c>
    </row>
    <row r="45" spans="1:14" x14ac:dyDescent="0.2">
      <c r="A45" s="3" t="s">
        <v>154</v>
      </c>
      <c r="B45" s="1">
        <v>100</v>
      </c>
      <c r="C45" s="10">
        <v>17.2</v>
      </c>
      <c r="D45" s="10">
        <v>29.3</v>
      </c>
      <c r="E45" s="10">
        <v>45.7</v>
      </c>
      <c r="N45" s="10">
        <v>1.4</v>
      </c>
    </row>
    <row r="46" spans="1:14" x14ac:dyDescent="0.2">
      <c r="A46" s="3" t="s">
        <v>155</v>
      </c>
      <c r="B46" s="1">
        <v>100</v>
      </c>
      <c r="C46" s="10">
        <v>13.2</v>
      </c>
      <c r="D46" s="10">
        <v>20.5</v>
      </c>
      <c r="E46" s="10">
        <v>60.3</v>
      </c>
      <c r="N46" s="10">
        <v>1.2</v>
      </c>
    </row>
    <row r="47" spans="1:14" x14ac:dyDescent="0.2">
      <c r="A47" t="s">
        <v>96</v>
      </c>
      <c r="B47" s="1">
        <v>100</v>
      </c>
      <c r="C47" s="6">
        <v>0.03</v>
      </c>
      <c r="D47" s="6">
        <v>63.04</v>
      </c>
      <c r="E47" s="6">
        <v>7.0000000000000007E-2</v>
      </c>
      <c r="F47" s="6">
        <v>22</v>
      </c>
      <c r="G47" s="6">
        <v>3</v>
      </c>
      <c r="H47" s="6">
        <v>1.67</v>
      </c>
      <c r="I47" s="6">
        <v>3</v>
      </c>
      <c r="J47" s="6">
        <v>3.5000000000000003E-2</v>
      </c>
      <c r="K47" s="6">
        <v>5.0000000000000001E-3</v>
      </c>
      <c r="L47" s="6">
        <v>0.1</v>
      </c>
      <c r="M47" s="6">
        <v>2.2999999999999998</v>
      </c>
      <c r="N47" s="6"/>
    </row>
    <row r="48" spans="1:14" x14ac:dyDescent="0.2">
      <c r="A48" t="s">
        <v>97</v>
      </c>
      <c r="B48" s="1">
        <v>100</v>
      </c>
      <c r="C48" s="6">
        <v>0.3</v>
      </c>
      <c r="D48" s="6">
        <v>3.8</v>
      </c>
      <c r="E48" s="6">
        <v>0</v>
      </c>
      <c r="F48" s="6">
        <v>5</v>
      </c>
      <c r="G48" s="6">
        <v>30</v>
      </c>
      <c r="H48" s="6">
        <v>0.1</v>
      </c>
      <c r="I48" s="6">
        <v>0</v>
      </c>
      <c r="J48" s="6">
        <v>0.01</v>
      </c>
      <c r="K48" s="6">
        <v>0.03</v>
      </c>
      <c r="L48" s="6">
        <v>0.6</v>
      </c>
      <c r="M48" s="6">
        <v>0</v>
      </c>
      <c r="N48" s="6"/>
    </row>
    <row r="49" spans="1:14" x14ac:dyDescent="0.2">
      <c r="A49" t="s">
        <v>72</v>
      </c>
      <c r="B49" s="1">
        <v>100</v>
      </c>
      <c r="C49" s="6">
        <v>7.23</v>
      </c>
      <c r="D49" s="6">
        <v>48.7</v>
      </c>
      <c r="E49" s="6">
        <v>39.630000000000003</v>
      </c>
      <c r="F49" s="6">
        <v>95.33</v>
      </c>
      <c r="G49" s="6">
        <v>249.67</v>
      </c>
      <c r="H49" s="6">
        <v>1.83</v>
      </c>
      <c r="I49" s="6">
        <v>3</v>
      </c>
      <c r="J49" s="6">
        <v>0.02</v>
      </c>
      <c r="K49" s="6">
        <v>0.14000000000000001</v>
      </c>
      <c r="L49" s="6">
        <v>0.3</v>
      </c>
      <c r="M49" s="6">
        <v>0</v>
      </c>
      <c r="N49" s="6">
        <v>0</v>
      </c>
    </row>
    <row r="50" spans="1:14" x14ac:dyDescent="0.2">
      <c r="A50" t="s">
        <v>98</v>
      </c>
      <c r="B50" s="1">
        <v>100</v>
      </c>
      <c r="C50" s="6">
        <v>0</v>
      </c>
      <c r="D50" s="6">
        <v>10</v>
      </c>
      <c r="E50" s="6">
        <v>0</v>
      </c>
      <c r="F50" s="6">
        <v>2</v>
      </c>
      <c r="G50" s="6">
        <v>1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/>
    </row>
    <row r="51" spans="1:14" x14ac:dyDescent="0.2">
      <c r="A51" t="s">
        <v>99</v>
      </c>
      <c r="B51" s="1">
        <v>100</v>
      </c>
      <c r="C51" s="6">
        <v>3.6</v>
      </c>
      <c r="D51" s="6">
        <v>53.2</v>
      </c>
      <c r="E51" s="6">
        <v>39.1</v>
      </c>
      <c r="F51" s="6">
        <v>16</v>
      </c>
      <c r="G51" s="6">
        <v>112</v>
      </c>
      <c r="H51" s="6">
        <v>2</v>
      </c>
      <c r="I51" s="6">
        <v>0</v>
      </c>
      <c r="J51" s="6">
        <v>0.04</v>
      </c>
      <c r="K51" s="6">
        <v>0.03</v>
      </c>
      <c r="L51" s="6">
        <v>0.4</v>
      </c>
      <c r="M51" s="6">
        <v>0</v>
      </c>
      <c r="N51" s="6"/>
    </row>
    <row r="52" spans="1:14" x14ac:dyDescent="0.2">
      <c r="A52" t="s">
        <v>100</v>
      </c>
      <c r="B52" s="1">
        <v>100</v>
      </c>
      <c r="C52" s="6">
        <v>24.9</v>
      </c>
      <c r="D52" s="6">
        <v>22.2</v>
      </c>
      <c r="E52" s="6">
        <v>48.8</v>
      </c>
      <c r="F52" s="6">
        <v>66</v>
      </c>
      <c r="G52" s="6">
        <v>380</v>
      </c>
      <c r="H52" s="6">
        <v>2.4</v>
      </c>
      <c r="I52" s="6">
        <v>0</v>
      </c>
      <c r="J52" s="6">
        <v>0.4</v>
      </c>
      <c r="K52" s="6">
        <v>0.12</v>
      </c>
      <c r="L52" s="6">
        <v>13.6</v>
      </c>
      <c r="M52" s="6">
        <v>0</v>
      </c>
      <c r="N52" s="6"/>
    </row>
    <row r="53" spans="1:14" x14ac:dyDescent="0.2">
      <c r="A53" t="s">
        <v>101</v>
      </c>
      <c r="B53" s="1">
        <v>100</v>
      </c>
      <c r="C53" s="6">
        <v>7.8</v>
      </c>
      <c r="D53" s="6">
        <v>73.7</v>
      </c>
      <c r="E53" s="6">
        <v>2.2000000000000002</v>
      </c>
      <c r="F53" s="6">
        <v>16</v>
      </c>
      <c r="G53" s="6">
        <v>152</v>
      </c>
      <c r="H53" s="6">
        <v>0.9</v>
      </c>
      <c r="I53" s="6"/>
      <c r="J53" s="6"/>
      <c r="K53" s="6"/>
      <c r="L53" s="6"/>
      <c r="M53" s="6"/>
      <c r="N53" s="6"/>
    </row>
    <row r="54" spans="1:14" x14ac:dyDescent="0.2">
      <c r="A54" t="s">
        <v>186</v>
      </c>
      <c r="B54" s="1">
        <v>100</v>
      </c>
      <c r="C54" s="6">
        <v>0.8</v>
      </c>
      <c r="D54" s="6">
        <v>54.2</v>
      </c>
      <c r="E54" s="6">
        <v>3.1</v>
      </c>
      <c r="F54" s="6">
        <v>9</v>
      </c>
      <c r="G54" s="6">
        <v>0.4</v>
      </c>
      <c r="H54" s="6"/>
      <c r="I54" s="6">
        <v>0</v>
      </c>
      <c r="J54" s="6">
        <v>0</v>
      </c>
      <c r="K54" s="6">
        <v>0</v>
      </c>
      <c r="L54" s="6">
        <v>0.1</v>
      </c>
      <c r="M54" s="6">
        <v>0</v>
      </c>
      <c r="N54" s="6"/>
    </row>
    <row r="55" spans="1:14" x14ac:dyDescent="0.2">
      <c r="A55" t="s">
        <v>102</v>
      </c>
      <c r="B55" s="1">
        <v>100</v>
      </c>
      <c r="C55" s="6">
        <v>0.85</v>
      </c>
      <c r="D55" s="6">
        <v>59.55</v>
      </c>
      <c r="E55" s="6">
        <v>0.25</v>
      </c>
      <c r="F55" s="6">
        <v>15.5</v>
      </c>
      <c r="G55" s="6">
        <v>23</v>
      </c>
      <c r="H55" s="6">
        <v>0.4</v>
      </c>
      <c r="I55" s="6">
        <v>299.5</v>
      </c>
      <c r="J55" s="6">
        <v>0.05</v>
      </c>
      <c r="K55" s="6">
        <v>2.5000000000000001E-2</v>
      </c>
      <c r="L55" s="6">
        <v>0.03</v>
      </c>
      <c r="M55" s="6">
        <v>6.5</v>
      </c>
      <c r="N55" s="6"/>
    </row>
    <row r="56" spans="1:14" x14ac:dyDescent="0.2">
      <c r="A56" t="s">
        <v>168</v>
      </c>
      <c r="B56" s="1">
        <v>100</v>
      </c>
      <c r="C56" s="1">
        <v>2.88</v>
      </c>
      <c r="D56" s="1">
        <v>56.75</v>
      </c>
      <c r="E56" s="1">
        <v>7.65</v>
      </c>
      <c r="F56" s="1">
        <v>14.32</v>
      </c>
      <c r="G56" s="1">
        <v>33.479999999999997</v>
      </c>
      <c r="H56" s="1">
        <v>0.94</v>
      </c>
      <c r="I56" s="1">
        <v>205.8</v>
      </c>
      <c r="J56" s="1">
        <v>0.06</v>
      </c>
      <c r="K56" s="1">
        <v>0.06</v>
      </c>
      <c r="L56" s="1">
        <v>0.44</v>
      </c>
      <c r="M56" s="1">
        <v>11.25</v>
      </c>
    </row>
    <row r="57" spans="1:14" x14ac:dyDescent="0.2">
      <c r="A57" t="s">
        <v>103</v>
      </c>
      <c r="B57" s="1">
        <v>100</v>
      </c>
      <c r="C57" s="6">
        <v>0.66</v>
      </c>
      <c r="D57" s="6">
        <v>78.430000000000007</v>
      </c>
      <c r="E57" s="6">
        <v>0</v>
      </c>
      <c r="F57" s="6">
        <v>30</v>
      </c>
      <c r="G57" s="6">
        <v>14</v>
      </c>
      <c r="H57" s="6">
        <v>0.3</v>
      </c>
      <c r="I57" s="6">
        <v>0</v>
      </c>
      <c r="J57" s="6">
        <v>0</v>
      </c>
      <c r="K57" s="6">
        <v>0</v>
      </c>
      <c r="L57" s="6">
        <v>0</v>
      </c>
      <c r="M57" s="6">
        <v>11</v>
      </c>
      <c r="N57" s="6"/>
    </row>
    <row r="58" spans="1:14" x14ac:dyDescent="0.2">
      <c r="A58" t="s">
        <v>104</v>
      </c>
      <c r="B58" s="1">
        <v>100</v>
      </c>
      <c r="C58" s="6">
        <v>8.75</v>
      </c>
      <c r="D58" s="6">
        <v>54.72</v>
      </c>
      <c r="E58" s="6">
        <v>4</v>
      </c>
      <c r="F58" s="6">
        <v>176</v>
      </c>
      <c r="G58" s="6">
        <v>139</v>
      </c>
      <c r="H58" s="6">
        <v>0.3</v>
      </c>
      <c r="I58" s="6">
        <v>8</v>
      </c>
      <c r="J58" s="6">
        <v>0.02</v>
      </c>
      <c r="K58" s="6">
        <v>0.05</v>
      </c>
      <c r="L58" s="6">
        <v>0.12</v>
      </c>
      <c r="M58" s="6">
        <v>1</v>
      </c>
      <c r="N58" s="6"/>
    </row>
    <row r="59" spans="1:14" x14ac:dyDescent="0.2">
      <c r="A59" t="s">
        <v>67</v>
      </c>
      <c r="B59" s="1">
        <v>100</v>
      </c>
      <c r="C59" s="6">
        <v>0.44</v>
      </c>
      <c r="D59" s="6">
        <v>27.17</v>
      </c>
      <c r="E59" s="6">
        <v>0.19</v>
      </c>
      <c r="F59" s="6">
        <v>18.25</v>
      </c>
      <c r="G59" s="6">
        <v>14.25</v>
      </c>
      <c r="H59" s="6">
        <v>0.57999999999999996</v>
      </c>
      <c r="I59" s="6">
        <v>58.5</v>
      </c>
      <c r="J59" s="6">
        <v>0.27</v>
      </c>
      <c r="K59" s="6">
        <v>0.02</v>
      </c>
      <c r="L59" s="6">
        <v>0.41</v>
      </c>
      <c r="M59" s="6">
        <v>9.5</v>
      </c>
      <c r="N59" s="6">
        <v>0</v>
      </c>
    </row>
    <row r="60" spans="1:14" x14ac:dyDescent="0.2">
      <c r="A60" t="s">
        <v>51</v>
      </c>
      <c r="B60" s="1">
        <v>100</v>
      </c>
      <c r="C60" s="6">
        <v>4.93</v>
      </c>
      <c r="D60" s="6">
        <v>12.87</v>
      </c>
      <c r="E60" s="6">
        <v>0.33</v>
      </c>
      <c r="F60" s="6">
        <v>26.67</v>
      </c>
      <c r="G60" s="6">
        <v>65.33</v>
      </c>
      <c r="H60" s="6">
        <v>1.8</v>
      </c>
      <c r="I60" s="6">
        <v>0</v>
      </c>
      <c r="J60" s="6">
        <v>0.12</v>
      </c>
      <c r="K60" s="6">
        <v>0.06</v>
      </c>
      <c r="L60" s="6">
        <v>0.67</v>
      </c>
      <c r="M60" s="6">
        <v>0.67</v>
      </c>
      <c r="N60" s="6">
        <v>0</v>
      </c>
    </row>
    <row r="61" spans="1:14" x14ac:dyDescent="0.2">
      <c r="A61" s="3" t="s">
        <v>156</v>
      </c>
      <c r="B61" s="1">
        <v>100</v>
      </c>
      <c r="C61" s="10">
        <v>8.6</v>
      </c>
      <c r="D61" s="10">
        <v>10.5</v>
      </c>
      <c r="E61" s="10">
        <v>8.6</v>
      </c>
      <c r="N61" s="10">
        <v>0.7</v>
      </c>
    </row>
    <row r="62" spans="1:14" x14ac:dyDescent="0.2">
      <c r="A62" t="s">
        <v>54</v>
      </c>
      <c r="B62" s="1">
        <v>100</v>
      </c>
      <c r="C62" s="6">
        <v>0.57999999999999996</v>
      </c>
      <c r="D62" s="6">
        <v>9.44</v>
      </c>
      <c r="E62" s="6">
        <v>0.25</v>
      </c>
      <c r="F62" s="6">
        <v>19.62</v>
      </c>
      <c r="G62" s="6">
        <v>17.23</v>
      </c>
      <c r="H62" s="6">
        <v>0.75</v>
      </c>
      <c r="I62" s="6">
        <v>37.94</v>
      </c>
      <c r="J62" s="6">
        <v>0.04</v>
      </c>
      <c r="K62" s="6">
        <v>0.05</v>
      </c>
      <c r="L62" s="6">
        <v>0.53</v>
      </c>
      <c r="M62" s="6">
        <v>25.74</v>
      </c>
      <c r="N62" s="6">
        <v>1.65</v>
      </c>
    </row>
    <row r="63" spans="1:14" x14ac:dyDescent="0.2">
      <c r="A63" t="s">
        <v>55</v>
      </c>
      <c r="B63" s="1">
        <v>100</v>
      </c>
      <c r="C63" s="6">
        <v>1.01</v>
      </c>
      <c r="D63" s="6">
        <v>17.66</v>
      </c>
      <c r="E63" s="6">
        <v>0.31</v>
      </c>
      <c r="F63" s="6">
        <v>18.670000000000002</v>
      </c>
      <c r="G63" s="6">
        <v>21.89</v>
      </c>
      <c r="H63" s="6">
        <v>1.1599999999999999</v>
      </c>
      <c r="I63" s="6">
        <v>77.14</v>
      </c>
      <c r="J63" s="6">
        <v>0.06</v>
      </c>
      <c r="K63" s="6">
        <v>7.0000000000000007E-2</v>
      </c>
      <c r="L63" s="6">
        <v>0.56999999999999995</v>
      </c>
      <c r="M63" s="6">
        <v>26.37</v>
      </c>
      <c r="N63" s="6">
        <v>2.67</v>
      </c>
    </row>
    <row r="64" spans="1:14" x14ac:dyDescent="0.2">
      <c r="A64" t="s">
        <v>69</v>
      </c>
      <c r="B64" s="1">
        <v>100</v>
      </c>
      <c r="C64" s="6">
        <v>1.6</v>
      </c>
      <c r="D64" s="6">
        <v>15.2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</row>
    <row r="65" spans="1:14" x14ac:dyDescent="0.2">
      <c r="A65" t="s">
        <v>105</v>
      </c>
      <c r="B65" s="1">
        <v>100</v>
      </c>
      <c r="C65" s="6">
        <v>0.4</v>
      </c>
      <c r="D65" s="6">
        <v>64.959999999999994</v>
      </c>
      <c r="E65" s="6">
        <v>0.1</v>
      </c>
      <c r="F65" s="6">
        <v>21</v>
      </c>
      <c r="G65" s="6">
        <v>34</v>
      </c>
      <c r="H65" s="6">
        <v>0.35</v>
      </c>
      <c r="I65" s="6">
        <v>100</v>
      </c>
      <c r="J65" s="6">
        <v>2.8000000000000001E-2</v>
      </c>
      <c r="K65" s="6">
        <v>0.02</v>
      </c>
      <c r="L65" s="6">
        <v>0.15</v>
      </c>
      <c r="M65" s="6">
        <v>3</v>
      </c>
      <c r="N65" s="6"/>
    </row>
    <row r="66" spans="1:14" x14ac:dyDescent="0.2">
      <c r="A66" t="s">
        <v>59</v>
      </c>
      <c r="B66" s="1">
        <v>100</v>
      </c>
      <c r="C66" s="6">
        <v>0.1</v>
      </c>
      <c r="D66" s="6">
        <v>61.6</v>
      </c>
      <c r="E66" s="6">
        <v>0.1</v>
      </c>
      <c r="F66" s="6">
        <v>18</v>
      </c>
      <c r="G66" s="6">
        <v>6</v>
      </c>
      <c r="H66" s="6">
        <v>1.3</v>
      </c>
      <c r="I66" s="6">
        <v>1</v>
      </c>
      <c r="J66" s="6">
        <v>0.01</v>
      </c>
      <c r="K66" s="6">
        <v>0.03</v>
      </c>
      <c r="L66" s="6">
        <v>0.2</v>
      </c>
      <c r="M66" s="6">
        <v>3</v>
      </c>
      <c r="N66" s="6">
        <v>0</v>
      </c>
    </row>
    <row r="67" spans="1:14" x14ac:dyDescent="0.2">
      <c r="A67" t="s">
        <v>106</v>
      </c>
      <c r="B67" s="1">
        <v>100</v>
      </c>
      <c r="C67" s="6">
        <v>0.19</v>
      </c>
      <c r="D67" s="6">
        <v>59.12</v>
      </c>
      <c r="E67" s="6">
        <v>0.31</v>
      </c>
      <c r="F67" s="6">
        <v>47</v>
      </c>
      <c r="G67" s="6">
        <v>7</v>
      </c>
      <c r="H67" s="6">
        <v>2.16</v>
      </c>
      <c r="I67" s="6">
        <v>0</v>
      </c>
      <c r="J67" s="6">
        <v>0</v>
      </c>
      <c r="K67" s="6">
        <v>0</v>
      </c>
      <c r="L67" s="6">
        <v>0</v>
      </c>
      <c r="M67" s="6">
        <v>11</v>
      </c>
      <c r="N67" s="6"/>
    </row>
    <row r="68" spans="1:14" x14ac:dyDescent="0.2">
      <c r="A68" t="s">
        <v>107</v>
      </c>
      <c r="B68" s="1">
        <v>100</v>
      </c>
      <c r="C68" s="6">
        <v>0.3</v>
      </c>
      <c r="D68" s="6">
        <v>63.05</v>
      </c>
      <c r="E68" s="6">
        <v>0.15</v>
      </c>
      <c r="F68" s="6"/>
      <c r="G68" s="6"/>
      <c r="H68" s="6"/>
      <c r="I68" s="6">
        <v>3</v>
      </c>
      <c r="J68" s="6">
        <v>0</v>
      </c>
      <c r="K68" s="6">
        <v>0</v>
      </c>
      <c r="L68" s="6">
        <v>0</v>
      </c>
      <c r="M68" s="6">
        <v>2</v>
      </c>
      <c r="N68" s="6"/>
    </row>
    <row r="69" spans="1:14" x14ac:dyDescent="0.2">
      <c r="A69" t="s">
        <v>108</v>
      </c>
      <c r="B69" s="1">
        <v>100</v>
      </c>
      <c r="C69" s="6">
        <v>0.6</v>
      </c>
      <c r="D69" s="6">
        <v>63.53</v>
      </c>
      <c r="E69" s="6">
        <v>0.2</v>
      </c>
      <c r="F69" s="6">
        <v>15</v>
      </c>
      <c r="G69" s="6">
        <v>16</v>
      </c>
      <c r="H69" s="6">
        <v>0.57999999999999996</v>
      </c>
      <c r="I69" s="6"/>
      <c r="J69" s="6"/>
      <c r="K69" s="6"/>
      <c r="L69" s="6"/>
      <c r="M69" s="6">
        <v>25</v>
      </c>
      <c r="N69" s="6"/>
    </row>
    <row r="70" spans="1:14" x14ac:dyDescent="0.2">
      <c r="A70" t="s">
        <v>109</v>
      </c>
      <c r="B70" s="1">
        <v>100</v>
      </c>
      <c r="C70" s="6">
        <v>0.3</v>
      </c>
      <c r="D70" s="6">
        <v>65.040000000000006</v>
      </c>
      <c r="E70" s="6">
        <v>0.15</v>
      </c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">
      <c r="A71" t="s">
        <v>110</v>
      </c>
      <c r="B71" s="1">
        <v>100</v>
      </c>
      <c r="C71" s="6">
        <v>0.2</v>
      </c>
      <c r="D71" s="6">
        <v>67.739999999999995</v>
      </c>
      <c r="E71" s="6">
        <v>0.1</v>
      </c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">
      <c r="A72" s="3" t="s">
        <v>157</v>
      </c>
      <c r="B72" s="1">
        <v>100</v>
      </c>
      <c r="C72" s="10">
        <v>6.4</v>
      </c>
      <c r="D72" s="10">
        <v>33.5</v>
      </c>
      <c r="E72" s="10">
        <v>6</v>
      </c>
      <c r="N72" s="10"/>
    </row>
    <row r="73" spans="1:14" x14ac:dyDescent="0.2">
      <c r="A73" t="s">
        <v>111</v>
      </c>
      <c r="B73" s="1">
        <v>100</v>
      </c>
      <c r="C73" s="6">
        <v>0</v>
      </c>
      <c r="D73" s="6">
        <v>68.34</v>
      </c>
      <c r="E73" s="6">
        <v>0</v>
      </c>
      <c r="F73" s="6">
        <v>8</v>
      </c>
      <c r="G73" s="6">
        <v>16</v>
      </c>
      <c r="H73" s="6">
        <v>0.76</v>
      </c>
      <c r="I73" s="6">
        <v>0</v>
      </c>
      <c r="J73" s="6">
        <v>0</v>
      </c>
      <c r="K73" s="6">
        <v>0</v>
      </c>
      <c r="L73" s="6">
        <v>0</v>
      </c>
      <c r="M73" s="6">
        <v>5.5</v>
      </c>
      <c r="N73" s="6"/>
    </row>
    <row r="74" spans="1:14" x14ac:dyDescent="0.2">
      <c r="A74" t="s">
        <v>46</v>
      </c>
      <c r="B74" s="1">
        <v>100</v>
      </c>
      <c r="C74" s="6">
        <v>1.7</v>
      </c>
      <c r="D74" s="6">
        <v>4.3600000000000003</v>
      </c>
      <c r="E74" s="6">
        <v>0.26</v>
      </c>
      <c r="F74" s="6">
        <v>78.94</v>
      </c>
      <c r="G74" s="6">
        <v>42.5</v>
      </c>
      <c r="H74" s="6">
        <v>1.38</v>
      </c>
      <c r="I74" s="6">
        <v>297.77</v>
      </c>
      <c r="J74" s="6">
        <v>7.0000000000000007E-2</v>
      </c>
      <c r="K74" s="6">
        <v>0.11</v>
      </c>
      <c r="L74" s="6">
        <v>0.64</v>
      </c>
      <c r="M74" s="6">
        <v>36.58</v>
      </c>
      <c r="N74" s="6">
        <v>1.7</v>
      </c>
    </row>
    <row r="75" spans="1:14" x14ac:dyDescent="0.2">
      <c r="A75" t="s">
        <v>47</v>
      </c>
      <c r="B75" s="1">
        <v>100</v>
      </c>
      <c r="C75" s="6">
        <v>1.91</v>
      </c>
      <c r="D75" s="6">
        <v>9.02</v>
      </c>
      <c r="E75" s="6">
        <v>0.33</v>
      </c>
      <c r="F75" s="6">
        <v>28.22</v>
      </c>
      <c r="G75" s="6">
        <v>43.58</v>
      </c>
      <c r="H75" s="6">
        <v>1</v>
      </c>
      <c r="I75" s="6">
        <v>242.59</v>
      </c>
      <c r="J75" s="6">
        <v>7.0000000000000007E-2</v>
      </c>
      <c r="K75" s="6">
        <v>7.0000000000000007E-2</v>
      </c>
      <c r="L75" s="6">
        <v>0.79</v>
      </c>
      <c r="M75" s="6">
        <v>30.94</v>
      </c>
      <c r="N75" s="6">
        <v>2.1</v>
      </c>
    </row>
    <row r="76" spans="1:14" x14ac:dyDescent="0.2">
      <c r="A76" t="s">
        <v>48</v>
      </c>
      <c r="B76" s="1">
        <v>100</v>
      </c>
      <c r="C76" s="6">
        <v>1.59</v>
      </c>
      <c r="D76" s="6">
        <v>25.83</v>
      </c>
      <c r="E76" s="6">
        <v>0.25</v>
      </c>
      <c r="F76" s="6">
        <v>33.880000000000003</v>
      </c>
      <c r="G76" s="6">
        <v>64.53</v>
      </c>
      <c r="H76" s="6">
        <v>1.44</v>
      </c>
      <c r="I76" s="6">
        <v>56.12</v>
      </c>
      <c r="J76" s="6">
        <v>0.14000000000000001</v>
      </c>
      <c r="K76" s="6">
        <v>0.04</v>
      </c>
      <c r="L76" s="6">
        <v>1.08</v>
      </c>
      <c r="M76" s="6">
        <v>21.61</v>
      </c>
      <c r="N76" s="6">
        <v>3.98</v>
      </c>
    </row>
    <row r="77" spans="1:14" x14ac:dyDescent="0.2">
      <c r="A77" t="s">
        <v>63</v>
      </c>
      <c r="B77" s="1">
        <v>100</v>
      </c>
      <c r="C77" s="6">
        <v>3.5</v>
      </c>
      <c r="D77" s="6">
        <v>15.5</v>
      </c>
      <c r="E77" s="6">
        <v>0.1</v>
      </c>
      <c r="F77" s="6">
        <v>120</v>
      </c>
      <c r="G77" s="6">
        <v>100</v>
      </c>
      <c r="H77" s="6">
        <v>0</v>
      </c>
      <c r="I77" s="6">
        <v>0</v>
      </c>
      <c r="J77" s="6">
        <v>0.03</v>
      </c>
      <c r="K77" s="6">
        <v>0.15</v>
      </c>
      <c r="L77" s="6">
        <v>0.1</v>
      </c>
      <c r="M77" s="6">
        <v>0</v>
      </c>
      <c r="N77" s="6">
        <v>0</v>
      </c>
    </row>
    <row r="78" spans="1:14" x14ac:dyDescent="0.2">
      <c r="A78" t="s">
        <v>112</v>
      </c>
      <c r="B78" s="1">
        <v>100</v>
      </c>
      <c r="C78" s="6">
        <v>1.2</v>
      </c>
      <c r="D78" s="6">
        <v>6.8</v>
      </c>
      <c r="E78" s="6">
        <v>0.8</v>
      </c>
      <c r="F78" s="6">
        <v>15</v>
      </c>
      <c r="G78" s="6">
        <v>35</v>
      </c>
      <c r="H78" s="6">
        <v>0.6</v>
      </c>
      <c r="I78" s="6">
        <v>140</v>
      </c>
      <c r="J78" s="6">
        <v>0.09</v>
      </c>
      <c r="K78" s="6">
        <v>7.0000000000000007E-2</v>
      </c>
      <c r="L78" s="6">
        <v>1.6</v>
      </c>
      <c r="M78" s="6">
        <v>15</v>
      </c>
      <c r="N78" s="6"/>
    </row>
    <row r="79" spans="1:14" x14ac:dyDescent="0.2">
      <c r="A79" t="s">
        <v>65</v>
      </c>
      <c r="B79" s="1">
        <v>100</v>
      </c>
      <c r="C79" s="6">
        <v>6.88</v>
      </c>
      <c r="D79" s="6">
        <v>23.23</v>
      </c>
      <c r="E79" s="6">
        <v>1.03</v>
      </c>
      <c r="F79" s="6">
        <v>47.1</v>
      </c>
      <c r="G79" s="6">
        <v>109.11</v>
      </c>
      <c r="H79" s="6">
        <v>2.46</v>
      </c>
      <c r="I79" s="6">
        <v>1.39</v>
      </c>
      <c r="J79" s="6">
        <v>0.11</v>
      </c>
      <c r="K79" s="6">
        <v>0.06</v>
      </c>
      <c r="L79" s="6">
        <v>0.61</v>
      </c>
      <c r="M79" s="6">
        <v>2.95</v>
      </c>
      <c r="N79" s="6">
        <v>0</v>
      </c>
    </row>
    <row r="80" spans="1:14" x14ac:dyDescent="0.2">
      <c r="A80" t="s">
        <v>4</v>
      </c>
      <c r="B80" s="1">
        <v>100</v>
      </c>
      <c r="C80" s="6">
        <v>3.6</v>
      </c>
      <c r="D80" s="6">
        <v>5</v>
      </c>
      <c r="E80" s="6">
        <v>0.1</v>
      </c>
      <c r="F80" s="6">
        <v>124</v>
      </c>
      <c r="G80" s="6">
        <v>98</v>
      </c>
      <c r="H80" s="6">
        <v>0.08</v>
      </c>
      <c r="I80" s="6">
        <v>0</v>
      </c>
      <c r="J80" s="6">
        <v>0.03</v>
      </c>
      <c r="K80" s="6">
        <v>0.18</v>
      </c>
      <c r="L80" s="6">
        <v>0.13</v>
      </c>
      <c r="M80" s="6">
        <v>1</v>
      </c>
      <c r="N80" s="6">
        <v>0</v>
      </c>
    </row>
    <row r="81" spans="1:14" x14ac:dyDescent="0.2">
      <c r="A81" t="s">
        <v>5</v>
      </c>
      <c r="B81" s="1">
        <v>100</v>
      </c>
      <c r="C81" s="6">
        <v>3.57</v>
      </c>
      <c r="D81" s="6">
        <v>4.47</v>
      </c>
      <c r="E81" s="6">
        <v>3.63</v>
      </c>
      <c r="F81" s="6">
        <v>135.33000000000001</v>
      </c>
      <c r="G81" s="6">
        <v>94.33</v>
      </c>
      <c r="H81" s="6">
        <v>0.17</v>
      </c>
      <c r="I81" s="6">
        <v>34</v>
      </c>
      <c r="J81" s="6">
        <v>0.03</v>
      </c>
      <c r="K81" s="6">
        <v>0.19</v>
      </c>
      <c r="L81" s="6">
        <v>0.15</v>
      </c>
      <c r="M81" s="6">
        <v>1</v>
      </c>
      <c r="N81" s="6">
        <v>0</v>
      </c>
    </row>
    <row r="82" spans="1:14" x14ac:dyDescent="0.2">
      <c r="A82" t="s">
        <v>62</v>
      </c>
      <c r="B82" s="1">
        <v>100</v>
      </c>
      <c r="C82" s="6">
        <v>3.1</v>
      </c>
      <c r="D82" s="6">
        <v>4.8</v>
      </c>
      <c r="E82" s="6">
        <v>1</v>
      </c>
      <c r="F82" s="6">
        <v>119</v>
      </c>
      <c r="G82" s="6">
        <v>80</v>
      </c>
      <c r="H82" s="6">
        <v>0.2</v>
      </c>
      <c r="I82" s="6">
        <v>99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</row>
    <row r="83" spans="1:14" x14ac:dyDescent="0.2">
      <c r="A83" t="s">
        <v>113</v>
      </c>
      <c r="B83" s="1">
        <v>100</v>
      </c>
      <c r="C83" s="6">
        <v>0</v>
      </c>
      <c r="D83" s="6">
        <v>25.4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/>
    </row>
    <row r="84" spans="1:14" x14ac:dyDescent="0.2">
      <c r="A84" s="3" t="s">
        <v>158</v>
      </c>
      <c r="B84" s="1">
        <v>100</v>
      </c>
      <c r="C84" s="10">
        <v>12.1</v>
      </c>
      <c r="D84" s="10">
        <v>1.1000000000000001</v>
      </c>
      <c r="E84" s="10">
        <v>27.5</v>
      </c>
      <c r="N84" s="10"/>
    </row>
    <row r="85" spans="1:14" x14ac:dyDescent="0.2">
      <c r="A85" t="s">
        <v>73</v>
      </c>
      <c r="B85" s="1">
        <v>100</v>
      </c>
      <c r="C85" s="6">
        <v>3.55</v>
      </c>
      <c r="D85" s="6">
        <v>21.2</v>
      </c>
      <c r="E85" s="6">
        <v>0.4</v>
      </c>
      <c r="F85" s="6">
        <v>6</v>
      </c>
      <c r="G85" s="6">
        <v>37.5</v>
      </c>
      <c r="H85" s="6">
        <v>0.33</v>
      </c>
      <c r="I85" s="6">
        <v>0.14000000000000001</v>
      </c>
      <c r="J85" s="6">
        <v>0.7</v>
      </c>
      <c r="K85" s="6">
        <v>1.1499999999999999</v>
      </c>
      <c r="L85" s="6">
        <v>0</v>
      </c>
      <c r="M85" s="6">
        <v>0</v>
      </c>
      <c r="N85" s="6">
        <v>1.64</v>
      </c>
    </row>
    <row r="86" spans="1:14" x14ac:dyDescent="0.2">
      <c r="A86" t="s">
        <v>70</v>
      </c>
      <c r="B86" s="1">
        <v>100</v>
      </c>
      <c r="C86" s="6">
        <v>1.4</v>
      </c>
      <c r="D86" s="6">
        <v>9.4700000000000006</v>
      </c>
      <c r="E86" s="6">
        <v>48.77</v>
      </c>
      <c r="F86" s="6">
        <v>9</v>
      </c>
      <c r="G86" s="6">
        <v>30</v>
      </c>
      <c r="H86" s="6">
        <v>0.4</v>
      </c>
      <c r="I86" s="6">
        <v>34</v>
      </c>
      <c r="J86" s="6">
        <v>0.02</v>
      </c>
      <c r="K86" s="6">
        <v>0.03</v>
      </c>
      <c r="L86" s="6">
        <v>0</v>
      </c>
      <c r="M86" s="6">
        <v>0</v>
      </c>
      <c r="N86" s="6">
        <v>0</v>
      </c>
    </row>
    <row r="87" spans="1:14" x14ac:dyDescent="0.2">
      <c r="A87" t="s">
        <v>6</v>
      </c>
      <c r="B87" s="1">
        <v>100</v>
      </c>
      <c r="C87" s="6">
        <v>0.88</v>
      </c>
      <c r="D87" s="6">
        <v>0.2</v>
      </c>
      <c r="E87" s="6">
        <v>82.65</v>
      </c>
      <c r="F87" s="6">
        <v>18.75</v>
      </c>
      <c r="G87" s="6">
        <v>16.75</v>
      </c>
      <c r="H87" s="6">
        <v>0.1</v>
      </c>
      <c r="I87" s="6">
        <v>699</v>
      </c>
      <c r="J87" s="6">
        <v>0.01</v>
      </c>
      <c r="K87" s="6">
        <v>0.02</v>
      </c>
      <c r="L87" s="6">
        <v>0.08</v>
      </c>
      <c r="M87" s="6">
        <v>0</v>
      </c>
      <c r="N87" s="6">
        <v>0</v>
      </c>
    </row>
    <row r="88" spans="1:14" x14ac:dyDescent="0.2">
      <c r="A88" t="s">
        <v>71</v>
      </c>
      <c r="B88" s="1">
        <v>100</v>
      </c>
      <c r="C88" s="6">
        <v>0.55000000000000004</v>
      </c>
      <c r="D88" s="6">
        <v>0.45</v>
      </c>
      <c r="E88" s="6">
        <v>81</v>
      </c>
      <c r="F88" s="6">
        <v>15.75</v>
      </c>
      <c r="G88" s="6">
        <v>15.25</v>
      </c>
      <c r="H88" s="6">
        <v>0.08</v>
      </c>
      <c r="I88" s="6">
        <v>693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</row>
    <row r="89" spans="1:14" x14ac:dyDescent="0.2">
      <c r="A89" t="s">
        <v>114</v>
      </c>
      <c r="B89" s="1">
        <v>100</v>
      </c>
      <c r="C89" s="6">
        <v>0.9</v>
      </c>
      <c r="D89" s="6">
        <v>61.7</v>
      </c>
      <c r="E89" s="6">
        <v>0.2</v>
      </c>
      <c r="F89" s="6">
        <v>7</v>
      </c>
      <c r="G89" s="6">
        <v>13</v>
      </c>
      <c r="H89" s="6">
        <v>0.56999999999999995</v>
      </c>
      <c r="I89" s="6">
        <v>1</v>
      </c>
      <c r="J89" s="6">
        <v>3.0000000000000001E-3</v>
      </c>
      <c r="K89" s="6">
        <v>0.129</v>
      </c>
      <c r="L89" s="6">
        <v>0.39</v>
      </c>
      <c r="M89" s="6">
        <v>5.4</v>
      </c>
      <c r="N89" s="6"/>
    </row>
    <row r="90" spans="1:14" x14ac:dyDescent="0.2">
      <c r="A90" t="s">
        <v>115</v>
      </c>
      <c r="B90" s="1">
        <v>100</v>
      </c>
      <c r="C90" s="6">
        <v>8.3000000000000007</v>
      </c>
      <c r="D90" s="6">
        <v>72.8</v>
      </c>
      <c r="E90" s="6">
        <v>15.5</v>
      </c>
      <c r="F90" s="6">
        <v>38</v>
      </c>
      <c r="G90" s="6">
        <v>124</v>
      </c>
      <c r="H90" s="6">
        <v>2</v>
      </c>
      <c r="I90" s="6"/>
      <c r="J90" s="6"/>
      <c r="K90" s="6"/>
      <c r="L90" s="6"/>
      <c r="M90" s="6"/>
      <c r="N90" s="6"/>
    </row>
    <row r="91" spans="1:14" x14ac:dyDescent="0.2">
      <c r="A91" t="s">
        <v>116</v>
      </c>
      <c r="B91" s="1">
        <v>100</v>
      </c>
      <c r="C91" s="6">
        <v>0</v>
      </c>
      <c r="D91" s="6">
        <v>78.14</v>
      </c>
      <c r="E91" s="6">
        <v>0</v>
      </c>
      <c r="F91" s="6">
        <v>4</v>
      </c>
      <c r="G91" s="6">
        <v>19</v>
      </c>
      <c r="H91" s="6">
        <v>0.7</v>
      </c>
      <c r="I91" s="6">
        <v>0</v>
      </c>
      <c r="J91" s="6">
        <v>0.01</v>
      </c>
      <c r="K91" s="6">
        <v>7.0000000000000007E-2</v>
      </c>
      <c r="L91" s="6">
        <v>0.2</v>
      </c>
      <c r="M91" s="6">
        <v>4</v>
      </c>
      <c r="N91" s="6"/>
    </row>
    <row r="92" spans="1:14" x14ac:dyDescent="0.2">
      <c r="A92" t="s">
        <v>117</v>
      </c>
      <c r="B92" s="1">
        <v>100</v>
      </c>
      <c r="C92" s="6">
        <v>3.6</v>
      </c>
      <c r="D92" s="6">
        <v>22.7</v>
      </c>
      <c r="E92" s="6">
        <v>3.4</v>
      </c>
      <c r="F92" s="6">
        <v>116</v>
      </c>
      <c r="G92" s="6">
        <v>107</v>
      </c>
      <c r="H92" s="6">
        <v>0.4</v>
      </c>
      <c r="I92" s="6">
        <v>31</v>
      </c>
      <c r="J92" s="6">
        <v>0.06</v>
      </c>
      <c r="K92" s="6">
        <v>0.13</v>
      </c>
      <c r="L92" s="6">
        <v>0.2</v>
      </c>
      <c r="M92" s="6">
        <v>1</v>
      </c>
      <c r="N92" s="6"/>
    </row>
    <row r="93" spans="1:14" x14ac:dyDescent="0.2">
      <c r="A93" t="s">
        <v>118</v>
      </c>
      <c r="B93" s="1">
        <v>100</v>
      </c>
      <c r="C93" s="6">
        <v>18.399999999999999</v>
      </c>
      <c r="D93" s="6">
        <v>2.8</v>
      </c>
      <c r="E93" s="6">
        <v>20.8</v>
      </c>
      <c r="F93" s="6">
        <v>53</v>
      </c>
      <c r="G93" s="6">
        <v>157</v>
      </c>
      <c r="H93" s="6">
        <v>157</v>
      </c>
      <c r="I93" s="6">
        <v>0</v>
      </c>
      <c r="J93" s="6">
        <v>0.11</v>
      </c>
      <c r="K93" s="6">
        <v>0.18</v>
      </c>
      <c r="L93" s="6">
        <v>5.9</v>
      </c>
      <c r="M93" s="6">
        <v>0</v>
      </c>
      <c r="N93" s="6"/>
    </row>
    <row r="94" spans="1:14" x14ac:dyDescent="0.2">
      <c r="A94" t="s">
        <v>169</v>
      </c>
      <c r="B94" s="1">
        <v>100</v>
      </c>
      <c r="C94" s="1">
        <v>4.6100000000000003</v>
      </c>
      <c r="D94" s="1">
        <v>20.27</v>
      </c>
      <c r="E94" s="1">
        <v>9.3000000000000007</v>
      </c>
      <c r="F94" s="1">
        <v>62.33</v>
      </c>
      <c r="G94" s="1">
        <v>49</v>
      </c>
      <c r="H94" s="1">
        <v>0.66</v>
      </c>
      <c r="I94" s="1">
        <v>103.33</v>
      </c>
      <c r="J94" s="1">
        <v>0.01</v>
      </c>
      <c r="K94" s="1">
        <v>0.06</v>
      </c>
      <c r="L94" s="1">
        <v>0</v>
      </c>
      <c r="M94" s="1">
        <v>3.63</v>
      </c>
    </row>
    <row r="95" spans="1:14" x14ac:dyDescent="0.2">
      <c r="A95" t="s">
        <v>119</v>
      </c>
      <c r="B95" s="1">
        <v>100</v>
      </c>
      <c r="C95" s="6">
        <v>9</v>
      </c>
      <c r="D95" s="6">
        <v>80.5</v>
      </c>
      <c r="E95" s="6">
        <v>1.5</v>
      </c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">
      <c r="A96" t="s">
        <v>57</v>
      </c>
      <c r="B96" s="1">
        <v>100</v>
      </c>
      <c r="C96" s="6">
        <v>19.2</v>
      </c>
      <c r="D96" s="6">
        <v>50.2</v>
      </c>
      <c r="E96" s="6">
        <v>12.7</v>
      </c>
      <c r="F96" s="6">
        <v>152</v>
      </c>
      <c r="G96" s="6">
        <v>686</v>
      </c>
      <c r="H96" s="6">
        <v>10.7</v>
      </c>
      <c r="I96" s="6">
        <v>2</v>
      </c>
      <c r="J96" s="6">
        <v>0.11</v>
      </c>
      <c r="K96" s="6">
        <v>0.46</v>
      </c>
      <c r="L96" s="6">
        <v>2.4</v>
      </c>
      <c r="M96" s="6">
        <v>0</v>
      </c>
      <c r="N96" s="6">
        <v>5.2</v>
      </c>
    </row>
    <row r="97" spans="1:14" x14ac:dyDescent="0.2">
      <c r="A97" t="s">
        <v>120</v>
      </c>
      <c r="B97" s="1">
        <v>100</v>
      </c>
      <c r="C97" s="6">
        <v>4.4000000000000004</v>
      </c>
      <c r="D97" s="6">
        <v>21.4</v>
      </c>
      <c r="E97" s="6">
        <v>1.9</v>
      </c>
      <c r="F97" s="6">
        <v>38</v>
      </c>
      <c r="G97" s="6">
        <v>86</v>
      </c>
      <c r="H97" s="6">
        <v>0.9</v>
      </c>
      <c r="I97" s="6">
        <v>31</v>
      </c>
      <c r="J97" s="6">
        <v>0.12</v>
      </c>
      <c r="K97" s="6">
        <v>0.08</v>
      </c>
      <c r="L97" s="6">
        <v>1.6</v>
      </c>
      <c r="M97" s="6">
        <v>13</v>
      </c>
      <c r="N97" s="6"/>
    </row>
    <row r="98" spans="1:14" x14ac:dyDescent="0.2">
      <c r="A98" t="s">
        <v>121</v>
      </c>
      <c r="B98" s="1">
        <v>100</v>
      </c>
      <c r="C98" s="6">
        <v>18.399999999999999</v>
      </c>
      <c r="D98" s="6">
        <v>13</v>
      </c>
      <c r="E98" s="6">
        <v>64.400000000000006</v>
      </c>
      <c r="F98" s="6">
        <v>83</v>
      </c>
      <c r="G98" s="6">
        <v>380</v>
      </c>
      <c r="H98" s="6">
        <v>2.1</v>
      </c>
      <c r="I98" s="6">
        <v>3</v>
      </c>
      <c r="J98" s="6">
        <v>0.33</v>
      </c>
      <c r="K98" s="6">
        <v>0.13</v>
      </c>
      <c r="L98" s="6">
        <v>0.9</v>
      </c>
      <c r="M98" s="6">
        <v>2</v>
      </c>
      <c r="N98" s="6"/>
    </row>
    <row r="99" spans="1:14" x14ac:dyDescent="0.2">
      <c r="A99" t="s">
        <v>53</v>
      </c>
      <c r="B99" s="1">
        <v>100</v>
      </c>
      <c r="C99" s="6">
        <v>0</v>
      </c>
      <c r="D99" s="6">
        <v>0</v>
      </c>
      <c r="E99" s="6">
        <v>100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</row>
    <row r="100" spans="1:14" x14ac:dyDescent="0.2">
      <c r="A100" t="s">
        <v>122</v>
      </c>
      <c r="B100" s="1">
        <v>100</v>
      </c>
      <c r="C100" s="6">
        <v>11</v>
      </c>
      <c r="D100" s="6">
        <v>2.2000000000000002</v>
      </c>
      <c r="E100" s="6">
        <v>12</v>
      </c>
      <c r="F100" s="6">
        <v>81</v>
      </c>
      <c r="G100" s="6">
        <v>194</v>
      </c>
      <c r="H100" s="6">
        <v>2.1</v>
      </c>
      <c r="I100" s="6">
        <v>259</v>
      </c>
      <c r="J100" s="6">
        <v>0.08</v>
      </c>
      <c r="K100" s="6">
        <v>0.28000000000000003</v>
      </c>
      <c r="L100" s="6">
        <v>0.1</v>
      </c>
      <c r="M100" s="6">
        <v>0</v>
      </c>
      <c r="N100" s="6"/>
    </row>
    <row r="101" spans="1:14" x14ac:dyDescent="0.2">
      <c r="A101" t="s">
        <v>66</v>
      </c>
      <c r="B101" s="1">
        <v>100</v>
      </c>
      <c r="C101" s="6">
        <v>12.17</v>
      </c>
      <c r="D101" s="6">
        <v>1.17</v>
      </c>
      <c r="E101" s="6">
        <v>10.87</v>
      </c>
      <c r="F101" s="6">
        <v>62.67</v>
      </c>
      <c r="G101" s="6">
        <v>216.67</v>
      </c>
      <c r="H101" s="6">
        <v>2.93</v>
      </c>
      <c r="I101" s="6">
        <v>395</v>
      </c>
      <c r="J101" s="6">
        <v>0.11</v>
      </c>
      <c r="K101" s="6">
        <v>0.32</v>
      </c>
      <c r="L101" s="6">
        <v>0.1</v>
      </c>
      <c r="M101" s="6">
        <v>0</v>
      </c>
      <c r="N101" s="6">
        <v>0</v>
      </c>
    </row>
    <row r="102" spans="1:14" x14ac:dyDescent="0.2">
      <c r="A102" t="s">
        <v>123</v>
      </c>
      <c r="B102" s="1">
        <v>100</v>
      </c>
      <c r="C102" s="6">
        <v>14.3</v>
      </c>
      <c r="D102" s="6">
        <v>72.099999999999994</v>
      </c>
      <c r="E102" s="6">
        <v>7.4</v>
      </c>
      <c r="F102" s="6">
        <v>59</v>
      </c>
      <c r="G102" s="6">
        <v>196</v>
      </c>
      <c r="H102" s="6">
        <v>1.1000000000000001</v>
      </c>
      <c r="I102" s="6">
        <v>482</v>
      </c>
      <c r="J102" s="6">
        <v>1.01</v>
      </c>
      <c r="K102" s="6">
        <v>1.7</v>
      </c>
      <c r="L102" s="6">
        <v>11.5</v>
      </c>
      <c r="M102" s="6">
        <v>4</v>
      </c>
      <c r="N102" s="6"/>
    </row>
    <row r="103" spans="1:14" x14ac:dyDescent="0.2">
      <c r="A103" t="s">
        <v>124</v>
      </c>
      <c r="B103" s="1">
        <v>100</v>
      </c>
      <c r="C103" s="6">
        <v>1.6</v>
      </c>
      <c r="D103" s="6">
        <v>3.7</v>
      </c>
      <c r="E103" s="6">
        <v>0.1</v>
      </c>
      <c r="F103" s="6">
        <v>61</v>
      </c>
      <c r="G103" s="6">
        <v>56</v>
      </c>
      <c r="H103" s="6">
        <v>0.6</v>
      </c>
      <c r="I103" s="6"/>
      <c r="J103" s="6"/>
      <c r="K103" s="6"/>
      <c r="L103" s="6"/>
      <c r="M103" s="6"/>
      <c r="N103" s="6"/>
    </row>
    <row r="104" spans="1:14" x14ac:dyDescent="0.2">
      <c r="A104" t="s">
        <v>125</v>
      </c>
      <c r="B104" s="1">
        <v>100</v>
      </c>
      <c r="C104" s="6">
        <v>4.4000000000000004</v>
      </c>
      <c r="D104" s="6">
        <v>42.9</v>
      </c>
      <c r="E104" s="6">
        <v>7.6</v>
      </c>
      <c r="F104" s="6">
        <v>18</v>
      </c>
      <c r="G104" s="6">
        <v>140</v>
      </c>
      <c r="H104" s="6">
        <v>0.9</v>
      </c>
      <c r="I104" s="6">
        <v>25</v>
      </c>
      <c r="J104" s="6">
        <v>0.16</v>
      </c>
      <c r="K104" s="6">
        <v>0.11</v>
      </c>
      <c r="L104" s="6">
        <v>1.6</v>
      </c>
      <c r="M104" s="6">
        <v>55</v>
      </c>
      <c r="N104" s="6"/>
    </row>
    <row r="105" spans="1:14" x14ac:dyDescent="0.2">
      <c r="A105" t="s">
        <v>126</v>
      </c>
      <c r="B105" s="1">
        <v>100</v>
      </c>
      <c r="C105" s="6">
        <v>9.1999999999999993</v>
      </c>
      <c r="D105" s="6">
        <v>26.6</v>
      </c>
      <c r="E105" s="6">
        <v>5.0999999999999996</v>
      </c>
      <c r="F105" s="6">
        <v>158</v>
      </c>
      <c r="G105" s="6">
        <v>154</v>
      </c>
      <c r="H105" s="6">
        <v>0.6</v>
      </c>
      <c r="I105" s="6">
        <v>58</v>
      </c>
      <c r="J105" s="6">
        <v>0.13</v>
      </c>
      <c r="K105" s="6">
        <v>0.11</v>
      </c>
      <c r="L105" s="6">
        <v>1.2</v>
      </c>
      <c r="M105" s="6">
        <v>4</v>
      </c>
      <c r="N105" s="6"/>
    </row>
    <row r="106" spans="1:14" x14ac:dyDescent="0.2">
      <c r="A106" t="s">
        <v>185</v>
      </c>
      <c r="B106" s="1">
        <v>100</v>
      </c>
      <c r="C106" s="6">
        <v>8.9</v>
      </c>
      <c r="D106" s="6">
        <v>57.68</v>
      </c>
      <c r="E106" s="6">
        <v>1.2</v>
      </c>
      <c r="F106" s="6">
        <v>31.8</v>
      </c>
      <c r="G106" s="6">
        <v>149.30000000000001</v>
      </c>
      <c r="H106" s="6">
        <v>1.8</v>
      </c>
      <c r="I106" s="6">
        <v>9.16</v>
      </c>
      <c r="J106" s="6">
        <v>0.15</v>
      </c>
      <c r="K106" s="6">
        <v>0.11</v>
      </c>
      <c r="L106" s="6">
        <v>1.49</v>
      </c>
      <c r="M106" s="6">
        <v>0.04</v>
      </c>
      <c r="N106" s="6">
        <v>5.94</v>
      </c>
    </row>
    <row r="107" spans="1:14" x14ac:dyDescent="0.2">
      <c r="A107" s="3" t="s">
        <v>159</v>
      </c>
      <c r="B107" s="1">
        <v>100</v>
      </c>
      <c r="C107" s="10">
        <v>10</v>
      </c>
      <c r="D107" s="10">
        <v>2.2000000000000002</v>
      </c>
      <c r="E107" s="10">
        <v>40.200000000000003</v>
      </c>
      <c r="N107" s="10"/>
    </row>
    <row r="108" spans="1:14" x14ac:dyDescent="0.2">
      <c r="A108" t="s">
        <v>127</v>
      </c>
      <c r="B108" s="1">
        <v>100</v>
      </c>
      <c r="C108" s="6">
        <v>7.4</v>
      </c>
      <c r="D108" s="6">
        <v>70.5</v>
      </c>
      <c r="E108" s="6">
        <v>14.1</v>
      </c>
      <c r="F108" s="6">
        <v>45</v>
      </c>
      <c r="G108" s="6">
        <v>147</v>
      </c>
      <c r="H108" s="6">
        <v>2.2999999999999998</v>
      </c>
      <c r="I108" s="6">
        <v>20</v>
      </c>
      <c r="J108" s="6"/>
      <c r="K108" s="6"/>
      <c r="L108" s="6"/>
      <c r="M108" s="6"/>
      <c r="N108" s="6"/>
    </row>
    <row r="109" spans="1:14" x14ac:dyDescent="0.2">
      <c r="A109" t="s">
        <v>128</v>
      </c>
      <c r="B109" s="1">
        <v>100</v>
      </c>
      <c r="C109" s="6">
        <v>0.62</v>
      </c>
      <c r="D109" s="6">
        <v>40.99</v>
      </c>
      <c r="E109" s="6">
        <v>0.17</v>
      </c>
      <c r="F109" s="6">
        <v>27</v>
      </c>
      <c r="G109" s="6">
        <v>0.78</v>
      </c>
      <c r="H109" s="6"/>
      <c r="I109" s="6"/>
      <c r="J109" s="6"/>
      <c r="K109" s="6"/>
      <c r="L109" s="6"/>
      <c r="M109" s="6">
        <v>7.9</v>
      </c>
      <c r="N109" s="6"/>
    </row>
    <row r="110" spans="1:14" x14ac:dyDescent="0.2">
      <c r="A110" t="s">
        <v>180</v>
      </c>
      <c r="B110" s="1">
        <v>100</v>
      </c>
      <c r="C110" s="6">
        <f>(5.95+3.01+3.4+2.06+3.53+4.31+3.82+3.15+3.85+5.72+4.08+3.8)/12</f>
        <v>3.8899999999999992</v>
      </c>
      <c r="D110" s="6">
        <f>(25.95+30+27.8+25.08+24.7+27.93+29.82+36.3+25.54+29.06+31.83+32.2)/12</f>
        <v>28.850833333333327</v>
      </c>
      <c r="E110" s="6">
        <f>(5.71+3.97+20.8+3.97+7.65+33.1+19.45+21.85+28.15+21.89+18.87+19.2)/12</f>
        <v>17.050833333333333</v>
      </c>
    </row>
    <row r="111" spans="1:14" x14ac:dyDescent="0.2">
      <c r="A111" t="s">
        <v>179</v>
      </c>
      <c r="B111" s="1">
        <v>100</v>
      </c>
      <c r="C111" s="6">
        <f>(0+0.16+0+0+0.16+2.33)/6</f>
        <v>0.44166666666666665</v>
      </c>
      <c r="D111" s="6">
        <f>(27.46+30+26.03+23.45+26.45+25.2)/6</f>
        <v>26.431666666666668</v>
      </c>
      <c r="E111" s="6">
        <f>(0+0+0+0+0.16+6.57)/6</f>
        <v>1.1216666666666668</v>
      </c>
      <c r="F111" s="6"/>
    </row>
    <row r="112" spans="1:14" x14ac:dyDescent="0.2">
      <c r="A112" t="s">
        <v>129</v>
      </c>
      <c r="B112" s="1">
        <v>100</v>
      </c>
      <c r="C112" s="6">
        <v>12.7</v>
      </c>
      <c r="D112" s="6">
        <v>76.7</v>
      </c>
      <c r="E112" s="6">
        <v>5</v>
      </c>
      <c r="F112" s="6">
        <v>281</v>
      </c>
      <c r="G112" s="6">
        <v>2.7</v>
      </c>
      <c r="H112" s="6"/>
      <c r="I112" s="6"/>
      <c r="J112" s="6">
        <v>0.12</v>
      </c>
      <c r="K112" s="6">
        <v>0.05</v>
      </c>
      <c r="L112" s="6">
        <v>1.2</v>
      </c>
      <c r="M112" s="6">
        <v>0</v>
      </c>
      <c r="N112" s="6"/>
    </row>
    <row r="113" spans="1:14" x14ac:dyDescent="0.2">
      <c r="A113" t="s">
        <v>130</v>
      </c>
      <c r="B113" s="1">
        <v>100</v>
      </c>
      <c r="C113" s="6">
        <v>8</v>
      </c>
      <c r="D113" s="6">
        <v>27.2</v>
      </c>
      <c r="E113" s="6">
        <v>12</v>
      </c>
      <c r="F113" s="6">
        <v>133</v>
      </c>
      <c r="G113" s="6">
        <v>0.9</v>
      </c>
      <c r="H113" s="6"/>
      <c r="I113" s="6">
        <v>58</v>
      </c>
      <c r="J113" s="6">
        <v>0.13</v>
      </c>
      <c r="K113" s="6">
        <v>0.1</v>
      </c>
      <c r="L113" s="6">
        <v>1.2</v>
      </c>
      <c r="M113" s="6">
        <v>0</v>
      </c>
      <c r="N113" s="6"/>
    </row>
    <row r="114" spans="1:14" x14ac:dyDescent="0.2">
      <c r="A114" t="s">
        <v>56</v>
      </c>
      <c r="B114" s="1">
        <v>100</v>
      </c>
      <c r="C114" s="6">
        <v>17.73</v>
      </c>
      <c r="D114" s="6">
        <v>0</v>
      </c>
      <c r="E114" s="6">
        <v>25.17</v>
      </c>
      <c r="F114" s="6">
        <v>10.67</v>
      </c>
      <c r="G114" s="6">
        <v>199.33</v>
      </c>
      <c r="H114" s="6">
        <v>2.23</v>
      </c>
      <c r="I114" s="6">
        <v>0</v>
      </c>
      <c r="J114" s="6">
        <v>0.73</v>
      </c>
      <c r="K114" s="6">
        <v>0.2</v>
      </c>
      <c r="L114" s="6">
        <v>3.9</v>
      </c>
      <c r="M114" s="6">
        <v>0</v>
      </c>
      <c r="N114" s="6">
        <v>0</v>
      </c>
    </row>
    <row r="115" spans="1:14" x14ac:dyDescent="0.2">
      <c r="A115" t="s">
        <v>131</v>
      </c>
      <c r="B115" s="1">
        <v>100</v>
      </c>
      <c r="C115" s="6">
        <v>19.88</v>
      </c>
      <c r="D115" s="6">
        <v>0</v>
      </c>
      <c r="E115" s="6">
        <v>29.15</v>
      </c>
      <c r="F115" s="6">
        <v>218</v>
      </c>
      <c r="G115" s="6">
        <v>1.7</v>
      </c>
      <c r="H115" s="6"/>
      <c r="I115" s="6">
        <v>0</v>
      </c>
      <c r="J115" s="6">
        <v>0.55000000000000004</v>
      </c>
      <c r="K115" s="6">
        <v>0.2</v>
      </c>
      <c r="L115" s="6">
        <v>2.9</v>
      </c>
      <c r="M115" s="6">
        <v>0</v>
      </c>
      <c r="N115" s="6"/>
    </row>
    <row r="116" spans="1:14" x14ac:dyDescent="0.2">
      <c r="A116" t="s">
        <v>178</v>
      </c>
      <c r="B116" s="1">
        <v>100</v>
      </c>
      <c r="C116" s="1">
        <v>6.7</v>
      </c>
      <c r="D116" s="1">
        <v>24.34</v>
      </c>
      <c r="E116" s="1">
        <v>6.39</v>
      </c>
      <c r="F116" s="1">
        <v>170.51</v>
      </c>
      <c r="H116" s="1">
        <v>0.54</v>
      </c>
      <c r="I116" s="1">
        <v>123.67</v>
      </c>
      <c r="M116" s="1">
        <v>0.91</v>
      </c>
    </row>
    <row r="117" spans="1:14" x14ac:dyDescent="0.2">
      <c r="A117" t="s">
        <v>132</v>
      </c>
      <c r="B117" s="1">
        <v>100</v>
      </c>
      <c r="C117" s="6">
        <v>4.4000000000000004</v>
      </c>
      <c r="D117" s="6">
        <v>21.4</v>
      </c>
      <c r="E117" s="6">
        <v>1.9</v>
      </c>
      <c r="F117" s="6">
        <v>86</v>
      </c>
      <c r="G117" s="6">
        <v>0.9</v>
      </c>
      <c r="H117" s="6"/>
      <c r="I117" s="6">
        <v>31</v>
      </c>
      <c r="J117" s="6">
        <v>0.12</v>
      </c>
      <c r="K117" s="6">
        <v>0.8</v>
      </c>
      <c r="L117" s="6">
        <v>1.6</v>
      </c>
      <c r="M117" s="6">
        <v>12</v>
      </c>
      <c r="N117" s="6"/>
    </row>
    <row r="118" spans="1:14" x14ac:dyDescent="0.2">
      <c r="A118" t="s">
        <v>133</v>
      </c>
      <c r="B118" s="1">
        <v>100</v>
      </c>
      <c r="C118" s="6">
        <v>5.2</v>
      </c>
      <c r="D118" s="6">
        <v>26.3</v>
      </c>
      <c r="E118" s="6">
        <v>8.6999999999999993</v>
      </c>
      <c r="F118" s="6">
        <v>116</v>
      </c>
      <c r="G118" s="6">
        <v>1.2</v>
      </c>
      <c r="H118" s="6"/>
      <c r="I118" s="6"/>
      <c r="J118" s="6"/>
      <c r="K118" s="6"/>
      <c r="L118" s="6"/>
      <c r="M118" s="6"/>
      <c r="N118" s="6"/>
    </row>
    <row r="119" spans="1:14" x14ac:dyDescent="0.2">
      <c r="A119" t="s">
        <v>52</v>
      </c>
      <c r="B119" s="1">
        <v>100</v>
      </c>
      <c r="C119" s="6">
        <v>21.5</v>
      </c>
      <c r="D119" s="6">
        <v>2.06</v>
      </c>
      <c r="E119" s="6">
        <v>23.5</v>
      </c>
      <c r="F119" s="6">
        <v>423.25</v>
      </c>
      <c r="G119" s="6">
        <v>400.5</v>
      </c>
      <c r="H119" s="6">
        <v>0.47</v>
      </c>
      <c r="I119" s="6">
        <v>190.25</v>
      </c>
      <c r="J119" s="6">
        <v>0.02</v>
      </c>
      <c r="K119" s="6">
        <v>0.28999999999999998</v>
      </c>
      <c r="L119" s="6">
        <v>0.15</v>
      </c>
      <c r="M119" s="6">
        <v>0.17</v>
      </c>
      <c r="N119" s="6">
        <v>0</v>
      </c>
    </row>
    <row r="120" spans="1:14" x14ac:dyDescent="0.2">
      <c r="A120" t="s">
        <v>134</v>
      </c>
      <c r="B120" s="1">
        <v>100</v>
      </c>
      <c r="C120" s="6">
        <v>10.6</v>
      </c>
      <c r="D120" s="6">
        <v>79.099999999999994</v>
      </c>
      <c r="E120" s="6">
        <v>6.2</v>
      </c>
      <c r="F120" s="6">
        <v>84</v>
      </c>
      <c r="G120" s="6">
        <v>0.23</v>
      </c>
      <c r="H120" s="6"/>
      <c r="I120" s="6">
        <v>130</v>
      </c>
      <c r="J120" s="6">
        <v>0.09</v>
      </c>
      <c r="K120" s="6">
        <v>0.22</v>
      </c>
      <c r="L120" s="6">
        <v>0.7</v>
      </c>
      <c r="M120" s="6">
        <v>0</v>
      </c>
      <c r="N120" s="6"/>
    </row>
    <row r="121" spans="1:14" x14ac:dyDescent="0.2">
      <c r="A121" t="s">
        <v>135</v>
      </c>
      <c r="B121" s="1">
        <v>100</v>
      </c>
      <c r="C121" s="6">
        <v>33.880000000000003</v>
      </c>
      <c r="D121" s="6">
        <v>0</v>
      </c>
      <c r="E121" s="6">
        <v>24.26</v>
      </c>
      <c r="F121" s="6">
        <v>245</v>
      </c>
      <c r="G121" s="6">
        <v>0.85</v>
      </c>
      <c r="H121" s="6"/>
      <c r="I121" s="6">
        <v>500</v>
      </c>
      <c r="J121" s="6">
        <v>0.01</v>
      </c>
      <c r="K121" s="6">
        <v>0.54</v>
      </c>
      <c r="L121" s="6">
        <v>0.1</v>
      </c>
      <c r="M121" s="6">
        <v>0</v>
      </c>
      <c r="N121" s="6"/>
    </row>
    <row r="122" spans="1:14" x14ac:dyDescent="0.2">
      <c r="A122" t="s">
        <v>64</v>
      </c>
      <c r="B122" s="1">
        <v>100</v>
      </c>
      <c r="C122" s="6">
        <v>12.6</v>
      </c>
      <c r="D122" s="6">
        <v>0</v>
      </c>
      <c r="E122" s="6">
        <v>14.28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</row>
    <row r="123" spans="1:14" x14ac:dyDescent="0.2">
      <c r="A123" t="s">
        <v>136</v>
      </c>
      <c r="B123" s="1">
        <v>100</v>
      </c>
      <c r="C123" s="6">
        <v>10.9</v>
      </c>
      <c r="D123" s="6">
        <v>21.7</v>
      </c>
      <c r="E123" s="6">
        <v>3.9</v>
      </c>
      <c r="F123" s="6">
        <v>113</v>
      </c>
      <c r="G123" s="6">
        <v>1.2</v>
      </c>
      <c r="H123" s="6"/>
      <c r="I123" s="6">
        <v>14</v>
      </c>
      <c r="J123" s="6">
        <v>0.04</v>
      </c>
      <c r="K123" s="6">
        <v>0.08</v>
      </c>
      <c r="L123" s="6">
        <v>1.8</v>
      </c>
      <c r="M123" s="6">
        <v>2</v>
      </c>
      <c r="N123" s="6"/>
    </row>
    <row r="124" spans="1:14" x14ac:dyDescent="0.2">
      <c r="A124" t="s">
        <v>137</v>
      </c>
      <c r="B124" s="1">
        <v>100</v>
      </c>
      <c r="C124" s="6">
        <v>14.54</v>
      </c>
      <c r="D124" s="6">
        <v>62</v>
      </c>
      <c r="E124" s="6">
        <v>8.9600000000000009</v>
      </c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 s="3" t="s">
        <v>160</v>
      </c>
      <c r="B125" s="1">
        <v>100</v>
      </c>
      <c r="C125" s="10">
        <v>0.6</v>
      </c>
      <c r="D125" s="10">
        <v>27.9</v>
      </c>
      <c r="E125" s="10">
        <v>0.9</v>
      </c>
      <c r="N125" s="10">
        <v>0.5</v>
      </c>
    </row>
    <row r="126" spans="1:14" x14ac:dyDescent="0.2">
      <c r="A126" t="s">
        <v>138</v>
      </c>
      <c r="B126" s="1">
        <v>100</v>
      </c>
      <c r="C126" s="6">
        <v>24.04</v>
      </c>
      <c r="D126" s="6">
        <v>0</v>
      </c>
      <c r="E126" s="6">
        <v>22.36</v>
      </c>
      <c r="F126" s="6">
        <v>260</v>
      </c>
      <c r="G126" s="6">
        <v>2.6</v>
      </c>
      <c r="H126" s="6"/>
      <c r="I126" s="6">
        <v>0</v>
      </c>
      <c r="J126" s="6">
        <v>0.25</v>
      </c>
      <c r="K126" s="6">
        <v>0.21</v>
      </c>
      <c r="L126" s="6">
        <v>2.9</v>
      </c>
      <c r="M126" s="6">
        <v>0</v>
      </c>
      <c r="N126" s="6"/>
    </row>
    <row r="127" spans="1:14" x14ac:dyDescent="0.2">
      <c r="A127" s="3" t="s">
        <v>161</v>
      </c>
      <c r="B127" s="1">
        <v>100</v>
      </c>
      <c r="C127" s="10">
        <v>1.2</v>
      </c>
      <c r="D127" s="10">
        <v>5.2</v>
      </c>
      <c r="E127" s="10">
        <v>1.5</v>
      </c>
      <c r="N127" s="10">
        <v>0.2</v>
      </c>
    </row>
    <row r="128" spans="1:14" x14ac:dyDescent="0.2">
      <c r="A128" s="3" t="s">
        <v>162</v>
      </c>
      <c r="B128" s="1">
        <v>100</v>
      </c>
      <c r="C128" s="10">
        <v>2.6</v>
      </c>
      <c r="D128" s="10">
        <v>18</v>
      </c>
      <c r="E128" s="10">
        <v>16.100000000000001</v>
      </c>
      <c r="N128" s="10"/>
    </row>
    <row r="129" spans="1:14" x14ac:dyDescent="0.2">
      <c r="A129" s="3" t="s">
        <v>163</v>
      </c>
      <c r="B129" s="1">
        <v>100</v>
      </c>
      <c r="C129" s="10">
        <v>0.4</v>
      </c>
      <c r="D129" s="10">
        <v>32.6</v>
      </c>
      <c r="E129" s="10"/>
      <c r="N129" s="10"/>
    </row>
    <row r="130" spans="1:14" x14ac:dyDescent="0.2">
      <c r="A130" t="s">
        <v>68</v>
      </c>
      <c r="B130" s="1">
        <v>100</v>
      </c>
      <c r="C130" s="6">
        <v>0.4</v>
      </c>
      <c r="D130" s="6">
        <v>13.4</v>
      </c>
      <c r="E130" s="6">
        <v>0.1</v>
      </c>
      <c r="F130" s="6">
        <v>10</v>
      </c>
      <c r="G130" s="6">
        <v>12</v>
      </c>
      <c r="H130" s="6">
        <v>0.6</v>
      </c>
      <c r="I130" s="6">
        <v>20</v>
      </c>
      <c r="J130" s="6">
        <v>0.03</v>
      </c>
      <c r="K130" s="6">
        <v>0.02</v>
      </c>
      <c r="L130" s="6">
        <v>0.2</v>
      </c>
      <c r="M130" s="6">
        <v>18</v>
      </c>
      <c r="N130" s="6">
        <v>0</v>
      </c>
    </row>
    <row r="131" spans="1:14" x14ac:dyDescent="0.2">
      <c r="A131" t="s">
        <v>139</v>
      </c>
      <c r="B131" s="1">
        <v>100</v>
      </c>
      <c r="C131" s="6">
        <v>1.7</v>
      </c>
      <c r="D131" s="6">
        <v>92.6</v>
      </c>
      <c r="E131" s="6">
        <v>0.1</v>
      </c>
      <c r="F131" s="6">
        <v>2</v>
      </c>
      <c r="G131" s="6">
        <v>0.1</v>
      </c>
      <c r="H131" s="6"/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/>
    </row>
    <row r="132" spans="1:14" x14ac:dyDescent="0.2">
      <c r="A132" t="s">
        <v>140</v>
      </c>
      <c r="B132" s="1">
        <v>100</v>
      </c>
      <c r="C132" s="6">
        <v>23.5</v>
      </c>
      <c r="D132" s="6">
        <v>65</v>
      </c>
      <c r="E132" s="6">
        <v>3.5</v>
      </c>
      <c r="F132" s="6">
        <v>638</v>
      </c>
      <c r="G132" s="6">
        <v>3.3</v>
      </c>
      <c r="H132" s="6"/>
      <c r="I132" s="6">
        <v>110</v>
      </c>
      <c r="J132" s="6">
        <v>1.1000000000000001</v>
      </c>
      <c r="K132" s="6">
        <v>1.1000000000000001</v>
      </c>
      <c r="L132" s="6">
        <v>11</v>
      </c>
      <c r="M132" s="6">
        <v>7</v>
      </c>
      <c r="N132" s="6"/>
    </row>
    <row r="133" spans="1:14" x14ac:dyDescent="0.2">
      <c r="A133" t="s">
        <v>141</v>
      </c>
      <c r="B133" s="1">
        <v>100</v>
      </c>
      <c r="C133" s="6">
        <v>11</v>
      </c>
      <c r="D133" s="6">
        <v>63.6</v>
      </c>
      <c r="E133" s="6">
        <v>1.6</v>
      </c>
      <c r="F133" s="6"/>
      <c r="G133" s="6"/>
      <c r="H133" s="6"/>
      <c r="I133" s="6">
        <v>0</v>
      </c>
      <c r="J133" s="6">
        <v>0.05</v>
      </c>
      <c r="K133" s="6">
        <v>0.05</v>
      </c>
      <c r="L133" s="6">
        <v>0.8</v>
      </c>
      <c r="M133" s="6">
        <v>0</v>
      </c>
      <c r="N133" s="6"/>
    </row>
    <row r="134" spans="1:14" x14ac:dyDescent="0.2">
      <c r="A134" t="s">
        <v>142</v>
      </c>
      <c r="B134" s="1">
        <v>100</v>
      </c>
      <c r="C134" s="6">
        <v>8.6999999999999993</v>
      </c>
      <c r="D134" s="6">
        <v>12.6</v>
      </c>
      <c r="E134" s="6">
        <v>0.4</v>
      </c>
      <c r="F134" s="6">
        <v>87</v>
      </c>
      <c r="G134" s="6">
        <v>2.39</v>
      </c>
      <c r="H134" s="6"/>
      <c r="I134" s="6"/>
      <c r="J134" s="6"/>
      <c r="K134" s="6"/>
      <c r="L134" s="6"/>
      <c r="M134" s="6"/>
      <c r="N134" s="6"/>
    </row>
    <row r="135" spans="1:14" x14ac:dyDescent="0.2">
      <c r="A135" s="3" t="s">
        <v>164</v>
      </c>
      <c r="B135" s="1">
        <v>100</v>
      </c>
      <c r="C135" s="10">
        <v>8.5</v>
      </c>
      <c r="D135" s="10">
        <v>9.4</v>
      </c>
      <c r="E135" s="10">
        <v>6.2</v>
      </c>
      <c r="N135" s="10">
        <v>0.5</v>
      </c>
    </row>
    <row r="136" spans="1:14" x14ac:dyDescent="0.2">
      <c r="A136" t="s">
        <v>143</v>
      </c>
      <c r="B136" s="1">
        <v>100</v>
      </c>
      <c r="C136" s="6">
        <v>0.1</v>
      </c>
      <c r="D136" s="6">
        <v>4.2</v>
      </c>
      <c r="E136" s="6">
        <v>0</v>
      </c>
      <c r="F136" s="6">
        <v>10</v>
      </c>
      <c r="G136" s="6">
        <v>0.4</v>
      </c>
      <c r="H136" s="6"/>
      <c r="I136" s="6">
        <v>0</v>
      </c>
      <c r="J136" s="6">
        <v>0.01</v>
      </c>
      <c r="K136" s="6">
        <v>0.01</v>
      </c>
      <c r="L136" s="6">
        <v>0.1</v>
      </c>
      <c r="M136" s="6">
        <v>0</v>
      </c>
      <c r="N136" s="6"/>
    </row>
    <row r="137" spans="1:14" x14ac:dyDescent="0.2">
      <c r="A137" t="s">
        <v>144</v>
      </c>
      <c r="B137" s="1">
        <v>100</v>
      </c>
      <c r="C137" s="6">
        <v>3.5</v>
      </c>
      <c r="D137" s="6">
        <v>15.5</v>
      </c>
      <c r="E137" s="6">
        <v>3.3</v>
      </c>
      <c r="F137" s="6">
        <v>69</v>
      </c>
      <c r="G137" s="6">
        <v>0.4</v>
      </c>
      <c r="H137" s="6"/>
      <c r="I137" s="6"/>
      <c r="J137" s="6">
        <v>1.4E-2</v>
      </c>
      <c r="K137" s="6">
        <v>0.03</v>
      </c>
      <c r="L137" s="6">
        <v>0.04</v>
      </c>
      <c r="M137" s="6">
        <v>0.2</v>
      </c>
      <c r="N137" s="6"/>
    </row>
    <row r="138" spans="1:14" x14ac:dyDescent="0.2">
      <c r="A138" t="s">
        <v>145</v>
      </c>
      <c r="B138" s="1">
        <v>100</v>
      </c>
      <c r="C138" s="6">
        <v>0.8</v>
      </c>
      <c r="D138" s="6">
        <v>20.6</v>
      </c>
      <c r="E138" s="6">
        <v>0.8</v>
      </c>
      <c r="F138" s="6">
        <v>13</v>
      </c>
      <c r="G138" s="6">
        <v>0.6</v>
      </c>
      <c r="H138" s="6"/>
      <c r="I138" s="6"/>
      <c r="J138" s="6">
        <v>0.03</v>
      </c>
      <c r="K138" s="6">
        <v>0.03</v>
      </c>
      <c r="L138" s="6">
        <v>0.13</v>
      </c>
      <c r="M138" s="6">
        <v>0.4</v>
      </c>
      <c r="N138" s="6"/>
    </row>
    <row r="139" spans="1:14" x14ac:dyDescent="0.2">
      <c r="A139" t="s">
        <v>146</v>
      </c>
      <c r="B139" s="1">
        <v>100</v>
      </c>
      <c r="C139" s="6">
        <v>9.3000000000000007</v>
      </c>
      <c r="D139" s="6">
        <v>37.799999999999997</v>
      </c>
      <c r="E139" s="6">
        <v>10.6</v>
      </c>
      <c r="F139" s="6">
        <v>204</v>
      </c>
      <c r="G139" s="6">
        <v>0.47</v>
      </c>
      <c r="H139" s="6"/>
      <c r="I139" s="6">
        <v>3</v>
      </c>
      <c r="J139" s="6">
        <v>0.06</v>
      </c>
      <c r="K139" s="6">
        <v>0.02</v>
      </c>
      <c r="L139" s="6">
        <v>0.6</v>
      </c>
      <c r="M139" s="6">
        <v>0</v>
      </c>
      <c r="N139" s="6"/>
    </row>
    <row r="140" spans="1:14" x14ac:dyDescent="0.2">
      <c r="A140" t="s">
        <v>49</v>
      </c>
      <c r="B140" s="1">
        <v>100</v>
      </c>
      <c r="C140" s="1">
        <v>19.170000000000002</v>
      </c>
      <c r="D140" s="1">
        <v>0.22</v>
      </c>
      <c r="E140" s="1">
        <v>12.54</v>
      </c>
      <c r="F140" s="1">
        <v>16.2</v>
      </c>
      <c r="G140" s="1">
        <v>199.6</v>
      </c>
      <c r="H140" s="1">
        <v>2.58</v>
      </c>
      <c r="I140" s="1">
        <v>174.22</v>
      </c>
      <c r="J140" s="1">
        <v>0.15</v>
      </c>
      <c r="K140" s="1">
        <v>0.24</v>
      </c>
      <c r="L140" s="1">
        <v>5.6</v>
      </c>
      <c r="M140" s="1">
        <v>0.5</v>
      </c>
    </row>
    <row r="141" spans="1:14" x14ac:dyDescent="0.2">
      <c r="A141" t="s">
        <v>192</v>
      </c>
      <c r="B141" s="1">
        <v>80</v>
      </c>
      <c r="C141" s="6">
        <v>2.08</v>
      </c>
      <c r="D141" s="6">
        <v>28.67</v>
      </c>
      <c r="E141" s="6">
        <v>0.45</v>
      </c>
      <c r="F141" s="6">
        <v>8.51</v>
      </c>
      <c r="G141" s="6">
        <v>6.43</v>
      </c>
      <c r="H141" s="6">
        <v>0.26</v>
      </c>
      <c r="I141" s="6">
        <v>26.33</v>
      </c>
      <c r="J141" s="6">
        <v>0.12</v>
      </c>
      <c r="K141" s="6">
        <v>0.01</v>
      </c>
      <c r="L141" s="6">
        <v>0.18</v>
      </c>
      <c r="M141" s="6">
        <v>4.28</v>
      </c>
      <c r="N141" s="6">
        <v>0.25</v>
      </c>
    </row>
    <row r="142" spans="1:14" x14ac:dyDescent="0.2">
      <c r="A142" t="s">
        <v>165</v>
      </c>
      <c r="B142" s="1">
        <v>100</v>
      </c>
      <c r="C142" s="6">
        <v>0</v>
      </c>
      <c r="D142" s="6">
        <v>35</v>
      </c>
      <c r="E142" s="6">
        <v>0</v>
      </c>
      <c r="F142" s="6">
        <v>179</v>
      </c>
      <c r="G142" s="6"/>
      <c r="H142" s="6">
        <v>5.6</v>
      </c>
    </row>
    <row r="143" spans="1:14" x14ac:dyDescent="0.2">
      <c r="A143" t="s">
        <v>181</v>
      </c>
      <c r="B143" s="1">
        <v>100</v>
      </c>
      <c r="C143" s="6">
        <v>19.329999999999998</v>
      </c>
      <c r="D143" s="6">
        <v>69.760000000000005</v>
      </c>
      <c r="E143" s="6">
        <v>3.7</v>
      </c>
      <c r="F143" s="6">
        <v>63.74</v>
      </c>
      <c r="G143" s="6"/>
      <c r="H143" s="6">
        <v>2.56</v>
      </c>
      <c r="I143" s="6"/>
      <c r="J143" s="6"/>
      <c r="K143" s="6"/>
      <c r="L143" s="6"/>
      <c r="M143" s="6">
        <v>5.32</v>
      </c>
      <c r="N143" s="6"/>
    </row>
    <row r="144" spans="1:14" x14ac:dyDescent="0.2">
      <c r="A144" t="s">
        <v>182</v>
      </c>
      <c r="B144" s="1">
        <v>100</v>
      </c>
      <c r="C144" s="6">
        <v>5.69</v>
      </c>
      <c r="D144" s="6">
        <v>50.05</v>
      </c>
      <c r="E144" s="6">
        <v>19.100000000000001</v>
      </c>
      <c r="F144" s="6">
        <v>28.44</v>
      </c>
      <c r="G144" s="6"/>
      <c r="H144" s="6">
        <v>1.1200000000000001</v>
      </c>
      <c r="I144" s="6">
        <v>301.68</v>
      </c>
      <c r="J144" s="6"/>
      <c r="K144" s="6"/>
      <c r="L144" s="6"/>
      <c r="M144" s="6">
        <v>7.14</v>
      </c>
      <c r="N144" s="6"/>
    </row>
    <row r="145" spans="1:14" x14ac:dyDescent="0.2">
      <c r="A145" t="s">
        <v>183</v>
      </c>
      <c r="B145" s="1">
        <v>100</v>
      </c>
      <c r="C145" s="6">
        <f>(4.36+4.26+4.2)/3</f>
        <v>4.2733333333333334</v>
      </c>
      <c r="D145" s="6">
        <v>28.1</v>
      </c>
      <c r="E145" s="6">
        <f>(6.06+6.58+5.3)/3</f>
        <v>5.98</v>
      </c>
      <c r="F145" s="6">
        <f>(121+131+106)/3</f>
        <v>119.33333333333333</v>
      </c>
      <c r="G145" s="6"/>
      <c r="H145" s="6">
        <f>(14+0.37+0.23)/3</f>
        <v>4.8666666666666663</v>
      </c>
      <c r="I145" s="6">
        <f>(50.7+42+42)/3</f>
        <v>44.9</v>
      </c>
      <c r="J145" s="6"/>
      <c r="K145" s="6"/>
      <c r="L145" s="6"/>
      <c r="M145" s="6">
        <f>(2.18+1.7+1.5)/3</f>
        <v>1.7933333333333332</v>
      </c>
      <c r="N145" s="6"/>
    </row>
    <row r="146" spans="1:14" x14ac:dyDescent="0.2">
      <c r="A146" t="s">
        <v>193</v>
      </c>
      <c r="B146" s="1">
        <v>80</v>
      </c>
      <c r="C146" s="6">
        <v>4.32</v>
      </c>
      <c r="D146" s="6">
        <v>35.200000000000003</v>
      </c>
      <c r="E146" s="6">
        <v>7.79</v>
      </c>
      <c r="F146" s="6">
        <v>66.489999999999995</v>
      </c>
      <c r="G146" s="6">
        <v>31.73</v>
      </c>
      <c r="H146" s="6">
        <v>0.6</v>
      </c>
      <c r="I146" s="6">
        <v>65.47</v>
      </c>
      <c r="J146" s="6">
        <v>0.02</v>
      </c>
      <c r="K146" s="6">
        <v>0.2</v>
      </c>
      <c r="L146" s="6">
        <v>3.35</v>
      </c>
      <c r="M146" s="6">
        <v>0.3</v>
      </c>
      <c r="N146" s="6"/>
    </row>
    <row r="147" spans="1:14" x14ac:dyDescent="0.2">
      <c r="A147" t="s">
        <v>194</v>
      </c>
      <c r="B147" s="1">
        <v>110</v>
      </c>
      <c r="C147" s="6">
        <v>6.28</v>
      </c>
      <c r="D147" s="6">
        <v>57.5</v>
      </c>
      <c r="E147" s="6">
        <v>10.19</v>
      </c>
      <c r="F147" s="6">
        <v>90.24</v>
      </c>
      <c r="G147" s="6">
        <v>112.12</v>
      </c>
      <c r="H147" s="6">
        <v>1.96</v>
      </c>
      <c r="I147" s="6">
        <v>139.41999999999999</v>
      </c>
      <c r="J147" s="6">
        <v>0.06</v>
      </c>
      <c r="K147" s="6">
        <v>0.2</v>
      </c>
      <c r="L147" s="6">
        <v>1.63</v>
      </c>
      <c r="M147" s="6">
        <v>15.42</v>
      </c>
      <c r="N147" s="6">
        <v>0</v>
      </c>
    </row>
    <row r="148" spans="1:14" x14ac:dyDescent="0.2">
      <c r="A148" t="s">
        <v>195</v>
      </c>
      <c r="B148" s="1">
        <v>90</v>
      </c>
      <c r="C148" s="6">
        <v>6.21</v>
      </c>
      <c r="D148" s="6">
        <v>44.46</v>
      </c>
      <c r="E148" s="6">
        <v>21.69</v>
      </c>
      <c r="F148" s="6">
        <v>64.36</v>
      </c>
      <c r="G148" s="6">
        <v>78.400000000000006</v>
      </c>
      <c r="H148" s="6">
        <v>1.76</v>
      </c>
      <c r="I148" s="6">
        <v>210.26</v>
      </c>
      <c r="J148" s="6">
        <v>0.03</v>
      </c>
      <c r="K148" s="6">
        <v>0.02</v>
      </c>
      <c r="L148" s="6">
        <v>0.28000000000000003</v>
      </c>
      <c r="M148" s="6">
        <v>1.3</v>
      </c>
      <c r="N148" s="6">
        <v>0</v>
      </c>
    </row>
    <row r="149" spans="1:14" x14ac:dyDescent="0.2">
      <c r="A149" t="s">
        <v>209</v>
      </c>
      <c r="B149" s="1">
        <v>100</v>
      </c>
      <c r="C149" s="1">
        <v>18</v>
      </c>
      <c r="D149" s="1">
        <v>0</v>
      </c>
      <c r="E149" s="1">
        <v>19</v>
      </c>
      <c r="F149" s="1">
        <v>685</v>
      </c>
      <c r="G149" s="1">
        <v>0</v>
      </c>
      <c r="H149" s="1">
        <v>0.4</v>
      </c>
      <c r="I149" s="1">
        <v>270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</row>
    <row r="150" spans="1:14" x14ac:dyDescent="0.2">
      <c r="A150" t="s">
        <v>210</v>
      </c>
      <c r="B150" s="1">
        <v>100</v>
      </c>
      <c r="C150" s="1">
        <v>1.95</v>
      </c>
      <c r="D150" s="1">
        <v>83.78</v>
      </c>
      <c r="E150" s="1">
        <v>0.18</v>
      </c>
      <c r="F150" s="1">
        <v>41</v>
      </c>
      <c r="G150" s="1">
        <v>86.5</v>
      </c>
      <c r="H150" s="1">
        <v>1.95</v>
      </c>
      <c r="I150" s="1">
        <v>0</v>
      </c>
      <c r="J150" s="1">
        <v>0.08</v>
      </c>
      <c r="K150" s="1">
        <v>0.09</v>
      </c>
      <c r="L150" s="1">
        <v>1.02</v>
      </c>
      <c r="M150" s="1">
        <v>1.95</v>
      </c>
      <c r="N150" s="1">
        <v>9.7799999999999994</v>
      </c>
    </row>
    <row r="151" spans="1:14" x14ac:dyDescent="0.2">
      <c r="A151" t="s">
        <v>211</v>
      </c>
      <c r="B151" s="1">
        <v>100</v>
      </c>
      <c r="C151" s="1">
        <v>3.1</v>
      </c>
      <c r="D151" s="1">
        <v>4</v>
      </c>
      <c r="E151" s="1">
        <v>1.7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</row>
    <row r="152" spans="1:14" x14ac:dyDescent="0.2">
      <c r="A152" t="s">
        <v>212</v>
      </c>
      <c r="B152" s="1">
        <v>100</v>
      </c>
      <c r="C152" s="1">
        <v>10.7</v>
      </c>
      <c r="D152" s="1">
        <v>64.2</v>
      </c>
      <c r="E152" s="1">
        <v>14.7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</row>
  </sheetData>
  <pageMargins left="0.19685039370078741" right="0.19685039370078741" top="0.19685039370078741" bottom="0.19685039370078741" header="0.51181102362204722" footer="0.51181102362204722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P49"/>
  <sheetViews>
    <sheetView workbookViewId="0">
      <selection activeCell="K34" sqref="K34"/>
    </sheetView>
  </sheetViews>
  <sheetFormatPr defaultRowHeight="12.75" x14ac:dyDescent="0.2"/>
  <cols>
    <col min="1" max="1" width="2.42578125" customWidth="1"/>
    <col min="2" max="2" width="6.85546875" customWidth="1"/>
    <col min="3" max="3" width="24" customWidth="1"/>
    <col min="8" max="8" width="8.42578125" customWidth="1"/>
    <col min="9" max="9" width="11.140625" customWidth="1"/>
    <col min="10" max="10" width="9.28515625" bestFit="1" customWidth="1"/>
    <col min="11" max="11" width="10" bestFit="1" customWidth="1"/>
    <col min="12" max="16" width="9.28515625" bestFit="1" customWidth="1"/>
  </cols>
  <sheetData>
    <row r="1" spans="1:16" x14ac:dyDescent="0.2">
      <c r="B1" s="5"/>
      <c r="C1" s="1"/>
      <c r="D1" s="1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">
      <c r="B2" s="5"/>
      <c r="C2" s="1"/>
      <c r="D2" s="1"/>
      <c r="E2" s="6" t="s">
        <v>187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B3" s="2" t="s">
        <v>0</v>
      </c>
      <c r="C3" s="2" t="s">
        <v>1</v>
      </c>
      <c r="D3" s="2" t="s">
        <v>19</v>
      </c>
      <c r="E3" s="2" t="s">
        <v>16</v>
      </c>
      <c r="F3" s="2" t="s">
        <v>17</v>
      </c>
      <c r="G3" s="2" t="s">
        <v>7</v>
      </c>
      <c r="H3" s="2" t="s">
        <v>11</v>
      </c>
      <c r="I3" s="2" t="s">
        <v>12</v>
      </c>
      <c r="J3" s="2" t="s">
        <v>13</v>
      </c>
      <c r="K3" s="2" t="s">
        <v>15</v>
      </c>
      <c r="L3" s="2" t="s">
        <v>8</v>
      </c>
      <c r="M3" s="2" t="s">
        <v>9</v>
      </c>
      <c r="N3" s="2" t="s">
        <v>10</v>
      </c>
      <c r="O3" s="2" t="s">
        <v>18</v>
      </c>
      <c r="P3" s="2" t="s">
        <v>3</v>
      </c>
    </row>
    <row r="4" spans="1:16" x14ac:dyDescent="0.2">
      <c r="B4" s="8">
        <v>130</v>
      </c>
      <c r="C4" s="2" t="str">
        <f>IF($B4&gt;0,(VLOOKUP($B4,Base!$A$2:$Z$1000,2,0)),"")</f>
        <v>Suspiro</v>
      </c>
      <c r="D4" s="2">
        <v>30</v>
      </c>
      <c r="E4" s="9">
        <f>IF($B4&gt;0,(VLOOKUP($B4,Base!$A$2:$Z$1000,4,0)*$D4)/(VLOOKUP($B4,Base!$A$2:$Z$1000,3,0)),"")</f>
        <v>0.51</v>
      </c>
      <c r="F4" s="9">
        <f>IF($B4&gt;0,(VLOOKUP($B4,Base!$A$2:$Z$1000,5,0)*$D4)/(VLOOKUP($B4,Base!$A$2:$Z$1000,3,0)),"")</f>
        <v>27.78</v>
      </c>
      <c r="G4" s="9">
        <f>IF($B4&gt;0,(VLOOKUP($B4,Base!$A$2:$Z$1000,6,0)*$D4)/(VLOOKUP($B4,Base!$A$2:$Z$1000,3,0)),"")</f>
        <v>0.03</v>
      </c>
      <c r="H4" s="9">
        <f>IF($B4&gt;0,(VLOOKUP($B4,Base!$A$2:$Z$1000,7,0)*$D4)/(VLOOKUP($B4,Base!$A$2:$Z$1000,3,0)),"")</f>
        <v>0.6</v>
      </c>
      <c r="I4" s="9">
        <f>IF($B4&gt;0,(VLOOKUP($B4,Base!$A$2:$Z$1000,8,0)*$D4)/(VLOOKUP($B4,Base!$A$2:$Z$1000,3,0)),"")</f>
        <v>0.03</v>
      </c>
      <c r="J4" s="9">
        <f>IF($B4&gt;0,(VLOOKUP($B4,Base!$A$2:$Z$1000,9,0)*$D4)/(VLOOKUP($B4,Base!$A$2:$Z$1000,3,0)),"")</f>
        <v>0</v>
      </c>
      <c r="K4" s="9">
        <f>IF($B4&gt;0,(VLOOKUP($B4,Base!$A$2:$Z$1000,10,0)*$D4)/(VLOOKUP($B4,Base!$A$2:$Z$1000,3,0)),"")</f>
        <v>0</v>
      </c>
      <c r="L4" s="9">
        <f>IF($B4&gt;0,(VLOOKUP($B4,Base!$A$2:$Z$1000,11,0)*$D4)/(VLOOKUP($B4,Base!$A$2:$Z$1000,3,0)),"")</f>
        <v>0</v>
      </c>
      <c r="M4" s="9">
        <f>IF($B4&gt;0,(VLOOKUP($B4,Base!$A$2:$Z$1000,12,0)*$D4)/(VLOOKUP($B4,Base!$A$2:$Z$1000,3,0)),"")</f>
        <v>0</v>
      </c>
      <c r="N4" s="9">
        <f>IF($B4&gt;0,(VLOOKUP($B4,Base!$A$2:$Z$1000,13,0)*$D4)/(VLOOKUP($B4,Base!$A$2:$Z$1000,3,0)),"")</f>
        <v>0</v>
      </c>
      <c r="O4" s="9">
        <f>IF($B4&gt;0,(VLOOKUP($B4,Base!$A$2:$Z$1000,14,0)*$D4)/(VLOOKUP($B4,Base!$A$2:$Z$1000,3,0)),"")</f>
        <v>0</v>
      </c>
      <c r="P4" s="9">
        <f>IF($B4&gt;0,(VLOOKUP($B4,Base!$A$2:$Z$1000,15,0)*$D4)/(VLOOKUP($B4,Base!$A$2:$Z$1000,3,0)),"")</f>
        <v>0</v>
      </c>
    </row>
    <row r="5" spans="1:16" x14ac:dyDescent="0.2">
      <c r="B5" s="8">
        <v>128</v>
      </c>
      <c r="C5" s="2" t="str">
        <f>IF($B5&gt;0,(VLOOKUP($B5,Base!$A$2:$Z$1000,2,0)),"")</f>
        <v>Sorvete de frutas</v>
      </c>
      <c r="D5" s="2">
        <v>100</v>
      </c>
      <c r="E5" s="9">
        <f>IF($B5&gt;0,(VLOOKUP($B5,Base!$A$2:$Z$1000,4,0)*$D5)/(VLOOKUP($B5,Base!$A$2:$Z$1000,3,0)),"")</f>
        <v>0.4</v>
      </c>
      <c r="F5" s="9">
        <f>IF($B5&gt;0,(VLOOKUP($B5,Base!$A$2:$Z$1000,5,0)*$D5)/(VLOOKUP($B5,Base!$A$2:$Z$1000,3,0)),"")</f>
        <v>32.6</v>
      </c>
      <c r="G5" s="9">
        <f>IF($B5&gt;0,(VLOOKUP($B5,Base!$A$2:$Z$1000,6,0)*$D5)/(VLOOKUP($B5,Base!$A$2:$Z$1000,3,0)),"")</f>
        <v>0</v>
      </c>
      <c r="H5" s="9"/>
      <c r="I5" s="9"/>
      <c r="J5" s="9"/>
      <c r="K5" s="9"/>
      <c r="L5" s="9"/>
      <c r="M5" s="9"/>
      <c r="N5" s="9"/>
      <c r="O5" s="9"/>
      <c r="P5" s="9"/>
    </row>
    <row r="6" spans="1:16" x14ac:dyDescent="0.2">
      <c r="B6" s="8">
        <v>124</v>
      </c>
      <c r="C6" s="2" t="str">
        <f>IF($B6&gt;0,(VLOOKUP($B6,Base!$A$2:$Z$1000,2,0)),"")</f>
        <v>Salada de frutas</v>
      </c>
      <c r="D6" s="2">
        <v>150</v>
      </c>
      <c r="E6" s="9">
        <f>IF($B6&gt;0,(VLOOKUP($B6,Base!$A$2:$Z$1000,4,0)*$D6)/(VLOOKUP($B6,Base!$A$2:$Z$1000,3,0)),"")</f>
        <v>0.9</v>
      </c>
      <c r="F6" s="9">
        <f>IF($B6&gt;0,(VLOOKUP($B6,Base!$A$2:$Z$1000,5,0)*$D6)/(VLOOKUP($B6,Base!$A$2:$Z$1000,3,0)),"")</f>
        <v>41.85</v>
      </c>
      <c r="G6" s="9">
        <f>IF($B6&gt;0,(VLOOKUP($B6,Base!$A$2:$Z$1000,6,0)*$D6)/(VLOOKUP($B6,Base!$A$2:$Z$1000,3,0)),"")</f>
        <v>1.35</v>
      </c>
      <c r="H6" s="9"/>
      <c r="I6" s="9"/>
      <c r="J6" s="9"/>
      <c r="K6" s="9"/>
      <c r="L6" s="9"/>
      <c r="M6" s="9"/>
      <c r="N6" s="9"/>
      <c r="O6" s="9"/>
      <c r="P6" s="9">
        <f>IF($B6&gt;0,(VLOOKUP($B6,Base!$A$2:$Z$1000,15,0)*$D6)/(VLOOKUP($B6,Base!$A$2:$Z$1000,3,0)),"")</f>
        <v>0.75</v>
      </c>
    </row>
    <row r="7" spans="1:16" x14ac:dyDescent="0.2">
      <c r="B7" s="8">
        <v>110</v>
      </c>
      <c r="C7" s="2" t="str">
        <f>IF($B7&gt;0,(VLOOKUP($B7,Base!$A$2:$Z$1000,2,0)),"")</f>
        <v>Picolé de frutas</v>
      </c>
      <c r="D7" s="11">
        <f>126/2</f>
        <v>63</v>
      </c>
      <c r="E7" s="9">
        <f>IF($B7&gt;0,(VLOOKUP($B7,Base!$A$2:$Z$1000,4,0)*$D7)/(VLOOKUP($B7,Base!$A$2:$Z$1000,3,0)),"")</f>
        <v>0.27825</v>
      </c>
      <c r="F7" s="9">
        <f>IF($B7&gt;0,(VLOOKUP($B7,Base!$A$2:$Z$1000,5,0)*$D7)/(VLOOKUP($B7,Base!$A$2:$Z$1000,3,0)),"")</f>
        <v>16.651950000000003</v>
      </c>
      <c r="G7" s="9">
        <f>IF($B7&gt;0,(VLOOKUP($B7,Base!$A$2:$Z$1000,6,0)*$D7)/(VLOOKUP($B7,Base!$A$2:$Z$1000,3,0)),"")</f>
        <v>0.70665000000000011</v>
      </c>
      <c r="H7" s="9"/>
      <c r="I7" s="9"/>
      <c r="J7" s="9"/>
      <c r="K7" s="9"/>
      <c r="L7" s="9"/>
      <c r="M7" s="9"/>
      <c r="N7" s="9"/>
      <c r="O7" s="9"/>
      <c r="P7" s="9"/>
    </row>
    <row r="8" spans="1:16" x14ac:dyDescent="0.2">
      <c r="B8" s="8">
        <v>58</v>
      </c>
      <c r="C8" s="2" t="str">
        <f>IF($B8&gt;0,(VLOOKUP($B8,Base!$A$2:$Z$1000,2,0)),"")</f>
        <v>Doce em calda</v>
      </c>
      <c r="D8" s="2">
        <v>90</v>
      </c>
      <c r="E8" s="9">
        <f>IF($B8&gt;0,(VLOOKUP($B8,Base!$A$2:$Z$1000,4,0)*$D8)/(VLOOKUP($B8,Base!$A$2:$Z$1000,3,0)),"")</f>
        <v>0.39600000000000002</v>
      </c>
      <c r="F8" s="9">
        <f>IF($B8&gt;0,(VLOOKUP($B8,Base!$A$2:$Z$1000,5,0)*$D8)/(VLOOKUP($B8,Base!$A$2:$Z$1000,3,0)),"")</f>
        <v>24.453000000000003</v>
      </c>
      <c r="G8" s="9">
        <f>IF($B8&gt;0,(VLOOKUP($B8,Base!$A$2:$Z$1000,6,0)*$D8)/(VLOOKUP($B8,Base!$A$2:$Z$1000,3,0)),"")</f>
        <v>0.17100000000000001</v>
      </c>
      <c r="H8" s="9">
        <f>IF($B8&gt;0,(VLOOKUP($B8,Base!$A$2:$Z$1000,7,0)*$D8)/(VLOOKUP($B8,Base!$A$2:$Z$1000,3,0)),"")</f>
        <v>16.425000000000001</v>
      </c>
      <c r="I8" s="9">
        <f>IF($B8&gt;0,(VLOOKUP($B8,Base!$A$2:$Z$1000,8,0)*$D8)/(VLOOKUP($B8,Base!$A$2:$Z$1000,3,0)),"")</f>
        <v>12.824999999999999</v>
      </c>
      <c r="J8" s="9">
        <f>IF($B8&gt;0,(VLOOKUP($B8,Base!$A$2:$Z$1000,9,0)*$D8)/(VLOOKUP($B8,Base!$A$2:$Z$1000,3,0)),"")</f>
        <v>0.52199999999999991</v>
      </c>
      <c r="K8" s="9">
        <f>IF($B8&gt;0,(VLOOKUP($B8,Base!$A$2:$Z$1000,10,0)*$D8)/(VLOOKUP($B8,Base!$A$2:$Z$1000,3,0)),"")</f>
        <v>52.65</v>
      </c>
      <c r="L8" s="9">
        <f>IF($B8&gt;0,(VLOOKUP($B8,Base!$A$2:$Z$1000,11,0)*$D8)/(VLOOKUP($B8,Base!$A$2:$Z$1000,3,0)),"")</f>
        <v>0.24299999999999999</v>
      </c>
      <c r="M8" s="9">
        <f>IF($B8&gt;0,(VLOOKUP($B8,Base!$A$2:$Z$1000,12,0)*$D8)/(VLOOKUP($B8,Base!$A$2:$Z$1000,3,0)),"")</f>
        <v>1.8000000000000002E-2</v>
      </c>
      <c r="N8" s="9">
        <f>IF($B8&gt;0,(VLOOKUP($B8,Base!$A$2:$Z$1000,13,0)*$D8)/(VLOOKUP($B8,Base!$A$2:$Z$1000,3,0)),"")</f>
        <v>0.36899999999999999</v>
      </c>
      <c r="O8" s="9">
        <f>IF($B8&gt;0,(VLOOKUP($B8,Base!$A$2:$Z$1000,14,0)*$D8)/(VLOOKUP($B8,Base!$A$2:$Z$1000,3,0)),"")</f>
        <v>8.5500000000000007</v>
      </c>
      <c r="P8" s="9">
        <f>IF($B8&gt;0,(VLOOKUP($B8,Base!$A$2:$Z$1000,15,0)*$D8)/(VLOOKUP($B8,Base!$A$2:$Z$1000,3,0)),"")</f>
        <v>0</v>
      </c>
    </row>
    <row r="9" spans="1:16" x14ac:dyDescent="0.2">
      <c r="B9" s="8">
        <v>142</v>
      </c>
      <c r="C9" s="2" t="str">
        <f>IF($B9&gt;0,(VLOOKUP($B9,Base!$A$2:$Z$1000,2,0)),"")</f>
        <v>Paçoca</v>
      </c>
      <c r="D9" s="2">
        <v>60</v>
      </c>
      <c r="E9" s="9">
        <f>IF($B9&gt;0,(VLOOKUP($B9,Base!$A$2:$Z$1000,4,0)*$D9)/(VLOOKUP($B9,Base!$A$2:$Z$1000,3,0)),"")</f>
        <v>11.597999999999999</v>
      </c>
      <c r="F9" s="9">
        <f>IF($B9&gt;0,(VLOOKUP($B9,Base!$A$2:$Z$1000,5,0)*$D9)/(VLOOKUP($B9,Base!$A$2:$Z$1000,3,0)),"")</f>
        <v>41.856000000000002</v>
      </c>
      <c r="G9" s="9">
        <f>IF($B9&gt;0,(VLOOKUP($B9,Base!$A$2:$Z$1000,6,0)*$D9)/(VLOOKUP($B9,Base!$A$2:$Z$1000,3,0)),"")</f>
        <v>2.2200000000000002</v>
      </c>
      <c r="H9" s="9">
        <f>IF($B9&gt;0,(VLOOKUP($B9,Base!$A$2:$Z$1000,7,0)*$D9)/(VLOOKUP($B9,Base!$A$2:$Z$1000,3,0)),"")</f>
        <v>38.244</v>
      </c>
      <c r="I9" s="9"/>
      <c r="J9" s="9">
        <f>IF($B9&gt;0,(VLOOKUP($B9,Base!$A$2:$Z$1000,9,0)*$D9)/(VLOOKUP($B9,Base!$A$2:$Z$1000,3,0)),"")</f>
        <v>1.536</v>
      </c>
      <c r="K9" s="9"/>
      <c r="L9" s="9"/>
      <c r="M9" s="9"/>
      <c r="N9" s="9"/>
      <c r="O9" s="9">
        <f>IF($B9&gt;0,(VLOOKUP($B9,Base!$A$2:$Z$1000,14,0)*$D9)/(VLOOKUP($B9,Base!$A$2:$Z$1000,3,0)),"")</f>
        <v>3.1920000000000006</v>
      </c>
      <c r="P9" s="9"/>
    </row>
    <row r="10" spans="1:16" x14ac:dyDescent="0.2">
      <c r="B10" s="8">
        <v>53</v>
      </c>
      <c r="C10" s="2" t="str">
        <f>IF($B10&gt;0,(VLOOKUP($B10,Base!$A$2:$Z$1000,2,0)),"")</f>
        <v>Cuscuz de Tapioca</v>
      </c>
      <c r="D10" s="2">
        <v>60</v>
      </c>
      <c r="E10" s="9">
        <f>IF($B10&gt;0,(VLOOKUP($B10,Base!$A$2:$Z$1000,4,0)*$D10)/(VLOOKUP($B10,Base!$A$2:$Z$1000,3,0)),"")</f>
        <v>0.48</v>
      </c>
      <c r="F10" s="9">
        <f>IF($B10&gt;0,(VLOOKUP($B10,Base!$A$2:$Z$1000,5,0)*$D10)/(VLOOKUP($B10,Base!$A$2:$Z$1000,3,0)),"")</f>
        <v>32.520000000000003</v>
      </c>
      <c r="G10" s="9">
        <f>IF($B10&gt;0,(VLOOKUP($B10,Base!$A$2:$Z$1000,6,0)*$D10)/(VLOOKUP($B10,Base!$A$2:$Z$1000,3,0)),"")</f>
        <v>1.86</v>
      </c>
      <c r="H10" s="9">
        <f>IF($B10&gt;0,(VLOOKUP($B10,Base!$A$2:$Z$1000,7,0)*$D10)/(VLOOKUP($B10,Base!$A$2:$Z$1000,3,0)),"")</f>
        <v>5.4</v>
      </c>
      <c r="I10" s="9">
        <f>IF($B10&gt;0,(VLOOKUP($B10,Base!$A$2:$Z$1000,8,0)*$D10)/(VLOOKUP($B10,Base!$A$2:$Z$1000,3,0)),"")</f>
        <v>0.24</v>
      </c>
      <c r="J10" s="9">
        <f>IF($B10&gt;0,(VLOOKUP($B10,Base!$A$2:$Z$1000,9,0)*$D10)/(VLOOKUP($B10,Base!$A$2:$Z$1000,3,0)),"")</f>
        <v>0</v>
      </c>
      <c r="K10" s="9">
        <f>IF($B10&gt;0,(VLOOKUP($B10,Base!$A$2:$Z$1000,10,0)*$D10)/(VLOOKUP($B10,Base!$A$2:$Z$1000,3,0)),"")</f>
        <v>0</v>
      </c>
      <c r="L10" s="9">
        <f>IF($B10&gt;0,(VLOOKUP($B10,Base!$A$2:$Z$1000,11,0)*$D10)/(VLOOKUP($B10,Base!$A$2:$Z$1000,3,0)),"")</f>
        <v>0</v>
      </c>
      <c r="M10" s="9">
        <f>IF($B10&gt;0,(VLOOKUP($B10,Base!$A$2:$Z$1000,12,0)*$D10)/(VLOOKUP($B10,Base!$A$2:$Z$1000,3,0)),"")</f>
        <v>0</v>
      </c>
      <c r="N10" s="9">
        <f>IF($B10&gt;0,(VLOOKUP($B10,Base!$A$2:$Z$1000,13,0)*$D10)/(VLOOKUP($B10,Base!$A$2:$Z$1000,3,0)),"")</f>
        <v>0.06</v>
      </c>
      <c r="O10" s="9">
        <f>IF($B10&gt;0,(VLOOKUP($B10,Base!$A$2:$Z$1000,14,0)*$D10)/(VLOOKUP($B10,Base!$A$2:$Z$1000,3,0)),"")</f>
        <v>0</v>
      </c>
      <c r="P10" s="9">
        <f>IF($B10&gt;0,(VLOOKUP($B10,Base!$A$2:$Z$1000,15,0)*$D10)/(VLOOKUP($B10,Base!$A$2:$Z$1000,3,0)),"")</f>
        <v>0</v>
      </c>
    </row>
    <row r="11" spans="1:16" s="13" customFormat="1" ht="14.25" customHeight="1" x14ac:dyDescent="0.25">
      <c r="A11" s="4"/>
      <c r="B11" s="4"/>
      <c r="D11" s="15" t="s">
        <v>188</v>
      </c>
      <c r="E11" s="14">
        <f>SUM(E4:E10)/7</f>
        <v>2.0803214285714282</v>
      </c>
      <c r="F11" s="14">
        <f>SUM(F4:F8)/5</f>
        <v>28.666989999999998</v>
      </c>
      <c r="G11" s="14">
        <f>SUM(G4:G8)/5</f>
        <v>0.45152999999999999</v>
      </c>
      <c r="H11" s="14">
        <f t="shared" ref="H11:O11" si="0">SUM(H4:H8)/2</f>
        <v>8.5125000000000011</v>
      </c>
      <c r="I11" s="14">
        <f t="shared" si="0"/>
        <v>6.4274999999999993</v>
      </c>
      <c r="J11" s="14">
        <f t="shared" si="0"/>
        <v>0.26099999999999995</v>
      </c>
      <c r="K11" s="14">
        <f t="shared" si="0"/>
        <v>26.324999999999999</v>
      </c>
      <c r="L11" s="14">
        <f t="shared" si="0"/>
        <v>0.1215</v>
      </c>
      <c r="M11" s="14">
        <f t="shared" si="0"/>
        <v>9.0000000000000011E-3</v>
      </c>
      <c r="N11" s="14">
        <f t="shared" si="0"/>
        <v>0.1845</v>
      </c>
      <c r="O11" s="14">
        <f t="shared" si="0"/>
        <v>4.2750000000000004</v>
      </c>
      <c r="P11" s="14">
        <f>SUM(P4:P8)/3</f>
        <v>0.25</v>
      </c>
    </row>
    <row r="14" spans="1:16" x14ac:dyDescent="0.2">
      <c r="E14" s="6" t="s">
        <v>189</v>
      </c>
    </row>
    <row r="15" spans="1:16" x14ac:dyDescent="0.2">
      <c r="B15" s="2" t="s">
        <v>0</v>
      </c>
      <c r="C15" s="2" t="s">
        <v>1</v>
      </c>
      <c r="D15" s="2" t="s">
        <v>19</v>
      </c>
      <c r="E15" s="2" t="s">
        <v>16</v>
      </c>
      <c r="F15" s="2" t="s">
        <v>17</v>
      </c>
      <c r="G15" s="2" t="s">
        <v>7</v>
      </c>
      <c r="H15" s="2" t="s">
        <v>11</v>
      </c>
      <c r="I15" s="2" t="s">
        <v>12</v>
      </c>
      <c r="J15" s="2" t="s">
        <v>13</v>
      </c>
      <c r="K15" s="2" t="s">
        <v>15</v>
      </c>
      <c r="L15" s="2" t="s">
        <v>8</v>
      </c>
      <c r="M15" s="2" t="s">
        <v>9</v>
      </c>
      <c r="N15" s="2" t="s">
        <v>10</v>
      </c>
      <c r="O15" s="2" t="s">
        <v>18</v>
      </c>
      <c r="P15" s="2" t="s">
        <v>3</v>
      </c>
    </row>
    <row r="16" spans="1:16" x14ac:dyDescent="0.2">
      <c r="B16" s="8">
        <v>36</v>
      </c>
      <c r="C16" s="2" t="str">
        <f>IF($B16&gt;0,(VLOOKUP($B16,Base!$A$2:$Z$1000,2,0)),"")</f>
        <v>Bolo de aipim c/ coco</v>
      </c>
      <c r="D16" s="2">
        <v>80</v>
      </c>
      <c r="E16" s="9">
        <f>IF($B16&gt;0,(VLOOKUP($B16,Base!$A$2:$Z$1000,4,0)*$D16)/(VLOOKUP($B16,Base!$A$2:$Z$1000,3,0)),"")</f>
        <v>2</v>
      </c>
      <c r="F16" s="9">
        <f>IF($B16&gt;0,(VLOOKUP($B16,Base!$A$2:$Z$1000,5,0)*$D16)/(VLOOKUP($B16,Base!$A$2:$Z$1000,3,0)),"")</f>
        <v>37.304000000000002</v>
      </c>
      <c r="G16" s="9">
        <f>IF($B16&gt;0,(VLOOKUP($B16,Base!$A$2:$Z$1000,6,0)*$D16)/(VLOOKUP($B16,Base!$A$2:$Z$1000,3,0)),"")</f>
        <v>9.5040000000000013</v>
      </c>
      <c r="H16" s="9">
        <f>IF($B16&gt;0,(VLOOKUP($B16,Base!$A$2:$Z$1000,7,0)*$D16)/(VLOOKUP($B16,Base!$A$2:$Z$1000,3,0)),"")</f>
        <v>45.576000000000001</v>
      </c>
      <c r="I16" s="9"/>
      <c r="J16" s="9">
        <f>IF($B16&gt;0,(VLOOKUP($B16,Base!$A$2:$Z$1000,9,0)*$D16)/(VLOOKUP($B16,Base!$A$2:$Z$1000,3,0)),"")</f>
        <v>0.9840000000000001</v>
      </c>
      <c r="K16" s="9">
        <f>IF($B16&gt;0,(VLOOKUP($B16,Base!$A$2:$Z$1000,10,0)*$D16)/(VLOOKUP($B16,Base!$A$2:$Z$1000,3,0)),"")</f>
        <v>91.024000000000001</v>
      </c>
      <c r="L16" s="9"/>
      <c r="M16" s="9"/>
      <c r="N16" s="9"/>
      <c r="O16" s="9">
        <f>IF($B16&gt;0,(VLOOKUP($B16,Base!$A$2:$Z$1000,14,0)*$D16)/(VLOOKUP($B16,Base!$A$2:$Z$1000,3,0)),"")</f>
        <v>18.352</v>
      </c>
      <c r="P16" s="9"/>
    </row>
    <row r="17" spans="2:16" x14ac:dyDescent="0.2">
      <c r="B17" s="8">
        <v>37</v>
      </c>
      <c r="C17" s="2" t="str">
        <f>IF($B17&gt;0,(VLOOKUP($B17,Base!$A$2:$Z$1000,2,0)),"")</f>
        <v>Bolo de banana</v>
      </c>
      <c r="D17" s="2">
        <v>90</v>
      </c>
      <c r="E17" s="9">
        <f>IF($B17&gt;0,(VLOOKUP($B17,Base!$A$2:$Z$1000,4,0)*$D17)/(VLOOKUP($B17,Base!$A$2:$Z$1000,3,0)),"")</f>
        <v>5.7420000000000009</v>
      </c>
      <c r="F17" s="9">
        <f>IF($B17&gt;0,(VLOOKUP($B17,Base!$A$2:$Z$1000,5,0)*$D17)/(VLOOKUP($B17,Base!$A$2:$Z$1000,3,0)),"")</f>
        <v>42.902999999999999</v>
      </c>
      <c r="G17" s="9">
        <f>IF($B17&gt;0,(VLOOKUP($B17,Base!$A$2:$Z$1000,6,0)*$D17)/(VLOOKUP($B17,Base!$A$2:$Z$1000,3,0)),"")</f>
        <v>8.5589999999999993</v>
      </c>
      <c r="H17" s="9">
        <f>IF($B17&gt;0,(VLOOKUP($B17,Base!$A$2:$Z$1000,7,0)*$D17)/(VLOOKUP($B17,Base!$A$2:$Z$1000,3,0)),"")</f>
        <v>117.675</v>
      </c>
      <c r="I17" s="9"/>
      <c r="J17" s="9">
        <f>IF($B17&gt;0,(VLOOKUP($B17,Base!$A$2:$Z$1000,9,0)*$D17)/(VLOOKUP($B17,Base!$A$2:$Z$1000,3,0)),"")</f>
        <v>1.3680000000000001</v>
      </c>
      <c r="K17" s="9">
        <f>IF($B17&gt;0,(VLOOKUP($B17,Base!$A$2:$Z$1000,10,0)*$D17)/(VLOOKUP($B17,Base!$A$2:$Z$1000,3,0)),"")</f>
        <v>130.46400000000003</v>
      </c>
      <c r="L17" s="9"/>
      <c r="M17" s="9"/>
      <c r="N17" s="9"/>
      <c r="O17" s="9">
        <f>IF($B17&gt;0,(VLOOKUP($B17,Base!$A$2:$Z$1000,14,0)*$D17)/(VLOOKUP($B17,Base!$A$2:$Z$1000,3,0)),"")</f>
        <v>4.0949999999999998</v>
      </c>
      <c r="P17" s="9"/>
    </row>
    <row r="18" spans="2:16" x14ac:dyDescent="0.2">
      <c r="B18" s="8">
        <v>41</v>
      </c>
      <c r="C18" s="2" t="str">
        <f>IF($B18&gt;0,(VLOOKUP($B18,Base!$A$2:$Z$1000,2,0)),"")</f>
        <v>Bolo de milho</v>
      </c>
      <c r="D18" s="2">
        <v>100</v>
      </c>
      <c r="E18" s="9">
        <f>IF($B18&gt;0,(VLOOKUP($B18,Base!$A$2:$Z$1000,4,0)*$D18)/(VLOOKUP($B18,Base!$A$2:$Z$1000,3,0)),"")</f>
        <v>5.0999999999999996</v>
      </c>
      <c r="F18" s="9">
        <f>IF($B18&gt;0,(VLOOKUP($B18,Base!$A$2:$Z$1000,5,0)*$D18)/(VLOOKUP($B18,Base!$A$2:$Z$1000,3,0)),"")</f>
        <v>54.3</v>
      </c>
      <c r="G18" s="9">
        <f>IF($B18&gt;0,(VLOOKUP($B18,Base!$A$2:$Z$1000,6,0)*$D18)/(VLOOKUP($B18,Base!$A$2:$Z$1000,3,0)),"")</f>
        <v>6.7</v>
      </c>
      <c r="H18" s="9">
        <f>IF($B18&gt;0,(VLOOKUP($B18,Base!$A$2:$Z$1000,7,0)*$D18)/(VLOOKUP($B18,Base!$A$2:$Z$1000,3,0)),"")</f>
        <v>0</v>
      </c>
      <c r="I18" s="9"/>
      <c r="J18" s="9">
        <f>IF($B18&gt;0,(VLOOKUP($B18,Base!$A$2:$Z$1000,9,0)*$D18)/(VLOOKUP($B18,Base!$A$2:$Z$1000,3,0)),"")</f>
        <v>0</v>
      </c>
      <c r="K18" s="9">
        <f>IF($B18&gt;0,(VLOOKUP($B18,Base!$A$2:$Z$1000,10,0)*$D18)/(VLOOKUP($B18,Base!$A$2:$Z$1000,3,0)),"")</f>
        <v>0</v>
      </c>
      <c r="L18" s="9"/>
      <c r="M18" s="9"/>
      <c r="N18" s="9"/>
      <c r="O18" s="9">
        <f>IF($B18&gt;0,(VLOOKUP($B18,Base!$A$2:$Z$1000,14,0)*$D18)/(VLOOKUP($B18,Base!$A$2:$Z$1000,3,0)),"")</f>
        <v>0</v>
      </c>
      <c r="P18" s="9">
        <f>IF($B18&gt;0,(VLOOKUP($B18,Base!$A$2:$Z$1000,15,0)*$D18)/(VLOOKUP($B18,Base!$A$2:$Z$1000,3,0)),"")</f>
        <v>0.4</v>
      </c>
    </row>
    <row r="19" spans="2:16" x14ac:dyDescent="0.2">
      <c r="B19" s="8">
        <v>43</v>
      </c>
      <c r="C19" s="2" t="str">
        <f>IF($B19&gt;0,(VLOOKUP($B19,Base!$A$2:$Z$1000,2,0)),"")</f>
        <v>Brigadeiro</v>
      </c>
      <c r="D19" s="2">
        <v>50</v>
      </c>
      <c r="E19" s="9">
        <f>IF($B19&gt;0,(VLOOKUP($B19,Base!$A$2:$Z$1000,4,0)*$D19)/(VLOOKUP($B19,Base!$A$2:$Z$1000,3,0)),"")</f>
        <v>4.75</v>
      </c>
      <c r="F19" s="9">
        <f>IF($B19&gt;0,(VLOOKUP($B19,Base!$A$2:$Z$1000,5,0)*$D19)/(VLOOKUP($B19,Base!$A$2:$Z$1000,3,0)),"")</f>
        <v>31</v>
      </c>
      <c r="G19" s="9">
        <f>IF($B19&gt;0,(VLOOKUP($B19,Base!$A$2:$Z$1000,6,0)*$D19)/(VLOOKUP($B19,Base!$A$2:$Z$1000,3,0)),"")</f>
        <v>6.43</v>
      </c>
      <c r="H19" s="9">
        <f>IF($B19&gt;0,(VLOOKUP($B19,Base!$A$2:$Z$1000,7,0)*$D19)/(VLOOKUP($B19,Base!$A$2:$Z$1000,3,0)),"")</f>
        <v>146.05000000000001</v>
      </c>
      <c r="I19" s="9"/>
      <c r="J19" s="9">
        <f>IF($B19&gt;0,(VLOOKUP($B19,Base!$A$2:$Z$1000,9,0)*$D19)/(VLOOKUP($B19,Base!$A$2:$Z$1000,3,0)),"")</f>
        <v>0.24</v>
      </c>
      <c r="K19" s="9">
        <f>IF($B19&gt;0,(VLOOKUP($B19,Base!$A$2:$Z$1000,10,0)*$D19)/(VLOOKUP($B19,Base!$A$2:$Z$1000,3,0)),"")</f>
        <v>57.14</v>
      </c>
      <c r="L19" s="9"/>
      <c r="M19" s="9"/>
      <c r="N19" s="9"/>
      <c r="O19" s="9">
        <f>IF($B19&gt;0,(VLOOKUP($B19,Base!$A$2:$Z$1000,14,0)*$D19)/(VLOOKUP($B19,Base!$A$2:$Z$1000,3,0)),"")</f>
        <v>0.55000000000000004</v>
      </c>
      <c r="P19" s="9"/>
    </row>
    <row r="20" spans="2:16" x14ac:dyDescent="0.2">
      <c r="B20" s="8">
        <v>55</v>
      </c>
      <c r="C20" s="2" t="str">
        <f>IF($B20&gt;0,(VLOOKUP($B20,Base!$A$2:$Z$1000,2,0)),"")</f>
        <v>Doce cremoso</v>
      </c>
      <c r="D20" s="2">
        <v>80</v>
      </c>
      <c r="E20" s="9">
        <f>IF($B20&gt;0,(VLOOKUP($B20,Base!$A$2:$Z$1000,4,0)*$D20)/(VLOOKUP($B20,Base!$A$2:$Z$1000,3,0)),"")</f>
        <v>2.3039999999999998</v>
      </c>
      <c r="F20" s="9">
        <f>IF($B20&gt;0,(VLOOKUP($B20,Base!$A$2:$Z$1000,5,0)*$D20)/(VLOOKUP($B20,Base!$A$2:$Z$1000,3,0)),"")</f>
        <v>45.4</v>
      </c>
      <c r="G20" s="9">
        <f>IF($B20&gt;0,(VLOOKUP($B20,Base!$A$2:$Z$1000,6,0)*$D20)/(VLOOKUP($B20,Base!$A$2:$Z$1000,3,0)),"")</f>
        <v>6.12</v>
      </c>
      <c r="H20" s="9">
        <f>IF($B20&gt;0,(VLOOKUP($B20,Base!$A$2:$Z$1000,7,0)*$D20)/(VLOOKUP($B20,Base!$A$2:$Z$1000,3,0)),"")</f>
        <v>11.456</v>
      </c>
      <c r="I20" s="9">
        <f>IF($B20&gt;0,(VLOOKUP($B20,Base!$A$2:$Z$1000,8,0)*$D20)/(VLOOKUP($B20,Base!$A$2:$Z$1000,3,0)),"")</f>
        <v>26.783999999999995</v>
      </c>
      <c r="J20" s="9">
        <f>IF($B20&gt;0,(VLOOKUP($B20,Base!$A$2:$Z$1000,9,0)*$D20)/(VLOOKUP($B20,Base!$A$2:$Z$1000,3,0)),"")</f>
        <v>0.75199999999999989</v>
      </c>
      <c r="K20" s="9">
        <f>IF($B20&gt;0,(VLOOKUP($B20,Base!$A$2:$Z$1000,10,0)*$D20)/(VLOOKUP($B20,Base!$A$2:$Z$1000,3,0)),"")</f>
        <v>164.64</v>
      </c>
      <c r="L20" s="9">
        <f>IF($B20&gt;0,(VLOOKUP($B20,Base!$A$2:$Z$1000,11,0)*$D20)/(VLOOKUP($B20,Base!$A$2:$Z$1000,3,0)),"")</f>
        <v>4.8000000000000001E-2</v>
      </c>
      <c r="M20" s="9">
        <f>IF($B20&gt;0,(VLOOKUP($B20,Base!$A$2:$Z$1000,12,0)*$D20)/(VLOOKUP($B20,Base!$A$2:$Z$1000,3,0)),"")</f>
        <v>4.8000000000000001E-2</v>
      </c>
      <c r="N20" s="9">
        <f>IF($B20&gt;0,(VLOOKUP($B20,Base!$A$2:$Z$1000,13,0)*$D20)/(VLOOKUP($B20,Base!$A$2:$Z$1000,3,0)),"")</f>
        <v>0.35200000000000004</v>
      </c>
      <c r="O20" s="9">
        <f>IF($B20&gt;0,(VLOOKUP($B20,Base!$A$2:$Z$1000,14,0)*$D20)/(VLOOKUP($B20,Base!$A$2:$Z$1000,3,0)),"")</f>
        <v>9</v>
      </c>
      <c r="P20" s="9">
        <f>IF($B20&gt;0,(VLOOKUP($B20,Base!$A$2:$Z$1000,15,0)*$D20)/(VLOOKUP($B20,Base!$A$2:$Z$1000,3,0)),"")</f>
        <v>0</v>
      </c>
    </row>
    <row r="21" spans="2:16" x14ac:dyDescent="0.2">
      <c r="B21" s="8">
        <v>93</v>
      </c>
      <c r="C21" s="2" t="str">
        <f>IF($B21&gt;0,(VLOOKUP($B21,Base!$A$2:$Z$1000,2,0)),"")</f>
        <v>Mousse</v>
      </c>
      <c r="D21" s="2">
        <v>100</v>
      </c>
      <c r="E21" s="9">
        <f>IF($B21&gt;0,(VLOOKUP($B21,Base!$A$2:$Z$1000,4,0)*$D21)/(VLOOKUP($B21,Base!$A$2:$Z$1000,3,0)),"")</f>
        <v>4.6100000000000003</v>
      </c>
      <c r="F21" s="9">
        <f>IF($B21&gt;0,(VLOOKUP($B21,Base!$A$2:$Z$1000,5,0)*$D21)/(VLOOKUP($B21,Base!$A$2:$Z$1000,3,0)),"")</f>
        <v>20.27</v>
      </c>
      <c r="G21" s="9">
        <f>IF($B21&gt;0,(VLOOKUP($B21,Base!$A$2:$Z$1000,6,0)*$D21)/(VLOOKUP($B21,Base!$A$2:$Z$1000,3,0)),"")</f>
        <v>9.3000000000000007</v>
      </c>
      <c r="H21" s="9">
        <f>IF($B21&gt;0,(VLOOKUP($B21,Base!$A$2:$Z$1000,7,0)*$D21)/(VLOOKUP($B21,Base!$A$2:$Z$1000,3,0)),"")</f>
        <v>62.33</v>
      </c>
      <c r="I21" s="9">
        <f>IF($B21&gt;0,(VLOOKUP($B21,Base!$A$2:$Z$1000,8,0)*$D21)/(VLOOKUP($B21,Base!$A$2:$Z$1000,3,0)),"")</f>
        <v>49</v>
      </c>
      <c r="J21" s="9">
        <f>IF($B21&gt;0,(VLOOKUP($B21,Base!$A$2:$Z$1000,9,0)*$D21)/(VLOOKUP($B21,Base!$A$2:$Z$1000,3,0)),"")</f>
        <v>0.66</v>
      </c>
      <c r="K21" s="9">
        <f>IF($B21&gt;0,(VLOOKUP($B21,Base!$A$2:$Z$1000,10,0)*$D21)/(VLOOKUP($B21,Base!$A$2:$Z$1000,3,0)),"")</f>
        <v>103.33</v>
      </c>
      <c r="L21" s="9">
        <f>IF($B21&gt;0,(VLOOKUP($B21,Base!$A$2:$Z$1000,11,0)*$D21)/(VLOOKUP($B21,Base!$A$2:$Z$1000,3,0)),"")</f>
        <v>0.01</v>
      </c>
      <c r="M21" s="9">
        <f>IF($B21&gt;0,(VLOOKUP($B21,Base!$A$2:$Z$1000,12,0)*$D21)/(VLOOKUP($B21,Base!$A$2:$Z$1000,3,0)),"")</f>
        <v>0.06</v>
      </c>
      <c r="N21" s="9">
        <f>IF($B21&gt;0,(VLOOKUP($B21,Base!$A$2:$Z$1000,13,0)*$D21)/(VLOOKUP($B21,Base!$A$2:$Z$1000,3,0)),"")</f>
        <v>0</v>
      </c>
      <c r="O21" s="9">
        <f>IF($B21&gt;0,(VLOOKUP($B21,Base!$A$2:$Z$1000,14,0)*$D21)/(VLOOKUP($B21,Base!$A$2:$Z$1000,3,0)),"")</f>
        <v>3.63</v>
      </c>
      <c r="P21" s="9">
        <f>IF($B21&gt;0,(VLOOKUP($B21,Base!$A$2:$Z$1000,15,0)*$D21)/(VLOOKUP($B21,Base!$A$2:$Z$1000,3,0)),"")</f>
        <v>0</v>
      </c>
    </row>
    <row r="22" spans="2:16" x14ac:dyDescent="0.2">
      <c r="B22" s="8">
        <v>107</v>
      </c>
      <c r="C22" s="2" t="str">
        <f>IF($B22&gt;0,(VLOOKUP($B22,Base!$A$2:$Z$1000,2,0)),"")</f>
        <v>Pé-de-moleque</v>
      </c>
      <c r="D22" s="2">
        <v>60</v>
      </c>
      <c r="E22" s="9">
        <f>IF($B22&gt;0,(VLOOKUP($B22,Base!$A$2:$Z$1000,4,0)*$D22)/(VLOOKUP($B22,Base!$A$2:$Z$1000,3,0)),"")</f>
        <v>4.4400000000000004</v>
      </c>
      <c r="F22" s="9">
        <f>IF($B22&gt;0,(VLOOKUP($B22,Base!$A$2:$Z$1000,5,0)*$D22)/(VLOOKUP($B22,Base!$A$2:$Z$1000,3,0)),"")</f>
        <v>42.3</v>
      </c>
      <c r="G22" s="9">
        <f>IF($B22&gt;0,(VLOOKUP($B22,Base!$A$2:$Z$1000,6,0)*$D22)/(VLOOKUP($B22,Base!$A$2:$Z$1000,3,0)),"")</f>
        <v>8.4600000000000009</v>
      </c>
      <c r="H22" s="9">
        <f>IF($B22&gt;0,(VLOOKUP($B22,Base!$A$2:$Z$1000,7,0)*$D22)/(VLOOKUP($B22,Base!$A$2:$Z$1000,3,0)),"")</f>
        <v>27</v>
      </c>
      <c r="I22" s="9">
        <f>IF($B22&gt;0,(VLOOKUP($B22,Base!$A$2:$Z$1000,8,0)*$D22)/(VLOOKUP($B22,Base!$A$2:$Z$1000,3,0)),"")</f>
        <v>88.2</v>
      </c>
      <c r="J22" s="9">
        <f>IF($B22&gt;0,(VLOOKUP($B22,Base!$A$2:$Z$1000,9,0)*$D22)/(VLOOKUP($B22,Base!$A$2:$Z$1000,3,0)),"")</f>
        <v>1.38</v>
      </c>
      <c r="K22" s="9">
        <f>IF($B22&gt;0,(VLOOKUP($B22,Base!$A$2:$Z$1000,10,0)*$D22)/(VLOOKUP($B22,Base!$A$2:$Z$1000,3,0)),"")</f>
        <v>12</v>
      </c>
      <c r="L22" s="9">
        <f>IF($B22&gt;0,(VLOOKUP($B22,Base!$A$2:$Z$1000,11,0)*$D22)/(VLOOKUP($B22,Base!$A$2:$Z$1000,3,0)),"")</f>
        <v>0</v>
      </c>
      <c r="M22" s="9">
        <f>IF($B22&gt;0,(VLOOKUP($B22,Base!$A$2:$Z$1000,12,0)*$D22)/(VLOOKUP($B22,Base!$A$2:$Z$1000,3,0)),"")</f>
        <v>0</v>
      </c>
      <c r="N22" s="9">
        <f>IF($B22&gt;0,(VLOOKUP($B22,Base!$A$2:$Z$1000,13,0)*$D22)/(VLOOKUP($B22,Base!$A$2:$Z$1000,3,0)),"")</f>
        <v>0</v>
      </c>
      <c r="O22" s="9">
        <f>IF($B22&gt;0,(VLOOKUP($B22,Base!$A$2:$Z$1000,14,0)*$D22)/(VLOOKUP($B22,Base!$A$2:$Z$1000,3,0)),"")</f>
        <v>0</v>
      </c>
      <c r="P22" s="9">
        <f>IF($B22&gt;0,(VLOOKUP($B22,Base!$A$2:$Z$1000,15,0)*$D22)/(VLOOKUP($B22,Base!$A$2:$Z$1000,3,0)),"")</f>
        <v>0</v>
      </c>
    </row>
    <row r="23" spans="2:16" x14ac:dyDescent="0.2">
      <c r="B23" s="8">
        <v>115</v>
      </c>
      <c r="C23" s="2" t="str">
        <f>IF($B23&gt;0,(VLOOKUP($B23,Base!$A$2:$Z$1000,2,0)),"")</f>
        <v>Pudim de Leite</v>
      </c>
      <c r="D23" s="2">
        <v>130</v>
      </c>
      <c r="E23" s="9">
        <f>IF($B23&gt;0,(VLOOKUP($B23,Base!$A$2:$Z$1000,4,0)*$D23)/(VLOOKUP($B23,Base!$A$2:$Z$1000,3,0)),"")</f>
        <v>8.7100000000000009</v>
      </c>
      <c r="F23" s="9">
        <f>IF($B23&gt;0,(VLOOKUP($B23,Base!$A$2:$Z$1000,5,0)*$D23)/(VLOOKUP($B23,Base!$A$2:$Z$1000,3,0)),"")</f>
        <v>31.641999999999999</v>
      </c>
      <c r="G23" s="9">
        <f>IF($B23&gt;0,(VLOOKUP($B23,Base!$A$2:$Z$1000,6,0)*$D23)/(VLOOKUP($B23,Base!$A$2:$Z$1000,3,0)),"")</f>
        <v>8.3069999999999986</v>
      </c>
      <c r="H23" s="9">
        <f>IF($B23&gt;0,(VLOOKUP($B23,Base!$A$2:$Z$1000,7,0)*$D23)/(VLOOKUP($B23,Base!$A$2:$Z$1000,3,0)),"")</f>
        <v>221.66299999999998</v>
      </c>
      <c r="I23" s="9">
        <f>IF($B23&gt;0,(VLOOKUP($B23,Base!$A$2:$Z$1000,8,0)*$D23)/(VLOOKUP($B23,Base!$A$2:$Z$1000,3,0)),"")</f>
        <v>0</v>
      </c>
      <c r="J23" s="9">
        <f>IF($B23&gt;0,(VLOOKUP($B23,Base!$A$2:$Z$1000,9,0)*$D23)/(VLOOKUP($B23,Base!$A$2:$Z$1000,3,0)),"")</f>
        <v>0.70200000000000007</v>
      </c>
      <c r="K23" s="9">
        <f>IF($B23&gt;0,(VLOOKUP($B23,Base!$A$2:$Z$1000,10,0)*$D23)/(VLOOKUP($B23,Base!$A$2:$Z$1000,3,0)),"")</f>
        <v>160.77100000000002</v>
      </c>
      <c r="L23" s="9">
        <f>IF($B23&gt;0,(VLOOKUP($B23,Base!$A$2:$Z$1000,11,0)*$D23)/(VLOOKUP($B23,Base!$A$2:$Z$1000,3,0)),"")</f>
        <v>0</v>
      </c>
      <c r="M23" s="9">
        <f>IF($B23&gt;0,(VLOOKUP($B23,Base!$A$2:$Z$1000,12,0)*$D23)/(VLOOKUP($B23,Base!$A$2:$Z$1000,3,0)),"")</f>
        <v>0</v>
      </c>
      <c r="N23" s="9">
        <f>IF($B23&gt;0,(VLOOKUP($B23,Base!$A$2:$Z$1000,13,0)*$D23)/(VLOOKUP($B23,Base!$A$2:$Z$1000,3,0)),"")</f>
        <v>0</v>
      </c>
      <c r="O23" s="9">
        <f>IF($B23&gt;0,(VLOOKUP($B23,Base!$A$2:$Z$1000,14,0)*$D23)/(VLOOKUP($B23,Base!$A$2:$Z$1000,3,0)),"")</f>
        <v>1.1830000000000001</v>
      </c>
      <c r="P23" s="9">
        <f>IF($B23&gt;0,(VLOOKUP($B23,Base!$A$2:$Z$1000,15,0)*$D23)/(VLOOKUP($B23,Base!$A$2:$Z$1000,3,0)),"")</f>
        <v>0</v>
      </c>
    </row>
    <row r="24" spans="2:16" x14ac:dyDescent="0.2">
      <c r="B24" s="8">
        <v>117</v>
      </c>
      <c r="C24" s="2" t="str">
        <f>IF($B24&gt;0,(VLOOKUP($B24,Base!$A$2:$Z$1000,2,0)),"")</f>
        <v>Queijadinha de coco</v>
      </c>
      <c r="D24" s="2">
        <v>80</v>
      </c>
      <c r="E24" s="9">
        <f>IF($B24&gt;0,(VLOOKUP($B24,Base!$A$2:$Z$1000,4,0)*$D24)/(VLOOKUP($B24,Base!$A$2:$Z$1000,3,0)),"")</f>
        <v>4.16</v>
      </c>
      <c r="F24" s="9">
        <f>IF($B24&gt;0,(VLOOKUP($B24,Base!$A$2:$Z$1000,5,0)*$D24)/(VLOOKUP($B24,Base!$A$2:$Z$1000,3,0)),"")</f>
        <v>21.04</v>
      </c>
      <c r="G24" s="9">
        <f>IF($B24&gt;0,(VLOOKUP($B24,Base!$A$2:$Z$1000,6,0)*$D24)/(VLOOKUP($B24,Base!$A$2:$Z$1000,3,0)),"")</f>
        <v>6.96</v>
      </c>
      <c r="H24" s="9">
        <f>IF($B24&gt;0,(VLOOKUP($B24,Base!$A$2:$Z$1000,7,0)*$D24)/(VLOOKUP($B24,Base!$A$2:$Z$1000,3,0)),"")</f>
        <v>92.8</v>
      </c>
      <c r="I24" s="9">
        <f>IF($B24&gt;0,(VLOOKUP($B24,Base!$A$2:$Z$1000,8,0)*$D24)/(VLOOKUP($B24,Base!$A$2:$Z$1000,3,0)),"")</f>
        <v>0.96</v>
      </c>
      <c r="J24" s="9">
        <f>IF($B24&gt;0,(VLOOKUP($B24,Base!$A$2:$Z$1000,9,0)*$D24)/(VLOOKUP($B24,Base!$A$2:$Z$1000,3,0)),"")</f>
        <v>0</v>
      </c>
      <c r="K24" s="9">
        <f>IF($B24&gt;0,(VLOOKUP($B24,Base!$A$2:$Z$1000,10,0)*$D24)/(VLOOKUP($B24,Base!$A$2:$Z$1000,3,0)),"")</f>
        <v>0</v>
      </c>
      <c r="L24" s="9">
        <f>IF($B24&gt;0,(VLOOKUP($B24,Base!$A$2:$Z$1000,11,0)*$D24)/(VLOOKUP($B24,Base!$A$2:$Z$1000,3,0)),"")</f>
        <v>0</v>
      </c>
      <c r="M24" s="9">
        <f>IF($B24&gt;0,(VLOOKUP($B24,Base!$A$2:$Z$1000,12,0)*$D24)/(VLOOKUP($B24,Base!$A$2:$Z$1000,3,0)),"")</f>
        <v>0</v>
      </c>
      <c r="N24" s="9">
        <f>IF($B24&gt;0,(VLOOKUP($B24,Base!$A$2:$Z$1000,13,0)*$D24)/(VLOOKUP($B24,Base!$A$2:$Z$1000,3,0)),"")</f>
        <v>0</v>
      </c>
      <c r="O24" s="9">
        <f>IF($B24&gt;0,(VLOOKUP($B24,Base!$A$2:$Z$1000,14,0)*$D24)/(VLOOKUP($B24,Base!$A$2:$Z$1000,3,0)),"")</f>
        <v>0</v>
      </c>
      <c r="P24" s="9">
        <f>IF($B24&gt;0,(VLOOKUP($B24,Base!$A$2:$Z$1000,15,0)*$D24)/(VLOOKUP($B24,Base!$A$2:$Z$1000,3,0)),"")</f>
        <v>0</v>
      </c>
    </row>
    <row r="25" spans="2:16" x14ac:dyDescent="0.2">
      <c r="B25" s="8">
        <v>16</v>
      </c>
      <c r="C25" s="2" t="str">
        <f>IF($B25&gt;0,(VLOOKUP($B25,Base!$A$2:$Z$1000,2,0)),"")</f>
        <v>Amendoim caramelizado</v>
      </c>
      <c r="D25" s="2">
        <v>40</v>
      </c>
      <c r="E25" s="9">
        <f>IF($B25&gt;0,(VLOOKUP($B25,Base!$A$2:$Z$1000,4,0)*$D25)/(VLOOKUP($B25,Base!$A$2:$Z$1000,3,0)),"")</f>
        <v>3.24</v>
      </c>
      <c r="F25" s="9">
        <f>IF($B25&gt;0,(VLOOKUP($B25,Base!$A$2:$Z$1000,5,0)*$D25)/(VLOOKUP($B25,Base!$A$2:$Z$1000,3,0)),"")</f>
        <v>29.52</v>
      </c>
      <c r="G25" s="9">
        <f>IF($B25&gt;0,(VLOOKUP($B25,Base!$A$2:$Z$1000,6,0)*$D25)/(VLOOKUP($B25,Base!$A$2:$Z$1000,3,0)),"")</f>
        <v>6.28</v>
      </c>
      <c r="H25" s="9">
        <f>IF($B25&gt;0,(VLOOKUP($B25,Base!$A$2:$Z$1000,7,0)*$D25)/(VLOOKUP($B25,Base!$A$2:$Z$1000,3,0)),"")</f>
        <v>6.8</v>
      </c>
      <c r="I25" s="9">
        <f>IF($B25&gt;0,(VLOOKUP($B25,Base!$A$2:$Z$1000,8,0)*$D25)/(VLOOKUP($B25,Base!$A$2:$Z$1000,3,0)),"")</f>
        <v>57.2</v>
      </c>
      <c r="J25" s="9">
        <f>IF($B25&gt;0,(VLOOKUP($B25,Base!$A$2:$Z$1000,9,0)*$D25)/(VLOOKUP($B25,Base!$A$2:$Z$1000,3,0)),"")</f>
        <v>0.52</v>
      </c>
      <c r="K25" s="9">
        <f>IF($B25&gt;0,(VLOOKUP($B25,Base!$A$2:$Z$1000,10,0)*$D25)/(VLOOKUP($B25,Base!$A$2:$Z$1000,3,0)),"")</f>
        <v>0.8</v>
      </c>
      <c r="L25" s="9">
        <f>IF($B25&gt;0,(VLOOKUP($B25,Base!$A$2:$Z$1000,11,0)*$D25)/(VLOOKUP($B25,Base!$A$2:$Z$1000,3,0)),"")</f>
        <v>5.7999999999999996E-2</v>
      </c>
      <c r="M25" s="9">
        <f>IF($B25&gt;0,(VLOOKUP($B25,Base!$A$2:$Z$1000,12,0)*$D25)/(VLOOKUP($B25,Base!$A$2:$Z$1000,3,0)),"")</f>
        <v>3.4399999999999993E-2</v>
      </c>
      <c r="N25" s="9">
        <f>IF($B25&gt;0,(VLOOKUP($B25,Base!$A$2:$Z$1000,13,0)*$D25)/(VLOOKUP($B25,Base!$A$2:$Z$1000,3,0)),"")</f>
        <v>1.0615999999999999</v>
      </c>
      <c r="O25" s="9">
        <f>IF($B25&gt;0,(VLOOKUP($B25,Base!$A$2:$Z$1000,14,0)*$D25)/(VLOOKUP($B25,Base!$A$2:$Z$1000,3,0)),"")</f>
        <v>0</v>
      </c>
      <c r="P25" s="9">
        <f>IF($B25&gt;0,(VLOOKUP($B25,Base!$A$2:$Z$1000,15,0)*$D25)/(VLOOKUP($B25,Base!$A$2:$Z$1000,3,0)),"")</f>
        <v>0</v>
      </c>
    </row>
    <row r="26" spans="2:16" x14ac:dyDescent="0.2">
      <c r="B26" s="8">
        <v>25</v>
      </c>
      <c r="C26" s="2" t="str">
        <f>IF($B26&gt;0,(VLOOKUP($B26,Base!$A$2:$Z$1000,2,0)),"")</f>
        <v>Barra de cereal</v>
      </c>
      <c r="D26" s="2">
        <v>50</v>
      </c>
      <c r="E26" s="9">
        <f>IF($B26&gt;0,(VLOOKUP($B26,Base!$A$2:$Z$1000,4,0)*$D26)/(VLOOKUP($B26,Base!$A$2:$Z$1000,3,0)),"")</f>
        <v>2.5</v>
      </c>
      <c r="F26" s="9">
        <f>IF($B26&gt;0,(VLOOKUP($B26,Base!$A$2:$Z$1000,5,0)*$D26)/(VLOOKUP($B26,Base!$A$2:$Z$1000,3,0)),"")</f>
        <v>31.5</v>
      </c>
      <c r="G26" s="9">
        <f>IF($B26&gt;0,(VLOOKUP($B26,Base!$A$2:$Z$1000,6,0)*$D26)/(VLOOKUP($B26,Base!$A$2:$Z$1000,3,0)),"")</f>
        <v>9.0500000000000007</v>
      </c>
      <c r="H26" s="9">
        <f>IF($B26&gt;0,(VLOOKUP($B26,Base!$A$2:$Z$1000,7,0)*$D26)/(VLOOKUP($B26,Base!$A$2:$Z$1000,3,0)),"")</f>
        <v>0</v>
      </c>
      <c r="I26" s="9">
        <f>IF($B26&gt;0,(VLOOKUP($B26,Base!$A$2:$Z$1000,8,0)*$D26)/(VLOOKUP($B26,Base!$A$2:$Z$1000,3,0)),"")</f>
        <v>0</v>
      </c>
      <c r="J26" s="9">
        <f>IF($B26&gt;0,(VLOOKUP($B26,Base!$A$2:$Z$1000,9,0)*$D26)/(VLOOKUP($B26,Base!$A$2:$Z$1000,3,0)),"")</f>
        <v>0</v>
      </c>
      <c r="K26" s="9">
        <f>IF($B26&gt;0,(VLOOKUP($B26,Base!$A$2:$Z$1000,10,0)*$D26)/(VLOOKUP($B26,Base!$A$2:$Z$1000,3,0)),"")</f>
        <v>0</v>
      </c>
      <c r="L26" s="9">
        <f>IF($B26&gt;0,(VLOOKUP($B26,Base!$A$2:$Z$1000,11,0)*$D26)/(VLOOKUP($B26,Base!$A$2:$Z$1000,3,0)),"")</f>
        <v>0</v>
      </c>
      <c r="M26" s="9">
        <f>IF($B26&gt;0,(VLOOKUP($B26,Base!$A$2:$Z$1000,12,0)*$D26)/(VLOOKUP($B26,Base!$A$2:$Z$1000,3,0)),"")</f>
        <v>0</v>
      </c>
      <c r="N26" s="9">
        <f>IF($B26&gt;0,(VLOOKUP($B26,Base!$A$2:$Z$1000,13,0)*$D26)/(VLOOKUP($B26,Base!$A$2:$Z$1000,3,0)),"")</f>
        <v>0</v>
      </c>
      <c r="O26" s="9">
        <f>IF($B26&gt;0,(VLOOKUP($B26,Base!$A$2:$Z$1000,14,0)*$D26)/(VLOOKUP($B26,Base!$A$2:$Z$1000,3,0)),"")</f>
        <v>0</v>
      </c>
      <c r="P26" s="9">
        <f>IF($B26&gt;0,(VLOOKUP($B26,Base!$A$2:$Z$1000,15,0)*$D26)/(VLOOKUP($B26,Base!$A$2:$Z$1000,3,0)),"")</f>
        <v>2</v>
      </c>
    </row>
    <row r="27" spans="2:16" s="4" customFormat="1" x14ac:dyDescent="0.2">
      <c r="D27" s="15" t="s">
        <v>188</v>
      </c>
      <c r="E27" s="14">
        <f>SUM(E16:E26)/11</f>
        <v>4.3232727272727276</v>
      </c>
      <c r="F27" s="14">
        <f t="shared" ref="F27:O27" si="1">SUM(F16:F26)/11</f>
        <v>35.198090909090915</v>
      </c>
      <c r="G27" s="14">
        <f t="shared" si="1"/>
        <v>7.7881818181818172</v>
      </c>
      <c r="H27" s="14">
        <f t="shared" si="1"/>
        <v>66.486363636363635</v>
      </c>
      <c r="I27" s="14">
        <f>SUM(I16:I26)/7</f>
        <v>31.734857142857145</v>
      </c>
      <c r="J27" s="14">
        <f t="shared" si="1"/>
        <v>0.60054545454545449</v>
      </c>
      <c r="K27" s="14">
        <f t="shared" si="1"/>
        <v>65.469909090909098</v>
      </c>
      <c r="L27" s="14">
        <f>SUM(L16:L26)/7</f>
        <v>1.657142857142857E-2</v>
      </c>
      <c r="M27" s="14">
        <f>SUM(M16:M26)/7</f>
        <v>2.0342857142857142E-2</v>
      </c>
      <c r="N27" s="14">
        <f>SUM(N16:N26)/7</f>
        <v>0.20194285714285715</v>
      </c>
      <c r="O27" s="14">
        <f t="shared" si="1"/>
        <v>3.3463636363636367</v>
      </c>
      <c r="P27" s="14">
        <f>SUM(P16:P26)/8</f>
        <v>0.3</v>
      </c>
    </row>
    <row r="30" spans="2:16" x14ac:dyDescent="0.2">
      <c r="E30" s="6" t="s">
        <v>190</v>
      </c>
    </row>
    <row r="31" spans="2:16" x14ac:dyDescent="0.2">
      <c r="B31" s="2" t="s">
        <v>0</v>
      </c>
      <c r="C31" s="2" t="s">
        <v>1</v>
      </c>
      <c r="D31" s="2" t="s">
        <v>19</v>
      </c>
      <c r="E31" s="2" t="s">
        <v>16</v>
      </c>
      <c r="F31" s="2" t="s">
        <v>17</v>
      </c>
      <c r="G31" s="2" t="s">
        <v>7</v>
      </c>
      <c r="H31" s="2" t="s">
        <v>11</v>
      </c>
      <c r="I31" s="2" t="s">
        <v>12</v>
      </c>
      <c r="J31" s="2" t="s">
        <v>13</v>
      </c>
      <c r="K31" s="2" t="s">
        <v>15</v>
      </c>
      <c r="L31" s="2" t="s">
        <v>8</v>
      </c>
      <c r="M31" s="2" t="s">
        <v>9</v>
      </c>
      <c r="N31" s="2" t="s">
        <v>10</v>
      </c>
      <c r="O31" s="2" t="s">
        <v>18</v>
      </c>
      <c r="P31" s="2" t="s">
        <v>3</v>
      </c>
    </row>
    <row r="32" spans="2:16" x14ac:dyDescent="0.2">
      <c r="B32" s="8">
        <v>34</v>
      </c>
      <c r="C32" s="2" t="str">
        <f>IF($B32&gt;0,(VLOOKUP($B32,Base!$A$2:$Z$1000,2,0)),"")</f>
        <v>Bolo c/ recheio e glacê</v>
      </c>
      <c r="D32" s="2">
        <v>100</v>
      </c>
      <c r="E32" s="9">
        <f>IF($B32&gt;0,(VLOOKUP($B32,Base!$A$2:$Z$1000,4,0)*$D32)/(VLOOKUP($B32,Base!$A$2:$Z$1000,3,0)),"")</f>
        <v>5.5</v>
      </c>
      <c r="F32" s="9">
        <f>IF($B32&gt;0,(VLOOKUP($B32,Base!$A$2:$Z$1000,5,0)*$D32)/(VLOOKUP($B32,Base!$A$2:$Z$1000,3,0)),"")</f>
        <v>64.8</v>
      </c>
      <c r="G32" s="9">
        <f>IF($B32&gt;0,(VLOOKUP($B32,Base!$A$2:$Z$1000,6,0)*$D32)/(VLOOKUP($B32,Base!$A$2:$Z$1000,3,0)),"")</f>
        <v>11.38</v>
      </c>
      <c r="H32" s="9">
        <f>IF($B32&gt;0,(VLOOKUP($B32,Base!$A$2:$Z$1000,7,0)*$D32)/(VLOOKUP($B32,Base!$A$2:$Z$1000,3,0)),"")</f>
        <v>84.91</v>
      </c>
      <c r="I32" s="9"/>
      <c r="J32" s="9">
        <f>IF($B32&gt;0,(VLOOKUP($B32,Base!$A$2:$Z$1000,9,0)*$D32)/(VLOOKUP($B32,Base!$A$2:$Z$1000,3,0)),"")</f>
        <v>0.79</v>
      </c>
      <c r="K32" s="9">
        <f>IF($B32&gt;0,(VLOOKUP($B32,Base!$A$2:$Z$1000,10,0)*$D32)/(VLOOKUP($B32,Base!$A$2:$Z$1000,3,0)),"")</f>
        <v>151.97</v>
      </c>
      <c r="L32" s="9"/>
      <c r="M32" s="9"/>
      <c r="N32" s="9"/>
      <c r="O32" s="9">
        <f>IF($B32&gt;0,(VLOOKUP($B32,Base!$A$2:$Z$1000,14,0)*$D32)/(VLOOKUP($B32,Base!$A$2:$Z$1000,3,0)),"")</f>
        <v>0.2</v>
      </c>
      <c r="P32" s="9"/>
    </row>
    <row r="33" spans="2:16" x14ac:dyDescent="0.2">
      <c r="B33" s="8">
        <v>35</v>
      </c>
      <c r="C33" s="2" t="str">
        <f>IF($B33&gt;0,(VLOOKUP($B33,Base!$A$2:$Z$1000,2,0)),"")</f>
        <v>Bolo com recheio</v>
      </c>
      <c r="D33" s="2">
        <v>100</v>
      </c>
      <c r="E33" s="9">
        <f>IF($B33&gt;0,(VLOOKUP($B33,Base!$A$2:$Z$1000,4,0)*$D33)/(VLOOKUP($B33,Base!$A$2:$Z$1000,3,0)),"")</f>
        <v>5.5</v>
      </c>
      <c r="F33" s="9">
        <f>IF($B33&gt;0,(VLOOKUP($B33,Base!$A$2:$Z$1000,5,0)*$D33)/(VLOOKUP($B33,Base!$A$2:$Z$1000,3,0)),"")</f>
        <v>64.8</v>
      </c>
      <c r="G33" s="9">
        <f>IF($B33&gt;0,(VLOOKUP($B33,Base!$A$2:$Z$1000,6,0)*$D33)/(VLOOKUP($B33,Base!$A$2:$Z$1000,3,0)),"")</f>
        <v>11.38</v>
      </c>
      <c r="H33" s="9">
        <f>IF($B33&gt;0,(VLOOKUP($B33,Base!$A$2:$Z$1000,7,0)*$D33)/(VLOOKUP($B33,Base!$A$2:$Z$1000,3,0)),"")</f>
        <v>84.91</v>
      </c>
      <c r="I33" s="9"/>
      <c r="J33" s="9">
        <f>IF($B33&gt;0,(VLOOKUP($B33,Base!$A$2:$Z$1000,9,0)*$D33)/(VLOOKUP($B33,Base!$A$2:$Z$1000,3,0)),"")</f>
        <v>0.79</v>
      </c>
      <c r="K33" s="9">
        <f>IF($B33&gt;0,(VLOOKUP($B33,Base!$A$2:$Z$1000,10,0)*$D33)/(VLOOKUP($B33,Base!$A$2:$Z$1000,3,0)),"")</f>
        <v>151.97</v>
      </c>
      <c r="L33" s="9"/>
      <c r="M33" s="9"/>
      <c r="N33" s="9"/>
      <c r="O33" s="9">
        <f>IF($B33&gt;0,(VLOOKUP($B33,Base!$A$2:$Z$1000,14,0)*$D33)/(VLOOKUP($B33,Base!$A$2:$Z$1000,3,0)),"")</f>
        <v>0.2</v>
      </c>
      <c r="P33" s="9"/>
    </row>
    <row r="34" spans="2:16" x14ac:dyDescent="0.2">
      <c r="B34" s="8">
        <v>38</v>
      </c>
      <c r="C34" s="2" t="str">
        <f>IF($B34&gt;0,(VLOOKUP($B34,Base!$A$2:$Z$1000,2,0)),"")</f>
        <v>Bolo de Cenoura</v>
      </c>
      <c r="D34" s="2">
        <v>100</v>
      </c>
      <c r="E34" s="9">
        <f>IF($B34&gt;0,(VLOOKUP($B34,Base!$A$2:$Z$1000,4,0)*$D34)/(VLOOKUP($B34,Base!$A$2:$Z$1000,3,0)),"")</f>
        <v>6.37</v>
      </c>
      <c r="F34" s="9">
        <f>IF($B34&gt;0,(VLOOKUP($B34,Base!$A$2:$Z$1000,5,0)*$D34)/(VLOOKUP($B34,Base!$A$2:$Z$1000,3,0)),"")</f>
        <v>64.260000000000005</v>
      </c>
      <c r="G34" s="9">
        <f>IF($B34&gt;0,(VLOOKUP($B34,Base!$A$2:$Z$1000,6,0)*$D34)/(VLOOKUP($B34,Base!$A$2:$Z$1000,3,0)),"")</f>
        <v>10.72</v>
      </c>
      <c r="H34" s="9">
        <f>IF($B34&gt;0,(VLOOKUP($B34,Base!$A$2:$Z$1000,7,0)*$D34)/(VLOOKUP($B34,Base!$A$2:$Z$1000,3,0)),"")</f>
        <v>73.849999999999994</v>
      </c>
      <c r="I34" s="9"/>
      <c r="J34" s="9">
        <f>IF($B34&gt;0,(VLOOKUP($B34,Base!$A$2:$Z$1000,9,0)*$D34)/(VLOOKUP($B34,Base!$A$2:$Z$1000,3,0)),"")</f>
        <v>1.19</v>
      </c>
      <c r="K34" s="9">
        <f>IF($B34&gt;0,(VLOOKUP($B34,Base!$A$2:$Z$1000,10,0)*$D34)/(VLOOKUP($B34,Base!$A$2:$Z$1000,3,0)),"")</f>
        <v>293</v>
      </c>
      <c r="L34" s="9"/>
      <c r="M34" s="9"/>
      <c r="N34" s="9"/>
      <c r="O34" s="9">
        <f>IF($B34&gt;0,(VLOOKUP($B34,Base!$A$2:$Z$1000,14,0)*$D34)/(VLOOKUP($B34,Base!$A$2:$Z$1000,3,0)),"")</f>
        <v>1.36</v>
      </c>
      <c r="P34" s="9"/>
    </row>
    <row r="35" spans="2:16" x14ac:dyDescent="0.2">
      <c r="B35" s="8">
        <v>103</v>
      </c>
      <c r="C35" s="2" t="str">
        <f>IF($B35&gt;0,(VLOOKUP($B35,Base!$A$2:$Z$1000,2,0)),"")</f>
        <v>Pamonha</v>
      </c>
      <c r="D35" s="2">
        <v>160</v>
      </c>
      <c r="E35" s="9">
        <f>IF($B35&gt;0,(VLOOKUP($B35,Base!$A$2:$Z$1000,4,0)*$D35)/(VLOOKUP($B35,Base!$A$2:$Z$1000,3,0)),"")</f>
        <v>7.04</v>
      </c>
      <c r="F35" s="9">
        <f>IF($B35&gt;0,(VLOOKUP($B35,Base!$A$2:$Z$1000,5,0)*$D35)/(VLOOKUP($B35,Base!$A$2:$Z$1000,3,0)),"")</f>
        <v>68.64</v>
      </c>
      <c r="G35" s="9">
        <f>IF($B35&gt;0,(VLOOKUP($B35,Base!$A$2:$Z$1000,6,0)*$D35)/(VLOOKUP($B35,Base!$A$2:$Z$1000,3,0)),"")</f>
        <v>12.16</v>
      </c>
      <c r="H35" s="9">
        <f>IF($B35&gt;0,(VLOOKUP($B35,Base!$A$2:$Z$1000,7,0)*$D35)/(VLOOKUP($B35,Base!$A$2:$Z$1000,3,0)),"")</f>
        <v>28.8</v>
      </c>
      <c r="I35" s="9">
        <f>IF($B35&gt;0,(VLOOKUP($B35,Base!$A$2:$Z$1000,8,0)*$D35)/(VLOOKUP($B35,Base!$A$2:$Z$1000,3,0)),"")</f>
        <v>224</v>
      </c>
      <c r="J35" s="9">
        <f>IF($B35&gt;0,(VLOOKUP($B35,Base!$A$2:$Z$1000,9,0)*$D35)/(VLOOKUP($B35,Base!$A$2:$Z$1000,3,0)),"")</f>
        <v>1.44</v>
      </c>
      <c r="K35" s="9">
        <f>IF($B35&gt;0,(VLOOKUP($B35,Base!$A$2:$Z$1000,10,0)*$D35)/(VLOOKUP($B35,Base!$A$2:$Z$1000,3,0)),"")</f>
        <v>40</v>
      </c>
      <c r="L35" s="9">
        <f>IF($B35&gt;0,(VLOOKUP($B35,Base!$A$2:$Z$1000,11,0)*$D35)/(VLOOKUP($B35,Base!$A$2:$Z$1000,3,0)),"")</f>
        <v>0.25600000000000001</v>
      </c>
      <c r="M35" s="9">
        <f>IF($B35&gt;0,(VLOOKUP($B35,Base!$A$2:$Z$1000,12,0)*$D35)/(VLOOKUP($B35,Base!$A$2:$Z$1000,3,0)),"")</f>
        <v>0.17600000000000002</v>
      </c>
      <c r="N35" s="9">
        <f>IF($B35&gt;0,(VLOOKUP($B35,Base!$A$2:$Z$1000,13,0)*$D35)/(VLOOKUP($B35,Base!$A$2:$Z$1000,3,0)),"")</f>
        <v>2.56</v>
      </c>
      <c r="O35" s="9">
        <f>IF($B35&gt;0,(VLOOKUP($B35,Base!$A$2:$Z$1000,14,0)*$D35)/(VLOOKUP($B35,Base!$A$2:$Z$1000,3,0)),"")</f>
        <v>88</v>
      </c>
      <c r="P35" s="9">
        <f>IF($B35&gt;0,(VLOOKUP($B35,Base!$A$2:$Z$1000,15,0)*$D35)/(VLOOKUP($B35,Base!$A$2:$Z$1000,3,0)),"")</f>
        <v>0</v>
      </c>
    </row>
    <row r="36" spans="2:16" x14ac:dyDescent="0.2">
      <c r="B36" s="8">
        <v>119</v>
      </c>
      <c r="C36" s="2" t="str">
        <f>IF($B36&gt;0,(VLOOKUP($B36,Base!$A$2:$Z$1000,2,0)),"")</f>
        <v>Rabanada</v>
      </c>
      <c r="D36" s="2">
        <v>100</v>
      </c>
      <c r="E36" s="9">
        <f>IF($B36&gt;0,(VLOOKUP($B36,Base!$A$2:$Z$1000,4,0)*$D36)/(VLOOKUP($B36,Base!$A$2:$Z$1000,3,0)),"")</f>
        <v>10.6</v>
      </c>
      <c r="F36" s="9">
        <f>IF($B36&gt;0,(VLOOKUP($B36,Base!$A$2:$Z$1000,5,0)*$D36)/(VLOOKUP($B36,Base!$A$2:$Z$1000,3,0)),"")</f>
        <v>79.099999999999994</v>
      </c>
      <c r="G36" s="9">
        <f>IF($B36&gt;0,(VLOOKUP($B36,Base!$A$2:$Z$1000,6,0)*$D36)/(VLOOKUP($B36,Base!$A$2:$Z$1000,3,0)),"")</f>
        <v>6.2</v>
      </c>
      <c r="H36" s="9">
        <f>IF($B36&gt;0,(VLOOKUP($B36,Base!$A$2:$Z$1000,7,0)*$D36)/(VLOOKUP($B36,Base!$A$2:$Z$1000,3,0)),"")</f>
        <v>84</v>
      </c>
      <c r="I36" s="9">
        <f>IF($B36&gt;0,(VLOOKUP($B36,Base!$A$2:$Z$1000,8,0)*$D36)/(VLOOKUP($B36,Base!$A$2:$Z$1000,3,0)),"")</f>
        <v>0.23</v>
      </c>
      <c r="J36" s="9">
        <f>IF($B36&gt;0,(VLOOKUP($B36,Base!$A$2:$Z$1000,9,0)*$D36)/(VLOOKUP($B36,Base!$A$2:$Z$1000,3,0)),"")</f>
        <v>0</v>
      </c>
      <c r="K36" s="9">
        <f>IF($B36&gt;0,(VLOOKUP($B36,Base!$A$2:$Z$1000,10,0)*$D36)/(VLOOKUP($B36,Base!$A$2:$Z$1000,3,0)),"")</f>
        <v>130</v>
      </c>
      <c r="L36" s="9">
        <f>IF($B36&gt;0,(VLOOKUP($B36,Base!$A$2:$Z$1000,11,0)*$D36)/(VLOOKUP($B36,Base!$A$2:$Z$1000,3,0)),"")</f>
        <v>0.09</v>
      </c>
      <c r="M36" s="9">
        <f>IF($B36&gt;0,(VLOOKUP($B36,Base!$A$2:$Z$1000,12,0)*$D36)/(VLOOKUP($B36,Base!$A$2:$Z$1000,3,0)),"")</f>
        <v>0.22</v>
      </c>
      <c r="N36" s="9">
        <f>IF($B36&gt;0,(VLOOKUP($B36,Base!$A$2:$Z$1000,13,0)*$D36)/(VLOOKUP($B36,Base!$A$2:$Z$1000,3,0)),"")</f>
        <v>0.7</v>
      </c>
      <c r="O36" s="9">
        <f>IF($B36&gt;0,(VLOOKUP($B36,Base!$A$2:$Z$1000,14,0)*$D36)/(VLOOKUP($B36,Base!$A$2:$Z$1000,3,0)),"")</f>
        <v>0</v>
      </c>
      <c r="P36" s="9">
        <f>IF($B36&gt;0,(VLOOKUP($B36,Base!$A$2:$Z$1000,15,0)*$D36)/(VLOOKUP($B36,Base!$A$2:$Z$1000,3,0)),"")</f>
        <v>0</v>
      </c>
    </row>
    <row r="37" spans="2:16" x14ac:dyDescent="0.2">
      <c r="B37" s="8">
        <v>144</v>
      </c>
      <c r="C37" s="2" t="str">
        <f>IF($B37&gt;0,(VLOOKUP($B37,Base!$A$2:$Z$1000,2,0)),"")</f>
        <v>Sorvete tipo Sundae</v>
      </c>
      <c r="D37" s="11">
        <v>155</v>
      </c>
      <c r="E37" s="9">
        <f>IF($B37&gt;0,(VLOOKUP($B37,Base!$A$2:$Z$1000,4,0)*$D37)/(VLOOKUP($B37,Base!$A$2:$Z$1000,3,0)),"")</f>
        <v>6.6236666666666668</v>
      </c>
      <c r="F37" s="9">
        <f>IF($B37&gt;0,(VLOOKUP($B37,Base!$A$2:$Z$1000,5,0)*$D37)/(VLOOKUP($B37,Base!$A$2:$Z$1000,3,0)),"")</f>
        <v>43.555</v>
      </c>
      <c r="G37" s="9">
        <f>IF($B37&gt;0,(VLOOKUP($B37,Base!$A$2:$Z$1000,6,0)*$D37)/(VLOOKUP($B37,Base!$A$2:$Z$1000,3,0)),"")</f>
        <v>9.2690000000000001</v>
      </c>
      <c r="H37" s="9">
        <f>IF($B37&gt;0,(VLOOKUP($B37,Base!$A$2:$Z$1000,7,0)*$D37)/(VLOOKUP($B37,Base!$A$2:$Z$1000,3,0)),"")</f>
        <v>184.96666666666664</v>
      </c>
      <c r="I37" s="9"/>
      <c r="J37" s="9">
        <f>IF($B37&gt;0,(VLOOKUP($B37,Base!$A$2:$Z$1000,9,0)*$D37)/(VLOOKUP($B37,Base!$A$2:$Z$1000,3,0)),"")</f>
        <v>7.543333333333333</v>
      </c>
      <c r="K37" s="9">
        <f>IF($B37&gt;0,(VLOOKUP($B37,Base!$A$2:$Z$1000,10,0)*$D37)/(VLOOKUP($B37,Base!$A$2:$Z$1000,3,0)),"")</f>
        <v>69.594999999999999</v>
      </c>
      <c r="L37" s="9"/>
      <c r="M37" s="9"/>
      <c r="N37" s="9"/>
      <c r="O37" s="9">
        <f>IF($B37&gt;0,(VLOOKUP($B37,Base!$A$2:$Z$1000,14,0)*$D37)/(VLOOKUP($B37,Base!$A$2:$Z$1000,3,0)),"")</f>
        <v>2.7796666666666665</v>
      </c>
      <c r="P37" s="9"/>
    </row>
    <row r="38" spans="2:16" x14ac:dyDescent="0.2">
      <c r="B38" s="8">
        <v>109</v>
      </c>
      <c r="C38" s="2" t="str">
        <f>IF($B38&gt;0,(VLOOKUP($B38,Base!$A$2:$Z$1000,2,0)),"")</f>
        <v xml:space="preserve">Picolé </v>
      </c>
      <c r="D38" s="11">
        <v>60</v>
      </c>
      <c r="E38" s="9">
        <f>IF($B38&gt;0,(VLOOKUP($B38,Base!$A$2:$Z$1000,4,0)*$D38)/(VLOOKUP($B38,Base!$A$2:$Z$1000,3,0)),"")</f>
        <v>2.3339999999999996</v>
      </c>
      <c r="F38" s="9">
        <f>IF($B38&gt;0,(VLOOKUP($B38,Base!$A$2:$Z$1000,5,0)*$D38)/(VLOOKUP($B38,Base!$A$2:$Z$1000,3,0)),"")</f>
        <v>17.310499999999998</v>
      </c>
      <c r="G38" s="9">
        <f>IF($B38&gt;0,(VLOOKUP($B38,Base!$A$2:$Z$1000,6,0)*$D38)/(VLOOKUP($B38,Base!$A$2:$Z$1000,3,0)),"")</f>
        <v>10.230499999999999</v>
      </c>
      <c r="H38" s="9"/>
      <c r="I38" s="9"/>
      <c r="J38" s="9"/>
      <c r="K38" s="9"/>
      <c r="L38" s="9"/>
      <c r="M38" s="9"/>
      <c r="N38" s="9"/>
      <c r="O38" s="9"/>
      <c r="P38" s="9"/>
    </row>
    <row r="39" spans="2:16" s="4" customFormat="1" x14ac:dyDescent="0.2">
      <c r="D39" s="15" t="s">
        <v>188</v>
      </c>
      <c r="E39" s="14">
        <f>SUM(E32:E38)/7</f>
        <v>6.2810952380952374</v>
      </c>
      <c r="F39" s="14">
        <f>SUM(F32:F38)/7</f>
        <v>57.495071428571428</v>
      </c>
      <c r="G39" s="14">
        <f>SUM(G32:G38)/7</f>
        <v>10.191357142857143</v>
      </c>
      <c r="H39" s="14">
        <f>SUM(H32:H38)/6</f>
        <v>90.23944444444443</v>
      </c>
      <c r="I39" s="14">
        <f>SUM(I32:I38)/2</f>
        <v>112.11499999999999</v>
      </c>
      <c r="J39" s="14">
        <f>SUM(J32:J38)/6</f>
        <v>1.9588888888888889</v>
      </c>
      <c r="K39" s="14">
        <f>SUM(K32:K38)/6</f>
        <v>139.42250000000001</v>
      </c>
      <c r="L39" s="14">
        <f>SUM(L32:L38)/6</f>
        <v>5.7666666666666665E-2</v>
      </c>
      <c r="M39" s="14">
        <f>SUM(M32:M38)/2</f>
        <v>0.19800000000000001</v>
      </c>
      <c r="N39" s="14">
        <f>SUM(N32:N38)/2</f>
        <v>1.63</v>
      </c>
      <c r="O39" s="14">
        <f>SUM(O32:O38)/6</f>
        <v>15.423277777777779</v>
      </c>
      <c r="P39" s="14">
        <f>SUM(P32:P38)/2</f>
        <v>0</v>
      </c>
    </row>
    <row r="41" spans="2:16" x14ac:dyDescent="0.2">
      <c r="E41" s="6" t="s">
        <v>191</v>
      </c>
    </row>
    <row r="42" spans="2:16" x14ac:dyDescent="0.2">
      <c r="B42" s="2" t="s">
        <v>0</v>
      </c>
      <c r="C42" s="2" t="s">
        <v>1</v>
      </c>
      <c r="D42" s="2" t="s">
        <v>19</v>
      </c>
      <c r="E42" s="2" t="s">
        <v>16</v>
      </c>
      <c r="F42" s="2" t="s">
        <v>17</v>
      </c>
      <c r="G42" s="2" t="s">
        <v>7</v>
      </c>
      <c r="H42" s="2" t="s">
        <v>11</v>
      </c>
      <c r="I42" s="2" t="s">
        <v>12</v>
      </c>
      <c r="J42" s="2" t="s">
        <v>13</v>
      </c>
      <c r="K42" s="2" t="s">
        <v>15</v>
      </c>
      <c r="L42" s="2" t="s">
        <v>8</v>
      </c>
      <c r="M42" s="2" t="s">
        <v>9</v>
      </c>
      <c r="N42" s="2" t="s">
        <v>10</v>
      </c>
      <c r="O42" s="2" t="s">
        <v>18</v>
      </c>
      <c r="P42" s="2" t="s">
        <v>3</v>
      </c>
    </row>
    <row r="43" spans="2:16" x14ac:dyDescent="0.2">
      <c r="B43" s="8">
        <v>39</v>
      </c>
      <c r="C43" s="2" t="str">
        <f>IF($B43&gt;0,(VLOOKUP($B43,Base!$A$2:$Z$1000,2,0)),"")</f>
        <v>Bolo de choc rech calda de choc</v>
      </c>
      <c r="D43" s="2">
        <v>100</v>
      </c>
      <c r="E43" s="9">
        <f>IF($B43&gt;0,(VLOOKUP($B43,Base!$A$2:$Z$1000,4,0)*$D43)/(VLOOKUP($B43,Base!$A$2:$Z$1000,3,0)),"")</f>
        <v>9.8000000000000007</v>
      </c>
      <c r="F43" s="9">
        <f>IF($B43&gt;0,(VLOOKUP($B43,Base!$A$2:$Z$1000,5,0)*$D43)/(VLOOKUP($B43,Base!$A$2:$Z$1000,3,0)),"")</f>
        <v>56.74</v>
      </c>
      <c r="G43" s="9">
        <f>IF($B43&gt;0,(VLOOKUP($B43,Base!$A$2:$Z$1000,6,0)*$D43)/(VLOOKUP($B43,Base!$A$2:$Z$1000,3,0)),"")</f>
        <v>22.56</v>
      </c>
      <c r="H43" s="9">
        <f>IF($B43&gt;0,(VLOOKUP($B43,Base!$A$2:$Z$1000,7,0)*$D43)/(VLOOKUP($B43,Base!$A$2:$Z$1000,3,0)),"")</f>
        <v>108.86</v>
      </c>
      <c r="I43" s="9"/>
      <c r="J43" s="9">
        <f>IF($B43&gt;0,(VLOOKUP($B43,Base!$A$2:$Z$1000,9,0)*$D43)/(VLOOKUP($B43,Base!$A$2:$Z$1000,3,0)),"")</f>
        <v>2.27</v>
      </c>
      <c r="K43" s="9">
        <f>IF($B43&gt;0,(VLOOKUP($B43,Base!$A$2:$Z$1000,10,0)*$D43)/(VLOOKUP($B43,Base!$A$2:$Z$1000,3,0)),"")</f>
        <v>225.86</v>
      </c>
      <c r="L43" s="9"/>
      <c r="M43" s="9"/>
      <c r="N43" s="9"/>
      <c r="O43" s="9">
        <f>IF($B43&gt;0,(VLOOKUP($B43,Base!$A$2:$Z$1000,14,0)*$D43)/(VLOOKUP($B43,Base!$A$2:$Z$1000,3,0)),"")</f>
        <v>0.24</v>
      </c>
      <c r="P43" s="9"/>
    </row>
    <row r="44" spans="2:16" x14ac:dyDescent="0.2">
      <c r="B44" s="8">
        <v>40</v>
      </c>
      <c r="C44" s="2" t="str">
        <f>IF($B44&gt;0,(VLOOKUP($B44,Base!$A$2:$Z$1000,2,0)),"")</f>
        <v>Bolo de chocolate simples</v>
      </c>
      <c r="D44" s="2">
        <v>100</v>
      </c>
      <c r="E44" s="9">
        <f>IF($B44&gt;0,(VLOOKUP($B44,Base!$A$2:$Z$1000,4,0)*$D44)/(VLOOKUP($B44,Base!$A$2:$Z$1000,3,0)),"")</f>
        <v>9.25</v>
      </c>
      <c r="F44" s="9">
        <f>IF($B44&gt;0,(VLOOKUP($B44,Base!$A$2:$Z$1000,5,0)*$D44)/(VLOOKUP($B44,Base!$A$2:$Z$1000,3,0)),"")</f>
        <v>56.67</v>
      </c>
      <c r="G44" s="9">
        <f>IF($B44&gt;0,(VLOOKUP($B44,Base!$A$2:$Z$1000,6,0)*$D44)/(VLOOKUP($B44,Base!$A$2:$Z$1000,3,0)),"")</f>
        <v>27.49</v>
      </c>
      <c r="H44" s="9">
        <f>IF($B44&gt;0,(VLOOKUP($B44,Base!$A$2:$Z$1000,7,0)*$D44)/(VLOOKUP($B44,Base!$A$2:$Z$1000,3,0)),"")</f>
        <v>50.12</v>
      </c>
      <c r="I44" s="9"/>
      <c r="J44" s="9">
        <f>IF($B44&gt;0,(VLOOKUP($B44,Base!$A$2:$Z$1000,9,0)*$D44)/(VLOOKUP($B44,Base!$A$2:$Z$1000,3,0)),"")</f>
        <v>2.86</v>
      </c>
      <c r="K44" s="9">
        <f>IF($B44&gt;0,(VLOOKUP($B44,Base!$A$2:$Z$1000,10,0)*$D44)/(VLOOKUP($B44,Base!$A$2:$Z$1000,3,0)),"")</f>
        <v>288.89999999999998</v>
      </c>
      <c r="L44" s="9"/>
      <c r="M44" s="9"/>
      <c r="N44" s="9"/>
      <c r="O44" s="9">
        <f>IF($B44&gt;0,(VLOOKUP($B44,Base!$A$2:$Z$1000,14,0)*$D44)/(VLOOKUP($B44,Base!$A$2:$Z$1000,3,0)),"")</f>
        <v>0</v>
      </c>
      <c r="P44" s="9"/>
    </row>
    <row r="45" spans="2:16" x14ac:dyDescent="0.2">
      <c r="B45" s="8">
        <v>42</v>
      </c>
      <c r="C45" s="2" t="str">
        <f>IF($B45&gt;0,(VLOOKUP($B45,Base!$A$2:$Z$1000,2,0)),"")</f>
        <v>Bolo Simples</v>
      </c>
      <c r="D45" s="2">
        <v>100</v>
      </c>
      <c r="E45" s="9">
        <f>IF($B45&gt;0,(VLOOKUP($B45,Base!$A$2:$Z$1000,4,0)*$D45)/(VLOOKUP($B45,Base!$A$2:$Z$1000,3,0)),"")</f>
        <v>8.23</v>
      </c>
      <c r="F45" s="9">
        <f>IF($B45&gt;0,(VLOOKUP($B45,Base!$A$2:$Z$1000,5,0)*$D45)/(VLOOKUP($B45,Base!$A$2:$Z$1000,3,0)),"")</f>
        <v>55.55</v>
      </c>
      <c r="G45" s="9">
        <f>IF($B45&gt;0,(VLOOKUP($B45,Base!$A$2:$Z$1000,6,0)*$D45)/(VLOOKUP($B45,Base!$A$2:$Z$1000,3,0)),"")</f>
        <v>20.39</v>
      </c>
      <c r="H45" s="9">
        <f>IF($B45&gt;0,(VLOOKUP($B45,Base!$A$2:$Z$1000,7,0)*$D45)/(VLOOKUP($B45,Base!$A$2:$Z$1000,3,0)),"")</f>
        <v>127.45</v>
      </c>
      <c r="I45" s="9"/>
      <c r="J45" s="9">
        <f>IF($B45&gt;0,(VLOOKUP($B45,Base!$A$2:$Z$1000,9,0)*$D45)/(VLOOKUP($B45,Base!$A$2:$Z$1000,3,0)),"")</f>
        <v>1.33</v>
      </c>
      <c r="K45" s="9">
        <f>IF($B45&gt;0,(VLOOKUP($B45,Base!$A$2:$Z$1000,10,0)*$D45)/(VLOOKUP($B45,Base!$A$2:$Z$1000,3,0)),"")</f>
        <v>280.10000000000002</v>
      </c>
      <c r="L45" s="9"/>
      <c r="M45" s="9"/>
      <c r="N45" s="9"/>
      <c r="O45" s="9">
        <f>IF($B45&gt;0,(VLOOKUP($B45,Base!$A$2:$Z$1000,14,0)*$D45)/(VLOOKUP($B45,Base!$A$2:$Z$1000,3,0)),"")</f>
        <v>0.2</v>
      </c>
      <c r="P45" s="9"/>
    </row>
    <row r="46" spans="2:16" x14ac:dyDescent="0.2">
      <c r="B46" s="8">
        <v>50</v>
      </c>
      <c r="C46" s="2" t="str">
        <f>IF($B46&gt;0,(VLOOKUP($B46,Base!$A$2:$Z$1000,2,0)),"")</f>
        <v>Cocada</v>
      </c>
      <c r="D46" s="2">
        <v>70</v>
      </c>
      <c r="E46" s="9">
        <f>IF($B46&gt;0,(VLOOKUP($B46,Base!$A$2:$Z$1000,4,0)*$D46)/(VLOOKUP($B46,Base!$A$2:$Z$1000,3,0)),"")</f>
        <v>2.52</v>
      </c>
      <c r="F46" s="9">
        <f>IF($B46&gt;0,(VLOOKUP($B46,Base!$A$2:$Z$1000,5,0)*$D46)/(VLOOKUP($B46,Base!$A$2:$Z$1000,3,0)),"")</f>
        <v>37.24</v>
      </c>
      <c r="G46" s="9">
        <f>IF($B46&gt;0,(VLOOKUP($B46,Base!$A$2:$Z$1000,6,0)*$D46)/(VLOOKUP($B46,Base!$A$2:$Z$1000,3,0)),"")</f>
        <v>27.37</v>
      </c>
      <c r="H46" s="9">
        <f>IF($B46&gt;0,(VLOOKUP($B46,Base!$A$2:$Z$1000,7,0)*$D46)/(VLOOKUP($B46,Base!$A$2:$Z$1000,3,0)),"")</f>
        <v>11.2</v>
      </c>
      <c r="I46" s="9">
        <f>IF($B46&gt;0,(VLOOKUP($B46,Base!$A$2:$Z$1000,8,0)*$D46)/(VLOOKUP($B46,Base!$A$2:$Z$1000,3,0)),"")</f>
        <v>78.400000000000006</v>
      </c>
      <c r="J46" s="9">
        <f>IF($B46&gt;0,(VLOOKUP($B46,Base!$A$2:$Z$1000,9,0)*$D46)/(VLOOKUP($B46,Base!$A$2:$Z$1000,3,0)),"")</f>
        <v>1.4</v>
      </c>
      <c r="K46" s="9">
        <f>IF($B46&gt;0,(VLOOKUP($B46,Base!$A$2:$Z$1000,10,0)*$D46)/(VLOOKUP($B46,Base!$A$2:$Z$1000,3,0)),"")</f>
        <v>0</v>
      </c>
      <c r="L46" s="9">
        <f>IF($B46&gt;0,(VLOOKUP($B46,Base!$A$2:$Z$1000,11,0)*$D46)/(VLOOKUP($B46,Base!$A$2:$Z$1000,3,0)),"")</f>
        <v>2.8000000000000004E-2</v>
      </c>
      <c r="M46" s="9">
        <f>IF($B46&gt;0,(VLOOKUP($B46,Base!$A$2:$Z$1000,12,0)*$D46)/(VLOOKUP($B46,Base!$A$2:$Z$1000,3,0)),"")</f>
        <v>2.1000000000000001E-2</v>
      </c>
      <c r="N46" s="9">
        <f>IF($B46&gt;0,(VLOOKUP($B46,Base!$A$2:$Z$1000,13,0)*$D46)/(VLOOKUP($B46,Base!$A$2:$Z$1000,3,0)),"")</f>
        <v>0.28000000000000003</v>
      </c>
      <c r="O46" s="9">
        <f>IF($B46&gt;0,(VLOOKUP($B46,Base!$A$2:$Z$1000,14,0)*$D46)/(VLOOKUP($B46,Base!$A$2:$Z$1000,3,0)),"")</f>
        <v>0</v>
      </c>
      <c r="P46" s="9">
        <f>IF($B46&gt;0,(VLOOKUP($B46,Base!$A$2:$Z$1000,15,0)*$D46)/(VLOOKUP($B46,Base!$A$2:$Z$1000,3,0)),"")</f>
        <v>0</v>
      </c>
    </row>
    <row r="47" spans="2:16" x14ac:dyDescent="0.2">
      <c r="B47" s="8">
        <v>127</v>
      </c>
      <c r="C47" s="2" t="str">
        <f>IF($B47&gt;0,(VLOOKUP($B47,Base!$A$2:$Z$1000,2,0)),"")</f>
        <v>Sorvete cremoso</v>
      </c>
      <c r="D47" s="2">
        <v>100</v>
      </c>
      <c r="E47" s="9">
        <f>IF($B47&gt;0,(VLOOKUP($B47,Base!$A$2:$Z$1000,4,0)*$D47)/(VLOOKUP($B47,Base!$A$2:$Z$1000,3,0)),"")</f>
        <v>2.6</v>
      </c>
      <c r="F47" s="9">
        <f>IF($B47&gt;0,(VLOOKUP($B47,Base!$A$2:$Z$1000,5,0)*$D47)/(VLOOKUP($B47,Base!$A$2:$Z$1000,3,0)),"")</f>
        <v>18</v>
      </c>
      <c r="G47" s="9">
        <f>IF($B47&gt;0,(VLOOKUP($B47,Base!$A$2:$Z$1000,6,0)*$D47)/(VLOOKUP($B47,Base!$A$2:$Z$1000,3,0)),"")</f>
        <v>16.100000000000001</v>
      </c>
      <c r="H47" s="9"/>
      <c r="I47" s="9"/>
      <c r="J47" s="9"/>
      <c r="K47" s="9"/>
      <c r="L47" s="9"/>
      <c r="M47" s="9"/>
      <c r="N47" s="9"/>
      <c r="O47" s="9"/>
      <c r="P47" s="9"/>
    </row>
    <row r="48" spans="2:16" x14ac:dyDescent="0.2">
      <c r="B48" s="8">
        <v>143</v>
      </c>
      <c r="C48" s="2" t="str">
        <f>IF($B48&gt;0,(VLOOKUP($B48,Base!$A$2:$Z$1000,2,0)),"")</f>
        <v>Torta de limão</v>
      </c>
      <c r="D48" s="2">
        <v>85</v>
      </c>
      <c r="E48" s="9">
        <f>IF($B48&gt;0,(VLOOKUP($B48,Base!$A$2:$Z$1000,4,0)*$D48)/(VLOOKUP($B48,Base!$A$2:$Z$1000,3,0)),"")</f>
        <v>4.8365</v>
      </c>
      <c r="F48" s="9">
        <f>IF($B48&gt;0,(VLOOKUP($B48,Base!$A$2:$Z$1000,5,0)*$D48)/(VLOOKUP($B48,Base!$A$2:$Z$1000,3,0)),"")</f>
        <v>42.542499999999997</v>
      </c>
      <c r="G48" s="9">
        <f>IF($B48&gt;0,(VLOOKUP($B48,Base!$A$2:$Z$1000,6,0)*$D48)/(VLOOKUP($B48,Base!$A$2:$Z$1000,3,0)),"")</f>
        <v>16.235000000000003</v>
      </c>
      <c r="H48" s="9">
        <f>IF($B48&gt;0,(VLOOKUP($B48,Base!$A$2:$Z$1000,7,0)*$D48)/(VLOOKUP($B48,Base!$A$2:$Z$1000,3,0)),"")</f>
        <v>24.173999999999999</v>
      </c>
      <c r="I48" s="9"/>
      <c r="J48" s="9">
        <f>IF($B48&gt;0,(VLOOKUP($B48,Base!$A$2:$Z$1000,9,0)*$D48)/(VLOOKUP($B48,Base!$A$2:$Z$1000,3,0)),"")</f>
        <v>0.95200000000000007</v>
      </c>
      <c r="K48" s="9">
        <f>IF($B48&gt;0,(VLOOKUP($B48,Base!$A$2:$Z$1000,10,0)*$D48)/(VLOOKUP($B48,Base!$A$2:$Z$1000,3,0)),"")</f>
        <v>256.428</v>
      </c>
      <c r="L48" s="9"/>
      <c r="M48" s="9"/>
      <c r="N48" s="9"/>
      <c r="O48" s="9">
        <f>IF($B48&gt;0,(VLOOKUP($B48,Base!$A$2:$Z$1000,14,0)*$D48)/(VLOOKUP($B48,Base!$A$2:$Z$1000,3,0)),"")</f>
        <v>6.069</v>
      </c>
      <c r="P48" s="9"/>
    </row>
    <row r="49" spans="4:16" s="4" customFormat="1" x14ac:dyDescent="0.2">
      <c r="D49" s="15" t="s">
        <v>188</v>
      </c>
      <c r="E49" s="14">
        <f>SUM(E43:E48)/6</f>
        <v>6.206083333333333</v>
      </c>
      <c r="F49" s="14">
        <f>SUM(F43:F48)/6</f>
        <v>44.457083333333337</v>
      </c>
      <c r="G49" s="14">
        <f>SUM(G43:G48)/6</f>
        <v>21.690833333333334</v>
      </c>
      <c r="H49" s="14">
        <f>SUM(H43:H48)/5</f>
        <v>64.360799999999998</v>
      </c>
      <c r="I49" s="14">
        <f>SUM(I43:I48)</f>
        <v>78.400000000000006</v>
      </c>
      <c r="J49" s="14">
        <f>SUM(J43:J48)/5</f>
        <v>1.7624</v>
      </c>
      <c r="K49" s="14">
        <f>SUM(K43:K48)/5</f>
        <v>210.2576</v>
      </c>
      <c r="L49" s="14">
        <f>SUM(L43:L48)</f>
        <v>2.8000000000000004E-2</v>
      </c>
      <c r="M49" s="14">
        <f>SUM(M43:M48)</f>
        <v>2.1000000000000001E-2</v>
      </c>
      <c r="N49" s="14">
        <f>SUM(N43:N48)</f>
        <v>0.28000000000000003</v>
      </c>
      <c r="O49" s="14">
        <f>SUM(O43:O48)/5</f>
        <v>1.3018000000000001</v>
      </c>
      <c r="P49" s="14">
        <f>SUM(P43:P48)/6</f>
        <v>0</v>
      </c>
    </row>
  </sheetData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F39"/>
  <sheetViews>
    <sheetView topLeftCell="A7" zoomScaleNormal="100" workbookViewId="0">
      <selection activeCell="A38" sqref="A38"/>
    </sheetView>
  </sheetViews>
  <sheetFormatPr defaultRowHeight="15" x14ac:dyDescent="0.2"/>
  <cols>
    <col min="1" max="1" width="48" style="105" customWidth="1"/>
    <col min="2" max="2" width="39.140625" style="105" customWidth="1"/>
    <col min="3" max="16384" width="9.140625" style="105"/>
  </cols>
  <sheetData>
    <row r="1" spans="1:6" x14ac:dyDescent="0.2">
      <c r="A1" s="281" t="s">
        <v>391</v>
      </c>
      <c r="B1" s="281"/>
      <c r="C1" s="281"/>
      <c r="D1" s="281"/>
      <c r="E1" s="281"/>
    </row>
    <row r="2" spans="1:6" x14ac:dyDescent="0.2">
      <c r="A2" s="282"/>
      <c r="B2" s="282"/>
      <c r="C2" s="282"/>
      <c r="D2" s="282"/>
      <c r="E2" s="282"/>
    </row>
    <row r="3" spans="1:6" x14ac:dyDescent="0.2">
      <c r="A3" s="271" t="s">
        <v>217</v>
      </c>
      <c r="B3" s="272"/>
      <c r="C3" s="272"/>
      <c r="D3" s="272"/>
      <c r="E3" s="273"/>
    </row>
    <row r="4" spans="1:6" x14ac:dyDescent="0.2">
      <c r="A4" s="278"/>
      <c r="B4" s="279"/>
      <c r="C4" s="279"/>
      <c r="D4" s="279"/>
      <c r="E4" s="280"/>
      <c r="F4" s="127"/>
    </row>
    <row r="5" spans="1:6" x14ac:dyDescent="0.2">
      <c r="A5" s="274" t="s">
        <v>218</v>
      </c>
      <c r="B5" s="275"/>
      <c r="C5" s="275"/>
      <c r="D5" s="275"/>
      <c r="E5" s="276"/>
    </row>
    <row r="6" spans="1:6" x14ac:dyDescent="0.2">
      <c r="A6" s="107" t="s">
        <v>392</v>
      </c>
      <c r="B6" s="277" t="s">
        <v>393</v>
      </c>
      <c r="C6" s="277"/>
      <c r="D6" s="277"/>
      <c r="E6" s="277"/>
    </row>
    <row r="7" spans="1:6" x14ac:dyDescent="0.2">
      <c r="A7" s="108" t="s">
        <v>239</v>
      </c>
      <c r="B7" s="289"/>
      <c r="C7" s="289"/>
      <c r="D7" s="289"/>
      <c r="E7" s="289"/>
    </row>
    <row r="8" spans="1:6" ht="28.5" customHeight="1" x14ac:dyDescent="0.2">
      <c r="A8" s="108"/>
      <c r="B8" s="289"/>
      <c r="C8" s="289"/>
      <c r="D8" s="289"/>
      <c r="E8" s="289"/>
    </row>
    <row r="9" spans="1:6" x14ac:dyDescent="0.2">
      <c r="A9" s="109" t="s">
        <v>219</v>
      </c>
      <c r="B9" s="290"/>
      <c r="C9" s="290"/>
      <c r="D9" s="290"/>
      <c r="E9" s="290"/>
    </row>
    <row r="10" spans="1:6" x14ac:dyDescent="0.2">
      <c r="A10" s="110" t="s">
        <v>221</v>
      </c>
      <c r="B10" s="267"/>
      <c r="C10" s="267"/>
      <c r="D10" s="267"/>
      <c r="E10" s="267"/>
    </row>
    <row r="11" spans="1:6" x14ac:dyDescent="0.2">
      <c r="A11" s="111" t="s">
        <v>222</v>
      </c>
      <c r="B11" s="291"/>
      <c r="C11" s="291"/>
      <c r="D11" s="291"/>
      <c r="E11" s="291"/>
    </row>
    <row r="12" spans="1:6" x14ac:dyDescent="0.2">
      <c r="A12" s="112" t="s">
        <v>220</v>
      </c>
      <c r="B12" s="292"/>
      <c r="C12" s="292"/>
      <c r="D12" s="292"/>
      <c r="E12" s="293"/>
    </row>
    <row r="13" spans="1:6" x14ac:dyDescent="0.2">
      <c r="A13" s="288"/>
      <c r="B13" s="288"/>
      <c r="C13" s="288"/>
      <c r="D13" s="288"/>
      <c r="E13" s="288"/>
    </row>
    <row r="14" spans="1:6" x14ac:dyDescent="0.2">
      <c r="A14" s="288"/>
      <c r="B14" s="288"/>
      <c r="C14" s="288"/>
      <c r="D14" s="288"/>
      <c r="E14" s="288"/>
    </row>
    <row r="15" spans="1:6" x14ac:dyDescent="0.2">
      <c r="A15" s="113" t="s">
        <v>223</v>
      </c>
      <c r="B15" s="283"/>
      <c r="C15" s="283"/>
      <c r="D15" s="283"/>
      <c r="E15" s="284"/>
    </row>
    <row r="16" spans="1:6" ht="28.5" customHeight="1" x14ac:dyDescent="0.2">
      <c r="A16" s="106"/>
      <c r="B16" s="285"/>
      <c r="C16" s="285"/>
      <c r="D16" s="285"/>
      <c r="E16" s="286"/>
    </row>
    <row r="17" spans="1:5" ht="33" customHeight="1" x14ac:dyDescent="0.2">
      <c r="A17" s="120" t="s">
        <v>224</v>
      </c>
      <c r="B17" s="287"/>
      <c r="C17" s="287"/>
      <c r="D17" s="287"/>
      <c r="E17" s="287"/>
    </row>
    <row r="18" spans="1:5" x14ac:dyDescent="0.2">
      <c r="A18" s="114" t="s">
        <v>225</v>
      </c>
      <c r="B18" s="266"/>
      <c r="C18" s="266"/>
      <c r="D18" s="266"/>
      <c r="E18" s="266"/>
    </row>
    <row r="19" spans="1:5" x14ac:dyDescent="0.2">
      <c r="A19" s="110" t="s">
        <v>226</v>
      </c>
      <c r="B19" s="267"/>
      <c r="C19" s="267"/>
      <c r="D19" s="267"/>
      <c r="E19" s="267"/>
    </row>
    <row r="20" spans="1:5" x14ac:dyDescent="0.2">
      <c r="A20" s="115" t="s">
        <v>240</v>
      </c>
      <c r="B20" s="268"/>
      <c r="C20" s="268"/>
      <c r="D20" s="268"/>
      <c r="E20" s="268"/>
    </row>
    <row r="21" spans="1:5" x14ac:dyDescent="0.2">
      <c r="A21" s="115"/>
      <c r="B21" s="268"/>
      <c r="C21" s="268"/>
      <c r="D21" s="268"/>
      <c r="E21" s="268"/>
    </row>
    <row r="22" spans="1:5" x14ac:dyDescent="0.2">
      <c r="A22" s="115"/>
      <c r="B22" s="268"/>
      <c r="C22" s="268"/>
      <c r="D22" s="268"/>
      <c r="E22" s="268"/>
    </row>
    <row r="23" spans="1:5" x14ac:dyDescent="0.2">
      <c r="A23" s="115"/>
      <c r="B23" s="268"/>
      <c r="C23" s="268"/>
      <c r="D23" s="268"/>
      <c r="E23" s="268"/>
    </row>
    <row r="24" spans="1:5" x14ac:dyDescent="0.2">
      <c r="A24" s="115"/>
      <c r="B24" s="268"/>
      <c r="C24" s="268"/>
      <c r="D24" s="268"/>
      <c r="E24" s="268"/>
    </row>
    <row r="25" spans="1:5" x14ac:dyDescent="0.2">
      <c r="A25" s="116" t="s">
        <v>249</v>
      </c>
      <c r="B25" s="269"/>
      <c r="C25" s="269"/>
      <c r="D25" s="269"/>
      <c r="E25" s="269"/>
    </row>
    <row r="26" spans="1:5" x14ac:dyDescent="0.2">
      <c r="A26" s="116" t="s">
        <v>248</v>
      </c>
      <c r="B26" s="269"/>
      <c r="C26" s="269"/>
      <c r="D26" s="269"/>
      <c r="E26" s="269"/>
    </row>
    <row r="27" spans="1:5" x14ac:dyDescent="0.2">
      <c r="A27" s="116" t="s">
        <v>246</v>
      </c>
      <c r="B27" s="269"/>
      <c r="C27" s="269"/>
      <c r="D27" s="269"/>
      <c r="E27" s="269"/>
    </row>
    <row r="28" spans="1:5" x14ac:dyDescent="0.2">
      <c r="A28" s="116" t="s">
        <v>250</v>
      </c>
      <c r="B28" s="269"/>
      <c r="C28" s="269"/>
      <c r="D28" s="269"/>
      <c r="E28" s="269"/>
    </row>
    <row r="29" spans="1:5" ht="31.5" customHeight="1" x14ac:dyDescent="0.2">
      <c r="A29" s="119" t="s">
        <v>251</v>
      </c>
      <c r="B29" s="270"/>
      <c r="C29" s="270"/>
      <c r="D29" s="270"/>
      <c r="E29" s="270"/>
    </row>
    <row r="30" spans="1:5" x14ac:dyDescent="0.2">
      <c r="A30" s="117" t="s">
        <v>247</v>
      </c>
      <c r="B30" s="259"/>
      <c r="C30" s="259"/>
      <c r="D30" s="259"/>
      <c r="E30" s="259"/>
    </row>
    <row r="31" spans="1:5" ht="30" customHeight="1" x14ac:dyDescent="0.2">
      <c r="A31" s="121" t="s">
        <v>242</v>
      </c>
      <c r="B31" s="260"/>
      <c r="C31" s="260"/>
      <c r="D31" s="260"/>
      <c r="E31" s="261"/>
    </row>
    <row r="32" spans="1:5" s="118" customFormat="1" x14ac:dyDescent="0.2"/>
    <row r="33" spans="1:5" s="118" customFormat="1" x14ac:dyDescent="0.2"/>
    <row r="34" spans="1:5" s="118" customFormat="1" ht="44.25" customHeight="1" x14ac:dyDescent="0.2">
      <c r="A34" s="122" t="s">
        <v>241</v>
      </c>
      <c r="B34" s="262"/>
      <c r="C34" s="262"/>
      <c r="D34" s="262"/>
      <c r="E34" s="263"/>
    </row>
    <row r="35" spans="1:5" x14ac:dyDescent="0.2">
      <c r="A35" s="123" t="s">
        <v>245</v>
      </c>
      <c r="B35" s="264"/>
      <c r="C35" s="264"/>
      <c r="D35" s="264"/>
      <c r="E35" s="264"/>
    </row>
    <row r="36" spans="1:5" ht="26.25" customHeight="1" x14ac:dyDescent="0.2">
      <c r="A36" s="123"/>
      <c r="B36" s="264"/>
      <c r="C36" s="264"/>
      <c r="D36" s="264"/>
      <c r="E36" s="264"/>
    </row>
    <row r="37" spans="1:5" ht="41.25" customHeight="1" x14ac:dyDescent="0.2">
      <c r="A37" s="124" t="s">
        <v>243</v>
      </c>
      <c r="B37" s="265"/>
      <c r="C37" s="265"/>
      <c r="D37" s="265"/>
      <c r="E37" s="265"/>
    </row>
    <row r="38" spans="1:5" ht="41.25" customHeight="1" x14ac:dyDescent="0.2">
      <c r="A38" s="125" t="s">
        <v>244</v>
      </c>
      <c r="B38" s="255"/>
      <c r="C38" s="255"/>
      <c r="D38" s="255"/>
      <c r="E38" s="256"/>
    </row>
    <row r="39" spans="1:5" x14ac:dyDescent="0.2">
      <c r="A39" s="126"/>
      <c r="B39" s="257"/>
      <c r="C39" s="257"/>
      <c r="D39" s="257"/>
      <c r="E39" s="258"/>
    </row>
  </sheetData>
  <mergeCells count="25">
    <mergeCell ref="B15:E16"/>
    <mergeCell ref="B17:E17"/>
    <mergeCell ref="A13:E14"/>
    <mergeCell ref="B7:E7"/>
    <mergeCell ref="B8:E8"/>
    <mergeCell ref="B9:E9"/>
    <mergeCell ref="B10:E10"/>
    <mergeCell ref="B11:E11"/>
    <mergeCell ref="B12:E12"/>
    <mergeCell ref="A3:E3"/>
    <mergeCell ref="A5:E5"/>
    <mergeCell ref="B6:E6"/>
    <mergeCell ref="A4:E4"/>
    <mergeCell ref="A1:E2"/>
    <mergeCell ref="B18:E18"/>
    <mergeCell ref="B19:E19"/>
    <mergeCell ref="B20:E24"/>
    <mergeCell ref="B25:E28"/>
    <mergeCell ref="B29:E29"/>
    <mergeCell ref="B38:E39"/>
    <mergeCell ref="B30:E30"/>
    <mergeCell ref="B31:E31"/>
    <mergeCell ref="B34:E34"/>
    <mergeCell ref="B35:E36"/>
    <mergeCell ref="B37:E37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F33"/>
  <sheetViews>
    <sheetView topLeftCell="A10" workbookViewId="0">
      <selection activeCell="D43" sqref="D43"/>
    </sheetView>
  </sheetViews>
  <sheetFormatPr defaultRowHeight="15" x14ac:dyDescent="0.2"/>
  <cols>
    <col min="1" max="1" width="28" style="105" customWidth="1"/>
    <col min="2" max="2" width="18" style="168" customWidth="1"/>
    <col min="3" max="3" width="5.85546875" style="169" customWidth="1"/>
    <col min="4" max="4" width="21.28515625" style="105" customWidth="1"/>
    <col min="5" max="5" width="7.42578125" style="169" customWidth="1"/>
    <col min="6" max="6" width="21.42578125" style="168" customWidth="1"/>
    <col min="7" max="16384" width="9.140625" style="105"/>
  </cols>
  <sheetData>
    <row r="1" spans="1:6" ht="12.75" customHeight="1" x14ac:dyDescent="0.2">
      <c r="A1" s="281" t="s">
        <v>391</v>
      </c>
      <c r="B1" s="281"/>
      <c r="C1" s="281"/>
      <c r="D1" s="281"/>
      <c r="E1" s="281"/>
      <c r="F1" s="281"/>
    </row>
    <row r="2" spans="1:6" ht="12.75" customHeight="1" x14ac:dyDescent="0.2">
      <c r="A2" s="282"/>
      <c r="B2" s="282"/>
      <c r="C2" s="282"/>
      <c r="D2" s="282"/>
      <c r="E2" s="282"/>
      <c r="F2" s="282"/>
    </row>
    <row r="3" spans="1:6" x14ac:dyDescent="0.2">
      <c r="A3" s="295" t="s">
        <v>394</v>
      </c>
      <c r="B3" s="296"/>
      <c r="C3" s="296"/>
      <c r="D3" s="296"/>
      <c r="E3" s="296"/>
      <c r="F3" s="297"/>
    </row>
    <row r="4" spans="1:6" x14ac:dyDescent="0.2">
      <c r="A4" s="294" t="s">
        <v>404</v>
      </c>
      <c r="B4" s="294"/>
      <c r="C4" s="294"/>
      <c r="D4" s="294"/>
      <c r="E4" s="294"/>
      <c r="F4" s="294"/>
    </row>
    <row r="5" spans="1:6" x14ac:dyDescent="0.2">
      <c r="A5" s="135" t="s">
        <v>227</v>
      </c>
      <c r="B5" s="136"/>
      <c r="C5" s="137" t="s">
        <v>363</v>
      </c>
      <c r="D5" s="136"/>
      <c r="E5" s="137" t="s">
        <v>362</v>
      </c>
      <c r="F5" s="138"/>
    </row>
    <row r="6" spans="1:6" x14ac:dyDescent="0.2">
      <c r="A6" s="139" t="s">
        <v>228</v>
      </c>
      <c r="B6" s="133"/>
      <c r="C6" s="140"/>
      <c r="D6" s="141"/>
      <c r="E6" s="140"/>
      <c r="F6" s="134"/>
    </row>
    <row r="7" spans="1:6" x14ac:dyDescent="0.2">
      <c r="A7" s="142" t="s">
        <v>33</v>
      </c>
      <c r="B7" s="143"/>
      <c r="C7" s="144"/>
      <c r="D7" s="145"/>
      <c r="E7" s="143"/>
      <c r="F7" s="129"/>
    </row>
    <row r="8" spans="1:6" x14ac:dyDescent="0.2">
      <c r="A8" s="146" t="s">
        <v>229</v>
      </c>
      <c r="B8" s="147"/>
      <c r="C8" s="148"/>
      <c r="D8" s="149"/>
      <c r="E8" s="147"/>
      <c r="F8" s="130"/>
    </row>
    <row r="9" spans="1:6" x14ac:dyDescent="0.2">
      <c r="A9" s="150" t="s">
        <v>230</v>
      </c>
      <c r="B9" s="151"/>
      <c r="C9" s="152"/>
      <c r="D9" s="153"/>
      <c r="E9" s="151"/>
      <c r="F9" s="131"/>
    </row>
    <row r="10" spans="1:6" x14ac:dyDescent="0.2">
      <c r="A10" s="154" t="s">
        <v>231</v>
      </c>
      <c r="B10" s="155"/>
      <c r="C10" s="156"/>
      <c r="D10" s="157"/>
      <c r="E10" s="155"/>
      <c r="F10" s="132"/>
    </row>
    <row r="11" spans="1:6" x14ac:dyDescent="0.2">
      <c r="A11" s="158" t="s">
        <v>232</v>
      </c>
      <c r="B11" s="159"/>
      <c r="C11" s="160"/>
      <c r="D11" s="161"/>
      <c r="E11" s="159"/>
      <c r="F11" s="162"/>
    </row>
    <row r="12" spans="1:6" x14ac:dyDescent="0.2">
      <c r="A12" s="163" t="s">
        <v>233</v>
      </c>
      <c r="B12" s="312"/>
      <c r="C12" s="312"/>
      <c r="D12" s="164"/>
      <c r="E12" s="165"/>
      <c r="F12" s="166"/>
    </row>
    <row r="13" spans="1:6" x14ac:dyDescent="0.2">
      <c r="A13" s="146" t="s">
        <v>234</v>
      </c>
      <c r="B13" s="147"/>
      <c r="C13" s="149"/>
      <c r="D13" s="149"/>
      <c r="E13" s="147"/>
      <c r="F13" s="130"/>
    </row>
    <row r="14" spans="1:6" x14ac:dyDescent="0.2">
      <c r="A14" s="167" t="s">
        <v>235</v>
      </c>
      <c r="B14" s="315"/>
      <c r="C14" s="315"/>
      <c r="D14" s="315"/>
      <c r="E14" s="315"/>
      <c r="F14" s="316"/>
    </row>
    <row r="15" spans="1:6" x14ac:dyDescent="0.2">
      <c r="A15" s="313" t="s">
        <v>399</v>
      </c>
      <c r="B15" s="313"/>
      <c r="C15" s="313"/>
      <c r="D15" s="313"/>
      <c r="E15" s="313"/>
      <c r="F15" s="313"/>
    </row>
    <row r="16" spans="1:6" x14ac:dyDescent="0.2">
      <c r="A16" s="314"/>
      <c r="B16" s="314"/>
      <c r="C16" s="314"/>
      <c r="D16" s="314"/>
      <c r="E16" s="314"/>
      <c r="F16" s="314"/>
    </row>
    <row r="17" spans="1:6" x14ac:dyDescent="0.2">
      <c r="A17" s="301" t="s">
        <v>400</v>
      </c>
      <c r="B17" s="294"/>
      <c r="C17" s="294"/>
      <c r="D17" s="294"/>
      <c r="E17" s="294"/>
      <c r="F17" s="302"/>
    </row>
    <row r="18" spans="1:6" x14ac:dyDescent="0.2">
      <c r="A18" s="303" t="s">
        <v>395</v>
      </c>
      <c r="B18" s="304"/>
      <c r="C18" s="304"/>
      <c r="D18" s="304"/>
      <c r="E18" s="304"/>
      <c r="F18" s="305"/>
    </row>
    <row r="19" spans="1:6" x14ac:dyDescent="0.2">
      <c r="A19" s="306" t="s">
        <v>396</v>
      </c>
      <c r="B19" s="307"/>
      <c r="C19" s="307"/>
      <c r="D19" s="307"/>
      <c r="E19" s="307"/>
      <c r="F19" s="308"/>
    </row>
    <row r="20" spans="1:6" x14ac:dyDescent="0.2">
      <c r="A20" s="309" t="s">
        <v>397</v>
      </c>
      <c r="B20" s="310"/>
      <c r="C20" s="310"/>
      <c r="D20" s="310"/>
      <c r="E20" s="310"/>
      <c r="F20" s="311"/>
    </row>
    <row r="21" spans="1:6" x14ac:dyDescent="0.2">
      <c r="A21" s="318" t="s">
        <v>398</v>
      </c>
      <c r="B21" s="319"/>
      <c r="C21" s="319"/>
      <c r="D21" s="319"/>
      <c r="E21" s="319"/>
      <c r="F21" s="320"/>
    </row>
    <row r="22" spans="1:6" x14ac:dyDescent="0.2">
      <c r="A22" s="313" t="s">
        <v>399</v>
      </c>
      <c r="B22" s="313"/>
      <c r="C22" s="313"/>
      <c r="D22" s="313"/>
      <c r="E22" s="313"/>
      <c r="F22" s="313"/>
    </row>
    <row r="23" spans="1:6" ht="18" customHeight="1" x14ac:dyDescent="0.2">
      <c r="A23" s="314"/>
      <c r="B23" s="314"/>
      <c r="C23" s="314"/>
      <c r="D23" s="314"/>
      <c r="E23" s="314"/>
      <c r="F23" s="314"/>
    </row>
    <row r="24" spans="1:6" x14ac:dyDescent="0.2">
      <c r="A24" s="301" t="s">
        <v>401</v>
      </c>
      <c r="B24" s="294"/>
      <c r="C24" s="294"/>
      <c r="D24" s="294"/>
      <c r="E24" s="294"/>
      <c r="F24" s="302"/>
    </row>
    <row r="25" spans="1:6" x14ac:dyDescent="0.2">
      <c r="A25" s="303" t="s">
        <v>395</v>
      </c>
      <c r="B25" s="304"/>
      <c r="C25" s="304"/>
      <c r="D25" s="304"/>
      <c r="E25" s="304"/>
      <c r="F25" s="305"/>
    </row>
    <row r="26" spans="1:6" x14ac:dyDescent="0.2">
      <c r="A26" s="306" t="s">
        <v>396</v>
      </c>
      <c r="B26" s="307"/>
      <c r="C26" s="307"/>
      <c r="D26" s="307"/>
      <c r="E26" s="307"/>
      <c r="F26" s="308"/>
    </row>
    <row r="27" spans="1:6" x14ac:dyDescent="0.2">
      <c r="A27" s="298" t="s">
        <v>398</v>
      </c>
      <c r="B27" s="299"/>
      <c r="C27" s="299"/>
      <c r="D27" s="299"/>
      <c r="E27" s="299"/>
      <c r="F27" s="300"/>
    </row>
    <row r="28" spans="1:6" x14ac:dyDescent="0.2">
      <c r="A28" s="313" t="s">
        <v>402</v>
      </c>
      <c r="B28" s="313"/>
      <c r="C28" s="313"/>
      <c r="D28" s="313"/>
      <c r="E28" s="313"/>
      <c r="F28" s="313"/>
    </row>
    <row r="29" spans="1:6" x14ac:dyDescent="0.2">
      <c r="A29" s="317"/>
      <c r="B29" s="317"/>
      <c r="C29" s="317"/>
      <c r="D29" s="317"/>
      <c r="E29" s="317"/>
      <c r="F29" s="317"/>
    </row>
    <row r="30" spans="1:6" ht="18" customHeight="1" x14ac:dyDescent="0.2">
      <c r="A30" s="314"/>
      <c r="B30" s="314"/>
      <c r="C30" s="314"/>
      <c r="D30" s="314"/>
      <c r="E30" s="314"/>
      <c r="F30" s="314"/>
    </row>
    <row r="31" spans="1:6" x14ac:dyDescent="0.2">
      <c r="A31" s="301" t="s">
        <v>403</v>
      </c>
      <c r="B31" s="294"/>
      <c r="C31" s="294"/>
      <c r="D31" s="294"/>
      <c r="E31" s="294"/>
      <c r="F31" s="302"/>
    </row>
    <row r="32" spans="1:6" x14ac:dyDescent="0.2">
      <c r="A32" s="303" t="s">
        <v>395</v>
      </c>
      <c r="B32" s="304"/>
      <c r="C32" s="304"/>
      <c r="D32" s="304"/>
      <c r="E32" s="304"/>
      <c r="F32" s="305"/>
    </row>
    <row r="33" spans="1:6" x14ac:dyDescent="0.2">
      <c r="A33" s="298" t="s">
        <v>398</v>
      </c>
      <c r="B33" s="299"/>
      <c r="C33" s="299"/>
      <c r="D33" s="299"/>
      <c r="E33" s="299"/>
      <c r="F33" s="300"/>
    </row>
  </sheetData>
  <mergeCells count="20">
    <mergeCell ref="A32:F32"/>
    <mergeCell ref="A33:F33"/>
    <mergeCell ref="A28:F30"/>
    <mergeCell ref="A21:F21"/>
    <mergeCell ref="A24:F24"/>
    <mergeCell ref="A25:F25"/>
    <mergeCell ref="A26:F26"/>
    <mergeCell ref="A22:F23"/>
    <mergeCell ref="A4:F4"/>
    <mergeCell ref="A3:F3"/>
    <mergeCell ref="A1:F2"/>
    <mergeCell ref="A27:F27"/>
    <mergeCell ref="A31:F31"/>
    <mergeCell ref="A17:F17"/>
    <mergeCell ref="A18:F18"/>
    <mergeCell ref="A19:F19"/>
    <mergeCell ref="A20:F20"/>
    <mergeCell ref="B12:C12"/>
    <mergeCell ref="A15:F16"/>
    <mergeCell ref="B14:F14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I42"/>
  <sheetViews>
    <sheetView workbookViewId="0">
      <selection activeCell="D21" sqref="D21"/>
    </sheetView>
  </sheetViews>
  <sheetFormatPr defaultRowHeight="12.75" x14ac:dyDescent="0.2"/>
  <cols>
    <col min="1" max="1" width="12.140625" customWidth="1"/>
    <col min="2" max="2" width="40" customWidth="1"/>
    <col min="3" max="5" width="17.140625" bestFit="1" customWidth="1"/>
  </cols>
  <sheetData>
    <row r="1" spans="1:9" ht="15" x14ac:dyDescent="0.2">
      <c r="A1" s="314" t="s">
        <v>391</v>
      </c>
      <c r="B1" s="314"/>
      <c r="C1" s="314"/>
      <c r="D1" s="314"/>
      <c r="E1" s="314"/>
    </row>
    <row r="2" spans="1:9" s="69" customFormat="1" ht="18" x14ac:dyDescent="0.25">
      <c r="A2" s="321" t="s">
        <v>236</v>
      </c>
      <c r="B2" s="321"/>
      <c r="C2" s="321"/>
      <c r="D2" s="321"/>
      <c r="E2" s="321"/>
      <c r="F2" s="104"/>
      <c r="G2" s="104"/>
      <c r="H2" s="104"/>
      <c r="I2" s="104"/>
    </row>
    <row r="3" spans="1:9" s="69" customFormat="1" ht="18" x14ac:dyDescent="0.25">
      <c r="A3" s="217" t="s">
        <v>405</v>
      </c>
      <c r="B3" s="215" t="s">
        <v>237</v>
      </c>
      <c r="C3" s="216" t="s">
        <v>406</v>
      </c>
      <c r="D3" s="216" t="s">
        <v>407</v>
      </c>
      <c r="E3" s="216" t="s">
        <v>408</v>
      </c>
    </row>
    <row r="4" spans="1:9" s="69" customFormat="1" ht="18" x14ac:dyDescent="0.25">
      <c r="A4" s="170"/>
      <c r="B4" s="171"/>
      <c r="C4" s="172"/>
      <c r="D4" s="172"/>
      <c r="E4" s="172"/>
    </row>
    <row r="5" spans="1:9" s="69" customFormat="1" ht="18" x14ac:dyDescent="0.25">
      <c r="A5" s="173"/>
      <c r="B5" s="174"/>
      <c r="C5" s="175"/>
      <c r="D5" s="175"/>
      <c r="E5" s="175"/>
    </row>
    <row r="6" spans="1:9" s="69" customFormat="1" ht="18" x14ac:dyDescent="0.25">
      <c r="A6" s="176"/>
      <c r="B6" s="177"/>
      <c r="C6" s="178"/>
      <c r="D6" s="178"/>
      <c r="E6" s="178"/>
    </row>
    <row r="7" spans="1:9" s="69" customFormat="1" ht="18" x14ac:dyDescent="0.25">
      <c r="A7" s="179"/>
      <c r="B7" s="180"/>
      <c r="C7" s="181"/>
      <c r="D7" s="181"/>
      <c r="E7" s="181"/>
    </row>
    <row r="8" spans="1:9" s="69" customFormat="1" ht="18" x14ac:dyDescent="0.25">
      <c r="A8" s="182"/>
      <c r="B8" s="183"/>
      <c r="C8" s="184"/>
      <c r="D8" s="184"/>
      <c r="E8" s="184"/>
    </row>
    <row r="9" spans="1:9" s="69" customFormat="1" ht="18" x14ac:dyDescent="0.25">
      <c r="A9" s="185"/>
      <c r="B9" s="186"/>
      <c r="C9" s="187"/>
      <c r="D9" s="187"/>
      <c r="E9" s="187"/>
    </row>
    <row r="10" spans="1:9" s="69" customFormat="1" ht="18" x14ac:dyDescent="0.25">
      <c r="A10" s="188"/>
      <c r="B10" s="189"/>
      <c r="C10" s="190"/>
      <c r="D10" s="190"/>
      <c r="E10" s="190"/>
    </row>
    <row r="11" spans="1:9" s="69" customFormat="1" ht="18" x14ac:dyDescent="0.25">
      <c r="A11" s="173"/>
      <c r="B11" s="174"/>
      <c r="C11" s="175"/>
      <c r="D11" s="175"/>
      <c r="E11" s="175"/>
    </row>
    <row r="12" spans="1:9" s="69" customFormat="1" ht="18" x14ac:dyDescent="0.25">
      <c r="A12" s="182"/>
      <c r="B12" s="183"/>
      <c r="C12" s="184"/>
      <c r="D12" s="184"/>
      <c r="E12" s="184"/>
    </row>
    <row r="13" spans="1:9" s="69" customFormat="1" ht="18" x14ac:dyDescent="0.25">
      <c r="A13" s="176"/>
      <c r="B13" s="177"/>
      <c r="C13" s="178"/>
      <c r="D13" s="178"/>
      <c r="E13" s="178"/>
    </row>
    <row r="14" spans="1:9" s="69" customFormat="1" ht="18" x14ac:dyDescent="0.25">
      <c r="A14" s="179"/>
      <c r="B14" s="180"/>
      <c r="C14" s="181"/>
      <c r="D14" s="181"/>
      <c r="E14" s="181"/>
    </row>
    <row r="15" spans="1:9" s="69" customFormat="1" ht="18" x14ac:dyDescent="0.25">
      <c r="A15" s="191"/>
      <c r="B15" s="192"/>
      <c r="C15" s="193"/>
      <c r="D15" s="193"/>
      <c r="E15" s="193"/>
    </row>
    <row r="16" spans="1:9" s="69" customFormat="1" ht="18" x14ac:dyDescent="0.25">
      <c r="A16" s="182"/>
      <c r="B16" s="183"/>
      <c r="C16" s="184"/>
      <c r="D16" s="184"/>
      <c r="E16" s="184"/>
    </row>
    <row r="17" spans="1:5" s="69" customFormat="1" ht="18" x14ac:dyDescent="0.25">
      <c r="A17" s="194"/>
      <c r="B17" s="195"/>
      <c r="C17" s="196"/>
      <c r="D17" s="196"/>
      <c r="E17" s="196"/>
    </row>
    <row r="18" spans="1:5" s="69" customFormat="1" ht="18" x14ac:dyDescent="0.25">
      <c r="A18" s="197"/>
      <c r="B18" s="198"/>
      <c r="C18" s="199"/>
      <c r="D18" s="199"/>
      <c r="E18" s="199"/>
    </row>
    <row r="19" spans="1:5" s="69" customFormat="1" ht="18" x14ac:dyDescent="0.25">
      <c r="A19" s="200"/>
      <c r="B19" s="201"/>
      <c r="C19" s="202"/>
      <c r="D19" s="202"/>
      <c r="E19" s="202"/>
    </row>
    <row r="20" spans="1:5" s="69" customFormat="1" ht="18" x14ac:dyDescent="0.25">
      <c r="A20" s="179"/>
      <c r="B20" s="180"/>
      <c r="C20" s="181"/>
      <c r="D20" s="181"/>
      <c r="E20" s="181"/>
    </row>
    <row r="21" spans="1:5" s="69" customFormat="1" ht="18" x14ac:dyDescent="0.25">
      <c r="A21" s="203"/>
      <c r="B21" s="204"/>
      <c r="C21" s="205"/>
      <c r="D21" s="205"/>
      <c r="E21" s="205"/>
    </row>
    <row r="22" spans="1:5" s="69" customFormat="1" ht="18" x14ac:dyDescent="0.25">
      <c r="A22" s="191"/>
      <c r="B22" s="192"/>
      <c r="C22" s="193"/>
      <c r="D22" s="193"/>
      <c r="E22" s="193"/>
    </row>
    <row r="23" spans="1:5" s="69" customFormat="1" ht="18" x14ac:dyDescent="0.25">
      <c r="A23" s="206"/>
      <c r="B23" s="207"/>
      <c r="C23" s="208"/>
      <c r="D23" s="208"/>
      <c r="E23" s="208"/>
    </row>
    <row r="24" spans="1:5" s="69" customFormat="1" ht="18" x14ac:dyDescent="0.25">
      <c r="A24" s="209"/>
      <c r="B24" s="210"/>
      <c r="C24" s="211"/>
      <c r="D24" s="211"/>
      <c r="E24" s="211"/>
    </row>
    <row r="25" spans="1:5" s="69" customFormat="1" ht="18" x14ac:dyDescent="0.25">
      <c r="A25" s="170"/>
      <c r="B25" s="171"/>
      <c r="C25" s="172"/>
      <c r="D25" s="172"/>
      <c r="E25" s="172"/>
    </row>
    <row r="26" spans="1:5" s="69" customFormat="1" ht="18" x14ac:dyDescent="0.25">
      <c r="A26" s="173"/>
      <c r="B26" s="174"/>
      <c r="C26" s="175"/>
      <c r="D26" s="175"/>
      <c r="E26" s="175"/>
    </row>
    <row r="27" spans="1:5" s="69" customFormat="1" ht="18" x14ac:dyDescent="0.25">
      <c r="A27" s="185"/>
      <c r="B27" s="186"/>
      <c r="C27" s="187"/>
      <c r="D27" s="187"/>
      <c r="E27" s="187"/>
    </row>
    <row r="28" spans="1:5" s="69" customFormat="1" ht="18" x14ac:dyDescent="0.25">
      <c r="A28" s="188"/>
      <c r="B28" s="189"/>
      <c r="C28" s="190"/>
      <c r="D28" s="190"/>
      <c r="E28" s="190"/>
    </row>
    <row r="29" spans="1:5" s="69" customFormat="1" ht="18" x14ac:dyDescent="0.25">
      <c r="A29" s="173"/>
      <c r="B29" s="174"/>
      <c r="C29" s="175"/>
      <c r="D29" s="175"/>
      <c r="E29" s="175"/>
    </row>
    <row r="30" spans="1:5" s="69" customFormat="1" ht="18" x14ac:dyDescent="0.25">
      <c r="A30" s="182"/>
      <c r="B30" s="183"/>
      <c r="C30" s="184"/>
      <c r="D30" s="184"/>
      <c r="E30" s="184"/>
    </row>
    <row r="31" spans="1:5" ht="15" x14ac:dyDescent="0.2">
      <c r="A31" s="176"/>
      <c r="B31" s="177"/>
      <c r="C31" s="178"/>
      <c r="D31" s="178"/>
      <c r="E31" s="178"/>
    </row>
    <row r="32" spans="1:5" ht="15" x14ac:dyDescent="0.2">
      <c r="A32" s="179"/>
      <c r="B32" s="180"/>
      <c r="C32" s="181"/>
      <c r="D32" s="181"/>
      <c r="E32" s="181"/>
    </row>
    <row r="33" spans="1:5" ht="15" x14ac:dyDescent="0.2">
      <c r="A33" s="191"/>
      <c r="B33" s="192"/>
      <c r="C33" s="193"/>
      <c r="D33" s="193"/>
      <c r="E33" s="193"/>
    </row>
    <row r="34" spans="1:5" ht="15" x14ac:dyDescent="0.2">
      <c r="A34" s="182"/>
      <c r="B34" s="183"/>
      <c r="C34" s="184"/>
      <c r="D34" s="184"/>
      <c r="E34" s="184"/>
    </row>
    <row r="35" spans="1:5" ht="15" x14ac:dyDescent="0.2">
      <c r="A35" s="194"/>
      <c r="B35" s="195"/>
      <c r="C35" s="196"/>
      <c r="D35" s="196"/>
      <c r="E35" s="196"/>
    </row>
    <row r="36" spans="1:5" ht="15" x14ac:dyDescent="0.2">
      <c r="A36" s="197"/>
      <c r="B36" s="198"/>
      <c r="C36" s="199"/>
      <c r="D36" s="199"/>
      <c r="E36" s="199"/>
    </row>
    <row r="37" spans="1:5" ht="15" x14ac:dyDescent="0.2">
      <c r="A37" s="200"/>
      <c r="B37" s="201"/>
      <c r="C37" s="202"/>
      <c r="D37" s="202"/>
      <c r="E37" s="202"/>
    </row>
    <row r="38" spans="1:5" ht="15" x14ac:dyDescent="0.2">
      <c r="A38" s="179"/>
      <c r="B38" s="180"/>
      <c r="C38" s="181"/>
      <c r="D38" s="181"/>
      <c r="E38" s="181"/>
    </row>
    <row r="39" spans="1:5" ht="15" x14ac:dyDescent="0.2">
      <c r="A39" s="203"/>
      <c r="B39" s="204"/>
      <c r="C39" s="205"/>
      <c r="D39" s="205"/>
      <c r="E39" s="205"/>
    </row>
    <row r="40" spans="1:5" ht="15" x14ac:dyDescent="0.2">
      <c r="A40" s="191"/>
      <c r="B40" s="192"/>
      <c r="C40" s="193"/>
      <c r="D40" s="193"/>
      <c r="E40" s="193"/>
    </row>
    <row r="41" spans="1:5" ht="15" x14ac:dyDescent="0.2">
      <c r="A41" s="206"/>
      <c r="B41" s="207"/>
      <c r="C41" s="208"/>
      <c r="D41" s="208"/>
      <c r="E41" s="208"/>
    </row>
    <row r="42" spans="1:5" ht="15.75" thickBot="1" x14ac:dyDescent="0.25">
      <c r="A42" s="212"/>
      <c r="B42" s="213"/>
      <c r="C42" s="214"/>
      <c r="D42" s="214"/>
      <c r="E42" s="214"/>
    </row>
  </sheetData>
  <mergeCells count="2">
    <mergeCell ref="A2:E2"/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>
    <pageSetUpPr fitToPage="1"/>
  </sheetPr>
  <dimension ref="B1:AH138"/>
  <sheetViews>
    <sheetView showGridLines="0" tabSelected="1" zoomScale="115" zoomScaleNormal="115" workbookViewId="0">
      <selection activeCell="H38" sqref="H38"/>
    </sheetView>
  </sheetViews>
  <sheetFormatPr defaultRowHeight="15.95" customHeight="1" x14ac:dyDescent="0.2"/>
  <cols>
    <col min="1" max="1" width="2.42578125" style="4" customWidth="1"/>
    <col min="2" max="2" width="15.5703125" style="4" customWidth="1"/>
    <col min="3" max="3" width="12.85546875" style="4" bestFit="1" customWidth="1"/>
    <col min="4" max="4" width="10.5703125" style="4" customWidth="1"/>
    <col min="5" max="5" width="14" style="4" bestFit="1" customWidth="1"/>
    <col min="6" max="6" width="9.85546875" style="4" customWidth="1"/>
    <col min="7" max="7" width="7.85546875" style="4" customWidth="1"/>
    <col min="8" max="8" width="6" style="4" customWidth="1"/>
    <col min="9" max="10" width="1.85546875" style="4" customWidth="1"/>
    <col min="11" max="11" width="20.140625" style="4" customWidth="1"/>
    <col min="12" max="12" width="8.42578125" style="4" customWidth="1"/>
    <col min="13" max="13" width="11.7109375" style="4" customWidth="1"/>
    <col min="14" max="14" width="8.5703125" style="4" bestFit="1" customWidth="1"/>
    <col min="15" max="15" width="10.140625" style="4" customWidth="1"/>
    <col min="16" max="16" width="4.7109375" style="4" bestFit="1" customWidth="1"/>
    <col min="17" max="17" width="7.140625" style="25" customWidth="1"/>
    <col min="18" max="18" width="4.7109375" style="4" customWidth="1"/>
    <col min="19" max="19" width="3.7109375" style="4" customWidth="1"/>
    <col min="20" max="20" width="5" style="4" bestFit="1" customWidth="1"/>
    <col min="21" max="21" width="20.85546875" style="22" bestFit="1" customWidth="1"/>
    <col min="22" max="16384" width="9.140625" style="4"/>
  </cols>
  <sheetData>
    <row r="1" spans="2:34" ht="15.95" customHeight="1" thickBot="1" x14ac:dyDescent="0.25"/>
    <row r="2" spans="2:34" ht="15.95" customHeight="1" x14ac:dyDescent="0.2">
      <c r="B2" s="28" t="s">
        <v>20</v>
      </c>
      <c r="C2" s="29"/>
      <c r="D2" s="29"/>
      <c r="E2" s="29"/>
      <c r="F2" s="29"/>
      <c r="G2" s="29"/>
      <c r="H2" s="4" t="s">
        <v>30</v>
      </c>
      <c r="I2" s="29"/>
      <c r="J2" s="29"/>
      <c r="K2" s="29"/>
      <c r="L2" s="29"/>
      <c r="M2" s="29"/>
      <c r="N2" s="29"/>
      <c r="O2" s="29"/>
      <c r="P2" s="29"/>
      <c r="Q2" s="51"/>
      <c r="R2" s="30"/>
      <c r="T2" s="42" t="s">
        <v>0</v>
      </c>
      <c r="U2" s="48" t="s">
        <v>1</v>
      </c>
      <c r="V2" s="29" t="s">
        <v>19</v>
      </c>
      <c r="W2" s="29" t="s">
        <v>16</v>
      </c>
      <c r="X2" s="29" t="s">
        <v>17</v>
      </c>
      <c r="Y2" s="29" t="s">
        <v>7</v>
      </c>
      <c r="Z2" s="29" t="s">
        <v>11</v>
      </c>
      <c r="AA2" s="29" t="s">
        <v>12</v>
      </c>
      <c r="AB2" s="29" t="s">
        <v>13</v>
      </c>
      <c r="AC2" s="29" t="s">
        <v>15</v>
      </c>
      <c r="AD2" s="29" t="s">
        <v>8</v>
      </c>
      <c r="AE2" s="29" t="s">
        <v>9</v>
      </c>
      <c r="AF2" s="29" t="s">
        <v>10</v>
      </c>
      <c r="AG2" s="29" t="s">
        <v>18</v>
      </c>
      <c r="AH2" s="30" t="s">
        <v>3</v>
      </c>
    </row>
    <row r="3" spans="2:34" ht="15.95" customHeight="1" thickBot="1" x14ac:dyDescent="0.25">
      <c r="B3" s="37"/>
      <c r="C3" s="38"/>
      <c r="D3" s="38"/>
      <c r="E3" s="38"/>
      <c r="F3" s="38"/>
      <c r="G3" s="38"/>
      <c r="H3" s="38"/>
      <c r="I3" s="38"/>
      <c r="J3" s="38"/>
      <c r="O3" s="4" t="str">
        <f>UPPER(Q3)</f>
        <v/>
      </c>
      <c r="R3" s="32"/>
      <c r="T3" s="43">
        <v>139</v>
      </c>
      <c r="U3" s="22" t="str">
        <f>IF($T3&gt;0,(UPPER(VLOOKUP($T3,Base!$A$2:$Z$1000,2,0))),"")</f>
        <v>CARNES</v>
      </c>
      <c r="V3" s="50">
        <v>150</v>
      </c>
      <c r="W3" s="12">
        <f>IF($T3&gt;0,(VLOOKUP($T3,Base!$A$2:$Z$1000,4,0)*$V3)/(VLOOKUP($T3,Base!$A$2:$Z$1000,3,0)),"")</f>
        <v>28.755000000000006</v>
      </c>
      <c r="X3" s="12">
        <f>IF($T3&gt;0,(VLOOKUP($T3,Base!$A$2:$Z$1000,5,0)*$V3)/(VLOOKUP($T3,Base!$A$2:$Z$1000,3,0)),"")</f>
        <v>0.33</v>
      </c>
      <c r="Y3" s="12">
        <f>IF($T3&gt;0,(VLOOKUP($T3,Base!$A$2:$Z$1000,6,0)*$V3)/(VLOOKUP($T3,Base!$A$2:$Z$1000,3,0)),"")</f>
        <v>18.809999999999999</v>
      </c>
      <c r="Z3" s="12">
        <f>IF($T3&gt;0,(VLOOKUP($T3,Base!$A$2:$Z$1000,7,0)*$V3)/(VLOOKUP($T3,Base!$A$2:$Z$1000,3,0)),"")</f>
        <v>24.3</v>
      </c>
      <c r="AA3" s="12">
        <f>IF($T3&gt;0,(VLOOKUP($T3,Base!$A$2:$Z$1000,8,0)*$V3)/(VLOOKUP($T3,Base!$A$2:$Z$1000,3,0)),"")</f>
        <v>299.39999999999998</v>
      </c>
      <c r="AB3" s="12">
        <f>IF($T3&gt;0,(VLOOKUP($T3,Base!$A$2:$Z$1000,9,0)*$V3)/(VLOOKUP($T3,Base!$A$2:$Z$1000,3,0)),"")</f>
        <v>3.87</v>
      </c>
      <c r="AC3" s="12">
        <f>IF($T3&gt;0,(VLOOKUP($T3,Base!$A$2:$Z$1000,10,0)*$V3)/(VLOOKUP($T3,Base!$A$2:$Z$1000,3,0)),"")</f>
        <v>261.33</v>
      </c>
      <c r="AD3" s="12">
        <f>IF($T3&gt;0,(VLOOKUP($T3,Base!$A$2:$Z$1000,11,0)*$V3)/(VLOOKUP($T3,Base!$A$2:$Z$1000,3,0)),"")</f>
        <v>0.22500000000000001</v>
      </c>
      <c r="AE3" s="12">
        <f>IF($T3&gt;0,(VLOOKUP($T3,Base!$A$2:$Z$1000,12,0)*$V3)/(VLOOKUP($T3,Base!$A$2:$Z$1000,3,0)),"")</f>
        <v>0.36</v>
      </c>
      <c r="AF3" s="12">
        <f>IF($T3&gt;0,(VLOOKUP($T3,Base!$A$2:$Z$1000,13,0)*$V3)/(VLOOKUP($T3,Base!$A$2:$Z$1000,3,0)),"")</f>
        <v>8.4</v>
      </c>
      <c r="AG3" s="12">
        <f>IF($T3&gt;0,(VLOOKUP($T3,Base!$A$2:$Z$1000,14,0)*$V3)/(VLOOKUP($T3,Base!$A$2:$Z$1000,3,0)),"")</f>
        <v>0.75</v>
      </c>
      <c r="AH3" s="44">
        <f>IF($T3&gt;0,(VLOOKUP($T3,Base!$A$2:$Z$1000,15,0)*$V3)/(VLOOKUP($T3,Base!$A$2:$Z$1000,3,0)),"")</f>
        <v>0</v>
      </c>
    </row>
    <row r="4" spans="2:34" ht="15.95" hidden="1" customHeight="1" x14ac:dyDescent="0.2">
      <c r="B4" s="39" t="e">
        <f>IF($F$4=1,VLOOKUP($E$4,#REF!,2,0),VLOOKUP($E$4,#REF!,3,0))</f>
        <v>#REF!</v>
      </c>
      <c r="C4" s="40" t="e">
        <f>IF($F$4=1,VLOOKUP($E$4,#REF!,2,0),VLOOKUP($E$4,#REF!,3,0))</f>
        <v>#REF!</v>
      </c>
      <c r="D4" s="40" t="e">
        <f>IF($F$4=1,IF($G$4=1,#REF!,IF($G$4=2,#REF!,#REF!)),IF(G4=1,#REF!,IF($G$4=2,#REF!,#REF!)))</f>
        <v>#REF!</v>
      </c>
      <c r="E4" s="40" t="str">
        <f>IF(H8&lt;30,IF(H8&gt;=18,"a"),"b")</f>
        <v>b</v>
      </c>
      <c r="F4" s="40">
        <v>2</v>
      </c>
      <c r="G4" s="40">
        <v>1</v>
      </c>
      <c r="H4" s="41"/>
      <c r="I4" s="38"/>
      <c r="J4" s="38"/>
      <c r="T4" s="43"/>
      <c r="V4" s="50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44"/>
    </row>
    <row r="5" spans="2:34" ht="15.95" customHeight="1" x14ac:dyDescent="0.2">
      <c r="B5" s="28" t="s">
        <v>23</v>
      </c>
      <c r="C5" s="29"/>
      <c r="D5" s="29"/>
      <c r="E5" s="29"/>
      <c r="F5" s="29"/>
      <c r="G5" s="29"/>
      <c r="H5" s="30"/>
      <c r="K5" s="55" t="s">
        <v>21</v>
      </c>
      <c r="L5" s="51"/>
      <c r="M5" s="83">
        <v>2500</v>
      </c>
      <c r="N5" s="29" t="s">
        <v>22</v>
      </c>
      <c r="O5" s="56"/>
      <c r="P5" s="56"/>
      <c r="Q5" s="51"/>
      <c r="R5" s="57"/>
      <c r="T5" s="43">
        <v>80</v>
      </c>
      <c r="U5" s="22" t="str">
        <f>IF($T5&gt;0,(UPPER(VLOOKUP($T5,Base!$A$2:$Z$1000,2,0))),"")</f>
        <v>LEITE INTEGRAL</v>
      </c>
      <c r="V5" s="50">
        <v>400</v>
      </c>
      <c r="W5" s="12">
        <f>IF($T5&gt;0,(VLOOKUP($T5,Base!$A$2:$Z$1000,4,0)*$V5)/(VLOOKUP($T5,Base!$A$2:$Z$1000,3,0)),"")</f>
        <v>14.28</v>
      </c>
      <c r="X5" s="12">
        <f>IF($T5&gt;0,(VLOOKUP($T5,Base!$A$2:$Z$1000,5,0)*$V5)/(VLOOKUP($T5,Base!$A$2:$Z$1000,3,0)),"")</f>
        <v>17.88</v>
      </c>
      <c r="Y5" s="12">
        <f>IF($T5&gt;0,(VLOOKUP($T5,Base!$A$2:$Z$1000,6,0)*$V5)/(VLOOKUP($T5,Base!$A$2:$Z$1000,3,0)),"")</f>
        <v>14.52</v>
      </c>
      <c r="Z5" s="12">
        <f>IF($T5&gt;0,(VLOOKUP($T5,Base!$A$2:$Z$1000,7,0)*$V5)/(VLOOKUP($T5,Base!$A$2:$Z$1000,3,0)),"")</f>
        <v>541.32000000000005</v>
      </c>
      <c r="AA5" s="12">
        <f>IF($T5&gt;0,(VLOOKUP($T5,Base!$A$2:$Z$1000,8,0)*$V5)/(VLOOKUP($T5,Base!$A$2:$Z$1000,3,0)),"")</f>
        <v>377.32</v>
      </c>
      <c r="AB5" s="12">
        <f>IF($T5&gt;0,(VLOOKUP($T5,Base!$A$2:$Z$1000,9,0)*$V5)/(VLOOKUP($T5,Base!$A$2:$Z$1000,3,0)),"")</f>
        <v>0.68</v>
      </c>
      <c r="AC5" s="12">
        <f>IF($T5&gt;0,(VLOOKUP($T5,Base!$A$2:$Z$1000,10,0)*$V5)/(VLOOKUP($T5,Base!$A$2:$Z$1000,3,0)),"")</f>
        <v>136</v>
      </c>
      <c r="AD5" s="12">
        <f>IF($T5&gt;0,(VLOOKUP($T5,Base!$A$2:$Z$1000,11,0)*$V5)/(VLOOKUP($T5,Base!$A$2:$Z$1000,3,0)),"")</f>
        <v>0.12</v>
      </c>
      <c r="AE5" s="12">
        <f>IF($T5&gt;0,(VLOOKUP($T5,Base!$A$2:$Z$1000,12,0)*$V5)/(VLOOKUP($T5,Base!$A$2:$Z$1000,3,0)),"")</f>
        <v>0.76</v>
      </c>
      <c r="AF5" s="12">
        <f>IF($T5&gt;0,(VLOOKUP($T5,Base!$A$2:$Z$1000,13,0)*$V5)/(VLOOKUP($T5,Base!$A$2:$Z$1000,3,0)),"")</f>
        <v>0.6</v>
      </c>
      <c r="AG5" s="12">
        <f>IF($T5&gt;0,(VLOOKUP($T5,Base!$A$2:$Z$1000,14,0)*$V5)/(VLOOKUP($T5,Base!$A$2:$Z$1000,3,0)),"")</f>
        <v>4</v>
      </c>
      <c r="AH5" s="44">
        <f>IF($T5&gt;0,(VLOOKUP($T5,Base!$A$2:$Z$1000,15,0)*$V5)/(VLOOKUP($T5,Base!$A$2:$Z$1000,3,0)),"")</f>
        <v>0</v>
      </c>
    </row>
    <row r="6" spans="2:34" ht="15.95" customHeight="1" x14ac:dyDescent="0.2">
      <c r="B6" s="31"/>
      <c r="H6" s="32"/>
      <c r="K6" s="31" t="s">
        <v>24</v>
      </c>
      <c r="L6" s="84">
        <v>17</v>
      </c>
      <c r="M6" s="16">
        <f>M5*L6/100</f>
        <v>425</v>
      </c>
      <c r="N6" s="18" t="s">
        <v>22</v>
      </c>
      <c r="O6" s="16">
        <f>M6/4</f>
        <v>106.25</v>
      </c>
      <c r="P6" s="18" t="s">
        <v>25</v>
      </c>
      <c r="Q6" s="52">
        <f>O6/C9</f>
        <v>1.7137096774193548</v>
      </c>
      <c r="R6" s="32" t="s">
        <v>26</v>
      </c>
      <c r="T6" s="43">
        <v>73</v>
      </c>
      <c r="U6" s="22" t="str">
        <f>IF($T6&gt;0,(UPPER(VLOOKUP($T6,Base!$A$2:$Z$1000,2,0))),"")</f>
        <v>HORTALIÇA A</v>
      </c>
      <c r="V6" s="50">
        <v>100</v>
      </c>
      <c r="W6" s="12">
        <f>IF($T6&gt;0,(VLOOKUP($T6,Base!$A$2:$Z$1000,4,0)*$V6)/(VLOOKUP($T6,Base!$A$2:$Z$1000,3,0)),"")</f>
        <v>1.7</v>
      </c>
      <c r="X6" s="12">
        <f>IF($T6&gt;0,(VLOOKUP($T6,Base!$A$2:$Z$1000,5,0)*$V6)/(VLOOKUP($T6,Base!$A$2:$Z$1000,3,0)),"")</f>
        <v>4.3600000000000003</v>
      </c>
      <c r="Y6" s="12">
        <f>IF($T6&gt;0,(VLOOKUP($T6,Base!$A$2:$Z$1000,6,0)*$V6)/(VLOOKUP($T6,Base!$A$2:$Z$1000,3,0)),"")</f>
        <v>0.26</v>
      </c>
      <c r="Z6" s="12">
        <f>IF($T6&gt;0,(VLOOKUP($T6,Base!$A$2:$Z$1000,7,0)*$V6)/(VLOOKUP($T6,Base!$A$2:$Z$1000,3,0)),"")</f>
        <v>78.94</v>
      </c>
      <c r="AA6" s="12">
        <f>IF($T6&gt;0,(VLOOKUP($T6,Base!$A$2:$Z$1000,8,0)*$V6)/(VLOOKUP($T6,Base!$A$2:$Z$1000,3,0)),"")</f>
        <v>42.5</v>
      </c>
      <c r="AB6" s="12">
        <f>IF($T6&gt;0,(VLOOKUP($T6,Base!$A$2:$Z$1000,9,0)*$V6)/(VLOOKUP($T6,Base!$A$2:$Z$1000,3,0)),"")</f>
        <v>1.38</v>
      </c>
      <c r="AC6" s="12">
        <f>IF($T6&gt;0,(VLOOKUP($T6,Base!$A$2:$Z$1000,10,0)*$V6)/(VLOOKUP($T6,Base!$A$2:$Z$1000,3,0)),"")</f>
        <v>297.77</v>
      </c>
      <c r="AD6" s="12">
        <f>IF($T6&gt;0,(VLOOKUP($T6,Base!$A$2:$Z$1000,11,0)*$V6)/(VLOOKUP($T6,Base!$A$2:$Z$1000,3,0)),"")</f>
        <v>7.0000000000000007E-2</v>
      </c>
      <c r="AE6" s="12">
        <f>IF($T6&gt;0,(VLOOKUP($T6,Base!$A$2:$Z$1000,12,0)*$V6)/(VLOOKUP($T6,Base!$A$2:$Z$1000,3,0)),"")</f>
        <v>0.11</v>
      </c>
      <c r="AF6" s="12">
        <f>IF($T6&gt;0,(VLOOKUP($T6,Base!$A$2:$Z$1000,13,0)*$V6)/(VLOOKUP($T6,Base!$A$2:$Z$1000,3,0)),"")</f>
        <v>0.64</v>
      </c>
      <c r="AG6" s="12">
        <f>IF($T6&gt;0,(VLOOKUP($T6,Base!$A$2:$Z$1000,14,0)*$V6)/(VLOOKUP($T6,Base!$A$2:$Z$1000,3,0)),"")</f>
        <v>36.58</v>
      </c>
      <c r="AH6" s="44">
        <f>IF($T6&gt;0,(VLOOKUP($T6,Base!$A$2:$Z$1000,15,0)*$V6)/(VLOOKUP($T6,Base!$A$2:$Z$1000,3,0)),"")</f>
        <v>1.7</v>
      </c>
    </row>
    <row r="7" spans="2:34" ht="15.95" customHeight="1" x14ac:dyDescent="0.2">
      <c r="B7" s="31" t="s">
        <v>28</v>
      </c>
      <c r="C7" s="324" t="s">
        <v>238</v>
      </c>
      <c r="D7" s="324"/>
      <c r="E7" s="324"/>
      <c r="F7" s="324"/>
      <c r="G7" s="324"/>
      <c r="H7" s="325"/>
      <c r="K7" s="31" t="s">
        <v>27</v>
      </c>
      <c r="L7" s="84">
        <v>50</v>
      </c>
      <c r="M7" s="16">
        <f>M5*L7/100</f>
        <v>1250</v>
      </c>
      <c r="N7" s="18" t="s">
        <v>22</v>
      </c>
      <c r="O7" s="16">
        <f>M7/4</f>
        <v>312.5</v>
      </c>
      <c r="P7" s="18" t="s">
        <v>25</v>
      </c>
      <c r="Q7" s="23">
        <f>O7/C9</f>
        <v>5.040322580645161</v>
      </c>
      <c r="R7" s="32" t="s">
        <v>26</v>
      </c>
      <c r="T7" s="43">
        <v>74</v>
      </c>
      <c r="U7" s="22" t="str">
        <f>IF($T7&gt;0,(UPPER(VLOOKUP($T7,Base!$A$2:$Z$1000,2,0))),"")</f>
        <v>HORTALIÇA B</v>
      </c>
      <c r="V7" s="50">
        <v>100</v>
      </c>
      <c r="W7" s="12">
        <f>IF($T7&gt;0,(VLOOKUP($T7,Base!$A$2:$Z$1000,4,0)*$V7)/(VLOOKUP($T7,Base!$A$2:$Z$1000,3,0)),"")</f>
        <v>1.91</v>
      </c>
      <c r="X7" s="12">
        <f>IF($T7&gt;0,(VLOOKUP($T7,Base!$A$2:$Z$1000,5,0)*$V7)/(VLOOKUP($T7,Base!$A$2:$Z$1000,3,0)),"")</f>
        <v>9.02</v>
      </c>
      <c r="Y7" s="12">
        <f>IF($T7&gt;0,(VLOOKUP($T7,Base!$A$2:$Z$1000,6,0)*$V7)/(VLOOKUP($T7,Base!$A$2:$Z$1000,3,0)),"")</f>
        <v>0.33</v>
      </c>
      <c r="Z7" s="12">
        <f>IF($T7&gt;0,(VLOOKUP($T7,Base!$A$2:$Z$1000,7,0)*$V7)/(VLOOKUP($T7,Base!$A$2:$Z$1000,3,0)),"")</f>
        <v>28.22</v>
      </c>
      <c r="AA7" s="12">
        <f>IF($T7&gt;0,(VLOOKUP($T7,Base!$A$2:$Z$1000,8,0)*$V7)/(VLOOKUP($T7,Base!$A$2:$Z$1000,3,0)),"")</f>
        <v>43.58</v>
      </c>
      <c r="AB7" s="12">
        <f>IF($T7&gt;0,(VLOOKUP($T7,Base!$A$2:$Z$1000,9,0)*$V7)/(VLOOKUP($T7,Base!$A$2:$Z$1000,3,0)),"")</f>
        <v>1</v>
      </c>
      <c r="AC7" s="12">
        <f>IF($T7&gt;0,(VLOOKUP($T7,Base!$A$2:$Z$1000,10,0)*$V7)/(VLOOKUP($T7,Base!$A$2:$Z$1000,3,0)),"")</f>
        <v>242.59</v>
      </c>
      <c r="AD7" s="12">
        <f>IF($T7&gt;0,(VLOOKUP($T7,Base!$A$2:$Z$1000,11,0)*$V7)/(VLOOKUP($T7,Base!$A$2:$Z$1000,3,0)),"")</f>
        <v>7.0000000000000007E-2</v>
      </c>
      <c r="AE7" s="12">
        <f>IF($T7&gt;0,(VLOOKUP($T7,Base!$A$2:$Z$1000,12,0)*$V7)/(VLOOKUP($T7,Base!$A$2:$Z$1000,3,0)),"")</f>
        <v>7.0000000000000007E-2</v>
      </c>
      <c r="AF7" s="12">
        <f>IF($T7&gt;0,(VLOOKUP($T7,Base!$A$2:$Z$1000,13,0)*$V7)/(VLOOKUP($T7,Base!$A$2:$Z$1000,3,0)),"")</f>
        <v>0.79</v>
      </c>
      <c r="AG7" s="12">
        <f>IF($T7&gt;0,(VLOOKUP($T7,Base!$A$2:$Z$1000,14,0)*$V7)/(VLOOKUP($T7,Base!$A$2:$Z$1000,3,0)),"")</f>
        <v>30.94</v>
      </c>
      <c r="AH7" s="44">
        <f>IF($T7&gt;0,(VLOOKUP($T7,Base!$A$2:$Z$1000,15,0)*$V7)/(VLOOKUP($T7,Base!$A$2:$Z$1000,3,0)),"")</f>
        <v>2.1</v>
      </c>
    </row>
    <row r="8" spans="2:34" ht="15.95" customHeight="1" thickBot="1" x14ac:dyDescent="0.25">
      <c r="B8" s="31" t="s">
        <v>32</v>
      </c>
      <c r="C8" s="80">
        <v>1.72</v>
      </c>
      <c r="E8" s="4" t="s">
        <v>29</v>
      </c>
      <c r="F8" s="27"/>
      <c r="H8" s="74">
        <v>67</v>
      </c>
      <c r="K8" s="34" t="s">
        <v>31</v>
      </c>
      <c r="L8" s="85">
        <v>23</v>
      </c>
      <c r="M8" s="59">
        <f>M5*L8/100</f>
        <v>575</v>
      </c>
      <c r="N8" s="58" t="s">
        <v>22</v>
      </c>
      <c r="O8" s="59">
        <f>M8/9</f>
        <v>63.888888888888886</v>
      </c>
      <c r="P8" s="58" t="s">
        <v>25</v>
      </c>
      <c r="Q8" s="60">
        <f>O8/C9</f>
        <v>1.0304659498207884</v>
      </c>
      <c r="R8" s="36" t="s">
        <v>26</v>
      </c>
      <c r="T8" s="43">
        <v>75</v>
      </c>
      <c r="U8" s="22" t="str">
        <f>IF($T8&gt;0,(UPPER(VLOOKUP($T8,Base!$A$2:$Z$1000,2,0))),"")</f>
        <v>HORTALIÇA C</v>
      </c>
      <c r="V8" s="50"/>
      <c r="W8" s="12">
        <f>IF($T8&gt;0,(VLOOKUP($T8,Base!$A$2:$Z$1000,4,0)*$V8)/(VLOOKUP($T8,Base!$A$2:$Z$1000,3,0)),"")</f>
        <v>0</v>
      </c>
      <c r="X8" s="12">
        <f>IF($T8&gt;0,(VLOOKUP($T8,Base!$A$2:$Z$1000,5,0)*$V8)/(VLOOKUP($T8,Base!$A$2:$Z$1000,3,0)),"")</f>
        <v>0</v>
      </c>
      <c r="Y8" s="12">
        <f>IF($T8&gt;0,(VLOOKUP($T8,Base!$A$2:$Z$1000,6,0)*$V8)/(VLOOKUP($T8,Base!$A$2:$Z$1000,3,0)),"")</f>
        <v>0</v>
      </c>
      <c r="Z8" s="12">
        <f>IF($T8&gt;0,(VLOOKUP($T8,Base!$A$2:$Z$1000,7,0)*$V8)/(VLOOKUP($T8,Base!$A$2:$Z$1000,3,0)),"")</f>
        <v>0</v>
      </c>
      <c r="AA8" s="12">
        <f>IF($T8&gt;0,(VLOOKUP($T8,Base!$A$2:$Z$1000,8,0)*$V8)/(VLOOKUP($T8,Base!$A$2:$Z$1000,3,0)),"")</f>
        <v>0</v>
      </c>
      <c r="AB8" s="12">
        <f>IF($T8&gt;0,(VLOOKUP($T8,Base!$A$2:$Z$1000,9,0)*$V8)/(VLOOKUP($T8,Base!$A$2:$Z$1000,3,0)),"")</f>
        <v>0</v>
      </c>
      <c r="AC8" s="12">
        <f>IF($T8&gt;0,(VLOOKUP($T8,Base!$A$2:$Z$1000,10,0)*$V8)/(VLOOKUP($T8,Base!$A$2:$Z$1000,3,0)),"")</f>
        <v>0</v>
      </c>
      <c r="AD8" s="12">
        <f>IF($T8&gt;0,(VLOOKUP($T8,Base!$A$2:$Z$1000,11,0)*$V8)/(VLOOKUP($T8,Base!$A$2:$Z$1000,3,0)),"")</f>
        <v>0</v>
      </c>
      <c r="AE8" s="12">
        <f>IF($T8&gt;0,(VLOOKUP($T8,Base!$A$2:$Z$1000,12,0)*$V8)/(VLOOKUP($T8,Base!$A$2:$Z$1000,3,0)),"")</f>
        <v>0</v>
      </c>
      <c r="AF8" s="12">
        <f>IF($T8&gt;0,(VLOOKUP($T8,Base!$A$2:$Z$1000,13,0)*$V8)/(VLOOKUP($T8,Base!$A$2:$Z$1000,3,0)),"")</f>
        <v>0</v>
      </c>
      <c r="AG8" s="12">
        <f>IF($T8&gt;0,(VLOOKUP($T8,Base!$A$2:$Z$1000,14,0)*$V8)/(VLOOKUP($T8,Base!$A$2:$Z$1000,3,0)),"")</f>
        <v>0</v>
      </c>
      <c r="AH8" s="44">
        <f>IF($T8&gt;0,(VLOOKUP($T8,Base!$A$2:$Z$1000,15,0)*$V8)/(VLOOKUP($T8,Base!$A$2:$Z$1000,3,0)),"")</f>
        <v>0</v>
      </c>
    </row>
    <row r="9" spans="2:34" ht="15.95" customHeight="1" thickBot="1" x14ac:dyDescent="0.25">
      <c r="B9" s="31" t="s">
        <v>196</v>
      </c>
      <c r="C9" s="81">
        <v>62</v>
      </c>
      <c r="E9" s="4" t="s">
        <v>33</v>
      </c>
      <c r="F9" s="72">
        <f>C9/(C8*C8)</f>
        <v>20.957274202271499</v>
      </c>
      <c r="H9" s="32"/>
      <c r="Q9" s="4"/>
      <c r="T9" s="43">
        <v>61</v>
      </c>
      <c r="U9" s="22" t="str">
        <f>IF($T9&gt;0,(UPPER(VLOOKUP($T9,Base!$A$2:$Z$1000,2,0))),"")</f>
        <v>FRUTA A</v>
      </c>
      <c r="V9" s="50">
        <v>200</v>
      </c>
      <c r="W9" s="12">
        <f>IF($T9&gt;0,(VLOOKUP($T9,Base!$A$2:$Z$1000,4,0)*$V9)/(VLOOKUP($T9,Base!$A$2:$Z$1000,3,0)),"")</f>
        <v>1.1599999999999999</v>
      </c>
      <c r="X9" s="12">
        <f>IF($T9&gt;0,(VLOOKUP($T9,Base!$A$2:$Z$1000,5,0)*$V9)/(VLOOKUP($T9,Base!$A$2:$Z$1000,3,0)),"")</f>
        <v>18.88</v>
      </c>
      <c r="Y9" s="12">
        <f>IF($T9&gt;0,(VLOOKUP($T9,Base!$A$2:$Z$1000,6,0)*$V9)/(VLOOKUP($T9,Base!$A$2:$Z$1000,3,0)),"")</f>
        <v>0.5</v>
      </c>
      <c r="Z9" s="12">
        <f>IF($T9&gt;0,(VLOOKUP($T9,Base!$A$2:$Z$1000,7,0)*$V9)/(VLOOKUP($T9,Base!$A$2:$Z$1000,3,0)),"")</f>
        <v>39.24</v>
      </c>
      <c r="AA9" s="12">
        <f>IF($T9&gt;0,(VLOOKUP($T9,Base!$A$2:$Z$1000,8,0)*$V9)/(VLOOKUP($T9,Base!$A$2:$Z$1000,3,0)),"")</f>
        <v>34.46</v>
      </c>
      <c r="AB9" s="12">
        <f>IF($T9&gt;0,(VLOOKUP($T9,Base!$A$2:$Z$1000,9,0)*$V9)/(VLOOKUP($T9,Base!$A$2:$Z$1000,3,0)),"")</f>
        <v>1.5</v>
      </c>
      <c r="AC9" s="12">
        <f>IF($T9&gt;0,(VLOOKUP($T9,Base!$A$2:$Z$1000,10,0)*$V9)/(VLOOKUP($T9,Base!$A$2:$Z$1000,3,0)),"")</f>
        <v>75.88</v>
      </c>
      <c r="AD9" s="12">
        <f>IF($T9&gt;0,(VLOOKUP($T9,Base!$A$2:$Z$1000,11,0)*$V9)/(VLOOKUP($T9,Base!$A$2:$Z$1000,3,0)),"")</f>
        <v>0.08</v>
      </c>
      <c r="AE9" s="12">
        <f>IF($T9&gt;0,(VLOOKUP($T9,Base!$A$2:$Z$1000,12,0)*$V9)/(VLOOKUP($T9,Base!$A$2:$Z$1000,3,0)),"")</f>
        <v>0.1</v>
      </c>
      <c r="AF9" s="12">
        <f>IF($T9&gt;0,(VLOOKUP($T9,Base!$A$2:$Z$1000,13,0)*$V9)/(VLOOKUP($T9,Base!$A$2:$Z$1000,3,0)),"")</f>
        <v>1.06</v>
      </c>
      <c r="AG9" s="12">
        <f>IF($T9&gt;0,(VLOOKUP($T9,Base!$A$2:$Z$1000,14,0)*$V9)/(VLOOKUP($T9,Base!$A$2:$Z$1000,3,0)),"")</f>
        <v>51.48</v>
      </c>
      <c r="AH9" s="44">
        <f>IF($T9&gt;0,(VLOOKUP($T9,Base!$A$2:$Z$1000,15,0)*$V9)/(VLOOKUP($T9,Base!$A$2:$Z$1000,3,0)),"")</f>
        <v>3.3</v>
      </c>
    </row>
    <row r="10" spans="2:34" ht="15.95" customHeight="1" x14ac:dyDescent="0.2">
      <c r="B10" s="31" t="s">
        <v>34</v>
      </c>
      <c r="C10" s="4" t="s">
        <v>74</v>
      </c>
      <c r="E10" s="4" t="s">
        <v>197</v>
      </c>
      <c r="F10" s="82"/>
      <c r="H10" s="32"/>
      <c r="K10" s="61" t="s">
        <v>24</v>
      </c>
      <c r="L10" s="62">
        <v>0.05</v>
      </c>
      <c r="M10" s="63">
        <f>($M6*$L10)+$M6</f>
        <v>446.25</v>
      </c>
      <c r="N10" s="29" t="s">
        <v>22</v>
      </c>
      <c r="O10" s="63">
        <f>M6-($M6*$L10)</f>
        <v>403.75</v>
      </c>
      <c r="P10" s="29" t="s">
        <v>22</v>
      </c>
      <c r="Q10" s="51"/>
      <c r="R10" s="57"/>
      <c r="T10" s="43">
        <v>62</v>
      </c>
      <c r="U10" s="22" t="str">
        <f>IF($T10&gt;0,(UPPER(VLOOKUP($T10,Base!$A$2:$Z$1000,2,0))),"")</f>
        <v>FRUTA B</v>
      </c>
      <c r="V10" s="50">
        <v>200</v>
      </c>
      <c r="W10" s="12">
        <f>IF($T10&gt;0,(VLOOKUP($T10,Base!$A$2:$Z$1000,4,0)*$V10)/(VLOOKUP($T10,Base!$A$2:$Z$1000,3,0)),"")</f>
        <v>2.02</v>
      </c>
      <c r="X10" s="12">
        <f>IF($T10&gt;0,(VLOOKUP($T10,Base!$A$2:$Z$1000,5,0)*$V10)/(VLOOKUP($T10,Base!$A$2:$Z$1000,3,0)),"")</f>
        <v>35.32</v>
      </c>
      <c r="Y10" s="12">
        <f>IF($T10&gt;0,(VLOOKUP($T10,Base!$A$2:$Z$1000,6,0)*$V10)/(VLOOKUP($T10,Base!$A$2:$Z$1000,3,0)),"")</f>
        <v>0.62</v>
      </c>
      <c r="Z10" s="12">
        <f>IF($T10&gt;0,(VLOOKUP($T10,Base!$A$2:$Z$1000,7,0)*$V10)/(VLOOKUP($T10,Base!$A$2:$Z$1000,3,0)),"")</f>
        <v>37.340000000000003</v>
      </c>
      <c r="AA10" s="12">
        <f>IF($T10&gt;0,(VLOOKUP($T10,Base!$A$2:$Z$1000,8,0)*$V10)/(VLOOKUP($T10,Base!$A$2:$Z$1000,3,0)),"")</f>
        <v>43.78</v>
      </c>
      <c r="AB10" s="12">
        <f>IF($T10&gt;0,(VLOOKUP($T10,Base!$A$2:$Z$1000,9,0)*$V10)/(VLOOKUP($T10,Base!$A$2:$Z$1000,3,0)),"")</f>
        <v>2.3199999999999998</v>
      </c>
      <c r="AC10" s="12">
        <f>IF($T10&gt;0,(VLOOKUP($T10,Base!$A$2:$Z$1000,10,0)*$V10)/(VLOOKUP($T10,Base!$A$2:$Z$1000,3,0)),"")</f>
        <v>154.28</v>
      </c>
      <c r="AD10" s="12">
        <f>IF($T10&gt;0,(VLOOKUP($T10,Base!$A$2:$Z$1000,11,0)*$V10)/(VLOOKUP($T10,Base!$A$2:$Z$1000,3,0)),"")</f>
        <v>0.12</v>
      </c>
      <c r="AE10" s="12">
        <f>IF($T10&gt;0,(VLOOKUP($T10,Base!$A$2:$Z$1000,12,0)*$V10)/(VLOOKUP($T10,Base!$A$2:$Z$1000,3,0)),"")</f>
        <v>0.14000000000000001</v>
      </c>
      <c r="AF10" s="12">
        <f>IF($T10&gt;0,(VLOOKUP($T10,Base!$A$2:$Z$1000,13,0)*$V10)/(VLOOKUP($T10,Base!$A$2:$Z$1000,3,0)),"")</f>
        <v>1.1399999999999999</v>
      </c>
      <c r="AG10" s="12">
        <f>IF($T10&gt;0,(VLOOKUP($T10,Base!$A$2:$Z$1000,14,0)*$V10)/(VLOOKUP($T10,Base!$A$2:$Z$1000,3,0)),"")</f>
        <v>52.74</v>
      </c>
      <c r="AH10" s="44">
        <f>IF($T10&gt;0,(VLOOKUP($T10,Base!$A$2:$Z$1000,15,0)*$V10)/(VLOOKUP($T10,Base!$A$2:$Z$1000,3,0)),"")</f>
        <v>5.34</v>
      </c>
    </row>
    <row r="11" spans="2:34" ht="15.95" customHeight="1" x14ac:dyDescent="0.2">
      <c r="B11" s="31" t="s">
        <v>198</v>
      </c>
      <c r="C11" s="73" t="e">
        <f>(C9*B4)+C4</f>
        <v>#REF!</v>
      </c>
      <c r="E11" s="4" t="s">
        <v>199</v>
      </c>
      <c r="F11" s="21" t="e">
        <f>C11/24</f>
        <v>#REF!</v>
      </c>
      <c r="H11" s="32"/>
      <c r="K11" s="31" t="s">
        <v>27</v>
      </c>
      <c r="L11" s="54">
        <v>0.05</v>
      </c>
      <c r="M11" s="17">
        <f>($M7*$L11)+$M7</f>
        <v>1312.5</v>
      </c>
      <c r="N11" s="18" t="s">
        <v>22</v>
      </c>
      <c r="O11" s="17">
        <f>M7-($M7*$L11)</f>
        <v>1187.5</v>
      </c>
      <c r="P11" s="18" t="s">
        <v>22</v>
      </c>
      <c r="R11" s="32"/>
      <c r="T11" s="43">
        <v>18</v>
      </c>
      <c r="U11" s="22" t="str">
        <f>IF($T11&gt;0,(UPPER(VLOOKUP($T11,Base!$A$2:$Z$1000,2,0))),"")</f>
        <v>ARROZ</v>
      </c>
      <c r="V11" s="50">
        <v>200</v>
      </c>
      <c r="W11" s="12">
        <f>IF($T11&gt;0,(VLOOKUP($T11,Base!$A$2:$Z$1000,4,0)*$V11)/(VLOOKUP($T11,Base!$A$2:$Z$1000,3,0)),"")</f>
        <v>4.5999999999999996</v>
      </c>
      <c r="X11" s="12">
        <f>IF($T11&gt;0,(VLOOKUP($T11,Base!$A$2:$Z$1000,5,0)*$V11)/(VLOOKUP($T11,Base!$A$2:$Z$1000,3,0)),"")</f>
        <v>64.599999999999994</v>
      </c>
      <c r="Y11" s="12">
        <f>IF($T11&gt;0,(VLOOKUP($T11,Base!$A$2:$Z$1000,6,0)*$V11)/(VLOOKUP($T11,Base!$A$2:$Z$1000,3,0)),"")</f>
        <v>4.2</v>
      </c>
      <c r="Z11" s="12">
        <f>IF($T11&gt;0,(VLOOKUP($T11,Base!$A$2:$Z$1000,7,0)*$V11)/(VLOOKUP($T11,Base!$A$2:$Z$1000,3,0)),"")</f>
        <v>6</v>
      </c>
      <c r="AA11" s="12">
        <f>IF($T11&gt;0,(VLOOKUP($T11,Base!$A$2:$Z$1000,8,0)*$V11)/(VLOOKUP($T11,Base!$A$2:$Z$1000,3,0)),"")</f>
        <v>72</v>
      </c>
      <c r="AB11" s="12">
        <f>IF($T11&gt;0,(VLOOKUP($T11,Base!$A$2:$Z$1000,9,0)*$V11)/(VLOOKUP($T11,Base!$A$2:$Z$1000,3,0)),"")</f>
        <v>1.86</v>
      </c>
      <c r="AC11" s="12">
        <f>IF($T11&gt;0,(VLOOKUP($T11,Base!$A$2:$Z$1000,10,0)*$V11)/(VLOOKUP($T11,Base!$A$2:$Z$1000,3,0)),"")</f>
        <v>0</v>
      </c>
      <c r="AD11" s="12">
        <f>IF($T11&gt;0,(VLOOKUP($T11,Base!$A$2:$Z$1000,11,0)*$V11)/(VLOOKUP($T11,Base!$A$2:$Z$1000,3,0)),"")</f>
        <v>0.36</v>
      </c>
      <c r="AE11" s="12">
        <f>IF($T11&gt;0,(VLOOKUP($T11,Base!$A$2:$Z$1000,12,0)*$V11)/(VLOOKUP($T11,Base!$A$2:$Z$1000,3,0)),"")</f>
        <v>0.1</v>
      </c>
      <c r="AF11" s="12">
        <f>IF($T11&gt;0,(VLOOKUP($T11,Base!$A$2:$Z$1000,13,0)*$V11)/(VLOOKUP($T11,Base!$A$2:$Z$1000,3,0)),"")</f>
        <v>1.1000000000000001</v>
      </c>
      <c r="AG11" s="12">
        <f>IF($T11&gt;0,(VLOOKUP($T11,Base!$A$2:$Z$1000,14,0)*$V11)/(VLOOKUP($T11,Base!$A$2:$Z$1000,3,0)),"")</f>
        <v>0</v>
      </c>
      <c r="AH11" s="44">
        <f>IF($T11&gt;0,(VLOOKUP($T11,Base!$A$2:$Z$1000,15,0)*$V11)/(VLOOKUP($T11,Base!$A$2:$Z$1000,3,0)),"")</f>
        <v>5.76</v>
      </c>
    </row>
    <row r="12" spans="2:34" ht="15.95" customHeight="1" thickBot="1" x14ac:dyDescent="0.25">
      <c r="B12" s="34"/>
      <c r="C12" s="35"/>
      <c r="D12" s="35"/>
      <c r="E12" s="35"/>
      <c r="F12" s="35"/>
      <c r="G12" s="35"/>
      <c r="H12" s="36"/>
      <c r="K12" s="34" t="s">
        <v>31</v>
      </c>
      <c r="L12" s="64">
        <v>0.05</v>
      </c>
      <c r="M12" s="65">
        <f>($M8*$L12)+$M8</f>
        <v>603.75</v>
      </c>
      <c r="N12" s="58" t="s">
        <v>22</v>
      </c>
      <c r="O12" s="65">
        <f>M8-($M8*$L12)</f>
        <v>546.25</v>
      </c>
      <c r="P12" s="58" t="s">
        <v>22</v>
      </c>
      <c r="Q12" s="35"/>
      <c r="R12" s="36"/>
      <c r="T12" s="43">
        <v>59</v>
      </c>
      <c r="U12" s="22" t="str">
        <f>IF($T12&gt;0,(UPPER(VLOOKUP($T12,Base!$A$2:$Z$1000,2,0))),"")</f>
        <v>FEIJÃO</v>
      </c>
      <c r="V12" s="50">
        <v>70</v>
      </c>
      <c r="W12" s="12">
        <f>IF($T12&gt;0,(VLOOKUP($T12,Base!$A$2:$Z$1000,4,0)*$V12)/(VLOOKUP($T12,Base!$A$2:$Z$1000,3,0)),"")</f>
        <v>3.4509999999999996</v>
      </c>
      <c r="X12" s="12">
        <f>IF($T12&gt;0,(VLOOKUP($T12,Base!$A$2:$Z$1000,5,0)*$V12)/(VLOOKUP($T12,Base!$A$2:$Z$1000,3,0)),"")</f>
        <v>9.0090000000000003</v>
      </c>
      <c r="Y12" s="12">
        <f>IF($T12&gt;0,(VLOOKUP($T12,Base!$A$2:$Z$1000,6,0)*$V12)/(VLOOKUP($T12,Base!$A$2:$Z$1000,3,0)),"")</f>
        <v>0.23100000000000001</v>
      </c>
      <c r="Z12" s="12">
        <f>IF($T12&gt;0,(VLOOKUP($T12,Base!$A$2:$Z$1000,7,0)*$V12)/(VLOOKUP($T12,Base!$A$2:$Z$1000,3,0)),"")</f>
        <v>18.669</v>
      </c>
      <c r="AA12" s="12">
        <f>IF($T12&gt;0,(VLOOKUP($T12,Base!$A$2:$Z$1000,8,0)*$V12)/(VLOOKUP($T12,Base!$A$2:$Z$1000,3,0)),"")</f>
        <v>45.730999999999995</v>
      </c>
      <c r="AB12" s="12">
        <f>IF($T12&gt;0,(VLOOKUP($T12,Base!$A$2:$Z$1000,9,0)*$V12)/(VLOOKUP($T12,Base!$A$2:$Z$1000,3,0)),"")</f>
        <v>1.26</v>
      </c>
      <c r="AC12" s="12">
        <f>IF($T12&gt;0,(VLOOKUP($T12,Base!$A$2:$Z$1000,10,0)*$V12)/(VLOOKUP($T12,Base!$A$2:$Z$1000,3,0)),"")</f>
        <v>0</v>
      </c>
      <c r="AD12" s="12">
        <f>IF($T12&gt;0,(VLOOKUP($T12,Base!$A$2:$Z$1000,11,0)*$V12)/(VLOOKUP($T12,Base!$A$2:$Z$1000,3,0)),"")</f>
        <v>8.4000000000000005E-2</v>
      </c>
      <c r="AE12" s="12">
        <f>IF($T12&gt;0,(VLOOKUP($T12,Base!$A$2:$Z$1000,12,0)*$V12)/(VLOOKUP($T12,Base!$A$2:$Z$1000,3,0)),"")</f>
        <v>4.2000000000000003E-2</v>
      </c>
      <c r="AF12" s="12">
        <f>IF($T12&gt;0,(VLOOKUP($T12,Base!$A$2:$Z$1000,13,0)*$V12)/(VLOOKUP($T12,Base!$A$2:$Z$1000,3,0)),"")</f>
        <v>0.46900000000000008</v>
      </c>
      <c r="AG12" s="12">
        <f>IF($T12&gt;0,(VLOOKUP($T12,Base!$A$2:$Z$1000,14,0)*$V12)/(VLOOKUP($T12,Base!$A$2:$Z$1000,3,0)),"")</f>
        <v>0.46900000000000008</v>
      </c>
      <c r="AH12" s="44">
        <f>IF($T12&gt;0,(VLOOKUP($T12,Base!$A$2:$Z$1000,15,0)*$V12)/(VLOOKUP($T12,Base!$A$2:$Z$1000,3,0)),"")</f>
        <v>0</v>
      </c>
    </row>
    <row r="13" spans="2:34" ht="15.95" customHeight="1" thickBot="1" x14ac:dyDescent="0.25">
      <c r="B13" s="33" t="s">
        <v>39</v>
      </c>
      <c r="C13" s="18"/>
      <c r="D13" s="18"/>
      <c r="E13" s="18"/>
      <c r="F13" s="18"/>
      <c r="G13" s="18"/>
      <c r="H13" s="18"/>
      <c r="I13" s="18"/>
      <c r="J13" s="18"/>
      <c r="Q13" s="4"/>
      <c r="T13" s="43"/>
      <c r="U13" s="22" t="str">
        <f>IF($T13&gt;0,(UPPER(VLOOKUP($T13,Base!$A$2:$Z$1000,2,0))),"")</f>
        <v/>
      </c>
      <c r="V13" s="50"/>
      <c r="W13" s="12" t="str">
        <f>IF($T13&gt;0,(VLOOKUP($T13,Base!$A$2:$Z$1000,4,0)*$V13)/(VLOOKUP($T13,Base!$A$2:$Z$1000,3,0)),"")</f>
        <v/>
      </c>
      <c r="X13" s="12" t="str">
        <f>IF($T13&gt;0,(VLOOKUP($T13,Base!$A$2:$Z$1000,5,0)*$V13)/(VLOOKUP($T13,Base!$A$2:$Z$1000,3,0)),"")</f>
        <v/>
      </c>
      <c r="Y13" s="12" t="str">
        <f>IF($T13&gt;0,(VLOOKUP($T13,Base!$A$2:$Z$1000,6,0)*$V13)/(VLOOKUP($T13,Base!$A$2:$Z$1000,3,0)),"")</f>
        <v/>
      </c>
      <c r="Z13" s="12" t="str">
        <f>IF($T13&gt;0,(VLOOKUP($T13,Base!$A$2:$Z$1000,7,0)*$V13)/(VLOOKUP($T13,Base!$A$2:$Z$1000,3,0)),"")</f>
        <v/>
      </c>
      <c r="AA13" s="12" t="str">
        <f>IF($T13&gt;0,(VLOOKUP($T13,Base!$A$2:$Z$1000,8,0)*$V13)/(VLOOKUP($T13,Base!$A$2:$Z$1000,3,0)),"")</f>
        <v/>
      </c>
      <c r="AB13" s="12" t="str">
        <f>IF($T13&gt;0,(VLOOKUP($T13,Base!$A$2:$Z$1000,9,0)*$V13)/(VLOOKUP($T13,Base!$A$2:$Z$1000,3,0)),"")</f>
        <v/>
      </c>
      <c r="AC13" s="12" t="str">
        <f>IF($T13&gt;0,(VLOOKUP($T13,Base!$A$2:$Z$1000,10,0)*$V13)/(VLOOKUP($T13,Base!$A$2:$Z$1000,3,0)),"")</f>
        <v/>
      </c>
      <c r="AD13" s="12" t="str">
        <f>IF($T13&gt;0,(VLOOKUP($T13,Base!$A$2:$Z$1000,11,0)*$V13)/(VLOOKUP($T13,Base!$A$2:$Z$1000,3,0)),"")</f>
        <v/>
      </c>
      <c r="AE13" s="12" t="str">
        <f>IF($T13&gt;0,(VLOOKUP($T13,Base!$A$2:$Z$1000,12,0)*$V13)/(VLOOKUP($T13,Base!$A$2:$Z$1000,3,0)),"")</f>
        <v/>
      </c>
      <c r="AF13" s="12" t="str">
        <f>IF($T13&gt;0,(VLOOKUP($T13,Base!$A$2:$Z$1000,13,0)*$V13)/(VLOOKUP($T13,Base!$A$2:$Z$1000,3,0)),"")</f>
        <v/>
      </c>
      <c r="AG13" s="12" t="str">
        <f>IF($T13&gt;0,(VLOOKUP($T13,Base!$A$2:$Z$1000,14,0)*$V13)/(VLOOKUP($T13,Base!$A$2:$Z$1000,3,0)),"")</f>
        <v/>
      </c>
      <c r="AH13" s="44" t="str">
        <f>IF($T13&gt;0,(VLOOKUP($T13,Base!$A$2:$Z$1000,15,0)*$V13)/(VLOOKUP($T13,Base!$A$2:$Z$1000,3,0)),"")</f>
        <v/>
      </c>
    </row>
    <row r="14" spans="2:34" ht="15.95" customHeight="1" x14ac:dyDescent="0.2">
      <c r="B14" s="326"/>
      <c r="C14" s="327"/>
      <c r="D14" s="327"/>
      <c r="E14" s="327"/>
      <c r="F14" s="327"/>
      <c r="G14" s="327"/>
      <c r="H14" s="328"/>
      <c r="K14" s="42" t="s">
        <v>35</v>
      </c>
      <c r="L14" s="29" t="s">
        <v>36</v>
      </c>
      <c r="M14" s="29" t="s">
        <v>37</v>
      </c>
      <c r="N14" s="29" t="s">
        <v>38</v>
      </c>
      <c r="O14" s="56"/>
      <c r="P14" s="56"/>
      <c r="Q14" s="51"/>
      <c r="R14" s="57"/>
      <c r="T14" s="43"/>
      <c r="U14" s="22" t="str">
        <f>IF($T14&gt;0,(UPPER(VLOOKUP($T14,Base!$A$2:$Z$1000,2,0))),"")</f>
        <v/>
      </c>
      <c r="V14" s="50"/>
      <c r="W14" s="12" t="str">
        <f>IF($T14&gt;0,(VLOOKUP($T14,Base!$A$2:$Z$1000,4,0)*$V14)/(VLOOKUP($T14,Base!$A$2:$Z$1000,3,0)),"")</f>
        <v/>
      </c>
      <c r="X14" s="12" t="str">
        <f>IF($T14&gt;0,(VLOOKUP($T14,Base!$A$2:$Z$1000,5,0)*$V14)/(VLOOKUP($T14,Base!$A$2:$Z$1000,3,0)),"")</f>
        <v/>
      </c>
      <c r="Y14" s="12" t="str">
        <f>IF($T14&gt;0,(VLOOKUP($T14,Base!$A$2:$Z$1000,6,0)*$V14)/(VLOOKUP($T14,Base!$A$2:$Z$1000,3,0)),"")</f>
        <v/>
      </c>
      <c r="Z14" s="12" t="str">
        <f>IF($T14&gt;0,(VLOOKUP($T14,Base!$A$2:$Z$1000,7,0)*$V14)/(VLOOKUP($T14,Base!$A$2:$Z$1000,3,0)),"")</f>
        <v/>
      </c>
      <c r="AA14" s="12" t="str">
        <f>IF($T14&gt;0,(VLOOKUP($T14,Base!$A$2:$Z$1000,8,0)*$V14)/(VLOOKUP($T14,Base!$A$2:$Z$1000,3,0)),"")</f>
        <v/>
      </c>
      <c r="AB14" s="12" t="str">
        <f>IF($T14&gt;0,(VLOOKUP($T14,Base!$A$2:$Z$1000,9,0)*$V14)/(VLOOKUP($T14,Base!$A$2:$Z$1000,3,0)),"")</f>
        <v/>
      </c>
      <c r="AC14" s="12" t="str">
        <f>IF($T14&gt;0,(VLOOKUP($T14,Base!$A$2:$Z$1000,10,0)*$V14)/(VLOOKUP($T14,Base!$A$2:$Z$1000,3,0)),"")</f>
        <v/>
      </c>
      <c r="AD14" s="12" t="str">
        <f>IF($T14&gt;0,(VLOOKUP($T14,Base!$A$2:$Z$1000,11,0)*$V14)/(VLOOKUP($T14,Base!$A$2:$Z$1000,3,0)),"")</f>
        <v/>
      </c>
      <c r="AE14" s="12" t="str">
        <f>IF($T14&gt;0,(VLOOKUP($T14,Base!$A$2:$Z$1000,12,0)*$V14)/(VLOOKUP($T14,Base!$A$2:$Z$1000,3,0)),"")</f>
        <v/>
      </c>
      <c r="AF14" s="12" t="str">
        <f>IF($T14&gt;0,(VLOOKUP($T14,Base!$A$2:$Z$1000,13,0)*$V14)/(VLOOKUP($T14,Base!$A$2:$Z$1000,3,0)),"")</f>
        <v/>
      </c>
      <c r="AG14" s="12" t="str">
        <f>IF($T14&gt;0,(VLOOKUP($T14,Base!$A$2:$Z$1000,14,0)*$V14)/(VLOOKUP($T14,Base!$A$2:$Z$1000,3,0)),"")</f>
        <v/>
      </c>
      <c r="AH14" s="44" t="str">
        <f>IF($T14&gt;0,(VLOOKUP($T14,Base!$A$2:$Z$1000,15,0)*$V14)/(VLOOKUP($T14,Base!$A$2:$Z$1000,3,0)),"")</f>
        <v/>
      </c>
    </row>
    <row r="15" spans="2:34" ht="15.95" customHeight="1" x14ac:dyDescent="0.2">
      <c r="B15" s="329"/>
      <c r="C15" s="330"/>
      <c r="D15" s="330"/>
      <c r="E15" s="330"/>
      <c r="F15" s="330"/>
      <c r="G15" s="330"/>
      <c r="H15" s="331"/>
      <c r="K15" s="31" t="s">
        <v>200</v>
      </c>
      <c r="L15" s="26">
        <v>900</v>
      </c>
      <c r="M15" s="12">
        <f>AC36</f>
        <v>1167.8499999999999</v>
      </c>
      <c r="N15" s="12">
        <f t="shared" ref="N15:N23" si="0">M15/L15</f>
        <v>1.297611111111111</v>
      </c>
      <c r="R15" s="32"/>
      <c r="T15" s="43"/>
      <c r="U15" s="22" t="str">
        <f>IF($T15&gt;0,(UPPER(VLOOKUP($T15,Base!$A$2:$Z$1000,2,0))),"")</f>
        <v/>
      </c>
      <c r="V15" s="50"/>
      <c r="W15" s="12" t="str">
        <f>IF($T15&gt;0,(VLOOKUP($T15,Base!$A$2:$Z$1000,4,0)*$V15)/(VLOOKUP($T15,Base!$A$2:$Z$1000,3,0)),"")</f>
        <v/>
      </c>
      <c r="X15" s="12" t="str">
        <f>IF($T15&gt;0,(VLOOKUP($T15,Base!$A$2:$Z$1000,5,0)*$V15)/(VLOOKUP($T15,Base!$A$2:$Z$1000,3,0)),"")</f>
        <v/>
      </c>
      <c r="Y15" s="12" t="str">
        <f>IF($T15&gt;0,(VLOOKUP($T15,Base!$A$2:$Z$1000,6,0)*$V15)/(VLOOKUP($T15,Base!$A$2:$Z$1000,3,0)),"")</f>
        <v/>
      </c>
      <c r="Z15" s="12" t="str">
        <f>IF($T15&gt;0,(VLOOKUP($T15,Base!$A$2:$Z$1000,7,0)*$V15)/(VLOOKUP($T15,Base!$A$2:$Z$1000,3,0)),"")</f>
        <v/>
      </c>
      <c r="AA15" s="12" t="str">
        <f>IF($T15&gt;0,(VLOOKUP($T15,Base!$A$2:$Z$1000,8,0)*$V15)/(VLOOKUP($T15,Base!$A$2:$Z$1000,3,0)),"")</f>
        <v/>
      </c>
      <c r="AB15" s="12" t="str">
        <f>IF($T15&gt;0,(VLOOKUP($T15,Base!$A$2:$Z$1000,9,0)*$V15)/(VLOOKUP($T15,Base!$A$2:$Z$1000,3,0)),"")</f>
        <v/>
      </c>
      <c r="AC15" s="12" t="str">
        <f>IF($T15&gt;0,(VLOOKUP($T15,Base!$A$2:$Z$1000,10,0)*$V15)/(VLOOKUP($T15,Base!$A$2:$Z$1000,3,0)),"")</f>
        <v/>
      </c>
      <c r="AD15" s="12" t="str">
        <f>IF($T15&gt;0,(VLOOKUP($T15,Base!$A$2:$Z$1000,11,0)*$V15)/(VLOOKUP($T15,Base!$A$2:$Z$1000,3,0)),"")</f>
        <v/>
      </c>
      <c r="AE15" s="12" t="str">
        <f>IF($T15&gt;0,(VLOOKUP($T15,Base!$A$2:$Z$1000,12,0)*$V15)/(VLOOKUP($T15,Base!$A$2:$Z$1000,3,0)),"")</f>
        <v/>
      </c>
      <c r="AF15" s="12" t="str">
        <f>IF($T15&gt;0,(VLOOKUP($T15,Base!$A$2:$Z$1000,13,0)*$V15)/(VLOOKUP($T15,Base!$A$2:$Z$1000,3,0)),"")</f>
        <v/>
      </c>
      <c r="AG15" s="12" t="str">
        <f>IF($T15&gt;0,(VLOOKUP($T15,Base!$A$2:$Z$1000,14,0)*$V15)/(VLOOKUP($T15,Base!$A$2:$Z$1000,3,0)),"")</f>
        <v/>
      </c>
      <c r="AH15" s="44" t="str">
        <f>IF($T15&gt;0,(VLOOKUP($T15,Base!$A$2:$Z$1000,15,0)*$V15)/(VLOOKUP($T15,Base!$A$2:$Z$1000,3,0)),"")</f>
        <v/>
      </c>
    </row>
    <row r="16" spans="2:34" ht="15.95" customHeight="1" x14ac:dyDescent="0.2">
      <c r="B16" s="329"/>
      <c r="C16" s="330"/>
      <c r="D16" s="330"/>
      <c r="E16" s="330"/>
      <c r="F16" s="330"/>
      <c r="G16" s="330"/>
      <c r="H16" s="331"/>
      <c r="K16" s="31" t="s">
        <v>201</v>
      </c>
      <c r="L16" s="26">
        <v>90</v>
      </c>
      <c r="M16" s="12">
        <f>AG36</f>
        <v>176.959</v>
      </c>
      <c r="N16" s="12">
        <f t="shared" si="0"/>
        <v>1.9662111111111111</v>
      </c>
      <c r="R16" s="32"/>
      <c r="T16" s="43"/>
      <c r="U16" s="22" t="str">
        <f>IF($T16&gt;0,(UPPER(VLOOKUP($T16,Base!$A$2:$Z$1000,2,0))),"")</f>
        <v/>
      </c>
      <c r="V16" s="50"/>
      <c r="W16" s="12" t="str">
        <f>IF($T16&gt;0,(VLOOKUP($T16,Base!$A$2:$Z$1000,4,0)*$V16)/(VLOOKUP($T16,Base!$A$2:$Z$1000,3,0)),"")</f>
        <v/>
      </c>
      <c r="X16" s="12" t="str">
        <f>IF($T16&gt;0,(VLOOKUP($T16,Base!$A$2:$Z$1000,5,0)*$V16)/(VLOOKUP($T16,Base!$A$2:$Z$1000,3,0)),"")</f>
        <v/>
      </c>
      <c r="Y16" s="12" t="str">
        <f>IF($T16&gt;0,(VLOOKUP($T16,Base!$A$2:$Z$1000,6,0)*$V16)/(VLOOKUP($T16,Base!$A$2:$Z$1000,3,0)),"")</f>
        <v/>
      </c>
      <c r="Z16" s="12" t="str">
        <f>IF($T16&gt;0,(VLOOKUP($T16,Base!$A$2:$Z$1000,7,0)*$V16)/(VLOOKUP($T16,Base!$A$2:$Z$1000,3,0)),"")</f>
        <v/>
      </c>
      <c r="AA16" s="12" t="str">
        <f>IF($T16&gt;0,(VLOOKUP($T16,Base!$A$2:$Z$1000,8,0)*$V16)/(VLOOKUP($T16,Base!$A$2:$Z$1000,3,0)),"")</f>
        <v/>
      </c>
      <c r="AB16" s="12" t="str">
        <f>IF($T16&gt;0,(VLOOKUP($T16,Base!$A$2:$Z$1000,9,0)*$V16)/(VLOOKUP($T16,Base!$A$2:$Z$1000,3,0)),"")</f>
        <v/>
      </c>
      <c r="AC16" s="12" t="str">
        <f>IF($T16&gt;0,(VLOOKUP($T16,Base!$A$2:$Z$1000,10,0)*$V16)/(VLOOKUP($T16,Base!$A$2:$Z$1000,3,0)),"")</f>
        <v/>
      </c>
      <c r="AD16" s="12" t="str">
        <f>IF($T16&gt;0,(VLOOKUP($T16,Base!$A$2:$Z$1000,11,0)*$V16)/(VLOOKUP($T16,Base!$A$2:$Z$1000,3,0)),"")</f>
        <v/>
      </c>
      <c r="AE16" s="12" t="str">
        <f>IF($T16&gt;0,(VLOOKUP($T16,Base!$A$2:$Z$1000,12,0)*$V16)/(VLOOKUP($T16,Base!$A$2:$Z$1000,3,0)),"")</f>
        <v/>
      </c>
      <c r="AF16" s="12" t="str">
        <f>IF($T16&gt;0,(VLOOKUP($T16,Base!$A$2:$Z$1000,13,0)*$V16)/(VLOOKUP($T16,Base!$A$2:$Z$1000,3,0)),"")</f>
        <v/>
      </c>
      <c r="AG16" s="12" t="str">
        <f>IF($T16&gt;0,(VLOOKUP($T16,Base!$A$2:$Z$1000,14,0)*$V16)/(VLOOKUP($T16,Base!$A$2:$Z$1000,3,0)),"")</f>
        <v/>
      </c>
      <c r="AH16" s="44" t="str">
        <f>IF($T16&gt;0,(VLOOKUP($T16,Base!$A$2:$Z$1000,15,0)*$V16)/(VLOOKUP($T16,Base!$A$2:$Z$1000,3,0)),"")</f>
        <v/>
      </c>
    </row>
    <row r="17" spans="2:34" ht="15.95" customHeight="1" x14ac:dyDescent="0.2">
      <c r="B17" s="329"/>
      <c r="C17" s="330"/>
      <c r="D17" s="330"/>
      <c r="E17" s="330"/>
      <c r="F17" s="330"/>
      <c r="G17" s="330"/>
      <c r="H17" s="331"/>
      <c r="K17" s="31" t="s">
        <v>202</v>
      </c>
      <c r="L17" s="26">
        <v>1.2</v>
      </c>
      <c r="M17" s="12">
        <f>AD36</f>
        <v>1.129</v>
      </c>
      <c r="N17" s="12">
        <f t="shared" si="0"/>
        <v>0.94083333333333341</v>
      </c>
      <c r="R17" s="32"/>
      <c r="T17" s="43"/>
      <c r="U17" s="22" t="str">
        <f>IF($T17&gt;0,(UPPER(VLOOKUP($T17,Base!$A$2:$Z$1000,2,0))),"")</f>
        <v/>
      </c>
      <c r="V17" s="50"/>
      <c r="W17" s="12" t="str">
        <f>IF($T17&gt;0,(VLOOKUP($T17,Base!$A$2:$Z$1000,4,0)*$V17)/(VLOOKUP($T17,Base!$A$2:$Z$1000,3,0)),"")</f>
        <v/>
      </c>
      <c r="X17" s="12" t="str">
        <f>IF($T17&gt;0,(VLOOKUP($T17,Base!$A$2:$Z$1000,5,0)*$V17)/(VLOOKUP($T17,Base!$A$2:$Z$1000,3,0)),"")</f>
        <v/>
      </c>
      <c r="Y17" s="12" t="str">
        <f>IF($T17&gt;0,(VLOOKUP($T17,Base!$A$2:$Z$1000,6,0)*$V17)/(VLOOKUP($T17,Base!$A$2:$Z$1000,3,0)),"")</f>
        <v/>
      </c>
      <c r="Z17" s="12" t="str">
        <f>IF($T17&gt;0,(VLOOKUP($T17,Base!$A$2:$Z$1000,7,0)*$V17)/(VLOOKUP($T17,Base!$A$2:$Z$1000,3,0)),"")</f>
        <v/>
      </c>
      <c r="AA17" s="12" t="str">
        <f>IF($T17&gt;0,(VLOOKUP($T17,Base!$A$2:$Z$1000,8,0)*$V17)/(VLOOKUP($T17,Base!$A$2:$Z$1000,3,0)),"")</f>
        <v/>
      </c>
      <c r="AB17" s="12" t="str">
        <f>IF($T17&gt;0,(VLOOKUP($T17,Base!$A$2:$Z$1000,9,0)*$V17)/(VLOOKUP($T17,Base!$A$2:$Z$1000,3,0)),"")</f>
        <v/>
      </c>
      <c r="AC17" s="12" t="str">
        <f>IF($T17&gt;0,(VLOOKUP($T17,Base!$A$2:$Z$1000,10,0)*$V17)/(VLOOKUP($T17,Base!$A$2:$Z$1000,3,0)),"")</f>
        <v/>
      </c>
      <c r="AD17" s="12" t="str">
        <f>IF($T17&gt;0,(VLOOKUP($T17,Base!$A$2:$Z$1000,11,0)*$V17)/(VLOOKUP($T17,Base!$A$2:$Z$1000,3,0)),"")</f>
        <v/>
      </c>
      <c r="AE17" s="12" t="str">
        <f>IF($T17&gt;0,(VLOOKUP($T17,Base!$A$2:$Z$1000,12,0)*$V17)/(VLOOKUP($T17,Base!$A$2:$Z$1000,3,0)),"")</f>
        <v/>
      </c>
      <c r="AF17" s="12" t="str">
        <f>IF($T17&gt;0,(VLOOKUP($T17,Base!$A$2:$Z$1000,13,0)*$V17)/(VLOOKUP($T17,Base!$A$2:$Z$1000,3,0)),"")</f>
        <v/>
      </c>
      <c r="AG17" s="12" t="str">
        <f>IF($T17&gt;0,(VLOOKUP($T17,Base!$A$2:$Z$1000,14,0)*$V17)/(VLOOKUP($T17,Base!$A$2:$Z$1000,3,0)),"")</f>
        <v/>
      </c>
      <c r="AH17" s="44" t="str">
        <f>IF($T17&gt;0,(VLOOKUP($T17,Base!$A$2:$Z$1000,15,0)*$V17)/(VLOOKUP($T17,Base!$A$2:$Z$1000,3,0)),"")</f>
        <v/>
      </c>
    </row>
    <row r="18" spans="2:34" ht="15.95" customHeight="1" x14ac:dyDescent="0.2">
      <c r="B18" s="329"/>
      <c r="C18" s="330"/>
      <c r="D18" s="330"/>
      <c r="E18" s="330"/>
      <c r="F18" s="330"/>
      <c r="G18" s="330"/>
      <c r="H18" s="331"/>
      <c r="K18" s="31" t="s">
        <v>203</v>
      </c>
      <c r="L18" s="26">
        <v>16</v>
      </c>
      <c r="M18" s="12">
        <f>AF36</f>
        <v>14.199</v>
      </c>
      <c r="N18" s="12">
        <f t="shared" si="0"/>
        <v>0.88743749999999999</v>
      </c>
      <c r="R18" s="32"/>
      <c r="T18" s="43">
        <v>98</v>
      </c>
      <c r="U18" s="22" t="str">
        <f>IF($T18&gt;0,(UPPER(VLOOKUP($T18,Base!$A$2:$Z$1000,2,0))),"")</f>
        <v>ÓLEO E AZEITE</v>
      </c>
      <c r="V18" s="50">
        <v>12</v>
      </c>
      <c r="W18" s="12">
        <f>IF($T18&gt;0,(VLOOKUP($T18,Base!$A$2:$Z$1000,4,0)*$V18)/(VLOOKUP($T18,Base!$A$2:$Z$1000,3,0)),"")</f>
        <v>0</v>
      </c>
      <c r="X18" s="12">
        <f>IF($T18&gt;0,(VLOOKUP($T18,Base!$A$2:$Z$1000,5,0)*$V18)/(VLOOKUP($T18,Base!$A$2:$Z$1000,3,0)),"")</f>
        <v>0</v>
      </c>
      <c r="Y18" s="12">
        <f>IF($T18&gt;0,(VLOOKUP($T18,Base!$A$2:$Z$1000,6,0)*$V18)/(VLOOKUP($T18,Base!$A$2:$Z$1000,3,0)),"")</f>
        <v>12</v>
      </c>
      <c r="Z18" s="12">
        <f>IF($T18&gt;0,(VLOOKUP($T18,Base!$A$2:$Z$1000,7,0)*$V18)/(VLOOKUP($T18,Base!$A$2:$Z$1000,3,0)),"")</f>
        <v>0</v>
      </c>
      <c r="AA18" s="12">
        <f>IF($T18&gt;0,(VLOOKUP($T18,Base!$A$2:$Z$1000,8,0)*$V18)/(VLOOKUP($T18,Base!$A$2:$Z$1000,3,0)),"")</f>
        <v>0</v>
      </c>
      <c r="AB18" s="12">
        <f>IF($T18&gt;0,(VLOOKUP($T18,Base!$A$2:$Z$1000,9,0)*$V18)/(VLOOKUP($T18,Base!$A$2:$Z$1000,3,0)),"")</f>
        <v>0</v>
      </c>
      <c r="AC18" s="12">
        <f>IF($T18&gt;0,(VLOOKUP($T18,Base!$A$2:$Z$1000,10,0)*$V18)/(VLOOKUP($T18,Base!$A$2:$Z$1000,3,0)),"")</f>
        <v>0</v>
      </c>
      <c r="AD18" s="12">
        <f>IF($T18&gt;0,(VLOOKUP($T18,Base!$A$2:$Z$1000,11,0)*$V18)/(VLOOKUP($T18,Base!$A$2:$Z$1000,3,0)),"")</f>
        <v>0</v>
      </c>
      <c r="AE18" s="12">
        <f>IF($T18&gt;0,(VLOOKUP($T18,Base!$A$2:$Z$1000,12,0)*$V18)/(VLOOKUP($T18,Base!$A$2:$Z$1000,3,0)),"")</f>
        <v>0</v>
      </c>
      <c r="AF18" s="12">
        <f>IF($T18&gt;0,(VLOOKUP($T18,Base!$A$2:$Z$1000,13,0)*$V18)/(VLOOKUP($T18,Base!$A$2:$Z$1000,3,0)),"")</f>
        <v>0</v>
      </c>
      <c r="AG18" s="12">
        <f>IF($T18&gt;0,(VLOOKUP($T18,Base!$A$2:$Z$1000,14,0)*$V18)/(VLOOKUP($T18,Base!$A$2:$Z$1000,3,0)),"")</f>
        <v>0</v>
      </c>
      <c r="AH18" s="44">
        <f>IF($T18&gt;0,(VLOOKUP($T18,Base!$A$2:$Z$1000,15,0)*$V18)/(VLOOKUP($T18,Base!$A$2:$Z$1000,3,0)),"")</f>
        <v>0</v>
      </c>
    </row>
    <row r="19" spans="2:34" ht="15.95" customHeight="1" x14ac:dyDescent="0.2">
      <c r="B19" s="329"/>
      <c r="C19" s="330"/>
      <c r="D19" s="330"/>
      <c r="E19" s="330"/>
      <c r="F19" s="330"/>
      <c r="G19" s="330"/>
      <c r="H19" s="331"/>
      <c r="K19" s="31" t="s">
        <v>204</v>
      </c>
      <c r="L19" s="26">
        <v>1.3</v>
      </c>
      <c r="M19" s="12">
        <f>AE36</f>
        <v>1.6820000000000006</v>
      </c>
      <c r="N19" s="12">
        <f t="shared" si="0"/>
        <v>1.2938461538461543</v>
      </c>
      <c r="R19" s="32"/>
      <c r="T19" s="43" t="s">
        <v>213</v>
      </c>
      <c r="V19" s="50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44"/>
    </row>
    <row r="20" spans="2:34" ht="15.95" customHeight="1" x14ac:dyDescent="0.2">
      <c r="B20" s="329"/>
      <c r="C20" s="330"/>
      <c r="D20" s="330"/>
      <c r="E20" s="330"/>
      <c r="F20" s="330"/>
      <c r="G20" s="330"/>
      <c r="H20" s="331"/>
      <c r="K20" s="31" t="s">
        <v>205</v>
      </c>
      <c r="L20" s="26">
        <v>1000</v>
      </c>
      <c r="M20" s="12">
        <f>Z36</f>
        <v>774.029</v>
      </c>
      <c r="N20" s="12">
        <v>1.94</v>
      </c>
      <c r="R20" s="32"/>
      <c r="T20" s="43"/>
      <c r="U20" s="22" t="str">
        <f>IF($T20&gt;0,(UPPER(VLOOKUP($T20,Base!$A$2:$Z$1000,2,0))),"")</f>
        <v/>
      </c>
      <c r="V20" s="50"/>
      <c r="W20" s="12" t="str">
        <f>IF($T20&gt;0,(VLOOKUP($T20,Base!$A$2:$Z$1000,4,0)*$V20)/(VLOOKUP($T20,Base!$A$2:$Z$1000,3,0)),"")</f>
        <v/>
      </c>
      <c r="X20" s="12" t="str">
        <f>IF($T20&gt;0,(VLOOKUP($T20,Base!$A$2:$Z$1000,5,0)*$V20)/(VLOOKUP($T20,Base!$A$2:$Z$1000,3,0)),"")</f>
        <v/>
      </c>
      <c r="Y20" s="12" t="str">
        <f>IF($T20&gt;0,(VLOOKUP($T20,Base!$A$2:$Z$1000,6,0)*$V20)/(VLOOKUP($T20,Base!$A$2:$Z$1000,3,0)),"")</f>
        <v/>
      </c>
      <c r="Z20" s="12" t="str">
        <f>IF($T20&gt;0,(VLOOKUP($T20,Base!$A$2:$Z$1000,7,0)*$V20)/(VLOOKUP($T20,Base!$A$2:$Z$1000,3,0)),"")</f>
        <v/>
      </c>
      <c r="AA20" s="12" t="str">
        <f>IF($T20&gt;0,(VLOOKUP($T20,Base!$A$2:$Z$1000,8,0)*$V20)/(VLOOKUP($T20,Base!$A$2:$Z$1000,3,0)),"")</f>
        <v/>
      </c>
      <c r="AB20" s="12" t="str">
        <f>IF($T20&gt;0,(VLOOKUP($T20,Base!$A$2:$Z$1000,9,0)*$V20)/(VLOOKUP($T20,Base!$A$2:$Z$1000,3,0)),"")</f>
        <v/>
      </c>
      <c r="AC20" s="12" t="str">
        <f>IF($T20&gt;0,(VLOOKUP($T20,Base!$A$2:$Z$1000,10,0)*$V20)/(VLOOKUP($T20,Base!$A$2:$Z$1000,3,0)),"")</f>
        <v/>
      </c>
      <c r="AD20" s="12" t="str">
        <f>IF($T20&gt;0,(VLOOKUP($T20,Base!$A$2:$Z$1000,11,0)*$V20)/(VLOOKUP($T20,Base!$A$2:$Z$1000,3,0)),"")</f>
        <v/>
      </c>
      <c r="AE20" s="12" t="str">
        <f>IF($T20&gt;0,(VLOOKUP($T20,Base!$A$2:$Z$1000,12,0)*$V20)/(VLOOKUP($T20,Base!$A$2:$Z$1000,3,0)),"")</f>
        <v/>
      </c>
      <c r="AF20" s="12" t="str">
        <f>IF($T20&gt;0,(VLOOKUP($T20,Base!$A$2:$Z$1000,13,0)*$V20)/(VLOOKUP($T20,Base!$A$2:$Z$1000,3,0)),"")</f>
        <v/>
      </c>
      <c r="AG20" s="12" t="str">
        <f>IF($T20&gt;0,(VLOOKUP($T20,Base!$A$2:$Z$1000,14,0)*$V20)/(VLOOKUP($T20,Base!$A$2:$Z$1000,3,0)),"")</f>
        <v/>
      </c>
      <c r="AH20" s="44" t="str">
        <f>IF($T20&gt;0,(VLOOKUP($T20,Base!$A$2:$Z$1000,15,0)*$V20)/(VLOOKUP($T20,Base!$A$2:$Z$1000,3,0)),"")</f>
        <v/>
      </c>
    </row>
    <row r="21" spans="2:34" ht="15.95" customHeight="1" x14ac:dyDescent="0.2">
      <c r="B21" s="329"/>
      <c r="C21" s="330"/>
      <c r="D21" s="330"/>
      <c r="E21" s="330"/>
      <c r="F21" s="330"/>
      <c r="G21" s="330"/>
      <c r="H21" s="331"/>
      <c r="K21" s="31" t="s">
        <v>206</v>
      </c>
      <c r="L21" s="26">
        <v>8</v>
      </c>
      <c r="M21" s="12">
        <f>AB36</f>
        <v>13.87</v>
      </c>
      <c r="N21" s="12">
        <v>2.2599999999999998</v>
      </c>
      <c r="R21" s="32"/>
      <c r="T21" s="43"/>
      <c r="V21" s="50"/>
      <c r="W21" s="12" t="str">
        <f>IF($T21&gt;0,(VLOOKUP($T21,Base!$A$2:$Z$1000,4,0)*$V21)/(VLOOKUP($T21,Base!$A$2:$Z$1000,3,0)),"")</f>
        <v/>
      </c>
      <c r="X21" s="12" t="str">
        <f>IF($T21&gt;0,(VLOOKUP($T21,Base!$A$2:$Z$1000,5,0)*$V21)/(VLOOKUP($T21,Base!$A$2:$Z$1000,3,0)),"")</f>
        <v/>
      </c>
      <c r="Y21" s="12" t="str">
        <f>IF($T21&gt;0,(VLOOKUP($T21,Base!$A$2:$Z$1000,6,0)*$V21)/(VLOOKUP($T21,Base!$A$2:$Z$1000,3,0)),"")</f>
        <v/>
      </c>
      <c r="Z21" s="12" t="str">
        <f>IF($T21&gt;0,(VLOOKUP($T21,Base!$A$2:$Z$1000,7,0)*$V21)/(VLOOKUP($T21,Base!$A$2:$Z$1000,3,0)),"")</f>
        <v/>
      </c>
      <c r="AA21" s="12" t="str">
        <f>IF($T21&gt;0,(VLOOKUP($T21,Base!$A$2:$Z$1000,8,0)*$V21)/(VLOOKUP($T21,Base!$A$2:$Z$1000,3,0)),"")</f>
        <v/>
      </c>
      <c r="AB21" s="12" t="str">
        <f>IF($T21&gt;0,(VLOOKUP($T21,Base!$A$2:$Z$1000,9,0)*$V21)/(VLOOKUP($T21,Base!$A$2:$Z$1000,3,0)),"")</f>
        <v/>
      </c>
      <c r="AC21" s="12" t="str">
        <f>IF($T21&gt;0,(VLOOKUP($T21,Base!$A$2:$Z$1000,10,0)*$V21)/(VLOOKUP($T21,Base!$A$2:$Z$1000,3,0)),"")</f>
        <v/>
      </c>
      <c r="AD21" s="12" t="str">
        <f>IF($T21&gt;0,(VLOOKUP($T21,Base!$A$2:$Z$1000,11,0)*$V21)/(VLOOKUP($T21,Base!$A$2:$Z$1000,3,0)),"")</f>
        <v/>
      </c>
      <c r="AE21" s="12" t="str">
        <f>IF($T21&gt;0,(VLOOKUP($T21,Base!$A$2:$Z$1000,12,0)*$V21)/(VLOOKUP($T21,Base!$A$2:$Z$1000,3,0)),"")</f>
        <v/>
      </c>
      <c r="AF21" s="12" t="str">
        <f>IF($T21&gt;0,(VLOOKUP($T21,Base!$A$2:$Z$1000,13,0)*$V21)/(VLOOKUP($T21,Base!$A$2:$Z$1000,3,0)),"")</f>
        <v/>
      </c>
      <c r="AG21" s="12" t="str">
        <f>IF($T21&gt;0,(VLOOKUP($T21,Base!$A$2:$Z$1000,14,0)*$V21)/(VLOOKUP($T21,Base!$A$2:$Z$1000,3,0)),"")</f>
        <v/>
      </c>
      <c r="AH21" s="44" t="str">
        <f>IF($T21&gt;0,(VLOOKUP($T21,Base!$A$2:$Z$1000,15,0)*$V21)/(VLOOKUP($T21,Base!$A$2:$Z$1000,3,0)),"")</f>
        <v/>
      </c>
    </row>
    <row r="22" spans="2:34" ht="15.95" customHeight="1" thickBot="1" x14ac:dyDescent="0.25">
      <c r="B22" s="332"/>
      <c r="C22" s="333"/>
      <c r="D22" s="333"/>
      <c r="E22" s="333"/>
      <c r="F22" s="333"/>
      <c r="G22" s="333"/>
      <c r="H22" s="334"/>
      <c r="K22" s="31" t="s">
        <v>207</v>
      </c>
      <c r="L22" s="26">
        <v>700</v>
      </c>
      <c r="M22" s="12">
        <f>AA36</f>
        <v>958.77100000000007</v>
      </c>
      <c r="N22" s="12">
        <f t="shared" si="0"/>
        <v>1.3696728571428571</v>
      </c>
      <c r="R22" s="32"/>
      <c r="T22" s="43"/>
      <c r="V22" s="50"/>
      <c r="W22" s="12" t="str">
        <f>IF($T22&gt;0,(VLOOKUP($T22,Base!$A$2:$Z$1000,4,0)*$V22)/(VLOOKUP($T22,Base!$A$2:$Z$1000,3,0)),"")</f>
        <v/>
      </c>
      <c r="X22" s="12" t="str">
        <f>IF($T22&gt;0,(VLOOKUP($T22,Base!$A$2:$Z$1000,5,0)*$V22)/(VLOOKUP($T22,Base!$A$2:$Z$1000,3,0)),"")</f>
        <v/>
      </c>
      <c r="Y22" s="12" t="str">
        <f>IF($T22&gt;0,(VLOOKUP($T22,Base!$A$2:$Z$1000,6,0)*$V22)/(VLOOKUP($T22,Base!$A$2:$Z$1000,3,0)),"")</f>
        <v/>
      </c>
      <c r="Z22" s="12" t="str">
        <f>IF($T22&gt;0,(VLOOKUP($T22,Base!$A$2:$Z$1000,7,0)*$V22)/(VLOOKUP($T22,Base!$A$2:$Z$1000,3,0)),"")</f>
        <v/>
      </c>
      <c r="AA22" s="12" t="str">
        <f>IF($T22&gt;0,(VLOOKUP($T22,Base!$A$2:$Z$1000,8,0)*$V22)/(VLOOKUP($T22,Base!$A$2:$Z$1000,3,0)),"")</f>
        <v/>
      </c>
      <c r="AB22" s="12" t="str">
        <f>IF($T22&gt;0,(VLOOKUP($T22,Base!$A$2:$Z$1000,9,0)*$V22)/(VLOOKUP($T22,Base!$A$2:$Z$1000,3,0)),"")</f>
        <v/>
      </c>
      <c r="AC22" s="12" t="str">
        <f>IF($T22&gt;0,(VLOOKUP($T22,Base!$A$2:$Z$1000,10,0)*$V22)/(VLOOKUP($T22,Base!$A$2:$Z$1000,3,0)),"")</f>
        <v/>
      </c>
      <c r="AD22" s="12" t="str">
        <f>IF($T22&gt;0,(VLOOKUP($T22,Base!$A$2:$Z$1000,11,0)*$V22)/(VLOOKUP($T22,Base!$A$2:$Z$1000,3,0)),"")</f>
        <v/>
      </c>
      <c r="AE22" s="12" t="str">
        <f>IF($T22&gt;0,(VLOOKUP($T22,Base!$A$2:$Z$1000,12,0)*$V22)/(VLOOKUP($T22,Base!$A$2:$Z$1000,3,0)),"")</f>
        <v/>
      </c>
      <c r="AF22" s="12" t="str">
        <f>IF($T22&gt;0,(VLOOKUP($T22,Base!$A$2:$Z$1000,13,0)*$V22)/(VLOOKUP($T22,Base!$A$2:$Z$1000,3,0)),"")</f>
        <v/>
      </c>
      <c r="AG22" s="12" t="str">
        <f>IF($T22&gt;0,(VLOOKUP($T22,Base!$A$2:$Z$1000,14,0)*$V22)/(VLOOKUP($T22,Base!$A$2:$Z$1000,3,0)),"")</f>
        <v/>
      </c>
      <c r="AH22" s="44" t="str">
        <f>IF($T22&gt;0,(VLOOKUP($T22,Base!$A$2:$Z$1000,15,0)*$V22)/(VLOOKUP($T22,Base!$A$2:$Z$1000,3,0)),"")</f>
        <v/>
      </c>
    </row>
    <row r="23" spans="2:34" ht="15.95" customHeight="1" thickBot="1" x14ac:dyDescent="0.25">
      <c r="B23" s="31"/>
      <c r="K23" s="34" t="s">
        <v>208</v>
      </c>
      <c r="L23" s="66">
        <v>30</v>
      </c>
      <c r="M23" s="67">
        <f>AH36</f>
        <v>18.2</v>
      </c>
      <c r="N23" s="67">
        <f t="shared" si="0"/>
        <v>0.60666666666666669</v>
      </c>
      <c r="O23" s="35"/>
      <c r="P23" s="35"/>
      <c r="Q23" s="53"/>
      <c r="R23" s="36"/>
      <c r="T23" s="43"/>
      <c r="V23" s="50"/>
      <c r="W23" s="12" t="str">
        <f>IF($T23&gt;0,(VLOOKUP($T23,Base!$A$2:$Z$1000,4,0)*$V23)/(VLOOKUP($T23,Base!$A$2:$Z$1000,3,0)),"")</f>
        <v/>
      </c>
      <c r="X23" s="12" t="str">
        <f>IF($T23&gt;0,(VLOOKUP($T23,Base!$A$2:$Z$1000,5,0)*$V23)/(VLOOKUP($T23,Base!$A$2:$Z$1000,3,0)),"")</f>
        <v/>
      </c>
      <c r="Y23" s="12" t="str">
        <f>IF($T23&gt;0,(VLOOKUP($T23,Base!$A$2:$Z$1000,6,0)*$V23)/(VLOOKUP($T23,Base!$A$2:$Z$1000,3,0)),"")</f>
        <v/>
      </c>
      <c r="Z23" s="12" t="str">
        <f>IF($T23&gt;0,(VLOOKUP($T23,Base!$A$2:$Z$1000,7,0)*$V23)/(VLOOKUP($T23,Base!$A$2:$Z$1000,3,0)),"")</f>
        <v/>
      </c>
      <c r="AA23" s="12" t="str">
        <f>IF($T23&gt;0,(VLOOKUP($T23,Base!$A$2:$Z$1000,8,0)*$V23)/(VLOOKUP($T23,Base!$A$2:$Z$1000,3,0)),"")</f>
        <v/>
      </c>
      <c r="AB23" s="12" t="str">
        <f>IF($T23&gt;0,(VLOOKUP($T23,Base!$A$2:$Z$1000,9,0)*$V23)/(VLOOKUP($T23,Base!$A$2:$Z$1000,3,0)),"")</f>
        <v/>
      </c>
      <c r="AC23" s="12" t="str">
        <f>IF($T23&gt;0,(VLOOKUP($T23,Base!$A$2:$Z$1000,10,0)*$V23)/(VLOOKUP($T23,Base!$A$2:$Z$1000,3,0)),"")</f>
        <v/>
      </c>
      <c r="AD23" s="12" t="str">
        <f>IF($T23&gt;0,(VLOOKUP($T23,Base!$A$2:$Z$1000,11,0)*$V23)/(VLOOKUP($T23,Base!$A$2:$Z$1000,3,0)),"")</f>
        <v/>
      </c>
      <c r="AE23" s="12" t="str">
        <f>IF($T23&gt;0,(VLOOKUP($T23,Base!$A$2:$Z$1000,12,0)*$V23)/(VLOOKUP($T23,Base!$A$2:$Z$1000,3,0)),"")</f>
        <v/>
      </c>
      <c r="AF23" s="12" t="str">
        <f>IF($T23&gt;0,(VLOOKUP($T23,Base!$A$2:$Z$1000,13,0)*$V23)/(VLOOKUP($T23,Base!$A$2:$Z$1000,3,0)),"")</f>
        <v/>
      </c>
      <c r="AG23" s="12" t="str">
        <f>IF($T23&gt;0,(VLOOKUP($T23,Base!$A$2:$Z$1000,14,0)*$V23)/(VLOOKUP($T23,Base!$A$2:$Z$1000,3,0)),"")</f>
        <v/>
      </c>
      <c r="AH23" s="44" t="str">
        <f>IF($T23&gt;0,(VLOOKUP($T23,Base!$A$2:$Z$1000,15,0)*$V23)/(VLOOKUP($T23,Base!$A$2:$Z$1000,3,0)),"")</f>
        <v/>
      </c>
    </row>
    <row r="24" spans="2:34" ht="15.95" customHeight="1" thickBot="1" x14ac:dyDescent="0.25">
      <c r="B24" s="33" t="s">
        <v>41</v>
      </c>
      <c r="C24" s="18"/>
      <c r="D24" s="18"/>
      <c r="E24" s="18"/>
      <c r="F24" s="18"/>
      <c r="G24" s="18"/>
      <c r="H24" s="18"/>
      <c r="I24" s="18"/>
      <c r="J24" s="18"/>
      <c r="Q24" s="4"/>
      <c r="T24" s="43"/>
      <c r="V24" s="50"/>
      <c r="W24" s="12" t="str">
        <f>IF($T24&gt;0,(VLOOKUP($T24,Base!$A$2:$Z$1000,4,0)*$V24)/(VLOOKUP($T24,Base!$A$2:$Z$1000,3,0)),"")</f>
        <v/>
      </c>
      <c r="X24" s="12" t="str">
        <f>IF($T24&gt;0,(VLOOKUP($T24,Base!$A$2:$Z$1000,5,0)*$V24)/(VLOOKUP($T24,Base!$A$2:$Z$1000,3,0)),"")</f>
        <v/>
      </c>
      <c r="Y24" s="12" t="str">
        <f>IF($T24&gt;0,(VLOOKUP($T24,Base!$A$2:$Z$1000,6,0)*$V24)/(VLOOKUP($T24,Base!$A$2:$Z$1000,3,0)),"")</f>
        <v/>
      </c>
      <c r="Z24" s="12" t="str">
        <f>IF($T24&gt;0,(VLOOKUP($T24,Base!$A$2:$Z$1000,7,0)*$V24)/(VLOOKUP($T24,Base!$A$2:$Z$1000,3,0)),"")</f>
        <v/>
      </c>
      <c r="AA24" s="12" t="str">
        <f>IF($T24&gt;0,(VLOOKUP($T24,Base!$A$2:$Z$1000,8,0)*$V24)/(VLOOKUP($T24,Base!$A$2:$Z$1000,3,0)),"")</f>
        <v/>
      </c>
      <c r="AB24" s="12" t="str">
        <f>IF($T24&gt;0,(VLOOKUP($T24,Base!$A$2:$Z$1000,9,0)*$V24)/(VLOOKUP($T24,Base!$A$2:$Z$1000,3,0)),"")</f>
        <v/>
      </c>
      <c r="AC24" s="12" t="str">
        <f>IF($T24&gt;0,(VLOOKUP($T24,Base!$A$2:$Z$1000,10,0)*$V24)/(VLOOKUP($T24,Base!$A$2:$Z$1000,3,0)),"")</f>
        <v/>
      </c>
      <c r="AD24" s="12" t="str">
        <f>IF($T24&gt;0,(VLOOKUP($T24,Base!$A$2:$Z$1000,11,0)*$V24)/(VLOOKUP($T24,Base!$A$2:$Z$1000,3,0)),"")</f>
        <v/>
      </c>
      <c r="AE24" s="12" t="str">
        <f>IF($T24&gt;0,(VLOOKUP($T24,Base!$A$2:$Z$1000,12,0)*$V24)/(VLOOKUP($T24,Base!$A$2:$Z$1000,3,0)),"")</f>
        <v/>
      </c>
      <c r="AF24" s="12" t="str">
        <f>IF($T24&gt;0,(VLOOKUP($T24,Base!$A$2:$Z$1000,13,0)*$V24)/(VLOOKUP($T24,Base!$A$2:$Z$1000,3,0)),"")</f>
        <v/>
      </c>
      <c r="AG24" s="12" t="str">
        <f>IF($T24&gt;0,(VLOOKUP($T24,Base!$A$2:$Z$1000,14,0)*$V24)/(VLOOKUP($T24,Base!$A$2:$Z$1000,3,0)),"")</f>
        <v/>
      </c>
      <c r="AH24" s="44" t="str">
        <f>IF($T24&gt;0,(VLOOKUP($T24,Base!$A$2:$Z$1000,15,0)*$V24)/(VLOOKUP($T24,Base!$A$2:$Z$1000,3,0)),"")</f>
        <v/>
      </c>
    </row>
    <row r="25" spans="2:34" ht="15.95" customHeight="1" x14ac:dyDescent="0.2">
      <c r="B25" s="61" t="s">
        <v>42</v>
      </c>
      <c r="C25" s="335" t="s">
        <v>214</v>
      </c>
      <c r="D25" s="335"/>
      <c r="E25" s="75"/>
      <c r="F25" s="75"/>
      <c r="G25" s="75"/>
      <c r="H25" s="76"/>
      <c r="K25" s="363" t="s">
        <v>40</v>
      </c>
      <c r="L25" s="364"/>
      <c r="M25" s="365">
        <f>SUM(M26:M28)</f>
        <v>1332.3389999999999</v>
      </c>
      <c r="N25" s="366" t="s">
        <v>22</v>
      </c>
      <c r="O25" s="366"/>
      <c r="P25" s="366"/>
      <c r="Q25" s="364"/>
      <c r="R25" s="367"/>
      <c r="T25" s="43"/>
      <c r="V25" s="50"/>
      <c r="W25" s="12" t="str">
        <f>IF($T25&gt;0,(VLOOKUP($T25,Base!$A$2:$Z$1000,4,0)*$V25)/(VLOOKUP($T25,Base!$A$2:$Z$1000,3,0)),"")</f>
        <v/>
      </c>
      <c r="X25" s="12" t="str">
        <f>IF($T25&gt;0,(VLOOKUP($T25,Base!$A$2:$Z$1000,5,0)*$V25)/(VLOOKUP($T25,Base!$A$2:$Z$1000,3,0)),"")</f>
        <v/>
      </c>
      <c r="Y25" s="12" t="str">
        <f>IF($T25&gt;0,(VLOOKUP($T25,Base!$A$2:$Z$1000,6,0)*$V25)/(VLOOKUP($T25,Base!$A$2:$Z$1000,3,0)),"")</f>
        <v/>
      </c>
      <c r="Z25" s="12" t="str">
        <f>IF($T25&gt;0,(VLOOKUP($T25,Base!$A$2:$Z$1000,7,0)*$V25)/(VLOOKUP($T25,Base!$A$2:$Z$1000,3,0)),"")</f>
        <v/>
      </c>
      <c r="AA25" s="12" t="str">
        <f>IF($T25&gt;0,(VLOOKUP($T25,Base!$A$2:$Z$1000,8,0)*$V25)/(VLOOKUP($T25,Base!$A$2:$Z$1000,3,0)),"")</f>
        <v/>
      </c>
      <c r="AB25" s="12" t="str">
        <f>IF($T25&gt;0,(VLOOKUP($T25,Base!$A$2:$Z$1000,9,0)*$V25)/(VLOOKUP($T25,Base!$A$2:$Z$1000,3,0)),"")</f>
        <v/>
      </c>
      <c r="AC25" s="12" t="str">
        <f>IF($T25&gt;0,(VLOOKUP($T25,Base!$A$2:$Z$1000,10,0)*$V25)/(VLOOKUP($T25,Base!$A$2:$Z$1000,3,0)),"")</f>
        <v/>
      </c>
      <c r="AD25" s="12" t="str">
        <f>IF($T25&gt;0,(VLOOKUP($T25,Base!$A$2:$Z$1000,11,0)*$V25)/(VLOOKUP($T25,Base!$A$2:$Z$1000,3,0)),"")</f>
        <v/>
      </c>
      <c r="AE25" s="12" t="str">
        <f>IF($T25&gt;0,(VLOOKUP($T25,Base!$A$2:$Z$1000,12,0)*$V25)/(VLOOKUP($T25,Base!$A$2:$Z$1000,3,0)),"")</f>
        <v/>
      </c>
      <c r="AF25" s="12" t="str">
        <f>IF($T25&gt;0,(VLOOKUP($T25,Base!$A$2:$Z$1000,13,0)*$V25)/(VLOOKUP($T25,Base!$A$2:$Z$1000,3,0)),"")</f>
        <v/>
      </c>
      <c r="AG25" s="12" t="str">
        <f>IF($T25&gt;0,(VLOOKUP($T25,Base!$A$2:$Z$1000,14,0)*$V25)/(VLOOKUP($T25,Base!$A$2:$Z$1000,3,0)),"")</f>
        <v/>
      </c>
      <c r="AH25" s="44" t="str">
        <f>IF($T25&gt;0,(VLOOKUP($T25,Base!$A$2:$Z$1000,15,0)*$V25)/(VLOOKUP($T25,Base!$A$2:$Z$1000,3,0)),"")</f>
        <v/>
      </c>
    </row>
    <row r="26" spans="2:34" ht="15.95" customHeight="1" x14ac:dyDescent="0.2">
      <c r="B26" s="31" t="s">
        <v>43</v>
      </c>
      <c r="C26" s="322" t="s">
        <v>216</v>
      </c>
      <c r="D26" s="322"/>
      <c r="E26" s="68"/>
      <c r="F26" s="68"/>
      <c r="G26" s="68"/>
      <c r="H26" s="77"/>
      <c r="K26" s="368" t="s">
        <v>24</v>
      </c>
      <c r="L26" s="369">
        <f>M26*100/M25</f>
        <v>17.375757971507252</v>
      </c>
      <c r="M26" s="370">
        <f>O26*4</f>
        <v>231.50400000000002</v>
      </c>
      <c r="N26" s="371" t="s">
        <v>22</v>
      </c>
      <c r="O26" s="370">
        <f>W36</f>
        <v>57.876000000000005</v>
      </c>
      <c r="P26" s="371" t="s">
        <v>25</v>
      </c>
      <c r="Q26" s="372">
        <f>O26/C9</f>
        <v>0.93348387096774199</v>
      </c>
      <c r="R26" s="373" t="s">
        <v>26</v>
      </c>
      <c r="T26" s="43"/>
      <c r="U26" s="22" t="str">
        <f>IF($T26&gt;0,(UPPER(VLOOKUP($T26,Base!$A$2:$Z$1000,2,0))),"")</f>
        <v/>
      </c>
      <c r="V26" s="50"/>
      <c r="W26" s="12" t="str">
        <f>IF($T26&gt;0,(VLOOKUP($T26,Base!$A$2:$Z$1000,4,0)*$V26)/(VLOOKUP($T26,Base!$A$2:$Z$1000,3,0)),"")</f>
        <v/>
      </c>
      <c r="X26" s="12" t="str">
        <f>IF($T26&gt;0,(VLOOKUP($T26,Base!$A$2:$Z$1000,5,0)*$V26)/(VLOOKUP($T26,Base!$A$2:$Z$1000,3,0)),"")</f>
        <v/>
      </c>
      <c r="Y26" s="12" t="str">
        <f>IF($T26&gt;0,(VLOOKUP($T26,Base!$A$2:$Z$1000,6,0)*$V26)/(VLOOKUP($T26,Base!$A$2:$Z$1000,3,0)),"")</f>
        <v/>
      </c>
      <c r="Z26" s="12" t="str">
        <f>IF($T26&gt;0,(VLOOKUP($T26,Base!$A$2:$Z$1000,7,0)*$V26)/(VLOOKUP($T26,Base!$A$2:$Z$1000,3,0)),"")</f>
        <v/>
      </c>
      <c r="AA26" s="12" t="str">
        <f>IF($T26&gt;0,(VLOOKUP($T26,Base!$A$2:$Z$1000,8,0)*$V26)/(VLOOKUP($T26,Base!$A$2:$Z$1000,3,0)),"")</f>
        <v/>
      </c>
      <c r="AB26" s="12" t="str">
        <f>IF($T26&gt;0,(VLOOKUP($T26,Base!$A$2:$Z$1000,9,0)*$V26)/(VLOOKUP($T26,Base!$A$2:$Z$1000,3,0)),"")</f>
        <v/>
      </c>
      <c r="AC26" s="12" t="str">
        <f>IF($T26&gt;0,(VLOOKUP($T26,Base!$A$2:$Z$1000,10,0)*$V26)/(VLOOKUP($T26,Base!$A$2:$Z$1000,3,0)),"")</f>
        <v/>
      </c>
      <c r="AD26" s="12" t="str">
        <f>IF($T26&gt;0,(VLOOKUP($T26,Base!$A$2:$Z$1000,11,0)*$V26)/(VLOOKUP($T26,Base!$A$2:$Z$1000,3,0)),"")</f>
        <v/>
      </c>
      <c r="AE26" s="12" t="str">
        <f>IF($T26&gt;0,(VLOOKUP($T26,Base!$A$2:$Z$1000,12,0)*$V26)/(VLOOKUP($T26,Base!$A$2:$Z$1000,3,0)),"")</f>
        <v/>
      </c>
      <c r="AF26" s="12" t="str">
        <f>IF($T26&gt;0,(VLOOKUP($T26,Base!$A$2:$Z$1000,13,0)*$V26)/(VLOOKUP($T26,Base!$A$2:$Z$1000,3,0)),"")</f>
        <v/>
      </c>
      <c r="AG26" s="12" t="str">
        <f>IF($T26&gt;0,(VLOOKUP($T26,Base!$A$2:$Z$1000,14,0)*$V26)/(VLOOKUP($T26,Base!$A$2:$Z$1000,3,0)),"")</f>
        <v/>
      </c>
      <c r="AH26" s="44" t="str">
        <f>IF($T26&gt;0,(VLOOKUP($T26,Base!$A$2:$Z$1000,15,0)*$V26)/(VLOOKUP($T26,Base!$A$2:$Z$1000,3,0)),"")</f>
        <v/>
      </c>
    </row>
    <row r="27" spans="2:34" ht="15.95" customHeight="1" x14ac:dyDescent="0.2">
      <c r="B27" s="31" t="s">
        <v>44</v>
      </c>
      <c r="C27" s="322" t="s">
        <v>215</v>
      </c>
      <c r="D27" s="322"/>
      <c r="E27" s="68"/>
      <c r="F27" s="68"/>
      <c r="G27" s="68"/>
      <c r="H27" s="77"/>
      <c r="K27" s="368" t="s">
        <v>27</v>
      </c>
      <c r="L27" s="369">
        <f>M27*100/M25</f>
        <v>47.855388155717129</v>
      </c>
      <c r="M27" s="370">
        <f>O27*4</f>
        <v>637.596</v>
      </c>
      <c r="N27" s="371" t="s">
        <v>22</v>
      </c>
      <c r="O27" s="370">
        <f>X36</f>
        <v>159.399</v>
      </c>
      <c r="P27" s="371" t="s">
        <v>25</v>
      </c>
      <c r="Q27" s="372">
        <f>O27/C9</f>
        <v>2.5709516129032259</v>
      </c>
      <c r="R27" s="373" t="s">
        <v>26</v>
      </c>
      <c r="T27" s="43"/>
      <c r="U27" s="22" t="str">
        <f>IF($T27&gt;0,(UPPER(VLOOKUP($T27,Base!$A$2:$Z$1000,2,0))),"")</f>
        <v/>
      </c>
      <c r="V27" s="50"/>
      <c r="W27" s="12" t="str">
        <f>IF($T27&gt;0,(VLOOKUP($T27,Base!$A$2:$Z$1000,4,0)*$V27)/(VLOOKUP($T27,Base!$A$2:$Z$1000,3,0)),"")</f>
        <v/>
      </c>
      <c r="X27" s="12" t="str">
        <f>IF($T27&gt;0,(VLOOKUP($T27,Base!$A$2:$Z$1000,5,0)*$V27)/(VLOOKUP($T27,Base!$A$2:$Z$1000,3,0)),"")</f>
        <v/>
      </c>
      <c r="Y27" s="12" t="str">
        <f>IF($T27&gt;0,(VLOOKUP($T27,Base!$A$2:$Z$1000,6,0)*$V27)/(VLOOKUP($T27,Base!$A$2:$Z$1000,3,0)),"")</f>
        <v/>
      </c>
      <c r="Z27" s="12" t="str">
        <f>IF($T27&gt;0,(VLOOKUP($T27,Base!$A$2:$Z$1000,7,0)*$V27)/(VLOOKUP($T27,Base!$A$2:$Z$1000,3,0)),"")</f>
        <v/>
      </c>
      <c r="AA27" s="12" t="str">
        <f>IF($T27&gt;0,(VLOOKUP($T27,Base!$A$2:$Z$1000,8,0)*$V27)/(VLOOKUP($T27,Base!$A$2:$Z$1000,3,0)),"")</f>
        <v/>
      </c>
      <c r="AB27" s="12" t="str">
        <f>IF($T27&gt;0,(VLOOKUP($T27,Base!$A$2:$Z$1000,9,0)*$V27)/(VLOOKUP($T27,Base!$A$2:$Z$1000,3,0)),"")</f>
        <v/>
      </c>
      <c r="AC27" s="12" t="str">
        <f>IF($T27&gt;0,(VLOOKUP($T27,Base!$A$2:$Z$1000,10,0)*$V27)/(VLOOKUP($T27,Base!$A$2:$Z$1000,3,0)),"")</f>
        <v/>
      </c>
      <c r="AD27" s="12" t="str">
        <f>IF($T27&gt;0,(VLOOKUP($T27,Base!$A$2:$Z$1000,11,0)*$V27)/(VLOOKUP($T27,Base!$A$2:$Z$1000,3,0)),"")</f>
        <v/>
      </c>
      <c r="AE27" s="12" t="str">
        <f>IF($T27&gt;0,(VLOOKUP($T27,Base!$A$2:$Z$1000,12,0)*$V27)/(VLOOKUP($T27,Base!$A$2:$Z$1000,3,0)),"")</f>
        <v/>
      </c>
      <c r="AF27" s="12" t="str">
        <f>IF($T27&gt;0,(VLOOKUP($T27,Base!$A$2:$Z$1000,13,0)*$V27)/(VLOOKUP($T27,Base!$A$2:$Z$1000,3,0)),"")</f>
        <v/>
      </c>
      <c r="AG27" s="12" t="str">
        <f>IF($T27&gt;0,(VLOOKUP($T27,Base!$A$2:$Z$1000,14,0)*$V27)/(VLOOKUP($T27,Base!$A$2:$Z$1000,3,0)),"")</f>
        <v/>
      </c>
      <c r="AH27" s="44" t="str">
        <f>IF($T27&gt;0,(VLOOKUP($T27,Base!$A$2:$Z$1000,15,0)*$V27)/(VLOOKUP($T27,Base!$A$2:$Z$1000,3,0)),"")</f>
        <v/>
      </c>
    </row>
    <row r="28" spans="2:34" ht="15.95" customHeight="1" thickBot="1" x14ac:dyDescent="0.25">
      <c r="B28" s="34" t="s">
        <v>45</v>
      </c>
      <c r="C28" s="323" t="s">
        <v>214</v>
      </c>
      <c r="D28" s="323"/>
      <c r="E28" s="78"/>
      <c r="F28" s="78"/>
      <c r="G28" s="78"/>
      <c r="H28" s="79"/>
      <c r="I28" s="35"/>
      <c r="J28" s="35"/>
      <c r="K28" s="374" t="s">
        <v>31</v>
      </c>
      <c r="L28" s="375">
        <f>M28*100/M25</f>
        <v>34.768853872775622</v>
      </c>
      <c r="M28" s="376">
        <f>O28*9</f>
        <v>463.23899999999998</v>
      </c>
      <c r="N28" s="377" t="s">
        <v>22</v>
      </c>
      <c r="O28" s="376">
        <f>Y36</f>
        <v>51.470999999999997</v>
      </c>
      <c r="P28" s="377" t="s">
        <v>25</v>
      </c>
      <c r="Q28" s="378">
        <f>O28/C9</f>
        <v>0.83017741935483869</v>
      </c>
      <c r="R28" s="379" t="s">
        <v>26</v>
      </c>
      <c r="T28" s="43"/>
      <c r="U28" s="22" t="str">
        <f>IF($T28&gt;0,(UPPER(VLOOKUP($T28,Base!$A$2:$Z$1000,2,0))),"")</f>
        <v/>
      </c>
      <c r="V28" s="50"/>
      <c r="W28" s="12" t="str">
        <f>IF($T28&gt;0,(VLOOKUP($T28,Base!$A$2:$Z$1000,4,0)*$V28)/(VLOOKUP($T28,Base!$A$2:$Z$1000,3,0)),"")</f>
        <v/>
      </c>
      <c r="X28" s="12" t="str">
        <f>IF($T28&gt;0,(VLOOKUP($T28,Base!$A$2:$Z$1000,5,0)*$V28)/(VLOOKUP($T28,Base!$A$2:$Z$1000,3,0)),"")</f>
        <v/>
      </c>
      <c r="Y28" s="12" t="str">
        <f>IF($T28&gt;0,(VLOOKUP($T28,Base!$A$2:$Z$1000,6,0)*$V28)/(VLOOKUP($T28,Base!$A$2:$Z$1000,3,0)),"")</f>
        <v/>
      </c>
      <c r="Z28" s="12" t="str">
        <f>IF($T28&gt;0,(VLOOKUP($T28,Base!$A$2:$Z$1000,7,0)*$V28)/(VLOOKUP($T28,Base!$A$2:$Z$1000,3,0)),"")</f>
        <v/>
      </c>
      <c r="AA28" s="12" t="str">
        <f>IF($T28&gt;0,(VLOOKUP($T28,Base!$A$2:$Z$1000,8,0)*$V28)/(VLOOKUP($T28,Base!$A$2:$Z$1000,3,0)),"")</f>
        <v/>
      </c>
      <c r="AB28" s="12" t="str">
        <f>IF($T28&gt;0,(VLOOKUP($T28,Base!$A$2:$Z$1000,9,0)*$V28)/(VLOOKUP($T28,Base!$A$2:$Z$1000,3,0)),"")</f>
        <v/>
      </c>
      <c r="AC28" s="12" t="str">
        <f>IF($T28&gt;0,(VLOOKUP($T28,Base!$A$2:$Z$1000,10,0)*$V28)/(VLOOKUP($T28,Base!$A$2:$Z$1000,3,0)),"")</f>
        <v/>
      </c>
      <c r="AD28" s="12" t="str">
        <f>IF($T28&gt;0,(VLOOKUP($T28,Base!$A$2:$Z$1000,11,0)*$V28)/(VLOOKUP($T28,Base!$A$2:$Z$1000,3,0)),"")</f>
        <v/>
      </c>
      <c r="AE28" s="12" t="str">
        <f>IF($T28&gt;0,(VLOOKUP($T28,Base!$A$2:$Z$1000,12,0)*$V28)/(VLOOKUP($T28,Base!$A$2:$Z$1000,3,0)),"")</f>
        <v/>
      </c>
      <c r="AF28" s="12" t="str">
        <f>IF($T28&gt;0,(VLOOKUP($T28,Base!$A$2:$Z$1000,13,0)*$V28)/(VLOOKUP($T28,Base!$A$2:$Z$1000,3,0)),"")</f>
        <v/>
      </c>
      <c r="AG28" s="12" t="str">
        <f>IF($T28&gt;0,(VLOOKUP($T28,Base!$A$2:$Z$1000,14,0)*$V28)/(VLOOKUP($T28,Base!$A$2:$Z$1000,3,0)),"")</f>
        <v/>
      </c>
      <c r="AH28" s="44" t="str">
        <f>IF($T28&gt;0,(VLOOKUP($T28,Base!$A$2:$Z$1000,15,0)*$V28)/(VLOOKUP($T28,Base!$A$2:$Z$1000,3,0)),"")</f>
        <v/>
      </c>
    </row>
    <row r="29" spans="2:34" ht="15.95" customHeight="1" x14ac:dyDescent="0.2">
      <c r="T29" s="43"/>
      <c r="U29" s="22" t="str">
        <f>IF($T29&gt;0,(UPPER(VLOOKUP($T29,Base!$A$2:$Z$1000,2,0))),"")</f>
        <v/>
      </c>
      <c r="V29" s="50"/>
      <c r="W29" s="12" t="str">
        <f>IF($T29&gt;0,(VLOOKUP($T29,Base!$A$2:$Z$1000,4,0)*$V29)/(VLOOKUP($T29,Base!$A$2:$Z$1000,3,0)),"")</f>
        <v/>
      </c>
      <c r="X29" s="12" t="str">
        <f>IF($T29&gt;0,(VLOOKUP($T29,Base!$A$2:$Z$1000,5,0)*$V29)/(VLOOKUP($T29,Base!$A$2:$Z$1000,3,0)),"")</f>
        <v/>
      </c>
      <c r="Y29" s="12" t="str">
        <f>IF($T29&gt;0,(VLOOKUP($T29,Base!$A$2:$Z$1000,6,0)*$V29)/(VLOOKUP($T29,Base!$A$2:$Z$1000,3,0)),"")</f>
        <v/>
      </c>
      <c r="Z29" s="12" t="str">
        <f>IF($T29&gt;0,(VLOOKUP($T29,Base!$A$2:$Z$1000,7,0)*$V29)/(VLOOKUP($T29,Base!$A$2:$Z$1000,3,0)),"")</f>
        <v/>
      </c>
      <c r="AA29" s="12" t="str">
        <f>IF($T29&gt;0,(VLOOKUP($T29,Base!$A$2:$Z$1000,8,0)*$V29)/(VLOOKUP($T29,Base!$A$2:$Z$1000,3,0)),"")</f>
        <v/>
      </c>
      <c r="AB29" s="12" t="str">
        <f>IF($T29&gt;0,(VLOOKUP($T29,Base!$A$2:$Z$1000,9,0)*$V29)/(VLOOKUP($T29,Base!$A$2:$Z$1000,3,0)),"")</f>
        <v/>
      </c>
      <c r="AC29" s="12" t="str">
        <f>IF($T29&gt;0,(VLOOKUP($T29,Base!$A$2:$Z$1000,10,0)*$V29)/(VLOOKUP($T29,Base!$A$2:$Z$1000,3,0)),"")</f>
        <v/>
      </c>
      <c r="AD29" s="12" t="str">
        <f>IF($T29&gt;0,(VLOOKUP($T29,Base!$A$2:$Z$1000,11,0)*$V29)/(VLOOKUP($T29,Base!$A$2:$Z$1000,3,0)),"")</f>
        <v/>
      </c>
      <c r="AE29" s="12" t="str">
        <f>IF($T29&gt;0,(VLOOKUP($T29,Base!$A$2:$Z$1000,12,0)*$V29)/(VLOOKUP($T29,Base!$A$2:$Z$1000,3,0)),"")</f>
        <v/>
      </c>
      <c r="AF29" s="12" t="str">
        <f>IF($T29&gt;0,(VLOOKUP($T29,Base!$A$2:$Z$1000,13,0)*$V29)/(VLOOKUP($T29,Base!$A$2:$Z$1000,3,0)),"")</f>
        <v/>
      </c>
      <c r="AG29" s="12" t="str">
        <f>IF($T29&gt;0,(VLOOKUP($T29,Base!$A$2:$Z$1000,14,0)*$V29)/(VLOOKUP($T29,Base!$A$2:$Z$1000,3,0)),"")</f>
        <v/>
      </c>
      <c r="AH29" s="44" t="str">
        <f>IF($T29&gt;0,(VLOOKUP($T29,Base!$A$2:$Z$1000,15,0)*$V29)/(VLOOKUP($T29,Base!$A$2:$Z$1000,3,0)),"")</f>
        <v/>
      </c>
    </row>
    <row r="30" spans="2:34" ht="15.95" customHeight="1" x14ac:dyDescent="0.2">
      <c r="T30" s="43"/>
      <c r="U30" s="22" t="str">
        <f>IF($T30&gt;0,(UPPER(VLOOKUP($T30,Base!$A$2:$Z$1000,2,0))),"")</f>
        <v/>
      </c>
      <c r="V30" s="50"/>
      <c r="W30" s="12" t="str">
        <f>IF($T30&gt;0,(VLOOKUP($T30,Base!$A$2:$Z$1000,4,0)*$V30)/(VLOOKUP($T30,Base!$A$2:$Z$1000,3,0)),"")</f>
        <v/>
      </c>
      <c r="X30" s="12" t="str">
        <f>IF($T30&gt;0,(VLOOKUP($T30,Base!$A$2:$Z$1000,5,0)*$V30)/(VLOOKUP($T30,Base!$A$2:$Z$1000,3,0)),"")</f>
        <v/>
      </c>
      <c r="Y30" s="12" t="str">
        <f>IF($T30&gt;0,(VLOOKUP($T30,Base!$A$2:$Z$1000,6,0)*$V30)/(VLOOKUP($T30,Base!$A$2:$Z$1000,3,0)),"")</f>
        <v/>
      </c>
      <c r="Z30" s="12" t="str">
        <f>IF($T30&gt;0,(VLOOKUP($T30,Base!$A$2:$Z$1000,7,0)*$V30)/(VLOOKUP($T30,Base!$A$2:$Z$1000,3,0)),"")</f>
        <v/>
      </c>
      <c r="AA30" s="12" t="str">
        <f>IF($T30&gt;0,(VLOOKUP($T30,Base!$A$2:$Z$1000,8,0)*$V30)/(VLOOKUP($T30,Base!$A$2:$Z$1000,3,0)),"")</f>
        <v/>
      </c>
      <c r="AB30" s="12" t="str">
        <f>IF($T30&gt;0,(VLOOKUP($T30,Base!$A$2:$Z$1000,9,0)*$V30)/(VLOOKUP($T30,Base!$A$2:$Z$1000,3,0)),"")</f>
        <v/>
      </c>
      <c r="AC30" s="12" t="str">
        <f>IF($T30&gt;0,(VLOOKUP($T30,Base!$A$2:$Z$1000,10,0)*$V30)/(VLOOKUP($T30,Base!$A$2:$Z$1000,3,0)),"")</f>
        <v/>
      </c>
      <c r="AD30" s="12" t="str">
        <f>IF($T30&gt;0,(VLOOKUP($T30,Base!$A$2:$Z$1000,11,0)*$V30)/(VLOOKUP($T30,Base!$A$2:$Z$1000,3,0)),"")</f>
        <v/>
      </c>
      <c r="AE30" s="12" t="str">
        <f>IF($T30&gt;0,(VLOOKUP($T30,Base!$A$2:$Z$1000,12,0)*$V30)/(VLOOKUP($T30,Base!$A$2:$Z$1000,3,0)),"")</f>
        <v/>
      </c>
      <c r="AF30" s="12" t="str">
        <f>IF($T30&gt;0,(VLOOKUP($T30,Base!$A$2:$Z$1000,13,0)*$V30)/(VLOOKUP($T30,Base!$A$2:$Z$1000,3,0)),"")</f>
        <v/>
      </c>
      <c r="AG30" s="12" t="str">
        <f>IF($T30&gt;0,(VLOOKUP($T30,Base!$A$2:$Z$1000,14,0)*$V30)/(VLOOKUP($T30,Base!$A$2:$Z$1000,3,0)),"")</f>
        <v/>
      </c>
      <c r="AH30" s="44" t="str">
        <f>IF($T30&gt;0,(VLOOKUP($T30,Base!$A$2:$Z$1000,15,0)*$V30)/(VLOOKUP($T30,Base!$A$2:$Z$1000,3,0)),"")</f>
        <v/>
      </c>
    </row>
    <row r="31" spans="2:34" ht="15.95" customHeight="1" x14ac:dyDescent="0.2">
      <c r="T31" s="43"/>
      <c r="U31" s="22" t="str">
        <f>IF($T31&gt;0,(UPPER(VLOOKUP($T31,Base!$A$2:$Z$1000,2,0))),"")</f>
        <v/>
      </c>
      <c r="V31" s="50"/>
      <c r="W31" s="12" t="str">
        <f>IF($T31&gt;0,(VLOOKUP($T31,Base!$A$2:$Z$1000,4,0)*$V31)/(VLOOKUP($T31,Base!$A$2:$Z$1000,3,0)),"")</f>
        <v/>
      </c>
      <c r="X31" s="12" t="str">
        <f>IF($T31&gt;0,(VLOOKUP($T31,Base!$A$2:$Z$1000,5,0)*$V31)/(VLOOKUP($T31,Base!$A$2:$Z$1000,3,0)),"")</f>
        <v/>
      </c>
      <c r="Y31" s="12" t="str">
        <f>IF($T31&gt;0,(VLOOKUP($T31,Base!$A$2:$Z$1000,6,0)*$V31)/(VLOOKUP($T31,Base!$A$2:$Z$1000,3,0)),"")</f>
        <v/>
      </c>
      <c r="Z31" s="12" t="str">
        <f>IF($T31&gt;0,(VLOOKUP($T31,Base!$A$2:$Z$1000,7,0)*$V31)/(VLOOKUP($T31,Base!$A$2:$Z$1000,3,0)),"")</f>
        <v/>
      </c>
      <c r="AA31" s="12" t="str">
        <f>IF($T31&gt;0,(VLOOKUP($T31,Base!$A$2:$Z$1000,8,0)*$V31)/(VLOOKUP($T31,Base!$A$2:$Z$1000,3,0)),"")</f>
        <v/>
      </c>
      <c r="AB31" s="12" t="str">
        <f>IF($T31&gt;0,(VLOOKUP($T31,Base!$A$2:$Z$1000,9,0)*$V31)/(VLOOKUP($T31,Base!$A$2:$Z$1000,3,0)),"")</f>
        <v/>
      </c>
      <c r="AC31" s="12" t="str">
        <f>IF($T31&gt;0,(VLOOKUP($T31,Base!$A$2:$Z$1000,10,0)*$V31)/(VLOOKUP($T31,Base!$A$2:$Z$1000,3,0)),"")</f>
        <v/>
      </c>
      <c r="AD31" s="12" t="str">
        <f>IF($T31&gt;0,(VLOOKUP($T31,Base!$A$2:$Z$1000,11,0)*$V31)/(VLOOKUP($T31,Base!$A$2:$Z$1000,3,0)),"")</f>
        <v/>
      </c>
      <c r="AE31" s="12" t="str">
        <f>IF($T31&gt;0,(VLOOKUP($T31,Base!$A$2:$Z$1000,12,0)*$V31)/(VLOOKUP($T31,Base!$A$2:$Z$1000,3,0)),"")</f>
        <v/>
      </c>
      <c r="AF31" s="12" t="str">
        <f>IF($T31&gt;0,(VLOOKUP($T31,Base!$A$2:$Z$1000,13,0)*$V31)/(VLOOKUP($T31,Base!$A$2:$Z$1000,3,0)),"")</f>
        <v/>
      </c>
      <c r="AG31" s="12" t="str">
        <f>IF($T31&gt;0,(VLOOKUP($T31,Base!$A$2:$Z$1000,14,0)*$V31)/(VLOOKUP($T31,Base!$A$2:$Z$1000,3,0)),"")</f>
        <v/>
      </c>
      <c r="AH31" s="44" t="str">
        <f>IF($T31&gt;0,(VLOOKUP($T31,Base!$A$2:$Z$1000,15,0)*$V31)/(VLOOKUP($T31,Base!$A$2:$Z$1000,3,0)),"")</f>
        <v/>
      </c>
    </row>
    <row r="32" spans="2:34" ht="15.95" customHeight="1" x14ac:dyDescent="0.2">
      <c r="T32" s="43"/>
      <c r="U32" s="22" t="str">
        <f>IF($T32&gt;0,(UPPER(VLOOKUP($T32,Base!$A$2:$Z$1000,2,0))),"")</f>
        <v/>
      </c>
      <c r="V32" s="50"/>
      <c r="W32" s="12" t="str">
        <f>IF($T32&gt;0,(VLOOKUP($T32,Base!$A$2:$Z$1000,4,0)*$V32)/(VLOOKUP($T32,Base!$A$2:$Z$1000,3,0)),"")</f>
        <v/>
      </c>
      <c r="X32" s="12" t="str">
        <f>IF($T32&gt;0,(VLOOKUP($T32,Base!$A$2:$Z$1000,5,0)*$V32)/(VLOOKUP($T32,Base!$A$2:$Z$1000,3,0)),"")</f>
        <v/>
      </c>
      <c r="Y32" s="12" t="str">
        <f>IF($T32&gt;0,(VLOOKUP($T32,Base!$A$2:$Z$1000,6,0)*$V32)/(VLOOKUP($T32,Base!$A$2:$Z$1000,3,0)),"")</f>
        <v/>
      </c>
      <c r="Z32" s="12" t="str">
        <f>IF($T32&gt;0,(VLOOKUP($T32,Base!$A$2:$Z$1000,7,0)*$V32)/(VLOOKUP($T32,Base!$A$2:$Z$1000,3,0)),"")</f>
        <v/>
      </c>
      <c r="AA32" s="12" t="str">
        <f>IF($T32&gt;0,(VLOOKUP($T32,Base!$A$2:$Z$1000,8,0)*$V32)/(VLOOKUP($T32,Base!$A$2:$Z$1000,3,0)),"")</f>
        <v/>
      </c>
      <c r="AB32" s="12" t="str">
        <f>IF($T32&gt;0,(VLOOKUP($T32,Base!$A$2:$Z$1000,9,0)*$V32)/(VLOOKUP($T32,Base!$A$2:$Z$1000,3,0)),"")</f>
        <v/>
      </c>
      <c r="AC32" s="12" t="str">
        <f>IF($T32&gt;0,(VLOOKUP($T32,Base!$A$2:$Z$1000,10,0)*$V32)/(VLOOKUP($T32,Base!$A$2:$Z$1000,3,0)),"")</f>
        <v/>
      </c>
      <c r="AD32" s="12" t="str">
        <f>IF($T32&gt;0,(VLOOKUP($T32,Base!$A$2:$Z$1000,11,0)*$V32)/(VLOOKUP($T32,Base!$A$2:$Z$1000,3,0)),"")</f>
        <v/>
      </c>
      <c r="AE32" s="12" t="str">
        <f>IF($T32&gt;0,(VLOOKUP($T32,Base!$A$2:$Z$1000,12,0)*$V32)/(VLOOKUP($T32,Base!$A$2:$Z$1000,3,0)),"")</f>
        <v/>
      </c>
      <c r="AF32" s="12" t="str">
        <f>IF($T32&gt;0,(VLOOKUP($T32,Base!$A$2:$Z$1000,13,0)*$V32)/(VLOOKUP($T32,Base!$A$2:$Z$1000,3,0)),"")</f>
        <v/>
      </c>
      <c r="AG32" s="12" t="str">
        <f>IF($T32&gt;0,(VLOOKUP($T32,Base!$A$2:$Z$1000,14,0)*$V32)/(VLOOKUP($T32,Base!$A$2:$Z$1000,3,0)),"")</f>
        <v/>
      </c>
      <c r="AH32" s="44" t="str">
        <f>IF($T32&gt;0,(VLOOKUP($T32,Base!$A$2:$Z$1000,15,0)*$V32)/(VLOOKUP($T32,Base!$A$2:$Z$1000,3,0)),"")</f>
        <v/>
      </c>
    </row>
    <row r="33" spans="2:34" ht="15.95" customHeight="1" x14ac:dyDescent="0.2">
      <c r="T33" s="43"/>
      <c r="U33" s="22" t="str">
        <f>IF($T33&gt;0,(UPPER(VLOOKUP($T33,Base!$A$2:$Z$1000,2,0))),"")</f>
        <v/>
      </c>
      <c r="V33" s="50"/>
      <c r="W33" s="12" t="str">
        <f>IF($T33&gt;0,(VLOOKUP($T33,Base!$A$2:$Z$1000,4,0)*$V33)/(VLOOKUP($T33,Base!$A$2:$Z$1000,3,0)),"")</f>
        <v/>
      </c>
      <c r="X33" s="12" t="str">
        <f>IF($T33&gt;0,(VLOOKUP($T33,Base!$A$2:$Z$1000,5,0)*$V33)/(VLOOKUP($T33,Base!$A$2:$Z$1000,3,0)),"")</f>
        <v/>
      </c>
      <c r="Y33" s="12" t="str">
        <f>IF($T33&gt;0,(VLOOKUP($T33,Base!$A$2:$Z$1000,6,0)*$V33)/(VLOOKUP($T33,Base!$A$2:$Z$1000,3,0)),"")</f>
        <v/>
      </c>
      <c r="Z33" s="12" t="str">
        <f>IF($T33&gt;0,(VLOOKUP($T33,Base!$A$2:$Z$1000,7,0)*$V33)/(VLOOKUP($T33,Base!$A$2:$Z$1000,3,0)),"")</f>
        <v/>
      </c>
      <c r="AA33" s="12" t="str">
        <f>IF($T33&gt;0,(VLOOKUP($T33,Base!$A$2:$Z$1000,8,0)*$V33)/(VLOOKUP($T33,Base!$A$2:$Z$1000,3,0)),"")</f>
        <v/>
      </c>
      <c r="AB33" s="12" t="str">
        <f>IF($T33&gt;0,(VLOOKUP($T33,Base!$A$2:$Z$1000,9,0)*$V33)/(VLOOKUP($T33,Base!$A$2:$Z$1000,3,0)),"")</f>
        <v/>
      </c>
      <c r="AC33" s="12" t="str">
        <f>IF($T33&gt;0,(VLOOKUP($T33,Base!$A$2:$Z$1000,10,0)*$V33)/(VLOOKUP($T33,Base!$A$2:$Z$1000,3,0)),"")</f>
        <v/>
      </c>
      <c r="AD33" s="12" t="str">
        <f>IF($T33&gt;0,(VLOOKUP($T33,Base!$A$2:$Z$1000,11,0)*$V33)/(VLOOKUP($T33,Base!$A$2:$Z$1000,3,0)),"")</f>
        <v/>
      </c>
      <c r="AE33" s="12" t="str">
        <f>IF($T33&gt;0,(VLOOKUP($T33,Base!$A$2:$Z$1000,12,0)*$V33)/(VLOOKUP($T33,Base!$A$2:$Z$1000,3,0)),"")</f>
        <v/>
      </c>
      <c r="AF33" s="12" t="str">
        <f>IF($T33&gt;0,(VLOOKUP($T33,Base!$A$2:$Z$1000,13,0)*$V33)/(VLOOKUP($T33,Base!$A$2:$Z$1000,3,0)),"")</f>
        <v/>
      </c>
      <c r="AG33" s="12" t="str">
        <f>IF($T33&gt;0,(VLOOKUP($T33,Base!$A$2:$Z$1000,14,0)*$V33)/(VLOOKUP($T33,Base!$A$2:$Z$1000,3,0)),"")</f>
        <v/>
      </c>
      <c r="AH33" s="44" t="str">
        <f>IF($T33&gt;0,(VLOOKUP($T33,Base!$A$2:$Z$1000,15,0)*$V33)/(VLOOKUP($T33,Base!$A$2:$Z$1000,3,0)),"")</f>
        <v/>
      </c>
    </row>
    <row r="34" spans="2:34" ht="15.95" customHeight="1" x14ac:dyDescent="0.2">
      <c r="B34" s="3" t="s">
        <v>582</v>
      </c>
      <c r="T34" s="43"/>
      <c r="U34" s="22" t="str">
        <f>IF($T34&gt;0,(UPPER(VLOOKUP($T34,Base!$A$2:$Z$1000,2,0))),"")</f>
        <v/>
      </c>
      <c r="V34" s="50"/>
      <c r="W34" s="12" t="str">
        <f>IF($T34&gt;0,(VLOOKUP($T34,Base!$A$2:$Z$1000,4,0)*$V34)/(VLOOKUP($T34,Base!$A$2:$Z$1000,3,0)),"")</f>
        <v/>
      </c>
      <c r="X34" s="12" t="str">
        <f>IF($T34&gt;0,(VLOOKUP($T34,Base!$A$2:$Z$1000,5,0)*$V34)/(VLOOKUP($T34,Base!$A$2:$Z$1000,3,0)),"")</f>
        <v/>
      </c>
      <c r="Y34" s="12" t="str">
        <f>IF($T34&gt;0,(VLOOKUP($T34,Base!$A$2:$Z$1000,6,0)*$V34)/(VLOOKUP($T34,Base!$A$2:$Z$1000,3,0)),"")</f>
        <v/>
      </c>
      <c r="Z34" s="12" t="str">
        <f>IF($T34&gt;0,(VLOOKUP($T34,Base!$A$2:$Z$1000,7,0)*$V34)/(VLOOKUP($T34,Base!$A$2:$Z$1000,3,0)),"")</f>
        <v/>
      </c>
      <c r="AA34" s="12" t="str">
        <f>IF($T34&gt;0,(VLOOKUP($T34,Base!$A$2:$Z$1000,8,0)*$V34)/(VLOOKUP($T34,Base!$A$2:$Z$1000,3,0)),"")</f>
        <v/>
      </c>
      <c r="AB34" s="12" t="str">
        <f>IF($T34&gt;0,(VLOOKUP($T34,Base!$A$2:$Z$1000,9,0)*$V34)/(VLOOKUP($T34,Base!$A$2:$Z$1000,3,0)),"")</f>
        <v/>
      </c>
      <c r="AC34" s="12" t="str">
        <f>IF($T34&gt;0,(VLOOKUP($T34,Base!$A$2:$Z$1000,10,0)*$V34)/(VLOOKUP($T34,Base!$A$2:$Z$1000,3,0)),"")</f>
        <v/>
      </c>
      <c r="AD34" s="12" t="str">
        <f>IF($T34&gt;0,(VLOOKUP($T34,Base!$A$2:$Z$1000,11,0)*$V34)/(VLOOKUP($T34,Base!$A$2:$Z$1000,3,0)),"")</f>
        <v/>
      </c>
      <c r="AE34" s="12" t="str">
        <f>IF($T34&gt;0,(VLOOKUP($T34,Base!$A$2:$Z$1000,12,0)*$V34)/(VLOOKUP($T34,Base!$A$2:$Z$1000,3,0)),"")</f>
        <v/>
      </c>
      <c r="AF34" s="12" t="str">
        <f>IF($T34&gt;0,(VLOOKUP($T34,Base!$A$2:$Z$1000,13,0)*$V34)/(VLOOKUP($T34,Base!$A$2:$Z$1000,3,0)),"")</f>
        <v/>
      </c>
      <c r="AG34" s="12" t="str">
        <f>IF($T34&gt;0,(VLOOKUP($T34,Base!$A$2:$Z$1000,14,0)*$V34)/(VLOOKUP($T34,Base!$A$2:$Z$1000,3,0)),"")</f>
        <v/>
      </c>
      <c r="AH34" s="44" t="str">
        <f>IF($T34&gt;0,(VLOOKUP($T34,Base!$A$2:$Z$1000,15,0)*$V34)/(VLOOKUP($T34,Base!$A$2:$Z$1000,3,0)),"")</f>
        <v/>
      </c>
    </row>
    <row r="35" spans="2:34" ht="15.95" customHeight="1" x14ac:dyDescent="0.2">
      <c r="T35" s="43"/>
      <c r="U35" s="22" t="str">
        <f>IF($T35&gt;0,(UPPER(VLOOKUP($T35,Base!$A$2:$Z$1000,2,0))),"")</f>
        <v/>
      </c>
      <c r="V35" s="50"/>
      <c r="W35" s="12" t="str">
        <f>IF($T35&gt;0,(VLOOKUP($T35,Base!$A$2:$Z$1000,4,0)*$V35)/(VLOOKUP($T35,Base!$A$2:$Z$1000,3,0)),"")</f>
        <v/>
      </c>
      <c r="X35" s="12" t="str">
        <f>IF($T35&gt;0,(VLOOKUP($T35,Base!$A$2:$Z$1000,5,0)*$V35)/(VLOOKUP($T35,Base!$A$2:$Z$1000,3,0)),"")</f>
        <v/>
      </c>
      <c r="Y35" s="12" t="str">
        <f>IF($T35&gt;0,(VLOOKUP($T35,Base!$A$2:$Z$1000,6,0)*$V35)/(VLOOKUP($T35,Base!$A$2:$Z$1000,3,0)),"")</f>
        <v/>
      </c>
      <c r="Z35" s="12" t="str">
        <f>IF($T35&gt;0,(VLOOKUP($T35,Base!$A$2:$Z$1000,7,0)*$V35)/(VLOOKUP($T35,Base!$A$2:$Z$1000,3,0)),"")</f>
        <v/>
      </c>
      <c r="AA35" s="12" t="str">
        <f>IF($T35&gt;0,(VLOOKUP($T35,Base!$A$2:$Z$1000,8,0)*$V35)/(VLOOKUP($T35,Base!$A$2:$Z$1000,3,0)),"")</f>
        <v/>
      </c>
      <c r="AB35" s="12" t="str">
        <f>IF($T35&gt;0,(VLOOKUP($T35,Base!$A$2:$Z$1000,9,0)*$V35)/(VLOOKUP($T35,Base!$A$2:$Z$1000,3,0)),"")</f>
        <v/>
      </c>
      <c r="AC35" s="12" t="str">
        <f>IF($T35&gt;0,(VLOOKUP($T35,Base!$A$2:$Z$1000,10,0)*$V35)/(VLOOKUP($T35,Base!$A$2:$Z$1000,3,0)),"")</f>
        <v/>
      </c>
      <c r="AD35" s="12" t="str">
        <f>IF($T35&gt;0,(VLOOKUP($T35,Base!$A$2:$Z$1000,11,0)*$V35)/(VLOOKUP($T35,Base!$A$2:$Z$1000,3,0)),"")</f>
        <v/>
      </c>
      <c r="AE35" s="12" t="str">
        <f>IF($T35&gt;0,(VLOOKUP($T35,Base!$A$2:$Z$1000,12,0)*$V35)/(VLOOKUP($T35,Base!$A$2:$Z$1000,3,0)),"")</f>
        <v/>
      </c>
      <c r="AF35" s="12" t="str">
        <f>IF($T35&gt;0,(VLOOKUP($T35,Base!$A$2:$Z$1000,13,0)*$V35)/(VLOOKUP($T35,Base!$A$2:$Z$1000,3,0)),"")</f>
        <v/>
      </c>
      <c r="AG35" s="12" t="str">
        <f>IF($T35&gt;0,(VLOOKUP($T35,Base!$A$2:$Z$1000,14,0)*$V35)/(VLOOKUP($T35,Base!$A$2:$Z$1000,3,0)),"")</f>
        <v/>
      </c>
      <c r="AH35" s="44" t="str">
        <f>IF($T35&gt;0,(VLOOKUP($T35,Base!$A$2:$Z$1000,15,0)*$V35)/(VLOOKUP($T35,Base!$A$2:$Z$1000,3,0)),"")</f>
        <v/>
      </c>
    </row>
    <row r="36" spans="2:34" ht="15.95" customHeight="1" thickBot="1" x14ac:dyDescent="0.25">
      <c r="T36" s="45"/>
      <c r="U36" s="49"/>
      <c r="V36" s="35" t="s">
        <v>14</v>
      </c>
      <c r="W36" s="46">
        <f t="shared" ref="W36:AH36" si="1">SUM(W3:W27)</f>
        <v>57.876000000000005</v>
      </c>
      <c r="X36" s="46">
        <f t="shared" si="1"/>
        <v>159.399</v>
      </c>
      <c r="Y36" s="46">
        <f t="shared" si="1"/>
        <v>51.470999999999997</v>
      </c>
      <c r="Z36" s="46">
        <f t="shared" si="1"/>
        <v>774.029</v>
      </c>
      <c r="AA36" s="46">
        <f t="shared" si="1"/>
        <v>958.77100000000007</v>
      </c>
      <c r="AB36" s="46">
        <f t="shared" si="1"/>
        <v>13.87</v>
      </c>
      <c r="AC36" s="46">
        <f t="shared" si="1"/>
        <v>1167.8499999999999</v>
      </c>
      <c r="AD36" s="46">
        <f t="shared" si="1"/>
        <v>1.129</v>
      </c>
      <c r="AE36" s="46">
        <f t="shared" si="1"/>
        <v>1.6820000000000006</v>
      </c>
      <c r="AF36" s="46">
        <f t="shared" si="1"/>
        <v>14.199</v>
      </c>
      <c r="AG36" s="46">
        <f t="shared" si="1"/>
        <v>176.959</v>
      </c>
      <c r="AH36" s="47">
        <f t="shared" si="1"/>
        <v>18.2</v>
      </c>
    </row>
    <row r="78" spans="2:18" ht="15.95" customHeight="1" x14ac:dyDescent="0.2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R78" s="18"/>
    </row>
    <row r="80" spans="2:18" ht="15.95" customHeight="1" x14ac:dyDescent="0.2">
      <c r="K80" s="25"/>
      <c r="L80" s="25"/>
      <c r="M80" s="19"/>
      <c r="N80" s="18"/>
    </row>
    <row r="81" spans="2:17" ht="15.95" customHeight="1" x14ac:dyDescent="0.2">
      <c r="B81" s="18"/>
      <c r="C81" s="18"/>
      <c r="D81" s="18"/>
      <c r="E81" s="18"/>
      <c r="F81" s="18"/>
      <c r="G81" s="18"/>
      <c r="H81" s="18"/>
      <c r="L81" s="18"/>
      <c r="M81" s="16"/>
      <c r="N81" s="18"/>
      <c r="O81" s="16"/>
      <c r="P81" s="18"/>
      <c r="Q81" s="23"/>
    </row>
    <row r="82" spans="2:17" ht="15.95" customHeight="1" x14ac:dyDescent="0.2">
      <c r="L82" s="18"/>
      <c r="M82" s="16"/>
      <c r="N82" s="18"/>
      <c r="O82" s="16"/>
      <c r="P82" s="18"/>
      <c r="Q82" s="23"/>
    </row>
    <row r="83" spans="2:17" ht="15.95" customHeight="1" x14ac:dyDescent="0.2">
      <c r="L83" s="18"/>
      <c r="M83" s="16"/>
      <c r="N83" s="18"/>
      <c r="O83" s="16"/>
      <c r="P83" s="18"/>
      <c r="Q83" s="23"/>
    </row>
    <row r="84" spans="2:17" ht="15.95" customHeight="1" x14ac:dyDescent="0.2">
      <c r="C84" s="24"/>
      <c r="F84" s="22"/>
    </row>
    <row r="85" spans="2:17" ht="15.95" customHeight="1" x14ac:dyDescent="0.2">
      <c r="G85" s="24"/>
    </row>
    <row r="86" spans="2:17" ht="15.95" customHeight="1" x14ac:dyDescent="0.2">
      <c r="K86" s="18"/>
      <c r="L86" s="18"/>
      <c r="M86" s="18"/>
      <c r="N86" s="18"/>
    </row>
    <row r="87" spans="2:17" ht="15.95" customHeight="1" x14ac:dyDescent="0.2">
      <c r="C87" s="24"/>
      <c r="F87" s="24"/>
      <c r="L87" s="20"/>
      <c r="M87" s="12"/>
      <c r="N87" s="12"/>
    </row>
    <row r="88" spans="2:17" ht="15.95" customHeight="1" x14ac:dyDescent="0.2">
      <c r="L88" s="20"/>
      <c r="M88" s="12"/>
      <c r="N88" s="12"/>
    </row>
    <row r="89" spans="2:17" ht="15.95" customHeight="1" x14ac:dyDescent="0.2">
      <c r="B89" s="18"/>
      <c r="C89" s="18"/>
      <c r="D89" s="18"/>
      <c r="E89" s="18"/>
      <c r="F89" s="18"/>
      <c r="G89" s="18"/>
      <c r="H89" s="18"/>
      <c r="I89" s="18"/>
      <c r="J89" s="18"/>
      <c r="L89" s="20"/>
      <c r="M89" s="12"/>
      <c r="N89" s="12"/>
    </row>
    <row r="90" spans="2:17" ht="15.95" customHeight="1" x14ac:dyDescent="0.2">
      <c r="L90" s="20"/>
      <c r="M90" s="12"/>
      <c r="N90" s="12"/>
    </row>
    <row r="91" spans="2:17" ht="15.95" customHeight="1" x14ac:dyDescent="0.2">
      <c r="L91" s="20"/>
      <c r="M91" s="12"/>
      <c r="N91" s="12"/>
    </row>
    <row r="92" spans="2:17" ht="15.95" customHeight="1" x14ac:dyDescent="0.2">
      <c r="L92" s="20"/>
      <c r="M92" s="12"/>
      <c r="N92" s="12"/>
    </row>
    <row r="93" spans="2:17" ht="15.95" customHeight="1" x14ac:dyDescent="0.2">
      <c r="L93" s="20"/>
      <c r="M93" s="12"/>
      <c r="N93" s="12"/>
    </row>
    <row r="94" spans="2:17" ht="15.95" customHeight="1" x14ac:dyDescent="0.2">
      <c r="L94" s="20"/>
      <c r="M94" s="12"/>
      <c r="N94" s="12"/>
    </row>
    <row r="95" spans="2:17" ht="15.95" customHeight="1" x14ac:dyDescent="0.2">
      <c r="L95" s="20"/>
      <c r="M95" s="12"/>
      <c r="N95" s="12"/>
    </row>
    <row r="97" spans="2:17" ht="15.95" customHeight="1" x14ac:dyDescent="0.2">
      <c r="K97" s="25"/>
      <c r="L97" s="25"/>
      <c r="M97" s="19"/>
    </row>
    <row r="98" spans="2:17" ht="15.95" customHeight="1" x14ac:dyDescent="0.2">
      <c r="L98" s="21"/>
      <c r="M98" s="17"/>
      <c r="O98" s="17"/>
      <c r="Q98" s="52"/>
    </row>
    <row r="99" spans="2:17" ht="15.95" customHeight="1" x14ac:dyDescent="0.2">
      <c r="L99" s="21"/>
      <c r="M99" s="17"/>
      <c r="O99" s="17"/>
      <c r="Q99" s="52"/>
    </row>
    <row r="100" spans="2:17" ht="15.95" customHeight="1" x14ac:dyDescent="0.2">
      <c r="B100" s="18"/>
      <c r="C100" s="18"/>
      <c r="D100" s="18"/>
      <c r="E100" s="18"/>
      <c r="F100" s="18"/>
      <c r="G100" s="18"/>
      <c r="H100" s="18"/>
      <c r="I100" s="18"/>
      <c r="J100" s="18"/>
      <c r="L100" s="21"/>
      <c r="M100" s="17"/>
      <c r="O100" s="17"/>
      <c r="Q100" s="52"/>
    </row>
    <row r="116" spans="2:18" ht="15.95" customHeight="1" x14ac:dyDescent="0.2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R116" s="18"/>
    </row>
    <row r="118" spans="2:18" ht="15.95" customHeight="1" x14ac:dyDescent="0.2">
      <c r="K118" s="25"/>
      <c r="L118" s="25"/>
      <c r="M118" s="19"/>
      <c r="N118" s="18"/>
    </row>
    <row r="119" spans="2:18" ht="15.95" customHeight="1" x14ac:dyDescent="0.2">
      <c r="B119" s="18"/>
      <c r="C119" s="18"/>
      <c r="D119" s="18"/>
      <c r="E119" s="18"/>
      <c r="F119" s="18"/>
      <c r="G119" s="18"/>
      <c r="H119" s="18"/>
      <c r="L119" s="18"/>
      <c r="M119" s="16"/>
      <c r="N119" s="18"/>
      <c r="O119" s="16"/>
      <c r="P119" s="18"/>
      <c r="Q119" s="23"/>
    </row>
    <row r="120" spans="2:18" ht="15.95" customHeight="1" x14ac:dyDescent="0.2">
      <c r="L120" s="18"/>
      <c r="M120" s="16"/>
      <c r="N120" s="18"/>
      <c r="O120" s="16"/>
      <c r="P120" s="18"/>
      <c r="Q120" s="23"/>
    </row>
    <row r="121" spans="2:18" ht="15.95" customHeight="1" x14ac:dyDescent="0.2">
      <c r="L121" s="18"/>
      <c r="M121" s="16"/>
      <c r="N121" s="18"/>
      <c r="O121" s="16"/>
      <c r="P121" s="18"/>
      <c r="Q121" s="23"/>
    </row>
    <row r="122" spans="2:18" ht="15.95" customHeight="1" x14ac:dyDescent="0.2">
      <c r="C122" s="24"/>
      <c r="F122" s="22"/>
    </row>
    <row r="123" spans="2:18" ht="15.95" customHeight="1" x14ac:dyDescent="0.2">
      <c r="G123" s="24"/>
    </row>
    <row r="124" spans="2:18" ht="15.95" customHeight="1" x14ac:dyDescent="0.2">
      <c r="K124" s="18"/>
      <c r="L124" s="18"/>
      <c r="M124" s="18"/>
      <c r="N124" s="18"/>
    </row>
    <row r="125" spans="2:18" ht="15.95" customHeight="1" x14ac:dyDescent="0.2">
      <c r="C125" s="24"/>
      <c r="F125" s="24"/>
      <c r="L125" s="20"/>
      <c r="M125" s="12"/>
      <c r="N125" s="12"/>
    </row>
    <row r="126" spans="2:18" ht="15.95" customHeight="1" x14ac:dyDescent="0.2">
      <c r="L126" s="20"/>
      <c r="M126" s="12"/>
      <c r="N126" s="12"/>
    </row>
    <row r="127" spans="2:18" ht="15.95" customHeight="1" x14ac:dyDescent="0.2">
      <c r="B127" s="18"/>
      <c r="C127" s="18"/>
      <c r="D127" s="18"/>
      <c r="E127" s="18"/>
      <c r="F127" s="18"/>
      <c r="G127" s="18"/>
      <c r="H127" s="18"/>
      <c r="I127" s="18"/>
      <c r="J127" s="18"/>
      <c r="L127" s="20"/>
      <c r="M127" s="12"/>
      <c r="N127" s="12"/>
    </row>
    <row r="128" spans="2:18" ht="15.95" customHeight="1" x14ac:dyDescent="0.2">
      <c r="L128" s="20"/>
      <c r="M128" s="12"/>
      <c r="N128" s="12"/>
    </row>
    <row r="129" spans="2:17" ht="15.95" customHeight="1" x14ac:dyDescent="0.2">
      <c r="L129" s="20"/>
      <c r="M129" s="12"/>
      <c r="N129" s="12"/>
    </row>
    <row r="130" spans="2:17" ht="15.95" customHeight="1" x14ac:dyDescent="0.2">
      <c r="L130" s="20"/>
      <c r="M130" s="12"/>
      <c r="N130" s="12"/>
    </row>
    <row r="131" spans="2:17" ht="15.95" customHeight="1" x14ac:dyDescent="0.2">
      <c r="L131" s="20"/>
      <c r="M131" s="12"/>
      <c r="N131" s="12"/>
    </row>
    <row r="132" spans="2:17" ht="15.95" customHeight="1" x14ac:dyDescent="0.2">
      <c r="L132" s="20"/>
      <c r="M132" s="12"/>
      <c r="N132" s="12"/>
    </row>
    <row r="133" spans="2:17" ht="15.95" customHeight="1" x14ac:dyDescent="0.2">
      <c r="L133" s="20"/>
      <c r="M133" s="12"/>
      <c r="N133" s="12"/>
    </row>
    <row r="135" spans="2:17" ht="15.95" customHeight="1" x14ac:dyDescent="0.2">
      <c r="K135" s="25"/>
      <c r="L135" s="25"/>
      <c r="M135" s="19"/>
    </row>
    <row r="136" spans="2:17" ht="15.95" customHeight="1" x14ac:dyDescent="0.2">
      <c r="L136" s="21"/>
      <c r="M136" s="17"/>
      <c r="O136" s="17"/>
      <c r="Q136" s="52"/>
    </row>
    <row r="137" spans="2:17" ht="15.95" customHeight="1" x14ac:dyDescent="0.2">
      <c r="L137" s="21"/>
      <c r="M137" s="17"/>
      <c r="O137" s="17"/>
      <c r="Q137" s="52"/>
    </row>
    <row r="138" spans="2:17" ht="15.95" customHeight="1" x14ac:dyDescent="0.2">
      <c r="B138" s="18"/>
      <c r="C138" s="18"/>
      <c r="D138" s="18"/>
      <c r="E138" s="18"/>
      <c r="F138" s="18"/>
      <c r="G138" s="18"/>
      <c r="H138" s="18"/>
      <c r="I138" s="18"/>
      <c r="J138" s="18"/>
      <c r="L138" s="21"/>
      <c r="M138" s="17"/>
      <c r="O138" s="17"/>
      <c r="Q138" s="52"/>
    </row>
  </sheetData>
  <mergeCells count="6">
    <mergeCell ref="C27:D27"/>
    <mergeCell ref="C28:D28"/>
    <mergeCell ref="C7:H7"/>
    <mergeCell ref="B14:H22"/>
    <mergeCell ref="C25:D25"/>
    <mergeCell ref="C26:D26"/>
  </mergeCells>
  <printOptions horizontalCentered="1"/>
  <pageMargins left="0.59055118110236227" right="0.59055118110236227" top="0.59055118110236227" bottom="0.59055118110236227" header="0.51181102362204722" footer="0.51181102362204722"/>
  <pageSetup paperSize="9" fitToWidth="2" pageOrder="overThenDown" orientation="landscape" horizontalDpi="300" verticalDpi="300" r:id="rId1"/>
  <headerFooter alignWithMargins="0"/>
  <colBreaks count="1" manualBreakCount="1">
    <brk id="18" min="1" max="3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70" r:id="rId4" name="Option Button 26">
              <controlPr locked="0"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5</xdr:col>
                    <xdr:colOff>314325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5" name="Option Button 27">
              <controlPr locked="0" defaultSize="0" autoFill="0" autoLine="0" autoPict="0">
                <anchor moveWithCells="1">
                  <from>
                    <xdr:col>5</xdr:col>
                    <xdr:colOff>342900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6" name="Drop Down 39">
              <controlPr locked="0" defaultSize="0" autoLine="0" autoPict="0">
                <anchor moveWithCells="1">
                  <from>
                    <xdr:col>2</xdr:col>
                    <xdr:colOff>9525</xdr:colOff>
                    <xdr:row>9</xdr:row>
                    <xdr:rowOff>0</xdr:rowOff>
                  </from>
                  <to>
                    <xdr:col>2</xdr:col>
                    <xdr:colOff>704850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D35"/>
  <sheetViews>
    <sheetView workbookViewId="0">
      <selection activeCell="B44" sqref="B44"/>
    </sheetView>
  </sheetViews>
  <sheetFormatPr defaultRowHeight="12.75" x14ac:dyDescent="0.2"/>
  <cols>
    <col min="1" max="1" width="16.7109375" style="70" customWidth="1"/>
    <col min="2" max="2" width="32.85546875" customWidth="1"/>
    <col min="3" max="3" width="40.5703125" customWidth="1"/>
    <col min="4" max="4" width="31.140625" customWidth="1"/>
  </cols>
  <sheetData>
    <row r="1" spans="1:4" x14ac:dyDescent="0.2">
      <c r="A1" s="339" t="s">
        <v>252</v>
      </c>
      <c r="B1" s="339"/>
      <c r="C1" s="339"/>
      <c r="D1" s="339"/>
    </row>
    <row r="2" spans="1:4" x14ac:dyDescent="0.2">
      <c r="A2" s="340" t="s">
        <v>253</v>
      </c>
      <c r="B2" s="340"/>
      <c r="C2" s="340"/>
      <c r="D2" s="340"/>
    </row>
    <row r="3" spans="1:4" ht="13.5" thickBot="1" x14ac:dyDescent="0.25"/>
    <row r="4" spans="1:4" ht="13.5" thickBot="1" x14ac:dyDescent="0.25">
      <c r="B4" s="341" t="s">
        <v>254</v>
      </c>
      <c r="C4" s="342"/>
      <c r="D4" s="343"/>
    </row>
    <row r="5" spans="1:4" s="87" customFormat="1" x14ac:dyDescent="0.2">
      <c r="A5" s="99" t="s">
        <v>271</v>
      </c>
      <c r="B5" s="93" t="s">
        <v>272</v>
      </c>
      <c r="C5" s="88" t="s">
        <v>273</v>
      </c>
      <c r="D5" s="94" t="s">
        <v>274</v>
      </c>
    </row>
    <row r="6" spans="1:4" x14ac:dyDescent="0.2">
      <c r="A6" s="100" t="s">
        <v>288</v>
      </c>
      <c r="B6" s="95" t="s">
        <v>256</v>
      </c>
      <c r="C6" s="89" t="s">
        <v>260</v>
      </c>
      <c r="D6" s="32" t="s">
        <v>261</v>
      </c>
    </row>
    <row r="7" spans="1:4" x14ac:dyDescent="0.2">
      <c r="A7" s="101"/>
      <c r="B7" s="95"/>
      <c r="C7" s="89" t="s">
        <v>259</v>
      </c>
      <c r="D7" s="32" t="s">
        <v>262</v>
      </c>
    </row>
    <row r="8" spans="1:4" x14ac:dyDescent="0.2">
      <c r="A8" s="101" t="s">
        <v>299</v>
      </c>
      <c r="B8" s="95" t="s">
        <v>296</v>
      </c>
      <c r="C8" s="89" t="s">
        <v>258</v>
      </c>
      <c r="D8" s="86" t="s">
        <v>263</v>
      </c>
    </row>
    <row r="9" spans="1:4" x14ac:dyDescent="0.2">
      <c r="A9" s="102"/>
      <c r="B9" s="95"/>
      <c r="C9" s="89"/>
      <c r="D9" s="96" t="s">
        <v>264</v>
      </c>
    </row>
    <row r="10" spans="1:4" x14ac:dyDescent="0.2">
      <c r="A10" s="102"/>
      <c r="B10" s="97"/>
      <c r="C10" s="90"/>
      <c r="D10" s="96"/>
    </row>
    <row r="11" spans="1:4" x14ac:dyDescent="0.2">
      <c r="A11" s="102"/>
      <c r="B11" s="336" t="s">
        <v>265</v>
      </c>
      <c r="C11" s="337"/>
      <c r="D11" s="338"/>
    </row>
    <row r="12" spans="1:4" x14ac:dyDescent="0.2">
      <c r="A12" s="101" t="s">
        <v>289</v>
      </c>
      <c r="B12" s="31" t="s">
        <v>266</v>
      </c>
      <c r="C12" s="91" t="s">
        <v>267</v>
      </c>
      <c r="D12" s="32" t="s">
        <v>268</v>
      </c>
    </row>
    <row r="13" spans="1:4" x14ac:dyDescent="0.2">
      <c r="A13" s="102"/>
      <c r="B13" s="71"/>
      <c r="C13" s="90"/>
      <c r="D13" s="86"/>
    </row>
    <row r="14" spans="1:4" x14ac:dyDescent="0.2">
      <c r="A14" s="102"/>
      <c r="B14" s="336" t="s">
        <v>269</v>
      </c>
      <c r="C14" s="337"/>
      <c r="D14" s="338"/>
    </row>
    <row r="15" spans="1:4" x14ac:dyDescent="0.2">
      <c r="A15" s="101" t="s">
        <v>290</v>
      </c>
      <c r="B15" s="31" t="s">
        <v>270</v>
      </c>
      <c r="C15" s="91" t="s">
        <v>270</v>
      </c>
      <c r="D15" s="32" t="s">
        <v>270</v>
      </c>
    </row>
    <row r="16" spans="1:4" x14ac:dyDescent="0.2">
      <c r="A16" s="101" t="s">
        <v>291</v>
      </c>
      <c r="B16" s="31" t="s">
        <v>275</v>
      </c>
      <c r="C16" s="89" t="s">
        <v>278</v>
      </c>
      <c r="D16" s="32" t="s">
        <v>285</v>
      </c>
    </row>
    <row r="17" spans="1:4" x14ac:dyDescent="0.2">
      <c r="A17" s="101" t="s">
        <v>292</v>
      </c>
      <c r="B17" s="31" t="s">
        <v>293</v>
      </c>
      <c r="C17" s="89" t="s">
        <v>303</v>
      </c>
      <c r="D17" s="32" t="s">
        <v>279</v>
      </c>
    </row>
    <row r="18" spans="1:4" x14ac:dyDescent="0.2">
      <c r="A18" s="101" t="s">
        <v>294</v>
      </c>
      <c r="B18" s="31" t="s">
        <v>280</v>
      </c>
      <c r="C18" s="89" t="s">
        <v>281</v>
      </c>
      <c r="D18" s="32" t="s">
        <v>286</v>
      </c>
    </row>
    <row r="19" spans="1:4" x14ac:dyDescent="0.2">
      <c r="A19" s="101" t="s">
        <v>295</v>
      </c>
      <c r="B19" s="31" t="s">
        <v>276</v>
      </c>
      <c r="C19" s="89" t="s">
        <v>282</v>
      </c>
      <c r="D19" s="32" t="s">
        <v>276</v>
      </c>
    </row>
    <row r="20" spans="1:4" x14ac:dyDescent="0.2">
      <c r="A20" s="101" t="s">
        <v>289</v>
      </c>
      <c r="B20" s="31" t="s">
        <v>277</v>
      </c>
      <c r="C20" s="89" t="s">
        <v>284</v>
      </c>
      <c r="D20" s="32" t="s">
        <v>287</v>
      </c>
    </row>
    <row r="21" spans="1:4" x14ac:dyDescent="0.2">
      <c r="A21" s="102"/>
      <c r="B21" s="71"/>
      <c r="C21" s="90"/>
      <c r="D21" s="86"/>
    </row>
    <row r="22" spans="1:4" x14ac:dyDescent="0.2">
      <c r="A22" s="102"/>
      <c r="B22" s="336" t="s">
        <v>297</v>
      </c>
      <c r="C22" s="337"/>
      <c r="D22" s="338"/>
    </row>
    <row r="23" spans="1:4" x14ac:dyDescent="0.2">
      <c r="A23" s="101" t="s">
        <v>299</v>
      </c>
      <c r="B23" s="31" t="s">
        <v>298</v>
      </c>
      <c r="C23" s="4" t="s">
        <v>300</v>
      </c>
      <c r="D23" s="32" t="s">
        <v>302</v>
      </c>
    </row>
    <row r="24" spans="1:4" x14ac:dyDescent="0.2">
      <c r="A24" s="101" t="s">
        <v>289</v>
      </c>
      <c r="B24" s="31" t="s">
        <v>283</v>
      </c>
      <c r="C24" s="4" t="s">
        <v>301</v>
      </c>
      <c r="D24" s="32" t="s">
        <v>255</v>
      </c>
    </row>
    <row r="25" spans="1:4" x14ac:dyDescent="0.2">
      <c r="A25" s="101"/>
      <c r="B25" s="31"/>
      <c r="C25" s="4"/>
      <c r="D25" s="32" t="s">
        <v>257</v>
      </c>
    </row>
    <row r="26" spans="1:4" x14ac:dyDescent="0.2">
      <c r="A26" s="102"/>
      <c r="B26" s="31"/>
      <c r="D26" s="32"/>
    </row>
    <row r="27" spans="1:4" x14ac:dyDescent="0.2">
      <c r="A27" s="102"/>
      <c r="B27" s="336" t="s">
        <v>304</v>
      </c>
      <c r="C27" s="337"/>
      <c r="D27" s="338"/>
    </row>
    <row r="28" spans="1:4" x14ac:dyDescent="0.2">
      <c r="A28" s="101" t="s">
        <v>290</v>
      </c>
      <c r="B28" s="31" t="s">
        <v>305</v>
      </c>
      <c r="C28" s="91" t="s">
        <v>307</v>
      </c>
      <c r="D28" s="86"/>
    </row>
    <row r="29" spans="1:4" x14ac:dyDescent="0.2">
      <c r="A29" s="101" t="s">
        <v>291</v>
      </c>
      <c r="B29" s="31"/>
      <c r="C29" s="92"/>
      <c r="D29" s="32" t="s">
        <v>308</v>
      </c>
    </row>
    <row r="30" spans="1:4" x14ac:dyDescent="0.2">
      <c r="A30" s="101" t="s">
        <v>292</v>
      </c>
      <c r="B30" s="31"/>
      <c r="C30" s="92"/>
      <c r="D30" s="32" t="s">
        <v>309</v>
      </c>
    </row>
    <row r="31" spans="1:4" x14ac:dyDescent="0.2">
      <c r="A31" s="101" t="s">
        <v>295</v>
      </c>
      <c r="B31" s="31" t="s">
        <v>306</v>
      </c>
      <c r="C31" s="92"/>
      <c r="D31" s="86"/>
    </row>
    <row r="32" spans="1:4" x14ac:dyDescent="0.2">
      <c r="A32" s="101" t="s">
        <v>289</v>
      </c>
      <c r="B32" s="31" t="s">
        <v>277</v>
      </c>
      <c r="C32" s="92"/>
      <c r="D32" s="32" t="s">
        <v>284</v>
      </c>
    </row>
    <row r="33" spans="1:4" x14ac:dyDescent="0.2">
      <c r="A33" s="102"/>
      <c r="B33" s="71"/>
      <c r="C33" s="92"/>
      <c r="D33" s="86"/>
    </row>
    <row r="34" spans="1:4" x14ac:dyDescent="0.2">
      <c r="A34" s="102"/>
      <c r="B34" s="336" t="s">
        <v>310</v>
      </c>
      <c r="C34" s="337"/>
      <c r="D34" s="338"/>
    </row>
    <row r="35" spans="1:4" ht="13.5" thickBot="1" x14ac:dyDescent="0.25">
      <c r="A35" s="103" t="s">
        <v>288</v>
      </c>
      <c r="B35" s="34" t="s">
        <v>313</v>
      </c>
      <c r="C35" s="98" t="s">
        <v>311</v>
      </c>
      <c r="D35" s="36" t="s">
        <v>312</v>
      </c>
    </row>
  </sheetData>
  <mergeCells count="8">
    <mergeCell ref="B27:D27"/>
    <mergeCell ref="B34:D34"/>
    <mergeCell ref="A1:D1"/>
    <mergeCell ref="A2:D2"/>
    <mergeCell ref="B4:D4"/>
    <mergeCell ref="B11:D11"/>
    <mergeCell ref="B14:D14"/>
    <mergeCell ref="B22:D2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D54"/>
  <sheetViews>
    <sheetView showGridLines="0" workbookViewId="0">
      <selection activeCell="D8" sqref="D8"/>
    </sheetView>
  </sheetViews>
  <sheetFormatPr defaultRowHeight="12.75" x14ac:dyDescent="0.2"/>
  <cols>
    <col min="4" max="4" width="82" customWidth="1"/>
  </cols>
  <sheetData>
    <row r="1" spans="1:4" x14ac:dyDescent="0.2">
      <c r="A1" s="344" t="s">
        <v>252</v>
      </c>
      <c r="B1" s="345"/>
      <c r="C1" s="345"/>
      <c r="D1" s="346"/>
    </row>
    <row r="2" spans="1:4" x14ac:dyDescent="0.2">
      <c r="A2" s="347" t="s">
        <v>253</v>
      </c>
      <c r="B2" s="348"/>
      <c r="C2" s="348"/>
      <c r="D2" s="349"/>
    </row>
    <row r="3" spans="1:4" x14ac:dyDescent="0.2">
      <c r="A3" s="241" t="s">
        <v>565</v>
      </c>
      <c r="B3" s="242"/>
      <c r="C3" s="242"/>
      <c r="D3" s="243"/>
    </row>
    <row r="4" spans="1:4" x14ac:dyDescent="0.2">
      <c r="A4" s="237"/>
      <c r="B4" s="235"/>
      <c r="C4" s="235"/>
      <c r="D4" s="236"/>
    </row>
    <row r="5" spans="1:4" x14ac:dyDescent="0.2">
      <c r="A5" s="237"/>
      <c r="B5" s="235"/>
      <c r="C5" s="235"/>
      <c r="D5" s="236"/>
    </row>
    <row r="6" spans="1:4" x14ac:dyDescent="0.2">
      <c r="A6" s="237"/>
      <c r="B6" s="235"/>
      <c r="C6" s="235"/>
      <c r="D6" s="236"/>
    </row>
    <row r="7" spans="1:4" x14ac:dyDescent="0.2">
      <c r="A7" s="237"/>
      <c r="B7" s="235"/>
      <c r="C7" s="235"/>
      <c r="D7" s="236"/>
    </row>
    <row r="8" spans="1:4" x14ac:dyDescent="0.2">
      <c r="A8" s="237"/>
      <c r="B8" s="235"/>
      <c r="C8" s="235"/>
      <c r="D8" s="236"/>
    </row>
    <row r="9" spans="1:4" x14ac:dyDescent="0.2">
      <c r="A9" s="237"/>
      <c r="B9" s="235"/>
      <c r="C9" s="235"/>
      <c r="D9" s="236"/>
    </row>
    <row r="10" spans="1:4" x14ac:dyDescent="0.2">
      <c r="A10" s="237"/>
      <c r="B10" s="235"/>
      <c r="C10" s="235"/>
      <c r="D10" s="236"/>
    </row>
    <row r="11" spans="1:4" x14ac:dyDescent="0.2">
      <c r="A11" s="237"/>
      <c r="B11" s="235"/>
      <c r="C11" s="235"/>
      <c r="D11" s="236"/>
    </row>
    <row r="12" spans="1:4" x14ac:dyDescent="0.2">
      <c r="A12" s="234" t="s">
        <v>566</v>
      </c>
      <c r="B12" s="235"/>
      <c r="C12" s="235"/>
      <c r="D12" s="236"/>
    </row>
    <row r="13" spans="1:4" x14ac:dyDescent="0.2">
      <c r="A13" s="237"/>
      <c r="B13" s="235"/>
      <c r="C13" s="235"/>
      <c r="D13" s="236"/>
    </row>
    <row r="14" spans="1:4" x14ac:dyDescent="0.2">
      <c r="A14" s="237"/>
      <c r="B14" s="235"/>
      <c r="C14" s="235"/>
      <c r="D14" s="236"/>
    </row>
    <row r="15" spans="1:4" x14ac:dyDescent="0.2">
      <c r="A15" s="237"/>
      <c r="B15" s="235"/>
      <c r="C15" s="235"/>
      <c r="D15" s="236"/>
    </row>
    <row r="16" spans="1:4" x14ac:dyDescent="0.2">
      <c r="A16" s="237"/>
      <c r="B16" s="235"/>
      <c r="C16" s="235"/>
      <c r="D16" s="236"/>
    </row>
    <row r="17" spans="1:4" x14ac:dyDescent="0.2">
      <c r="A17" s="237"/>
      <c r="B17" s="235"/>
      <c r="C17" s="235"/>
      <c r="D17" s="236"/>
    </row>
    <row r="18" spans="1:4" x14ac:dyDescent="0.2">
      <c r="A18" s="237"/>
      <c r="B18" s="235"/>
      <c r="C18" s="235"/>
      <c r="D18" s="236"/>
    </row>
    <row r="19" spans="1:4" x14ac:dyDescent="0.2">
      <c r="A19" s="237"/>
      <c r="B19" s="235"/>
      <c r="C19" s="235"/>
      <c r="D19" s="236"/>
    </row>
    <row r="20" spans="1:4" x14ac:dyDescent="0.2">
      <c r="A20" s="237"/>
      <c r="B20" s="235"/>
      <c r="C20" s="235"/>
      <c r="D20" s="236"/>
    </row>
    <row r="21" spans="1:4" x14ac:dyDescent="0.2">
      <c r="A21" s="237"/>
      <c r="B21" s="235"/>
      <c r="C21" s="235"/>
      <c r="D21" s="236"/>
    </row>
    <row r="22" spans="1:4" x14ac:dyDescent="0.2">
      <c r="A22" s="234" t="s">
        <v>567</v>
      </c>
      <c r="B22" s="235"/>
      <c r="C22" s="235"/>
      <c r="D22" s="236"/>
    </row>
    <row r="23" spans="1:4" x14ac:dyDescent="0.2">
      <c r="A23" s="237"/>
      <c r="B23" s="235"/>
      <c r="C23" s="235"/>
      <c r="D23" s="236"/>
    </row>
    <row r="24" spans="1:4" x14ac:dyDescent="0.2">
      <c r="A24" s="237"/>
      <c r="B24" s="235"/>
      <c r="C24" s="235"/>
      <c r="D24" s="236"/>
    </row>
    <row r="25" spans="1:4" x14ac:dyDescent="0.2">
      <c r="A25" s="237"/>
      <c r="B25" s="235"/>
      <c r="C25" s="235"/>
      <c r="D25" s="236"/>
    </row>
    <row r="26" spans="1:4" x14ac:dyDescent="0.2">
      <c r="A26" s="237"/>
      <c r="B26" s="235"/>
      <c r="C26" s="235"/>
      <c r="D26" s="236"/>
    </row>
    <row r="27" spans="1:4" x14ac:dyDescent="0.2">
      <c r="A27" s="237"/>
      <c r="B27" s="235"/>
      <c r="C27" s="235"/>
      <c r="D27" s="236"/>
    </row>
    <row r="28" spans="1:4" x14ac:dyDescent="0.2">
      <c r="A28" s="237"/>
      <c r="B28" s="235"/>
      <c r="C28" s="235"/>
      <c r="D28" s="236"/>
    </row>
    <row r="29" spans="1:4" x14ac:dyDescent="0.2">
      <c r="A29" s="237"/>
      <c r="B29" s="235"/>
      <c r="C29" s="235"/>
      <c r="D29" s="236"/>
    </row>
    <row r="30" spans="1:4" x14ac:dyDescent="0.2">
      <c r="A30" s="237"/>
      <c r="B30" s="235"/>
      <c r="C30" s="235"/>
      <c r="D30" s="236"/>
    </row>
    <row r="31" spans="1:4" x14ac:dyDescent="0.2">
      <c r="A31" s="237"/>
      <c r="B31" s="235"/>
      <c r="C31" s="235"/>
      <c r="D31" s="236"/>
    </row>
    <row r="32" spans="1:4" x14ac:dyDescent="0.2">
      <c r="A32" s="234" t="s">
        <v>568</v>
      </c>
      <c r="B32" s="235"/>
      <c r="C32" s="235"/>
      <c r="D32" s="236"/>
    </row>
    <row r="33" spans="1:4" x14ac:dyDescent="0.2">
      <c r="A33" s="237"/>
      <c r="B33" s="235"/>
      <c r="C33" s="235"/>
      <c r="D33" s="236"/>
    </row>
    <row r="34" spans="1:4" x14ac:dyDescent="0.2">
      <c r="A34" s="237"/>
      <c r="B34" s="235"/>
      <c r="C34" s="235"/>
      <c r="D34" s="236"/>
    </row>
    <row r="35" spans="1:4" x14ac:dyDescent="0.2">
      <c r="A35" s="237"/>
      <c r="B35" s="235"/>
      <c r="C35" s="235"/>
      <c r="D35" s="236"/>
    </row>
    <row r="36" spans="1:4" x14ac:dyDescent="0.2">
      <c r="A36" s="237"/>
      <c r="B36" s="235"/>
      <c r="C36" s="235"/>
      <c r="D36" s="236"/>
    </row>
    <row r="37" spans="1:4" x14ac:dyDescent="0.2">
      <c r="A37" s="237"/>
      <c r="B37" s="235"/>
      <c r="C37" s="235"/>
      <c r="D37" s="236"/>
    </row>
    <row r="38" spans="1:4" x14ac:dyDescent="0.2">
      <c r="A38" s="237"/>
      <c r="B38" s="235"/>
      <c r="C38" s="235"/>
      <c r="D38" s="236"/>
    </row>
    <row r="39" spans="1:4" x14ac:dyDescent="0.2">
      <c r="A39" s="237"/>
      <c r="B39" s="235"/>
      <c r="C39" s="235"/>
      <c r="D39" s="236"/>
    </row>
    <row r="40" spans="1:4" x14ac:dyDescent="0.2">
      <c r="A40" s="237"/>
      <c r="B40" s="235"/>
      <c r="C40" s="235"/>
      <c r="D40" s="236"/>
    </row>
    <row r="41" spans="1:4" x14ac:dyDescent="0.2">
      <c r="A41" s="237"/>
      <c r="B41" s="235"/>
      <c r="C41" s="235"/>
      <c r="D41" s="236"/>
    </row>
    <row r="42" spans="1:4" x14ac:dyDescent="0.2">
      <c r="A42" s="234" t="s">
        <v>569</v>
      </c>
      <c r="B42" s="235"/>
      <c r="C42" s="235"/>
      <c r="D42" s="236"/>
    </row>
    <row r="43" spans="1:4" x14ac:dyDescent="0.2">
      <c r="A43" s="237"/>
      <c r="B43" s="235"/>
      <c r="C43" s="235"/>
      <c r="D43" s="236"/>
    </row>
    <row r="44" spans="1:4" x14ac:dyDescent="0.2">
      <c r="A44" s="237"/>
      <c r="B44" s="235"/>
      <c r="C44" s="235"/>
      <c r="D44" s="236"/>
    </row>
    <row r="45" spans="1:4" x14ac:dyDescent="0.2">
      <c r="A45" s="237"/>
      <c r="B45" s="235"/>
      <c r="C45" s="235"/>
      <c r="D45" s="236"/>
    </row>
    <row r="46" spans="1:4" x14ac:dyDescent="0.2">
      <c r="A46" s="237"/>
      <c r="B46" s="235"/>
      <c r="C46" s="235"/>
      <c r="D46" s="236"/>
    </row>
    <row r="47" spans="1:4" x14ac:dyDescent="0.2">
      <c r="A47" s="237"/>
      <c r="B47" s="235"/>
      <c r="C47" s="235"/>
      <c r="D47" s="236"/>
    </row>
    <row r="48" spans="1:4" x14ac:dyDescent="0.2">
      <c r="A48" s="237"/>
      <c r="B48" s="235"/>
      <c r="C48" s="235"/>
      <c r="D48" s="236"/>
    </row>
    <row r="49" spans="1:4" x14ac:dyDescent="0.2">
      <c r="A49" s="237"/>
      <c r="B49" s="235"/>
      <c r="C49" s="235"/>
      <c r="D49" s="236"/>
    </row>
    <row r="50" spans="1:4" x14ac:dyDescent="0.2">
      <c r="A50" s="237"/>
      <c r="B50" s="235"/>
      <c r="C50" s="235"/>
      <c r="D50" s="236"/>
    </row>
    <row r="51" spans="1:4" x14ac:dyDescent="0.2">
      <c r="A51" s="237"/>
      <c r="B51" s="235"/>
      <c r="C51" s="235"/>
      <c r="D51" s="236"/>
    </row>
    <row r="52" spans="1:4" x14ac:dyDescent="0.2">
      <c r="A52" s="237"/>
      <c r="B52" s="235"/>
      <c r="C52" s="235"/>
      <c r="D52" s="236"/>
    </row>
    <row r="53" spans="1:4" x14ac:dyDescent="0.2">
      <c r="A53" s="237"/>
      <c r="B53" s="235"/>
      <c r="C53" s="235"/>
      <c r="D53" s="236"/>
    </row>
    <row r="54" spans="1:4" x14ac:dyDescent="0.2">
      <c r="A54" s="238"/>
      <c r="B54" s="239"/>
      <c r="C54" s="239"/>
      <c r="D54" s="240"/>
    </row>
  </sheetData>
  <mergeCells count="2">
    <mergeCell ref="A1:D1"/>
    <mergeCell ref="A2:D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K203"/>
  <sheetViews>
    <sheetView showGridLines="0" topLeftCell="A157" zoomScale="115" zoomScaleNormal="115" workbookViewId="0">
      <selection activeCell="C173" sqref="C173"/>
    </sheetView>
  </sheetViews>
  <sheetFormatPr defaultRowHeight="15" x14ac:dyDescent="0.2"/>
  <cols>
    <col min="1" max="1" width="33.28515625" style="105" customWidth="1"/>
    <col min="2" max="2" width="26.28515625" style="105" customWidth="1"/>
    <col min="3" max="3" width="23.28515625" style="105" customWidth="1"/>
    <col min="4" max="4" width="16.28515625" style="168" customWidth="1"/>
    <col min="5" max="5" width="9.140625" style="105"/>
    <col min="6" max="6" width="18.28515625" style="105" customWidth="1"/>
    <col min="7" max="7" width="17.140625" style="105" customWidth="1"/>
    <col min="8" max="16384" width="9.140625" style="105"/>
  </cols>
  <sheetData>
    <row r="1" spans="1:11" x14ac:dyDescent="0.2">
      <c r="A1" s="288" t="s">
        <v>314</v>
      </c>
      <c r="B1" s="288"/>
      <c r="C1" s="288"/>
    </row>
    <row r="3" spans="1:11" x14ac:dyDescent="0.2">
      <c r="F3" s="168"/>
    </row>
    <row r="4" spans="1:11" ht="25.5" customHeight="1" x14ac:dyDescent="0.2">
      <c r="A4" s="352" t="s">
        <v>389</v>
      </c>
      <c r="B4" s="352"/>
      <c r="C4" s="352"/>
      <c r="F4" s="168"/>
    </row>
    <row r="5" spans="1:11" x14ac:dyDescent="0.2">
      <c r="A5" s="356" t="s">
        <v>330</v>
      </c>
      <c r="B5" s="357"/>
      <c r="C5" s="219"/>
      <c r="F5" s="168"/>
      <c r="K5" s="168"/>
    </row>
    <row r="6" spans="1:11" x14ac:dyDescent="0.2">
      <c r="A6" s="220" t="s">
        <v>331</v>
      </c>
      <c r="B6" s="221" t="s">
        <v>333</v>
      </c>
      <c r="C6" s="219" t="s">
        <v>340</v>
      </c>
      <c r="F6" s="168"/>
      <c r="K6" s="168"/>
    </row>
    <row r="7" spans="1:11" x14ac:dyDescent="0.2">
      <c r="A7" s="222" t="s">
        <v>321</v>
      </c>
      <c r="B7" s="221" t="s">
        <v>334</v>
      </c>
      <c r="C7" s="219" t="s">
        <v>341</v>
      </c>
      <c r="F7" s="168"/>
      <c r="K7" s="168"/>
    </row>
    <row r="8" spans="1:11" x14ac:dyDescent="0.2">
      <c r="A8" s="222" t="s">
        <v>322</v>
      </c>
      <c r="B8" s="221" t="s">
        <v>335</v>
      </c>
      <c r="C8" s="219" t="s">
        <v>342</v>
      </c>
      <c r="E8" s="223"/>
      <c r="F8" s="168"/>
      <c r="K8" s="168"/>
    </row>
    <row r="9" spans="1:11" x14ac:dyDescent="0.2">
      <c r="A9" s="224" t="s">
        <v>332</v>
      </c>
      <c r="B9" s="127" t="s">
        <v>336</v>
      </c>
      <c r="C9" s="219" t="s">
        <v>343</v>
      </c>
      <c r="F9" s="168"/>
    </row>
    <row r="10" spans="1:11" x14ac:dyDescent="0.2">
      <c r="A10" s="225" t="s">
        <v>323</v>
      </c>
      <c r="B10" s="226" t="s">
        <v>337</v>
      </c>
      <c r="C10" s="219" t="s">
        <v>344</v>
      </c>
      <c r="F10" s="168"/>
    </row>
    <row r="11" spans="1:11" x14ac:dyDescent="0.2">
      <c r="A11" s="221" t="s">
        <v>324</v>
      </c>
      <c r="B11" s="221" t="s">
        <v>338</v>
      </c>
      <c r="C11" s="224" t="s">
        <v>345</v>
      </c>
      <c r="F11" s="168"/>
    </row>
    <row r="12" spans="1:11" x14ac:dyDescent="0.2">
      <c r="A12" s="225" t="s">
        <v>325</v>
      </c>
      <c r="B12" s="226" t="s">
        <v>339</v>
      </c>
      <c r="C12" s="219" t="s">
        <v>351</v>
      </c>
      <c r="F12" s="168"/>
    </row>
    <row r="13" spans="1:11" x14ac:dyDescent="0.2">
      <c r="A13" s="221" t="s">
        <v>364</v>
      </c>
      <c r="B13" s="127" t="s">
        <v>365</v>
      </c>
      <c r="C13" s="219" t="s">
        <v>366</v>
      </c>
      <c r="F13" s="168"/>
    </row>
    <row r="14" spans="1:11" x14ac:dyDescent="0.2">
      <c r="A14" s="225"/>
      <c r="B14" s="227"/>
      <c r="C14" s="219"/>
      <c r="F14" s="168"/>
    </row>
    <row r="15" spans="1:11" ht="26.25" customHeight="1" x14ac:dyDescent="0.2">
      <c r="A15" s="358" t="s">
        <v>388</v>
      </c>
      <c r="B15" s="358"/>
      <c r="C15" s="358"/>
      <c r="E15" s="128"/>
      <c r="F15" s="128"/>
    </row>
    <row r="16" spans="1:11" x14ac:dyDescent="0.2">
      <c r="A16" s="105" t="s">
        <v>346</v>
      </c>
      <c r="B16" s="105" t="s">
        <v>352</v>
      </c>
      <c r="C16" s="105" t="s">
        <v>357</v>
      </c>
      <c r="D16" s="228"/>
      <c r="F16" s="168"/>
    </row>
    <row r="17" spans="1:7" x14ac:dyDescent="0.2">
      <c r="A17" s="105" t="s">
        <v>347</v>
      </c>
      <c r="B17" s="105" t="s">
        <v>353</v>
      </c>
      <c r="C17" s="105" t="s">
        <v>358</v>
      </c>
      <c r="F17" s="168"/>
    </row>
    <row r="18" spans="1:7" x14ac:dyDescent="0.2">
      <c r="A18" s="105" t="s">
        <v>348</v>
      </c>
      <c r="B18" s="105" t="s">
        <v>354</v>
      </c>
      <c r="C18" s="105" t="s">
        <v>356</v>
      </c>
      <c r="F18" s="168"/>
    </row>
    <row r="19" spans="1:7" x14ac:dyDescent="0.2">
      <c r="A19" s="105" t="s">
        <v>349</v>
      </c>
      <c r="B19" s="105" t="s">
        <v>355</v>
      </c>
      <c r="C19" s="105" t="s">
        <v>350</v>
      </c>
      <c r="F19" s="168"/>
    </row>
    <row r="20" spans="1:7" x14ac:dyDescent="0.2">
      <c r="A20" s="105" t="s">
        <v>351</v>
      </c>
      <c r="B20" s="105" t="s">
        <v>367</v>
      </c>
      <c r="C20" s="105" t="s">
        <v>368</v>
      </c>
      <c r="F20" s="168"/>
    </row>
    <row r="21" spans="1:7" x14ac:dyDescent="0.2">
      <c r="A21" s="105" t="s">
        <v>341</v>
      </c>
      <c r="B21" s="105" t="s">
        <v>369</v>
      </c>
      <c r="F21" s="168"/>
    </row>
    <row r="22" spans="1:7" x14ac:dyDescent="0.2">
      <c r="F22" s="168"/>
    </row>
    <row r="23" spans="1:7" ht="24" customHeight="1" x14ac:dyDescent="0.2">
      <c r="A23" s="352" t="s">
        <v>390</v>
      </c>
      <c r="B23" s="352"/>
      <c r="C23" s="352"/>
      <c r="F23" s="168"/>
    </row>
    <row r="24" spans="1:7" x14ac:dyDescent="0.2">
      <c r="A24" s="105" t="s">
        <v>316</v>
      </c>
      <c r="B24" s="105" t="s">
        <v>315</v>
      </c>
      <c r="F24" s="169"/>
      <c r="G24" s="168"/>
    </row>
    <row r="25" spans="1:7" x14ac:dyDescent="0.2">
      <c r="A25" s="105" t="s">
        <v>371</v>
      </c>
      <c r="B25" s="105" t="s">
        <v>370</v>
      </c>
      <c r="G25" s="168"/>
    </row>
    <row r="26" spans="1:7" x14ac:dyDescent="0.2">
      <c r="A26" s="105" t="s">
        <v>377</v>
      </c>
      <c r="B26" s="105" t="s">
        <v>360</v>
      </c>
      <c r="G26" s="168"/>
    </row>
    <row r="27" spans="1:7" x14ac:dyDescent="0.2">
      <c r="A27" s="105" t="s">
        <v>376</v>
      </c>
      <c r="B27" s="105" t="s">
        <v>375</v>
      </c>
      <c r="G27" s="168"/>
    </row>
    <row r="28" spans="1:7" x14ac:dyDescent="0.2">
      <c r="A28" s="105" t="s">
        <v>378</v>
      </c>
      <c r="B28" s="105" t="s">
        <v>375</v>
      </c>
      <c r="G28" s="168"/>
    </row>
    <row r="29" spans="1:7" x14ac:dyDescent="0.2">
      <c r="A29" s="105" t="s">
        <v>381</v>
      </c>
      <c r="B29" s="105" t="s">
        <v>370</v>
      </c>
      <c r="G29" s="168"/>
    </row>
    <row r="30" spans="1:7" x14ac:dyDescent="0.2">
      <c r="A30" s="105" t="s">
        <v>520</v>
      </c>
      <c r="B30" s="105" t="s">
        <v>370</v>
      </c>
      <c r="G30" s="168"/>
    </row>
    <row r="31" spans="1:7" x14ac:dyDescent="0.2">
      <c r="A31" s="105" t="s">
        <v>379</v>
      </c>
      <c r="B31" s="105" t="s">
        <v>375</v>
      </c>
      <c r="G31" s="168"/>
    </row>
    <row r="32" spans="1:7" x14ac:dyDescent="0.2">
      <c r="A32" s="105" t="s">
        <v>372</v>
      </c>
      <c r="B32" s="105" t="s">
        <v>329</v>
      </c>
      <c r="G32" s="168"/>
    </row>
    <row r="33" spans="1:7" x14ac:dyDescent="0.2">
      <c r="A33" s="105" t="s">
        <v>374</v>
      </c>
      <c r="B33" s="105" t="s">
        <v>375</v>
      </c>
      <c r="G33" s="168"/>
    </row>
    <row r="34" spans="1:7" x14ac:dyDescent="0.2">
      <c r="A34" s="105" t="s">
        <v>373</v>
      </c>
      <c r="B34" s="105" t="s">
        <v>329</v>
      </c>
      <c r="G34" s="168"/>
    </row>
    <row r="35" spans="1:7" x14ac:dyDescent="0.2">
      <c r="A35" s="105" t="s">
        <v>380</v>
      </c>
      <c r="B35" s="105" t="s">
        <v>370</v>
      </c>
      <c r="F35" s="168"/>
    </row>
    <row r="36" spans="1:7" x14ac:dyDescent="0.2">
      <c r="F36" s="168"/>
    </row>
    <row r="37" spans="1:7" ht="27" customHeight="1" x14ac:dyDescent="0.2">
      <c r="A37" s="353" t="s">
        <v>382</v>
      </c>
      <c r="B37" s="354"/>
      <c r="C37" s="355"/>
      <c r="F37" s="168"/>
    </row>
    <row r="38" spans="1:7" ht="15.75" x14ac:dyDescent="0.2">
      <c r="A38" s="105" t="s">
        <v>316</v>
      </c>
      <c r="B38" s="105" t="s">
        <v>315</v>
      </c>
      <c r="C38" s="229"/>
      <c r="F38" s="168"/>
    </row>
    <row r="39" spans="1:7" ht="15.75" x14ac:dyDescent="0.2">
      <c r="A39" s="105" t="s">
        <v>383</v>
      </c>
      <c r="B39" s="105" t="s">
        <v>329</v>
      </c>
      <c r="C39" s="229"/>
      <c r="F39" s="168"/>
    </row>
    <row r="40" spans="1:7" ht="15.75" x14ac:dyDescent="0.2">
      <c r="A40" s="105" t="s">
        <v>384</v>
      </c>
      <c r="B40" s="105" t="s">
        <v>329</v>
      </c>
      <c r="C40" s="229"/>
      <c r="F40" s="168"/>
    </row>
    <row r="41" spans="1:7" ht="15.75" x14ac:dyDescent="0.2">
      <c r="A41" s="105" t="s">
        <v>385</v>
      </c>
      <c r="B41" s="105" t="s">
        <v>329</v>
      </c>
      <c r="C41" s="229"/>
      <c r="F41" s="168"/>
    </row>
    <row r="42" spans="1:7" ht="15.75" x14ac:dyDescent="0.2">
      <c r="A42" s="105" t="s">
        <v>386</v>
      </c>
      <c r="B42" s="105" t="s">
        <v>329</v>
      </c>
      <c r="C42" s="229"/>
      <c r="F42" s="168"/>
    </row>
    <row r="43" spans="1:7" ht="15.75" x14ac:dyDescent="0.2">
      <c r="A43" s="105" t="s">
        <v>387</v>
      </c>
      <c r="B43" s="105" t="s">
        <v>319</v>
      </c>
      <c r="C43" s="229"/>
      <c r="F43" s="168"/>
    </row>
    <row r="44" spans="1:7" x14ac:dyDescent="0.2">
      <c r="F44" s="168"/>
    </row>
    <row r="45" spans="1:7" ht="22.5" customHeight="1" x14ac:dyDescent="0.2">
      <c r="A45" s="350" t="s">
        <v>361</v>
      </c>
      <c r="B45" s="351"/>
      <c r="C45" s="233"/>
      <c r="D45" s="230"/>
      <c r="F45" s="168"/>
    </row>
    <row r="46" spans="1:7" x14ac:dyDescent="0.2">
      <c r="A46" s="105" t="s">
        <v>361</v>
      </c>
      <c r="B46" s="105" t="s">
        <v>315</v>
      </c>
      <c r="C46" s="169"/>
      <c r="F46" s="168"/>
    </row>
    <row r="47" spans="1:7" x14ac:dyDescent="0.2">
      <c r="A47" s="105" t="s">
        <v>409</v>
      </c>
      <c r="B47" s="105" t="s">
        <v>410</v>
      </c>
      <c r="C47" s="169"/>
      <c r="F47" s="168"/>
    </row>
    <row r="48" spans="1:7" x14ac:dyDescent="0.2">
      <c r="A48" s="105" t="s">
        <v>411</v>
      </c>
      <c r="B48" s="105" t="s">
        <v>412</v>
      </c>
      <c r="F48" s="168"/>
    </row>
    <row r="49" spans="1:6" x14ac:dyDescent="0.2">
      <c r="A49" s="105" t="s">
        <v>413</v>
      </c>
      <c r="B49" s="105" t="s">
        <v>414</v>
      </c>
      <c r="F49" s="168"/>
    </row>
    <row r="50" spans="1:6" x14ac:dyDescent="0.2">
      <c r="A50" s="105" t="s">
        <v>417</v>
      </c>
      <c r="B50" s="105" t="s">
        <v>359</v>
      </c>
      <c r="F50" s="168"/>
    </row>
    <row r="51" spans="1:6" x14ac:dyDescent="0.2">
      <c r="A51" s="105" t="s">
        <v>415</v>
      </c>
      <c r="B51" s="105" t="s">
        <v>360</v>
      </c>
      <c r="F51" s="168"/>
    </row>
    <row r="52" spans="1:6" x14ac:dyDescent="0.2">
      <c r="A52" s="105" t="s">
        <v>416</v>
      </c>
      <c r="B52" s="105" t="s">
        <v>327</v>
      </c>
      <c r="F52" s="168"/>
    </row>
    <row r="53" spans="1:6" x14ac:dyDescent="0.2">
      <c r="A53" s="105" t="s">
        <v>418</v>
      </c>
      <c r="B53" s="105" t="s">
        <v>419</v>
      </c>
      <c r="F53" s="168"/>
    </row>
    <row r="54" spans="1:6" x14ac:dyDescent="0.2">
      <c r="A54" s="105" t="s">
        <v>420</v>
      </c>
      <c r="B54" s="105" t="s">
        <v>419</v>
      </c>
      <c r="F54" s="168"/>
    </row>
    <row r="55" spans="1:6" x14ac:dyDescent="0.2">
      <c r="A55" s="105" t="s">
        <v>421</v>
      </c>
      <c r="B55" s="105" t="s">
        <v>327</v>
      </c>
      <c r="F55" s="168"/>
    </row>
    <row r="56" spans="1:6" x14ac:dyDescent="0.2">
      <c r="A56" s="105" t="s">
        <v>422</v>
      </c>
      <c r="B56" s="105" t="s">
        <v>423</v>
      </c>
      <c r="F56" s="168"/>
    </row>
    <row r="57" spans="1:6" x14ac:dyDescent="0.2">
      <c r="A57" s="105" t="s">
        <v>424</v>
      </c>
      <c r="B57" s="105" t="s">
        <v>425</v>
      </c>
      <c r="F57" s="168"/>
    </row>
    <row r="58" spans="1:6" x14ac:dyDescent="0.2">
      <c r="A58" s="105" t="s">
        <v>426</v>
      </c>
      <c r="B58" s="105" t="s">
        <v>327</v>
      </c>
      <c r="F58" s="168"/>
    </row>
    <row r="59" spans="1:6" x14ac:dyDescent="0.2">
      <c r="A59" s="105" t="s">
        <v>427</v>
      </c>
      <c r="B59" s="105" t="s">
        <v>320</v>
      </c>
      <c r="F59" s="168"/>
    </row>
    <row r="60" spans="1:6" x14ac:dyDescent="0.2">
      <c r="A60" s="105" t="s">
        <v>428</v>
      </c>
      <c r="B60" s="105" t="s">
        <v>429</v>
      </c>
      <c r="F60" s="168"/>
    </row>
    <row r="61" spans="1:6" x14ac:dyDescent="0.2">
      <c r="A61" s="105" t="s">
        <v>430</v>
      </c>
      <c r="B61" s="105" t="s">
        <v>431</v>
      </c>
      <c r="F61" s="168"/>
    </row>
    <row r="62" spans="1:6" x14ac:dyDescent="0.2">
      <c r="A62" s="105" t="s">
        <v>432</v>
      </c>
      <c r="B62" s="105" t="s">
        <v>317</v>
      </c>
      <c r="F62" s="168"/>
    </row>
    <row r="63" spans="1:6" x14ac:dyDescent="0.2">
      <c r="A63" s="105" t="s">
        <v>433</v>
      </c>
      <c r="B63" s="105" t="s">
        <v>320</v>
      </c>
      <c r="F63" s="168"/>
    </row>
    <row r="64" spans="1:6" x14ac:dyDescent="0.2">
      <c r="A64" s="105" t="s">
        <v>434</v>
      </c>
      <c r="B64" s="105" t="s">
        <v>320</v>
      </c>
      <c r="F64" s="168"/>
    </row>
    <row r="65" spans="1:6" x14ac:dyDescent="0.2">
      <c r="A65" s="105" t="s">
        <v>435</v>
      </c>
      <c r="B65" s="105" t="s">
        <v>320</v>
      </c>
      <c r="F65" s="168"/>
    </row>
    <row r="66" spans="1:6" x14ac:dyDescent="0.2">
      <c r="A66" s="105" t="s">
        <v>436</v>
      </c>
      <c r="B66" s="105" t="s">
        <v>320</v>
      </c>
      <c r="F66" s="168"/>
    </row>
    <row r="67" spans="1:6" x14ac:dyDescent="0.2">
      <c r="A67" s="105" t="s">
        <v>437</v>
      </c>
      <c r="B67" s="105" t="s">
        <v>438</v>
      </c>
      <c r="F67" s="168"/>
    </row>
    <row r="68" spans="1:6" x14ac:dyDescent="0.2">
      <c r="A68" s="105" t="s">
        <v>439</v>
      </c>
      <c r="B68" s="105" t="s">
        <v>440</v>
      </c>
      <c r="F68" s="168"/>
    </row>
    <row r="69" spans="1:6" x14ac:dyDescent="0.2">
      <c r="A69" s="105" t="s">
        <v>441</v>
      </c>
      <c r="B69" s="105" t="s">
        <v>442</v>
      </c>
      <c r="F69" s="168"/>
    </row>
    <row r="70" spans="1:6" x14ac:dyDescent="0.2">
      <c r="A70" s="105" t="s">
        <v>443</v>
      </c>
      <c r="B70" s="105" t="s">
        <v>412</v>
      </c>
      <c r="F70" s="168"/>
    </row>
    <row r="71" spans="1:6" x14ac:dyDescent="0.2">
      <c r="A71" s="105" t="s">
        <v>444</v>
      </c>
      <c r="B71" s="105" t="s">
        <v>412</v>
      </c>
      <c r="F71" s="168"/>
    </row>
    <row r="72" spans="1:6" x14ac:dyDescent="0.2">
      <c r="A72" s="105" t="s">
        <v>445</v>
      </c>
      <c r="B72" s="105" t="s">
        <v>328</v>
      </c>
      <c r="F72" s="168"/>
    </row>
    <row r="73" spans="1:6" x14ac:dyDescent="0.2">
      <c r="A73" s="105" t="s">
        <v>446</v>
      </c>
      <c r="B73" s="105" t="s">
        <v>447</v>
      </c>
      <c r="F73" s="168"/>
    </row>
    <row r="74" spans="1:6" x14ac:dyDescent="0.2">
      <c r="A74" s="105" t="s">
        <v>448</v>
      </c>
      <c r="B74" s="105" t="s">
        <v>447</v>
      </c>
      <c r="F74" s="168"/>
    </row>
    <row r="75" spans="1:6" x14ac:dyDescent="0.2">
      <c r="A75" s="105" t="s">
        <v>449</v>
      </c>
      <c r="B75" s="105" t="s">
        <v>447</v>
      </c>
      <c r="F75" s="168"/>
    </row>
    <row r="76" spans="1:6" x14ac:dyDescent="0.2">
      <c r="A76" s="105" t="s">
        <v>326</v>
      </c>
      <c r="B76" s="105" t="s">
        <v>450</v>
      </c>
      <c r="F76" s="168"/>
    </row>
    <row r="77" spans="1:6" x14ac:dyDescent="0.2">
      <c r="A77" s="105" t="s">
        <v>451</v>
      </c>
      <c r="B77" s="105" t="s">
        <v>452</v>
      </c>
      <c r="F77" s="168"/>
    </row>
    <row r="78" spans="1:6" x14ac:dyDescent="0.2">
      <c r="A78" s="105" t="s">
        <v>453</v>
      </c>
      <c r="B78" s="105" t="s">
        <v>454</v>
      </c>
      <c r="F78" s="168"/>
    </row>
    <row r="79" spans="1:6" x14ac:dyDescent="0.2">
      <c r="F79" s="168"/>
    </row>
    <row r="80" spans="1:6" ht="20.25" customHeight="1" x14ac:dyDescent="0.2">
      <c r="F80" s="168"/>
    </row>
    <row r="81" spans="1:6" ht="16.5" customHeight="1" x14ac:dyDescent="0.2">
      <c r="F81" s="168"/>
    </row>
    <row r="82" spans="1:6" ht="23.25" customHeight="1" x14ac:dyDescent="0.2">
      <c r="A82" s="350" t="s">
        <v>455</v>
      </c>
      <c r="B82" s="351"/>
      <c r="C82" s="233"/>
      <c r="F82" s="168"/>
    </row>
    <row r="83" spans="1:6" x14ac:dyDescent="0.2">
      <c r="A83" s="105" t="s">
        <v>316</v>
      </c>
      <c r="B83" s="105" t="s">
        <v>315</v>
      </c>
      <c r="F83" s="168"/>
    </row>
    <row r="84" spans="1:6" x14ac:dyDescent="0.2">
      <c r="A84" s="105" t="s">
        <v>464</v>
      </c>
      <c r="B84" s="105" t="s">
        <v>329</v>
      </c>
      <c r="D84" s="105"/>
    </row>
    <row r="85" spans="1:6" x14ac:dyDescent="0.2">
      <c r="A85" s="105" t="s">
        <v>459</v>
      </c>
      <c r="B85" s="105" t="s">
        <v>329</v>
      </c>
      <c r="F85" s="168"/>
    </row>
    <row r="86" spans="1:6" x14ac:dyDescent="0.2">
      <c r="A86" s="105" t="s">
        <v>456</v>
      </c>
      <c r="B86" s="105" t="s">
        <v>457</v>
      </c>
      <c r="F86" s="168"/>
    </row>
    <row r="87" spans="1:6" x14ac:dyDescent="0.2">
      <c r="A87" s="105" t="s">
        <v>461</v>
      </c>
      <c r="B87" s="105" t="s">
        <v>462</v>
      </c>
      <c r="F87" s="168"/>
    </row>
    <row r="88" spans="1:6" x14ac:dyDescent="0.2">
      <c r="A88" s="105" t="s">
        <v>460</v>
      </c>
      <c r="B88" s="105" t="s">
        <v>329</v>
      </c>
      <c r="F88" s="168"/>
    </row>
    <row r="89" spans="1:6" x14ac:dyDescent="0.2">
      <c r="A89" s="105" t="s">
        <v>463</v>
      </c>
      <c r="B89" s="105" t="s">
        <v>329</v>
      </c>
      <c r="F89" s="168"/>
    </row>
    <row r="90" spans="1:6" x14ac:dyDescent="0.2">
      <c r="A90" s="105" t="s">
        <v>465</v>
      </c>
      <c r="B90" s="105" t="s">
        <v>466</v>
      </c>
      <c r="F90" s="168"/>
    </row>
    <row r="91" spans="1:6" x14ac:dyDescent="0.2">
      <c r="A91" s="105" t="s">
        <v>467</v>
      </c>
      <c r="B91" s="105" t="s">
        <v>320</v>
      </c>
      <c r="F91" s="168"/>
    </row>
    <row r="92" spans="1:6" x14ac:dyDescent="0.2">
      <c r="A92" s="105" t="s">
        <v>468</v>
      </c>
      <c r="B92" s="105" t="s">
        <v>469</v>
      </c>
      <c r="F92" s="168"/>
    </row>
    <row r="93" spans="1:6" x14ac:dyDescent="0.2">
      <c r="A93" s="105" t="s">
        <v>470</v>
      </c>
      <c r="B93" s="105" t="s">
        <v>469</v>
      </c>
      <c r="F93" s="168"/>
    </row>
    <row r="94" spans="1:6" x14ac:dyDescent="0.2">
      <c r="A94" s="105" t="s">
        <v>471</v>
      </c>
      <c r="B94" s="105" t="s">
        <v>469</v>
      </c>
      <c r="F94" s="168"/>
    </row>
    <row r="95" spans="1:6" x14ac:dyDescent="0.2">
      <c r="A95" s="105" t="s">
        <v>458</v>
      </c>
      <c r="B95" s="105" t="s">
        <v>317</v>
      </c>
      <c r="F95" s="168"/>
    </row>
    <row r="96" spans="1:6" x14ac:dyDescent="0.2">
      <c r="A96" s="105" t="s">
        <v>472</v>
      </c>
      <c r="B96" s="105" t="s">
        <v>329</v>
      </c>
      <c r="F96" s="168"/>
    </row>
    <row r="97" spans="1:6" x14ac:dyDescent="0.2">
      <c r="F97" s="168"/>
    </row>
    <row r="98" spans="1:6" x14ac:dyDescent="0.2">
      <c r="F98" s="168"/>
    </row>
    <row r="99" spans="1:6" x14ac:dyDescent="0.2">
      <c r="F99" s="168"/>
    </row>
    <row r="100" spans="1:6" ht="23.25" customHeight="1" x14ac:dyDescent="0.2">
      <c r="A100" s="350" t="s">
        <v>473</v>
      </c>
      <c r="B100" s="351"/>
      <c r="C100" s="233"/>
      <c r="F100" s="168"/>
    </row>
    <row r="101" spans="1:6" x14ac:dyDescent="0.2">
      <c r="A101" s="105" t="s">
        <v>474</v>
      </c>
      <c r="B101" s="105" t="s">
        <v>329</v>
      </c>
      <c r="F101" s="168"/>
    </row>
    <row r="102" spans="1:6" x14ac:dyDescent="0.2">
      <c r="A102" s="105" t="s">
        <v>475</v>
      </c>
      <c r="B102" s="105" t="s">
        <v>476</v>
      </c>
      <c r="F102" s="168"/>
    </row>
    <row r="103" spans="1:6" x14ac:dyDescent="0.2">
      <c r="A103" s="105" t="s">
        <v>477</v>
      </c>
      <c r="B103" s="105" t="s">
        <v>478</v>
      </c>
      <c r="F103" s="168"/>
    </row>
    <row r="104" spans="1:6" x14ac:dyDescent="0.2">
      <c r="A104" s="105" t="s">
        <v>479</v>
      </c>
      <c r="B104" s="105" t="s">
        <v>480</v>
      </c>
      <c r="F104" s="168"/>
    </row>
    <row r="105" spans="1:6" x14ac:dyDescent="0.2">
      <c r="A105" s="105" t="s">
        <v>481</v>
      </c>
      <c r="B105" s="105" t="s">
        <v>329</v>
      </c>
      <c r="F105" s="168"/>
    </row>
    <row r="106" spans="1:6" x14ac:dyDescent="0.2">
      <c r="A106" s="105" t="s">
        <v>482</v>
      </c>
      <c r="B106" s="105" t="s">
        <v>412</v>
      </c>
      <c r="F106" s="168"/>
    </row>
    <row r="107" spans="1:6" x14ac:dyDescent="0.2">
      <c r="A107" s="105" t="s">
        <v>484</v>
      </c>
      <c r="B107" s="105" t="s">
        <v>483</v>
      </c>
      <c r="F107" s="168"/>
    </row>
    <row r="108" spans="1:6" x14ac:dyDescent="0.2">
      <c r="A108" s="105" t="s">
        <v>485</v>
      </c>
      <c r="B108" s="105" t="s">
        <v>486</v>
      </c>
      <c r="F108" s="168"/>
    </row>
    <row r="109" spans="1:6" x14ac:dyDescent="0.2">
      <c r="A109" s="105" t="s">
        <v>487</v>
      </c>
      <c r="B109" s="105" t="s">
        <v>318</v>
      </c>
      <c r="F109" s="168"/>
    </row>
    <row r="110" spans="1:6" x14ac:dyDescent="0.2">
      <c r="A110" s="105" t="s">
        <v>488</v>
      </c>
      <c r="B110" s="105" t="s">
        <v>489</v>
      </c>
      <c r="F110" s="168"/>
    </row>
    <row r="111" spans="1:6" x14ac:dyDescent="0.2">
      <c r="A111" s="105" t="s">
        <v>490</v>
      </c>
      <c r="B111" s="105" t="s">
        <v>320</v>
      </c>
      <c r="F111" s="168"/>
    </row>
    <row r="112" spans="1:6" x14ac:dyDescent="0.2">
      <c r="F112" s="168"/>
    </row>
    <row r="113" spans="1:6" x14ac:dyDescent="0.2">
      <c r="F113" s="168"/>
    </row>
    <row r="114" spans="1:6" ht="24" customHeight="1" x14ac:dyDescent="0.2">
      <c r="A114" s="350" t="s">
        <v>495</v>
      </c>
      <c r="B114" s="351"/>
      <c r="C114" s="233"/>
      <c r="F114" s="168"/>
    </row>
    <row r="115" spans="1:6" x14ac:dyDescent="0.2">
      <c r="A115" s="105" t="s">
        <v>491</v>
      </c>
      <c r="B115" s="105" t="s">
        <v>494</v>
      </c>
      <c r="F115" s="168"/>
    </row>
    <row r="116" spans="1:6" x14ac:dyDescent="0.2">
      <c r="A116" s="105" t="s">
        <v>492</v>
      </c>
      <c r="B116" s="105" t="s">
        <v>493</v>
      </c>
      <c r="F116" s="168"/>
    </row>
    <row r="117" spans="1:6" x14ac:dyDescent="0.2">
      <c r="A117" s="105" t="s">
        <v>496</v>
      </c>
      <c r="B117" s="105" t="s">
        <v>493</v>
      </c>
      <c r="F117" s="168"/>
    </row>
    <row r="118" spans="1:6" x14ac:dyDescent="0.2">
      <c r="A118" s="105" t="s">
        <v>497</v>
      </c>
      <c r="B118" s="105" t="s">
        <v>493</v>
      </c>
      <c r="F118" s="168"/>
    </row>
    <row r="119" spans="1:6" x14ac:dyDescent="0.2">
      <c r="F119" s="168"/>
    </row>
    <row r="120" spans="1:6" x14ac:dyDescent="0.2">
      <c r="F120" s="168"/>
    </row>
    <row r="121" spans="1:6" ht="20.25" customHeight="1" x14ac:dyDescent="0.2">
      <c r="A121" s="350" t="s">
        <v>49</v>
      </c>
      <c r="B121" s="351"/>
      <c r="C121" s="233"/>
      <c r="F121" s="168"/>
    </row>
    <row r="122" spans="1:6" x14ac:dyDescent="0.2">
      <c r="A122" s="105" t="s">
        <v>498</v>
      </c>
      <c r="B122" s="105" t="s">
        <v>329</v>
      </c>
      <c r="F122" s="168"/>
    </row>
    <row r="123" spans="1:6" x14ac:dyDescent="0.2">
      <c r="A123" s="105" t="s">
        <v>499</v>
      </c>
      <c r="B123" s="105" t="s">
        <v>501</v>
      </c>
      <c r="F123" s="168"/>
    </row>
    <row r="124" spans="1:6" x14ac:dyDescent="0.2">
      <c r="A124" s="105" t="s">
        <v>504</v>
      </c>
      <c r="B124" s="105" t="s">
        <v>329</v>
      </c>
      <c r="F124" s="168"/>
    </row>
    <row r="125" spans="1:6" x14ac:dyDescent="0.2">
      <c r="A125" s="105" t="s">
        <v>502</v>
      </c>
      <c r="B125" s="105" t="s">
        <v>438</v>
      </c>
      <c r="F125" s="168"/>
    </row>
    <row r="126" spans="1:6" x14ac:dyDescent="0.2">
      <c r="A126" s="105" t="s">
        <v>503</v>
      </c>
      <c r="B126" s="105" t="s">
        <v>360</v>
      </c>
      <c r="F126" s="168"/>
    </row>
    <row r="127" spans="1:6" x14ac:dyDescent="0.2">
      <c r="A127" s="105" t="s">
        <v>500</v>
      </c>
      <c r="B127" s="105" t="s">
        <v>412</v>
      </c>
      <c r="F127" s="168"/>
    </row>
    <row r="128" spans="1:6" x14ac:dyDescent="0.2">
      <c r="A128" s="105" t="s">
        <v>498</v>
      </c>
      <c r="B128" s="105" t="s">
        <v>329</v>
      </c>
      <c r="F128" s="168"/>
    </row>
    <row r="129" spans="1:6" x14ac:dyDescent="0.2">
      <c r="A129" s="105" t="s">
        <v>505</v>
      </c>
      <c r="B129" s="105" t="s">
        <v>319</v>
      </c>
      <c r="F129" s="168"/>
    </row>
    <row r="130" spans="1:6" x14ac:dyDescent="0.2">
      <c r="A130" s="105" t="s">
        <v>506</v>
      </c>
      <c r="B130" s="105" t="s">
        <v>360</v>
      </c>
      <c r="F130" s="168"/>
    </row>
    <row r="131" spans="1:6" x14ac:dyDescent="0.2">
      <c r="A131" s="105" t="s">
        <v>507</v>
      </c>
      <c r="B131" s="105" t="s">
        <v>508</v>
      </c>
      <c r="F131" s="168"/>
    </row>
    <row r="132" spans="1:6" x14ac:dyDescent="0.2">
      <c r="A132" s="105" t="s">
        <v>509</v>
      </c>
      <c r="B132" s="105" t="s">
        <v>317</v>
      </c>
      <c r="F132" s="168"/>
    </row>
    <row r="133" spans="1:6" x14ac:dyDescent="0.2">
      <c r="A133" s="105" t="s">
        <v>510</v>
      </c>
      <c r="B133" s="105" t="s">
        <v>511</v>
      </c>
      <c r="F133" s="168"/>
    </row>
    <row r="134" spans="1:6" x14ac:dyDescent="0.2">
      <c r="A134" s="105" t="s">
        <v>512</v>
      </c>
      <c r="B134" s="105" t="s">
        <v>513</v>
      </c>
      <c r="F134" s="168"/>
    </row>
    <row r="135" spans="1:6" x14ac:dyDescent="0.2">
      <c r="A135" s="105" t="s">
        <v>514</v>
      </c>
      <c r="B135" s="105" t="s">
        <v>438</v>
      </c>
      <c r="F135" s="168"/>
    </row>
    <row r="136" spans="1:6" x14ac:dyDescent="0.2">
      <c r="A136" s="105" t="s">
        <v>487</v>
      </c>
      <c r="B136" s="105" t="s">
        <v>469</v>
      </c>
      <c r="F136" s="168"/>
    </row>
    <row r="137" spans="1:6" x14ac:dyDescent="0.2">
      <c r="F137" s="168"/>
    </row>
    <row r="138" spans="1:6" ht="15.75" x14ac:dyDescent="0.25">
      <c r="A138" s="362" t="s">
        <v>560</v>
      </c>
      <c r="B138" s="362"/>
      <c r="F138" s="168"/>
    </row>
    <row r="139" spans="1:6" x14ac:dyDescent="0.2">
      <c r="A139" s="105" t="s">
        <v>562</v>
      </c>
      <c r="F139" s="168"/>
    </row>
    <row r="140" spans="1:6" ht="15.75" x14ac:dyDescent="0.25">
      <c r="A140" s="105" t="s">
        <v>558</v>
      </c>
      <c r="F140" s="168"/>
    </row>
    <row r="141" spans="1:6" ht="15.75" x14ac:dyDescent="0.25">
      <c r="A141" s="105" t="s">
        <v>561</v>
      </c>
      <c r="F141" s="168"/>
    </row>
    <row r="142" spans="1:6" x14ac:dyDescent="0.2">
      <c r="A142" s="105" t="s">
        <v>563</v>
      </c>
      <c r="F142" s="168"/>
    </row>
    <row r="143" spans="1:6" x14ac:dyDescent="0.2">
      <c r="A143" s="105" t="s">
        <v>564</v>
      </c>
      <c r="F143" s="168"/>
    </row>
    <row r="144" spans="1:6" x14ac:dyDescent="0.2">
      <c r="F144" s="168"/>
    </row>
    <row r="145" spans="1:6" x14ac:dyDescent="0.2">
      <c r="F145" s="168"/>
    </row>
    <row r="146" spans="1:6" x14ac:dyDescent="0.2">
      <c r="F146" s="168"/>
    </row>
    <row r="147" spans="1:6" x14ac:dyDescent="0.2">
      <c r="F147" s="168"/>
    </row>
    <row r="148" spans="1:6" ht="15.75" x14ac:dyDescent="0.2">
      <c r="A148" s="350" t="s">
        <v>544</v>
      </c>
      <c r="B148" s="359"/>
      <c r="C148" s="351"/>
      <c r="F148" s="168"/>
    </row>
    <row r="149" spans="1:6" ht="12.75" customHeight="1" x14ac:dyDescent="0.2">
      <c r="A149" s="360" t="s">
        <v>545</v>
      </c>
      <c r="B149" s="360"/>
      <c r="C149" s="360"/>
      <c r="F149" s="168"/>
    </row>
    <row r="150" spans="1:6" x14ac:dyDescent="0.2">
      <c r="A150" s="218" t="s">
        <v>550</v>
      </c>
      <c r="B150" s="231"/>
      <c r="C150" s="231"/>
      <c r="F150" s="168"/>
    </row>
    <row r="151" spans="1:6" x14ac:dyDescent="0.2">
      <c r="A151" s="218" t="s">
        <v>551</v>
      </c>
      <c r="B151" s="231"/>
      <c r="C151" s="231"/>
      <c r="F151" s="168"/>
    </row>
    <row r="152" spans="1:6" x14ac:dyDescent="0.2">
      <c r="A152" s="218" t="s">
        <v>552</v>
      </c>
      <c r="B152" s="231"/>
      <c r="C152" s="231"/>
      <c r="F152" s="168"/>
    </row>
    <row r="153" spans="1:6" x14ac:dyDescent="0.2">
      <c r="A153" s="218" t="s">
        <v>553</v>
      </c>
      <c r="B153" s="231"/>
      <c r="C153" s="231"/>
      <c r="F153" s="168"/>
    </row>
    <row r="154" spans="1:6" x14ac:dyDescent="0.2">
      <c r="A154" s="218" t="s">
        <v>554</v>
      </c>
      <c r="B154" s="231"/>
      <c r="C154" s="231"/>
      <c r="F154" s="168"/>
    </row>
    <row r="155" spans="1:6" x14ac:dyDescent="0.2">
      <c r="A155" s="218" t="s">
        <v>546</v>
      </c>
      <c r="B155" s="231"/>
      <c r="C155" s="231"/>
      <c r="F155" s="168"/>
    </row>
    <row r="156" spans="1:6" x14ac:dyDescent="0.2">
      <c r="A156" s="218" t="s">
        <v>547</v>
      </c>
      <c r="B156" s="231"/>
      <c r="C156" s="231"/>
      <c r="F156" s="168"/>
    </row>
    <row r="157" spans="1:6" x14ac:dyDescent="0.2">
      <c r="A157" s="218" t="s">
        <v>548</v>
      </c>
      <c r="B157" s="231"/>
      <c r="C157" s="231"/>
      <c r="F157" s="168"/>
    </row>
    <row r="158" spans="1:6" x14ac:dyDescent="0.2">
      <c r="A158" s="218" t="s">
        <v>549</v>
      </c>
      <c r="B158" s="231"/>
      <c r="C158" s="231"/>
      <c r="F158" s="168"/>
    </row>
    <row r="159" spans="1:6" x14ac:dyDescent="0.2">
      <c r="A159" s="231"/>
      <c r="B159" s="231"/>
      <c r="C159" s="231"/>
      <c r="F159" s="168"/>
    </row>
    <row r="160" spans="1:6" ht="15.75" x14ac:dyDescent="0.2">
      <c r="A160" s="361" t="s">
        <v>559</v>
      </c>
      <c r="B160" s="361"/>
      <c r="C160" s="361"/>
      <c r="F160" s="168"/>
    </row>
    <row r="161" spans="1:6" x14ac:dyDescent="0.2">
      <c r="A161" s="218" t="s">
        <v>555</v>
      </c>
      <c r="B161" s="231"/>
      <c r="C161" s="231"/>
      <c r="F161" s="168"/>
    </row>
    <row r="162" spans="1:6" x14ac:dyDescent="0.2">
      <c r="A162" s="218" t="s">
        <v>556</v>
      </c>
      <c r="B162" s="231"/>
      <c r="C162" s="231"/>
      <c r="F162" s="168"/>
    </row>
    <row r="163" spans="1:6" x14ac:dyDescent="0.2">
      <c r="A163" s="232" t="s">
        <v>557</v>
      </c>
      <c r="B163" s="231"/>
      <c r="C163" s="231"/>
      <c r="F163" s="168"/>
    </row>
    <row r="164" spans="1:6" x14ac:dyDescent="0.2">
      <c r="A164" s="231"/>
      <c r="B164" s="231"/>
      <c r="C164" s="231"/>
      <c r="F164" s="168"/>
    </row>
    <row r="165" spans="1:6" x14ac:dyDescent="0.2">
      <c r="A165" s="231"/>
      <c r="B165" s="231"/>
      <c r="C165" s="231"/>
      <c r="F165" s="168"/>
    </row>
    <row r="166" spans="1:6" x14ac:dyDescent="0.2">
      <c r="F166" s="168"/>
    </row>
    <row r="167" spans="1:6" ht="15.75" customHeight="1" x14ac:dyDescent="0.2">
      <c r="A167" s="350" t="s">
        <v>515</v>
      </c>
      <c r="B167" s="359"/>
      <c r="C167" s="351"/>
      <c r="F167" s="168"/>
    </row>
    <row r="168" spans="1:6" x14ac:dyDescent="0.2">
      <c r="A168" s="105" t="s">
        <v>517</v>
      </c>
      <c r="B168" s="105" t="s">
        <v>519</v>
      </c>
      <c r="C168" s="105" t="s">
        <v>518</v>
      </c>
      <c r="F168" s="168"/>
    </row>
    <row r="169" spans="1:6" x14ac:dyDescent="0.2">
      <c r="A169" s="105" t="s">
        <v>516</v>
      </c>
      <c r="B169" s="105" t="s">
        <v>523</v>
      </c>
      <c r="C169" s="105" t="s">
        <v>524</v>
      </c>
      <c r="F169" s="168"/>
    </row>
    <row r="170" spans="1:6" x14ac:dyDescent="0.2">
      <c r="A170" s="105" t="s">
        <v>525</v>
      </c>
      <c r="B170" s="105" t="s">
        <v>526</v>
      </c>
      <c r="C170" s="105" t="s">
        <v>527</v>
      </c>
      <c r="F170" s="168"/>
    </row>
    <row r="171" spans="1:6" x14ac:dyDescent="0.2">
      <c r="A171" s="105" t="s">
        <v>528</v>
      </c>
      <c r="B171" s="105" t="s">
        <v>529</v>
      </c>
      <c r="C171" s="105" t="s">
        <v>530</v>
      </c>
      <c r="F171" s="168"/>
    </row>
    <row r="172" spans="1:6" x14ac:dyDescent="0.2">
      <c r="A172" s="105" t="s">
        <v>531</v>
      </c>
      <c r="B172" s="105" t="s">
        <v>522</v>
      </c>
      <c r="C172" s="105" t="s">
        <v>521</v>
      </c>
      <c r="F172" s="168"/>
    </row>
    <row r="173" spans="1:6" x14ac:dyDescent="0.2">
      <c r="A173" s="105" t="s">
        <v>532</v>
      </c>
      <c r="B173" s="105" t="s">
        <v>536</v>
      </c>
      <c r="C173" s="105" t="s">
        <v>533</v>
      </c>
      <c r="F173" s="168"/>
    </row>
    <row r="174" spans="1:6" x14ac:dyDescent="0.2">
      <c r="A174" s="105" t="s">
        <v>534</v>
      </c>
      <c r="B174" s="105" t="s">
        <v>535</v>
      </c>
      <c r="C174" s="105" t="s">
        <v>537</v>
      </c>
      <c r="F174" s="168"/>
    </row>
    <row r="175" spans="1:6" x14ac:dyDescent="0.2">
      <c r="A175" s="105" t="s">
        <v>538</v>
      </c>
      <c r="B175" s="105" t="s">
        <v>540</v>
      </c>
      <c r="C175" s="105" t="s">
        <v>539</v>
      </c>
      <c r="F175" s="168"/>
    </row>
    <row r="176" spans="1:6" x14ac:dyDescent="0.2">
      <c r="A176" s="105" t="s">
        <v>541</v>
      </c>
      <c r="B176" s="105" t="s">
        <v>542</v>
      </c>
      <c r="C176" s="105" t="s">
        <v>543</v>
      </c>
      <c r="F176" s="168"/>
    </row>
    <row r="177" spans="6:6" x14ac:dyDescent="0.2">
      <c r="F177" s="168"/>
    </row>
    <row r="178" spans="6:6" x14ac:dyDescent="0.2">
      <c r="F178" s="168"/>
    </row>
    <row r="179" spans="6:6" x14ac:dyDescent="0.2">
      <c r="F179" s="168"/>
    </row>
    <row r="180" spans="6:6" x14ac:dyDescent="0.2">
      <c r="F180" s="168"/>
    </row>
    <row r="181" spans="6:6" x14ac:dyDescent="0.2">
      <c r="F181" s="168"/>
    </row>
    <row r="182" spans="6:6" x14ac:dyDescent="0.2">
      <c r="F182" s="168"/>
    </row>
    <row r="183" spans="6:6" x14ac:dyDescent="0.2">
      <c r="F183" s="168"/>
    </row>
    <row r="184" spans="6:6" x14ac:dyDescent="0.2">
      <c r="F184" s="168"/>
    </row>
    <row r="185" spans="6:6" x14ac:dyDescent="0.2">
      <c r="F185" s="168"/>
    </row>
    <row r="186" spans="6:6" x14ac:dyDescent="0.2">
      <c r="F186" s="168"/>
    </row>
    <row r="187" spans="6:6" x14ac:dyDescent="0.2">
      <c r="F187" s="168"/>
    </row>
    <row r="188" spans="6:6" x14ac:dyDescent="0.2">
      <c r="F188" s="168"/>
    </row>
    <row r="189" spans="6:6" x14ac:dyDescent="0.2">
      <c r="F189" s="168"/>
    </row>
    <row r="190" spans="6:6" x14ac:dyDescent="0.2">
      <c r="F190" s="168"/>
    </row>
    <row r="191" spans="6:6" x14ac:dyDescent="0.2">
      <c r="F191" s="168"/>
    </row>
    <row r="192" spans="6:6" x14ac:dyDescent="0.2">
      <c r="F192" s="168"/>
    </row>
    <row r="193" spans="6:6" x14ac:dyDescent="0.2">
      <c r="F193" s="168"/>
    </row>
    <row r="194" spans="6:6" x14ac:dyDescent="0.2">
      <c r="F194" s="168"/>
    </row>
    <row r="195" spans="6:6" x14ac:dyDescent="0.2">
      <c r="F195" s="168"/>
    </row>
    <row r="196" spans="6:6" x14ac:dyDescent="0.2">
      <c r="F196" s="168"/>
    </row>
    <row r="197" spans="6:6" x14ac:dyDescent="0.2">
      <c r="F197" s="168"/>
    </row>
    <row r="198" spans="6:6" x14ac:dyDescent="0.2">
      <c r="F198" s="168"/>
    </row>
    <row r="199" spans="6:6" x14ac:dyDescent="0.2">
      <c r="F199" s="168"/>
    </row>
    <row r="200" spans="6:6" x14ac:dyDescent="0.2">
      <c r="F200" s="168"/>
    </row>
    <row r="201" spans="6:6" x14ac:dyDescent="0.2">
      <c r="F201" s="168"/>
    </row>
    <row r="202" spans="6:6" x14ac:dyDescent="0.2">
      <c r="F202" s="168"/>
    </row>
    <row r="203" spans="6:6" x14ac:dyDescent="0.2">
      <c r="F203" s="168"/>
    </row>
  </sheetData>
  <mergeCells count="16">
    <mergeCell ref="A167:C167"/>
    <mergeCell ref="A148:C148"/>
    <mergeCell ref="A149:C149"/>
    <mergeCell ref="A160:C160"/>
    <mergeCell ref="A82:B82"/>
    <mergeCell ref="A100:B100"/>
    <mergeCell ref="A114:B114"/>
    <mergeCell ref="A121:B121"/>
    <mergeCell ref="A138:B138"/>
    <mergeCell ref="A1:C1"/>
    <mergeCell ref="A45:B45"/>
    <mergeCell ref="A23:C23"/>
    <mergeCell ref="A37:C37"/>
    <mergeCell ref="A5:B5"/>
    <mergeCell ref="A4:C4"/>
    <mergeCell ref="A15:C15"/>
  </mergeCells>
  <phoneticPr fontId="11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P154"/>
  <sheetViews>
    <sheetView workbookViewId="0">
      <selection activeCell="K35" sqref="K35"/>
    </sheetView>
  </sheetViews>
  <sheetFormatPr defaultRowHeight="12.75" x14ac:dyDescent="0.2"/>
  <cols>
    <col min="1" max="1" width="6" customWidth="1"/>
    <col min="2" max="2" width="27.7109375" customWidth="1"/>
    <col min="3" max="3" width="6.140625" style="1" customWidth="1"/>
    <col min="4" max="6" width="9.140625" style="1"/>
    <col min="7" max="7" width="9.5703125" style="1" bestFit="1" customWidth="1"/>
    <col min="8" max="10" width="9.140625" style="1"/>
    <col min="11" max="11" width="7.7109375" style="1" customWidth="1"/>
    <col min="12" max="12" width="9.140625" style="1"/>
    <col min="13" max="13" width="7.5703125" style="1" customWidth="1"/>
    <col min="14" max="14" width="8" style="1" customWidth="1"/>
    <col min="15" max="15" width="5.5703125" style="1" customWidth="1"/>
    <col min="16" max="16" width="9.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16</v>
      </c>
      <c r="E1" s="1" t="s">
        <v>17</v>
      </c>
      <c r="F1" s="1" t="s">
        <v>7</v>
      </c>
      <c r="G1" s="1" t="s">
        <v>11</v>
      </c>
      <c r="H1" s="1" t="s">
        <v>12</v>
      </c>
      <c r="I1" s="1" t="s">
        <v>13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18</v>
      </c>
      <c r="O1" s="1" t="s">
        <v>3</v>
      </c>
    </row>
    <row r="2" spans="1:15" x14ac:dyDescent="0.2">
      <c r="A2" s="5">
        <v>1</v>
      </c>
      <c r="B2" s="3" t="s">
        <v>75</v>
      </c>
      <c r="C2" s="1">
        <v>100</v>
      </c>
      <c r="D2" s="6">
        <v>1.8</v>
      </c>
      <c r="E2" s="6">
        <v>6.4</v>
      </c>
      <c r="F2" s="6">
        <v>16</v>
      </c>
      <c r="G2" s="6">
        <v>13</v>
      </c>
      <c r="H2" s="6">
        <v>47</v>
      </c>
      <c r="I2" s="6">
        <v>0.7</v>
      </c>
      <c r="J2" s="6">
        <v>20</v>
      </c>
      <c r="K2" s="6">
        <v>7.0000000000000007E-2</v>
      </c>
      <c r="L2" s="6">
        <v>0.1</v>
      </c>
      <c r="M2" s="6">
        <v>0.8</v>
      </c>
      <c r="N2" s="6">
        <v>10.199999999999999</v>
      </c>
      <c r="O2" s="6"/>
    </row>
    <row r="3" spans="1:15" x14ac:dyDescent="0.2">
      <c r="A3" s="5">
        <v>2</v>
      </c>
      <c r="B3" t="s">
        <v>76</v>
      </c>
      <c r="C3" s="1">
        <v>100</v>
      </c>
      <c r="D3" s="6">
        <v>0.4</v>
      </c>
      <c r="E3" s="6">
        <v>13.7</v>
      </c>
      <c r="F3" s="6">
        <v>0.2</v>
      </c>
      <c r="G3" s="6">
        <v>18</v>
      </c>
      <c r="H3" s="6">
        <v>8</v>
      </c>
      <c r="I3" s="6">
        <v>0.5</v>
      </c>
      <c r="J3" s="6">
        <v>5</v>
      </c>
      <c r="K3" s="6">
        <v>0.08</v>
      </c>
      <c r="L3" s="6">
        <v>0.128</v>
      </c>
      <c r="M3" s="6">
        <v>0.82</v>
      </c>
      <c r="N3" s="6">
        <v>27.2</v>
      </c>
      <c r="O3" s="6"/>
    </row>
    <row r="4" spans="1:15" x14ac:dyDescent="0.2">
      <c r="A4" s="5">
        <v>3</v>
      </c>
      <c r="B4" t="s">
        <v>77</v>
      </c>
      <c r="C4" s="1">
        <v>100</v>
      </c>
      <c r="D4" s="6">
        <v>0.44</v>
      </c>
      <c r="E4" s="6">
        <v>29.77</v>
      </c>
      <c r="F4" s="6">
        <v>0.18</v>
      </c>
      <c r="G4" s="6">
        <v>27</v>
      </c>
      <c r="H4" s="6">
        <v>11</v>
      </c>
      <c r="I4" s="6">
        <v>0.75</v>
      </c>
      <c r="J4" s="6"/>
      <c r="K4" s="6"/>
      <c r="L4" s="6"/>
      <c r="M4" s="6"/>
      <c r="N4" s="6">
        <v>4.4000000000000004</v>
      </c>
      <c r="O4" s="6"/>
    </row>
    <row r="5" spans="1:15" x14ac:dyDescent="0.2">
      <c r="A5" s="5">
        <v>4</v>
      </c>
      <c r="B5" t="s">
        <v>78</v>
      </c>
      <c r="C5" s="1">
        <v>100</v>
      </c>
      <c r="D5" s="6">
        <v>3.8</v>
      </c>
      <c r="E5" s="6">
        <v>36.6</v>
      </c>
      <c r="F5" s="6">
        <v>12.2</v>
      </c>
      <c r="G5" s="6">
        <v>118</v>
      </c>
      <c r="H5" s="6">
        <v>0.5</v>
      </c>
      <c r="I5" s="6">
        <v>11.8</v>
      </c>
      <c r="J5" s="6">
        <v>0</v>
      </c>
      <c r="K5" s="6">
        <v>0.36</v>
      </c>
      <c r="L5" s="6">
        <v>0.01</v>
      </c>
      <c r="M5" s="6">
        <v>0.4</v>
      </c>
      <c r="N5" s="6">
        <v>9</v>
      </c>
      <c r="O5" s="6"/>
    </row>
    <row r="6" spans="1:15" x14ac:dyDescent="0.2">
      <c r="A6" s="5">
        <v>5</v>
      </c>
      <c r="B6" s="3" t="s">
        <v>147</v>
      </c>
      <c r="C6" s="1">
        <v>100</v>
      </c>
      <c r="D6" s="10">
        <v>13.1</v>
      </c>
      <c r="E6" s="10">
        <v>22.3</v>
      </c>
      <c r="F6" s="10">
        <v>15.6</v>
      </c>
      <c r="O6" s="10">
        <v>1.8</v>
      </c>
    </row>
    <row r="7" spans="1:15" x14ac:dyDescent="0.2">
      <c r="A7" s="5">
        <v>6</v>
      </c>
      <c r="B7" t="s">
        <v>60</v>
      </c>
      <c r="C7" s="1">
        <v>100</v>
      </c>
      <c r="D7" s="6">
        <v>0</v>
      </c>
      <c r="E7" s="6">
        <v>100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/>
      <c r="L7" s="6">
        <v>0</v>
      </c>
      <c r="M7" s="6"/>
      <c r="N7" s="6">
        <v>0</v>
      </c>
      <c r="O7" s="6"/>
    </row>
    <row r="8" spans="1:15" x14ac:dyDescent="0.2">
      <c r="A8" s="5">
        <v>7</v>
      </c>
      <c r="B8" s="3" t="s">
        <v>148</v>
      </c>
      <c r="C8" s="1">
        <v>100</v>
      </c>
      <c r="D8" s="10"/>
      <c r="E8" s="10">
        <v>99.1</v>
      </c>
      <c r="F8" s="10">
        <v>0</v>
      </c>
      <c r="O8" s="10"/>
    </row>
    <row r="9" spans="1:15" x14ac:dyDescent="0.2">
      <c r="A9" s="5">
        <v>8</v>
      </c>
      <c r="B9" s="3" t="s">
        <v>149</v>
      </c>
      <c r="C9" s="1">
        <v>100</v>
      </c>
      <c r="D9" s="10"/>
      <c r="E9" s="10">
        <v>96.4</v>
      </c>
      <c r="F9" s="10">
        <v>0</v>
      </c>
      <c r="O9" s="10"/>
    </row>
    <row r="10" spans="1:15" x14ac:dyDescent="0.2">
      <c r="A10" s="5">
        <v>9</v>
      </c>
      <c r="B10" s="3" t="s">
        <v>150</v>
      </c>
      <c r="C10" s="1">
        <v>100</v>
      </c>
      <c r="D10" s="10"/>
      <c r="E10" s="10">
        <v>99.5</v>
      </c>
      <c r="F10" s="10">
        <v>0</v>
      </c>
      <c r="O10" s="10"/>
    </row>
    <row r="11" spans="1:15" x14ac:dyDescent="0.2">
      <c r="A11" s="5">
        <v>10</v>
      </c>
      <c r="B11" t="s">
        <v>79</v>
      </c>
      <c r="C11" s="1">
        <v>100</v>
      </c>
      <c r="D11" s="6">
        <v>0.6</v>
      </c>
      <c r="E11" s="6">
        <v>28.9</v>
      </c>
      <c r="F11" s="6">
        <v>0.2</v>
      </c>
      <c r="G11" s="6">
        <v>35</v>
      </c>
      <c r="H11" s="6">
        <v>37</v>
      </c>
      <c r="I11" s="6">
        <v>0.9</v>
      </c>
      <c r="J11" s="6">
        <v>2</v>
      </c>
      <c r="K11" s="6">
        <v>0.05</v>
      </c>
      <c r="L11" s="6">
        <v>0.03</v>
      </c>
      <c r="M11" s="6">
        <v>0.6</v>
      </c>
      <c r="N11" s="6">
        <v>26.8</v>
      </c>
      <c r="O11" s="6"/>
    </row>
    <row r="12" spans="1:15" x14ac:dyDescent="0.2">
      <c r="A12" s="5">
        <v>11</v>
      </c>
      <c r="B12" t="s">
        <v>80</v>
      </c>
      <c r="C12" s="1">
        <v>100</v>
      </c>
      <c r="D12" s="6">
        <v>1.2</v>
      </c>
      <c r="E12" s="6">
        <v>55.2</v>
      </c>
      <c r="F12" s="6">
        <v>14.5</v>
      </c>
      <c r="G12" s="6">
        <v>54</v>
      </c>
      <c r="H12" s="6">
        <v>70</v>
      </c>
      <c r="I12" s="6">
        <v>1.7</v>
      </c>
      <c r="J12" s="6">
        <v>3</v>
      </c>
      <c r="K12" s="6">
        <v>0.09</v>
      </c>
      <c r="L12" s="6">
        <v>0.06</v>
      </c>
      <c r="M12" s="6">
        <v>1.1000000000000001</v>
      </c>
      <c r="N12" s="6">
        <v>7</v>
      </c>
      <c r="O12" s="6"/>
    </row>
    <row r="13" spans="1:15" x14ac:dyDescent="0.2">
      <c r="A13" s="5">
        <v>12</v>
      </c>
      <c r="B13" s="3" t="s">
        <v>151</v>
      </c>
      <c r="C13" s="1">
        <v>100</v>
      </c>
      <c r="D13" s="10">
        <v>1.8</v>
      </c>
      <c r="E13" s="10">
        <v>11.5</v>
      </c>
      <c r="F13" s="10">
        <v>0.2</v>
      </c>
      <c r="O13" s="10">
        <v>0.5</v>
      </c>
    </row>
    <row r="14" spans="1:15" x14ac:dyDescent="0.2">
      <c r="A14" s="5">
        <v>13</v>
      </c>
      <c r="B14" t="s">
        <v>81</v>
      </c>
      <c r="C14" s="1">
        <v>100</v>
      </c>
      <c r="D14" s="6">
        <v>0.43</v>
      </c>
      <c r="E14" s="6">
        <v>28.42</v>
      </c>
      <c r="F14" s="6">
        <v>0.24</v>
      </c>
      <c r="G14" s="6">
        <v>12</v>
      </c>
      <c r="H14" s="6">
        <v>39</v>
      </c>
      <c r="I14" s="6">
        <v>1.36</v>
      </c>
      <c r="J14" s="6">
        <v>105</v>
      </c>
      <c r="K14" s="6">
        <v>2.4E-2</v>
      </c>
      <c r="L14" s="6">
        <v>2.5999999999999999E-2</v>
      </c>
      <c r="M14" s="6">
        <v>0.36</v>
      </c>
      <c r="N14" s="6">
        <v>1.1000000000000001</v>
      </c>
      <c r="O14" s="6"/>
    </row>
    <row r="15" spans="1:15" x14ac:dyDescent="0.2">
      <c r="A15" s="5">
        <v>14</v>
      </c>
      <c r="B15" t="s">
        <v>82</v>
      </c>
      <c r="C15" s="1">
        <v>100</v>
      </c>
      <c r="D15" s="6">
        <v>18.600000000000001</v>
      </c>
      <c r="E15" s="6">
        <v>19.600000000000001</v>
      </c>
      <c r="F15" s="6">
        <v>54.1</v>
      </c>
      <c r="G15" s="6">
        <v>254</v>
      </c>
      <c r="H15" s="6">
        <v>457</v>
      </c>
      <c r="I15" s="6">
        <v>4.4000000000000004</v>
      </c>
      <c r="J15" s="6">
        <v>0</v>
      </c>
      <c r="K15" s="6">
        <v>0.71</v>
      </c>
      <c r="L15" s="6">
        <v>0.28000000000000003</v>
      </c>
      <c r="M15" s="6">
        <v>0.7</v>
      </c>
      <c r="N15" s="6"/>
      <c r="O15" s="6"/>
    </row>
    <row r="16" spans="1:15" x14ac:dyDescent="0.2">
      <c r="A16" s="5">
        <v>15</v>
      </c>
      <c r="B16" t="s">
        <v>184</v>
      </c>
      <c r="C16" s="1">
        <v>100</v>
      </c>
      <c r="D16" s="6">
        <v>23.2</v>
      </c>
      <c r="E16" s="6">
        <v>21.7</v>
      </c>
      <c r="F16" s="6">
        <v>50.9</v>
      </c>
      <c r="G16" s="6">
        <v>42</v>
      </c>
      <c r="H16" s="6">
        <v>354</v>
      </c>
      <c r="I16" s="6">
        <v>1.6</v>
      </c>
      <c r="J16" s="6"/>
      <c r="K16" s="6">
        <v>0.24</v>
      </c>
      <c r="L16" s="6">
        <v>0.14000000000000001</v>
      </c>
      <c r="M16" s="6">
        <v>19</v>
      </c>
      <c r="N16" s="6">
        <v>1</v>
      </c>
      <c r="O16" s="6"/>
    </row>
    <row r="17" spans="1:15" x14ac:dyDescent="0.2">
      <c r="A17" s="5">
        <v>16</v>
      </c>
      <c r="B17" t="s">
        <v>83</v>
      </c>
      <c r="C17" s="1">
        <v>100</v>
      </c>
      <c r="D17" s="6">
        <v>8.1</v>
      </c>
      <c r="E17" s="6">
        <v>73.8</v>
      </c>
      <c r="F17" s="6">
        <v>15.7</v>
      </c>
      <c r="G17" s="6">
        <v>17</v>
      </c>
      <c r="H17" s="6">
        <v>143</v>
      </c>
      <c r="I17" s="6">
        <v>1.3</v>
      </c>
      <c r="J17" s="6">
        <v>2</v>
      </c>
      <c r="K17" s="6">
        <v>0.14499999999999999</v>
      </c>
      <c r="L17" s="6">
        <v>8.5999999999999993E-2</v>
      </c>
      <c r="M17" s="6">
        <v>2.6539999999999999</v>
      </c>
      <c r="N17" s="6"/>
      <c r="O17" s="6"/>
    </row>
    <row r="18" spans="1:15" x14ac:dyDescent="0.2">
      <c r="A18" s="5">
        <v>17</v>
      </c>
      <c r="B18" t="s">
        <v>84</v>
      </c>
      <c r="C18" s="1">
        <v>100</v>
      </c>
      <c r="D18" s="6">
        <v>3.3</v>
      </c>
      <c r="E18" s="6">
        <v>26.2</v>
      </c>
      <c r="F18" s="6">
        <v>0.7</v>
      </c>
      <c r="G18" s="6">
        <v>2</v>
      </c>
      <c r="H18" s="6">
        <v>56</v>
      </c>
      <c r="I18" s="6">
        <v>0.6</v>
      </c>
      <c r="J18" s="6">
        <v>12</v>
      </c>
      <c r="K18" s="6">
        <v>7.0000000000000007E-2</v>
      </c>
      <c r="L18" s="6">
        <v>0.1</v>
      </c>
      <c r="M18" s="6">
        <v>0.5</v>
      </c>
      <c r="N18" s="6">
        <v>1</v>
      </c>
      <c r="O18" s="6"/>
    </row>
    <row r="19" spans="1:15" x14ac:dyDescent="0.2">
      <c r="A19" s="5">
        <v>18</v>
      </c>
      <c r="B19" t="s">
        <v>50</v>
      </c>
      <c r="C19" s="1">
        <v>100</v>
      </c>
      <c r="D19" s="6">
        <v>2.2999999999999998</v>
      </c>
      <c r="E19" s="6">
        <v>32.299999999999997</v>
      </c>
      <c r="F19" s="6">
        <v>2.1</v>
      </c>
      <c r="G19" s="6">
        <v>3</v>
      </c>
      <c r="H19" s="6">
        <v>36</v>
      </c>
      <c r="I19" s="6">
        <v>0.93</v>
      </c>
      <c r="J19" s="6">
        <v>0</v>
      </c>
      <c r="K19" s="6">
        <v>0.18</v>
      </c>
      <c r="L19" s="6">
        <v>0.05</v>
      </c>
      <c r="M19" s="6">
        <v>0.55000000000000004</v>
      </c>
      <c r="N19" s="6">
        <v>0</v>
      </c>
      <c r="O19" s="6">
        <v>2.88</v>
      </c>
    </row>
    <row r="20" spans="1:15" x14ac:dyDescent="0.2">
      <c r="A20" s="5">
        <v>19</v>
      </c>
      <c r="B20" t="s">
        <v>85</v>
      </c>
      <c r="C20" s="1">
        <v>100</v>
      </c>
      <c r="D20" s="6">
        <v>1.9</v>
      </c>
      <c r="E20" s="6">
        <v>2.4</v>
      </c>
      <c r="F20" s="6">
        <v>0.1</v>
      </c>
      <c r="G20" s="6">
        <v>14</v>
      </c>
      <c r="H20" s="6">
        <v>36</v>
      </c>
      <c r="I20" s="6">
        <v>0.9</v>
      </c>
      <c r="J20" s="6">
        <v>50</v>
      </c>
      <c r="K20" s="6">
        <v>7.0000000000000007E-2</v>
      </c>
      <c r="L20" s="6">
        <v>0.13</v>
      </c>
      <c r="M20" s="6">
        <v>0.754</v>
      </c>
      <c r="N20" s="6">
        <v>16</v>
      </c>
      <c r="O20" s="6"/>
    </row>
    <row r="21" spans="1:15" x14ac:dyDescent="0.2">
      <c r="A21" s="5">
        <v>20</v>
      </c>
      <c r="B21" t="s">
        <v>86</v>
      </c>
      <c r="C21" s="1">
        <v>100</v>
      </c>
      <c r="D21" s="6">
        <v>3.4</v>
      </c>
      <c r="E21" s="6">
        <v>3.5</v>
      </c>
      <c r="F21" s="6">
        <v>17.09</v>
      </c>
      <c r="G21" s="6"/>
      <c r="H21" s="6"/>
      <c r="I21" s="6"/>
      <c r="J21" s="6">
        <v>23</v>
      </c>
      <c r="K21" s="6">
        <v>6.0000000000000001E-3</v>
      </c>
      <c r="L21" s="6">
        <v>0.01</v>
      </c>
      <c r="M21" s="6">
        <v>0.12</v>
      </c>
      <c r="N21" s="6">
        <v>0</v>
      </c>
      <c r="O21" s="6"/>
    </row>
    <row r="22" spans="1:15" x14ac:dyDescent="0.2">
      <c r="A22" s="5">
        <v>21</v>
      </c>
      <c r="B22" t="s">
        <v>87</v>
      </c>
      <c r="C22" s="1">
        <v>100</v>
      </c>
      <c r="D22" s="6">
        <v>1.5</v>
      </c>
      <c r="E22" s="6">
        <v>2.8</v>
      </c>
      <c r="F22" s="6">
        <v>13.5</v>
      </c>
      <c r="G22" s="6">
        <v>61</v>
      </c>
      <c r="H22" s="6">
        <v>17</v>
      </c>
      <c r="I22" s="6">
        <v>1.03</v>
      </c>
      <c r="J22" s="6">
        <v>25</v>
      </c>
      <c r="K22" s="6">
        <v>8.0000000000000002E-3</v>
      </c>
      <c r="L22" s="6">
        <v>1.2E-2</v>
      </c>
      <c r="M22" s="6">
        <v>0.23</v>
      </c>
      <c r="N22" s="6">
        <v>5.9</v>
      </c>
      <c r="O22" s="6"/>
    </row>
    <row r="23" spans="1:15" x14ac:dyDescent="0.2">
      <c r="A23" s="5">
        <v>22</v>
      </c>
      <c r="B23" t="s">
        <v>88</v>
      </c>
      <c r="C23" s="1">
        <v>100</v>
      </c>
      <c r="D23" s="6">
        <v>15.5</v>
      </c>
      <c r="E23" s="6">
        <v>0</v>
      </c>
      <c r="F23" s="6">
        <v>42.6</v>
      </c>
      <c r="G23" s="6">
        <v>13</v>
      </c>
      <c r="H23" s="6">
        <v>108</v>
      </c>
      <c r="I23" s="6">
        <v>0.8</v>
      </c>
      <c r="J23" s="6">
        <v>0</v>
      </c>
      <c r="K23" s="6">
        <v>0.36</v>
      </c>
      <c r="L23" s="6">
        <v>0.11</v>
      </c>
      <c r="M23" s="6">
        <v>1.8</v>
      </c>
      <c r="N23" s="6">
        <v>0</v>
      </c>
      <c r="O23" s="6"/>
    </row>
    <row r="24" spans="1:15" x14ac:dyDescent="0.2">
      <c r="A24" s="5">
        <v>23</v>
      </c>
      <c r="B24" t="s">
        <v>89</v>
      </c>
      <c r="C24" s="1">
        <v>100</v>
      </c>
      <c r="D24" s="6">
        <v>9.5</v>
      </c>
      <c r="E24" s="6">
        <v>0</v>
      </c>
      <c r="F24" s="6">
        <v>59.4</v>
      </c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">
      <c r="A25" s="5">
        <v>24</v>
      </c>
      <c r="B25" s="7" t="s">
        <v>90</v>
      </c>
      <c r="C25" s="1">
        <v>100</v>
      </c>
      <c r="D25" s="6">
        <v>3.16</v>
      </c>
      <c r="E25" s="6">
        <v>67.73</v>
      </c>
      <c r="F25" s="6">
        <v>0.5</v>
      </c>
      <c r="G25" s="6"/>
      <c r="H25" s="6"/>
      <c r="I25" s="6"/>
      <c r="J25" s="6"/>
      <c r="K25" s="6">
        <v>0.13900000000000001</v>
      </c>
      <c r="L25" s="6">
        <v>0.10100000000000001</v>
      </c>
      <c r="M25" s="6">
        <v>1</v>
      </c>
      <c r="N25" s="6">
        <v>4.4000000000000004</v>
      </c>
      <c r="O25" s="6"/>
    </row>
    <row r="26" spans="1:15" x14ac:dyDescent="0.2">
      <c r="A26" s="5">
        <v>25</v>
      </c>
      <c r="B26" t="s">
        <v>58</v>
      </c>
      <c r="C26" s="1">
        <v>100</v>
      </c>
      <c r="D26" s="6">
        <v>5</v>
      </c>
      <c r="E26" s="6">
        <v>63</v>
      </c>
      <c r="F26" s="6">
        <v>18.100000000000001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4</v>
      </c>
    </row>
    <row r="27" spans="1:15" x14ac:dyDescent="0.2">
      <c r="A27" s="5">
        <v>26</v>
      </c>
      <c r="B27" t="s">
        <v>91</v>
      </c>
      <c r="C27" s="1">
        <v>100</v>
      </c>
      <c r="D27" s="6">
        <v>2</v>
      </c>
      <c r="E27" s="6">
        <v>19.100000000000001</v>
      </c>
      <c r="F27" s="6">
        <v>0.1</v>
      </c>
      <c r="G27" s="6">
        <v>11</v>
      </c>
      <c r="H27" s="6">
        <v>56</v>
      </c>
      <c r="I27" s="6">
        <v>0.7</v>
      </c>
      <c r="J27" s="6"/>
      <c r="K27" s="6"/>
      <c r="L27" s="6"/>
      <c r="M27" s="6"/>
      <c r="N27" s="6">
        <v>13.1</v>
      </c>
      <c r="O27" s="6"/>
    </row>
    <row r="28" spans="1:15" x14ac:dyDescent="0.2">
      <c r="A28" s="5">
        <v>27</v>
      </c>
      <c r="B28" t="s">
        <v>92</v>
      </c>
      <c r="C28" s="1">
        <v>100</v>
      </c>
      <c r="D28" s="6">
        <v>4.3</v>
      </c>
      <c r="E28" s="6">
        <v>36</v>
      </c>
      <c r="F28" s="6">
        <v>13.2</v>
      </c>
      <c r="G28" s="6">
        <v>15</v>
      </c>
      <c r="H28" s="6">
        <v>89</v>
      </c>
      <c r="I28" s="6">
        <v>0.8</v>
      </c>
      <c r="J28" s="6">
        <v>0</v>
      </c>
      <c r="K28" s="6">
        <v>0.13</v>
      </c>
      <c r="L28" s="6">
        <v>0.08</v>
      </c>
      <c r="M28" s="6">
        <v>3.1</v>
      </c>
      <c r="N28" s="6">
        <v>10</v>
      </c>
      <c r="O28" s="6"/>
    </row>
    <row r="29" spans="1:15" x14ac:dyDescent="0.2">
      <c r="A29" s="5">
        <v>28</v>
      </c>
      <c r="B29" t="s">
        <v>93</v>
      </c>
      <c r="C29" s="1">
        <v>100</v>
      </c>
      <c r="D29" s="6">
        <v>2.7</v>
      </c>
      <c r="E29" s="6">
        <v>60.1</v>
      </c>
      <c r="F29" s="6">
        <v>14.6</v>
      </c>
      <c r="G29" s="6">
        <v>45</v>
      </c>
      <c r="H29" s="6">
        <v>58</v>
      </c>
      <c r="I29" s="6">
        <v>1.6</v>
      </c>
      <c r="J29" s="6">
        <v>630</v>
      </c>
      <c r="K29" s="6">
        <v>0.23</v>
      </c>
      <c r="L29" s="6">
        <v>0.08</v>
      </c>
      <c r="M29" s="6">
        <v>1.7</v>
      </c>
      <c r="N29" s="6">
        <v>7</v>
      </c>
      <c r="O29" s="6"/>
    </row>
    <row r="30" spans="1:15" x14ac:dyDescent="0.2">
      <c r="A30" s="5">
        <v>29</v>
      </c>
      <c r="B30" s="3" t="s">
        <v>152</v>
      </c>
      <c r="C30" s="1">
        <v>100</v>
      </c>
      <c r="D30" s="10">
        <v>0.5</v>
      </c>
      <c r="E30" s="10">
        <v>17.899999999999999</v>
      </c>
      <c r="F30" s="10">
        <v>0.5</v>
      </c>
      <c r="O30" s="10"/>
    </row>
    <row r="31" spans="1:15" x14ac:dyDescent="0.2">
      <c r="A31" s="5">
        <v>30</v>
      </c>
      <c r="B31" t="s">
        <v>61</v>
      </c>
      <c r="C31" s="1">
        <v>100</v>
      </c>
      <c r="D31" s="6">
        <v>9.48</v>
      </c>
      <c r="E31" s="6">
        <v>70.58</v>
      </c>
      <c r="F31" s="6">
        <v>10.07</v>
      </c>
      <c r="G31" s="6">
        <v>31.17</v>
      </c>
      <c r="H31" s="6">
        <v>57.83</v>
      </c>
      <c r="I31" s="6">
        <v>1.1200000000000001</v>
      </c>
      <c r="J31" s="6">
        <v>0</v>
      </c>
      <c r="K31" s="6">
        <v>0.1</v>
      </c>
      <c r="L31" s="6">
        <v>0.06</v>
      </c>
      <c r="M31" s="6">
        <v>0.64</v>
      </c>
      <c r="N31" s="6">
        <v>0</v>
      </c>
      <c r="O31" s="6">
        <v>6.31</v>
      </c>
    </row>
    <row r="32" spans="1:15" x14ac:dyDescent="0.2">
      <c r="A32" s="5">
        <v>31</v>
      </c>
      <c r="B32" t="s">
        <v>94</v>
      </c>
      <c r="C32" s="1">
        <v>100</v>
      </c>
      <c r="D32" s="6">
        <v>2.7</v>
      </c>
      <c r="E32" s="6">
        <v>79.599999999999994</v>
      </c>
      <c r="F32" s="6">
        <v>10.199999999999999</v>
      </c>
      <c r="G32" s="6">
        <v>18</v>
      </c>
      <c r="H32" s="6">
        <v>22</v>
      </c>
      <c r="I32" s="6">
        <v>0.8</v>
      </c>
      <c r="J32" s="6">
        <v>0</v>
      </c>
      <c r="K32" s="6">
        <v>8.0000000000000002E-3</v>
      </c>
      <c r="L32" s="6">
        <v>0.01</v>
      </c>
      <c r="M32" s="6">
        <v>0.1</v>
      </c>
      <c r="N32" s="6">
        <v>0</v>
      </c>
      <c r="O32" s="6"/>
    </row>
    <row r="33" spans="1:15" x14ac:dyDescent="0.2">
      <c r="A33" s="5">
        <v>32</v>
      </c>
      <c r="B33" t="s">
        <v>95</v>
      </c>
      <c r="C33" s="1">
        <v>100</v>
      </c>
      <c r="D33" s="6">
        <v>8.9600000000000009</v>
      </c>
      <c r="E33" s="6">
        <v>67.260000000000005</v>
      </c>
      <c r="F33" s="6">
        <v>8.2200000000000006</v>
      </c>
      <c r="G33" s="6">
        <v>22</v>
      </c>
      <c r="H33" s="6">
        <v>31</v>
      </c>
      <c r="I33" s="6">
        <v>0.2</v>
      </c>
      <c r="J33" s="6">
        <v>0</v>
      </c>
      <c r="K33" s="6">
        <v>0.18</v>
      </c>
      <c r="L33" s="6">
        <v>0.05</v>
      </c>
      <c r="M33" s="6">
        <v>0.4</v>
      </c>
      <c r="N33" s="6">
        <v>0</v>
      </c>
      <c r="O33" s="6"/>
    </row>
    <row r="34" spans="1:15" x14ac:dyDescent="0.2">
      <c r="A34" s="5">
        <v>33</v>
      </c>
      <c r="B34" t="s">
        <v>166</v>
      </c>
      <c r="C34" s="1">
        <v>100</v>
      </c>
      <c r="D34" s="6">
        <v>9</v>
      </c>
      <c r="E34" s="6">
        <v>69.7</v>
      </c>
      <c r="F34" s="6">
        <v>13.2</v>
      </c>
      <c r="G34" s="6">
        <v>49</v>
      </c>
      <c r="H34" s="6">
        <v>126</v>
      </c>
      <c r="I34" s="6">
        <v>1.6</v>
      </c>
      <c r="J34" s="6">
        <v>0</v>
      </c>
      <c r="K34" s="6">
        <v>0.13</v>
      </c>
      <c r="L34" s="6">
        <v>0.13</v>
      </c>
      <c r="M34" s="6">
        <v>1.1000000000000001</v>
      </c>
      <c r="N34" s="6">
        <v>0</v>
      </c>
      <c r="O34" s="6"/>
    </row>
    <row r="35" spans="1:15" x14ac:dyDescent="0.2">
      <c r="A35" s="5">
        <v>34</v>
      </c>
      <c r="B35" t="s">
        <v>171</v>
      </c>
      <c r="C35" s="1">
        <v>100</v>
      </c>
      <c r="D35" s="1">
        <v>5.5</v>
      </c>
      <c r="E35" s="1">
        <v>64.8</v>
      </c>
      <c r="F35" s="1">
        <v>11.38</v>
      </c>
      <c r="G35" s="1">
        <v>84.91</v>
      </c>
      <c r="I35" s="1">
        <v>0.79</v>
      </c>
      <c r="J35" s="1">
        <v>151.97</v>
      </c>
      <c r="N35" s="1">
        <v>0.2</v>
      </c>
    </row>
    <row r="36" spans="1:15" x14ac:dyDescent="0.2">
      <c r="A36" s="5">
        <v>35</v>
      </c>
      <c r="B36" t="s">
        <v>167</v>
      </c>
      <c r="C36" s="1">
        <v>100</v>
      </c>
      <c r="D36" s="1">
        <v>5.5</v>
      </c>
      <c r="E36" s="1">
        <v>64.8</v>
      </c>
      <c r="F36" s="1">
        <v>11.38</v>
      </c>
      <c r="G36" s="1">
        <v>84.91</v>
      </c>
      <c r="H36" s="1">
        <v>0</v>
      </c>
      <c r="I36" s="1">
        <v>0.79</v>
      </c>
      <c r="J36" s="1">
        <v>151.97</v>
      </c>
      <c r="K36" s="1">
        <v>0</v>
      </c>
      <c r="L36" s="1">
        <v>0</v>
      </c>
      <c r="M36" s="1">
        <v>0</v>
      </c>
      <c r="N36" s="1">
        <v>0.2</v>
      </c>
      <c r="O36" s="1">
        <v>0</v>
      </c>
    </row>
    <row r="37" spans="1:15" x14ac:dyDescent="0.2">
      <c r="A37" s="5">
        <v>36</v>
      </c>
      <c r="B37" t="s">
        <v>172</v>
      </c>
      <c r="C37" s="1">
        <v>100</v>
      </c>
      <c r="D37" s="1">
        <v>2.5</v>
      </c>
      <c r="E37" s="1">
        <v>46.63</v>
      </c>
      <c r="F37" s="1">
        <v>11.88</v>
      </c>
      <c r="G37" s="1">
        <v>56.97</v>
      </c>
      <c r="I37" s="1">
        <v>1.23</v>
      </c>
      <c r="J37" s="1">
        <v>113.78</v>
      </c>
      <c r="N37" s="1">
        <v>22.94</v>
      </c>
    </row>
    <row r="38" spans="1:15" x14ac:dyDescent="0.2">
      <c r="A38" s="5">
        <v>37</v>
      </c>
      <c r="B38" t="s">
        <v>173</v>
      </c>
      <c r="C38" s="1">
        <v>100</v>
      </c>
      <c r="D38" s="1">
        <v>6.38</v>
      </c>
      <c r="E38" s="1">
        <v>47.67</v>
      </c>
      <c r="F38" s="1">
        <v>9.51</v>
      </c>
      <c r="G38" s="1">
        <v>130.75</v>
      </c>
      <c r="I38" s="1">
        <v>1.52</v>
      </c>
      <c r="J38" s="1">
        <v>144.96</v>
      </c>
      <c r="N38" s="1">
        <v>4.55</v>
      </c>
    </row>
    <row r="39" spans="1:15" x14ac:dyDescent="0.2">
      <c r="A39" s="5">
        <v>38</v>
      </c>
      <c r="B39" t="s">
        <v>174</v>
      </c>
      <c r="C39" s="1">
        <v>100</v>
      </c>
      <c r="D39" s="1">
        <v>6.37</v>
      </c>
      <c r="E39" s="1">
        <v>64.260000000000005</v>
      </c>
      <c r="F39" s="1">
        <v>10.72</v>
      </c>
      <c r="G39" s="1">
        <v>73.849999999999994</v>
      </c>
      <c r="I39" s="1">
        <v>1.19</v>
      </c>
      <c r="J39" s="1">
        <v>293</v>
      </c>
      <c r="N39" s="1">
        <v>1.36</v>
      </c>
    </row>
    <row r="40" spans="1:15" x14ac:dyDescent="0.2">
      <c r="A40" s="5">
        <v>39</v>
      </c>
      <c r="B40" t="s">
        <v>175</v>
      </c>
      <c r="C40" s="1">
        <v>100</v>
      </c>
      <c r="D40" s="1">
        <v>9.8000000000000007</v>
      </c>
      <c r="E40" s="1">
        <v>56.74</v>
      </c>
      <c r="F40" s="1">
        <v>22.56</v>
      </c>
      <c r="G40" s="1">
        <v>108.86</v>
      </c>
      <c r="I40" s="1">
        <v>2.27</v>
      </c>
      <c r="J40" s="1">
        <v>225.86</v>
      </c>
      <c r="N40" s="1">
        <v>0.24</v>
      </c>
    </row>
    <row r="41" spans="1:15" x14ac:dyDescent="0.2">
      <c r="A41" s="5">
        <v>40</v>
      </c>
      <c r="B41" t="s">
        <v>176</v>
      </c>
      <c r="C41" s="1">
        <v>100</v>
      </c>
      <c r="D41" s="1">
        <v>9.25</v>
      </c>
      <c r="E41" s="1">
        <v>56.67</v>
      </c>
      <c r="F41" s="1">
        <v>27.49</v>
      </c>
      <c r="G41" s="1">
        <v>50.12</v>
      </c>
      <c r="I41" s="1">
        <v>2.86</v>
      </c>
      <c r="J41" s="1">
        <v>288.89999999999998</v>
      </c>
      <c r="N41" s="1">
        <v>0</v>
      </c>
    </row>
    <row r="42" spans="1:15" x14ac:dyDescent="0.2">
      <c r="A42" s="5">
        <v>41</v>
      </c>
      <c r="B42" s="3" t="s">
        <v>153</v>
      </c>
      <c r="C42" s="1">
        <v>100</v>
      </c>
      <c r="D42" s="10">
        <v>5.0999999999999996</v>
      </c>
      <c r="E42" s="10">
        <v>54.3</v>
      </c>
      <c r="F42" s="10">
        <v>6.7</v>
      </c>
      <c r="O42" s="10">
        <v>0.4</v>
      </c>
    </row>
    <row r="43" spans="1:15" x14ac:dyDescent="0.2">
      <c r="A43" s="5">
        <v>42</v>
      </c>
      <c r="B43" t="s">
        <v>170</v>
      </c>
      <c r="C43" s="1">
        <v>100</v>
      </c>
      <c r="D43" s="1">
        <v>8.23</v>
      </c>
      <c r="E43" s="1">
        <v>55.55</v>
      </c>
      <c r="F43" s="1">
        <v>20.39</v>
      </c>
      <c r="G43" s="1">
        <v>127.45</v>
      </c>
      <c r="I43" s="1">
        <v>1.33</v>
      </c>
      <c r="J43" s="1">
        <v>280.10000000000002</v>
      </c>
      <c r="N43" s="1">
        <v>0.2</v>
      </c>
    </row>
    <row r="44" spans="1:15" x14ac:dyDescent="0.2">
      <c r="A44" s="5">
        <v>43</v>
      </c>
      <c r="B44" t="s">
        <v>177</v>
      </c>
      <c r="C44" s="1">
        <v>100</v>
      </c>
      <c r="D44" s="1">
        <v>9.5</v>
      </c>
      <c r="E44" s="1">
        <v>62</v>
      </c>
      <c r="F44" s="1">
        <v>12.86</v>
      </c>
      <c r="G44" s="1">
        <v>292.10000000000002</v>
      </c>
      <c r="I44" s="1">
        <v>0.48</v>
      </c>
      <c r="J44" s="1">
        <v>114.28</v>
      </c>
      <c r="N44" s="1">
        <v>1.1000000000000001</v>
      </c>
    </row>
    <row r="45" spans="1:15" x14ac:dyDescent="0.2">
      <c r="A45" s="5">
        <v>44</v>
      </c>
      <c r="B45" s="3" t="s">
        <v>154</v>
      </c>
      <c r="C45" s="1">
        <v>100</v>
      </c>
      <c r="D45" s="10">
        <v>17.2</v>
      </c>
      <c r="E45" s="10">
        <v>29.3</v>
      </c>
      <c r="F45" s="10">
        <v>45.7</v>
      </c>
      <c r="O45" s="10">
        <v>1.4</v>
      </c>
    </row>
    <row r="46" spans="1:15" x14ac:dyDescent="0.2">
      <c r="A46" s="5">
        <v>45</v>
      </c>
      <c r="B46" s="3" t="s">
        <v>155</v>
      </c>
      <c r="C46" s="1">
        <v>100</v>
      </c>
      <c r="D46" s="10">
        <v>13.2</v>
      </c>
      <c r="E46" s="10">
        <v>20.5</v>
      </c>
      <c r="F46" s="10">
        <v>60.3</v>
      </c>
      <c r="O46" s="10">
        <v>1.2</v>
      </c>
    </row>
    <row r="47" spans="1:15" x14ac:dyDescent="0.2">
      <c r="A47" s="5">
        <v>46</v>
      </c>
      <c r="B47" t="s">
        <v>96</v>
      </c>
      <c r="C47" s="1">
        <v>100</v>
      </c>
      <c r="D47" s="6">
        <v>0.03</v>
      </c>
      <c r="E47" s="6">
        <v>63.04</v>
      </c>
      <c r="F47" s="6">
        <v>7.0000000000000007E-2</v>
      </c>
      <c r="G47" s="6">
        <v>22</v>
      </c>
      <c r="H47" s="6">
        <v>3</v>
      </c>
      <c r="I47" s="6">
        <v>1.67</v>
      </c>
      <c r="J47" s="6">
        <v>3</v>
      </c>
      <c r="K47" s="6">
        <v>3.5000000000000003E-2</v>
      </c>
      <c r="L47" s="6">
        <v>5.0000000000000001E-3</v>
      </c>
      <c r="M47" s="6">
        <v>0.1</v>
      </c>
      <c r="N47" s="6">
        <v>2.2999999999999998</v>
      </c>
      <c r="O47" s="6"/>
    </row>
    <row r="48" spans="1:15" x14ac:dyDescent="0.2">
      <c r="A48" s="5">
        <v>47</v>
      </c>
      <c r="B48" t="s">
        <v>97</v>
      </c>
      <c r="C48" s="1">
        <v>100</v>
      </c>
      <c r="D48" s="6">
        <v>0.3</v>
      </c>
      <c r="E48" s="6">
        <v>3.8</v>
      </c>
      <c r="F48" s="6">
        <v>0</v>
      </c>
      <c r="G48" s="6">
        <v>5</v>
      </c>
      <c r="H48" s="6">
        <v>30</v>
      </c>
      <c r="I48" s="6">
        <v>0.1</v>
      </c>
      <c r="J48" s="6">
        <v>0</v>
      </c>
      <c r="K48" s="6">
        <v>0.01</v>
      </c>
      <c r="L48" s="6">
        <v>0.03</v>
      </c>
      <c r="M48" s="6">
        <v>0.6</v>
      </c>
      <c r="N48" s="6">
        <v>0</v>
      </c>
      <c r="O48" s="6"/>
    </row>
    <row r="49" spans="1:15" x14ac:dyDescent="0.2">
      <c r="A49" s="5">
        <v>48</v>
      </c>
      <c r="B49" t="s">
        <v>72</v>
      </c>
      <c r="C49" s="1">
        <v>100</v>
      </c>
      <c r="D49" s="6">
        <v>7.23</v>
      </c>
      <c r="E49" s="6">
        <v>48.7</v>
      </c>
      <c r="F49" s="6">
        <v>39.630000000000003</v>
      </c>
      <c r="G49" s="6">
        <v>95.33</v>
      </c>
      <c r="H49" s="6">
        <v>249.67</v>
      </c>
      <c r="I49" s="6">
        <v>1.83</v>
      </c>
      <c r="J49" s="6">
        <v>3</v>
      </c>
      <c r="K49" s="6">
        <v>0.02</v>
      </c>
      <c r="L49" s="6">
        <v>0.14000000000000001</v>
      </c>
      <c r="M49" s="6">
        <v>0.3</v>
      </c>
      <c r="N49" s="6">
        <v>0</v>
      </c>
      <c r="O49" s="6">
        <v>0</v>
      </c>
    </row>
    <row r="50" spans="1:15" x14ac:dyDescent="0.2">
      <c r="A50" s="5">
        <v>49</v>
      </c>
      <c r="B50" t="s">
        <v>98</v>
      </c>
      <c r="C50" s="1">
        <v>100</v>
      </c>
      <c r="D50" s="6">
        <v>0</v>
      </c>
      <c r="E50" s="6">
        <v>10</v>
      </c>
      <c r="F50" s="6">
        <v>0</v>
      </c>
      <c r="G50" s="6">
        <v>2</v>
      </c>
      <c r="H50" s="6">
        <v>1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/>
    </row>
    <row r="51" spans="1:15" x14ac:dyDescent="0.2">
      <c r="A51" s="5">
        <v>50</v>
      </c>
      <c r="B51" t="s">
        <v>99</v>
      </c>
      <c r="C51" s="1">
        <v>100</v>
      </c>
      <c r="D51" s="6">
        <v>3.6</v>
      </c>
      <c r="E51" s="6">
        <v>53.2</v>
      </c>
      <c r="F51" s="6">
        <v>39.1</v>
      </c>
      <c r="G51" s="6">
        <v>16</v>
      </c>
      <c r="H51" s="6">
        <v>112</v>
      </c>
      <c r="I51" s="6">
        <v>2</v>
      </c>
      <c r="J51" s="6">
        <v>0</v>
      </c>
      <c r="K51" s="6">
        <v>0.04</v>
      </c>
      <c r="L51" s="6">
        <v>0.03</v>
      </c>
      <c r="M51" s="6">
        <v>0.4</v>
      </c>
      <c r="N51" s="6">
        <v>0</v>
      </c>
      <c r="O51" s="6"/>
    </row>
    <row r="52" spans="1:15" x14ac:dyDescent="0.2">
      <c r="A52" s="5">
        <v>51</v>
      </c>
      <c r="B52" t="s">
        <v>100</v>
      </c>
      <c r="C52" s="1">
        <v>100</v>
      </c>
      <c r="D52" s="6">
        <v>24.9</v>
      </c>
      <c r="E52" s="6">
        <v>22.2</v>
      </c>
      <c r="F52" s="6">
        <v>48.8</v>
      </c>
      <c r="G52" s="6">
        <v>66</v>
      </c>
      <c r="H52" s="6">
        <v>380</v>
      </c>
      <c r="I52" s="6">
        <v>2.4</v>
      </c>
      <c r="J52" s="6">
        <v>0</v>
      </c>
      <c r="K52" s="6">
        <v>0.4</v>
      </c>
      <c r="L52" s="6">
        <v>0.12</v>
      </c>
      <c r="M52" s="6">
        <v>13.6</v>
      </c>
      <c r="N52" s="6">
        <v>0</v>
      </c>
      <c r="O52" s="6"/>
    </row>
    <row r="53" spans="1:15" x14ac:dyDescent="0.2">
      <c r="A53" s="5">
        <v>52</v>
      </c>
      <c r="B53" t="s">
        <v>101</v>
      </c>
      <c r="C53" s="1">
        <v>100</v>
      </c>
      <c r="D53" s="6">
        <v>7.8</v>
      </c>
      <c r="E53" s="6">
        <v>73.7</v>
      </c>
      <c r="F53" s="6">
        <v>2.2000000000000002</v>
      </c>
      <c r="G53" s="6">
        <v>16</v>
      </c>
      <c r="H53" s="6">
        <v>152</v>
      </c>
      <c r="I53" s="6">
        <v>0.9</v>
      </c>
      <c r="J53" s="6"/>
      <c r="K53" s="6"/>
      <c r="L53" s="6"/>
      <c r="M53" s="6"/>
      <c r="N53" s="6"/>
      <c r="O53" s="6"/>
    </row>
    <row r="54" spans="1:15" x14ac:dyDescent="0.2">
      <c r="A54" s="5">
        <v>53</v>
      </c>
      <c r="B54" t="s">
        <v>186</v>
      </c>
      <c r="C54" s="1">
        <v>100</v>
      </c>
      <c r="D54" s="6">
        <v>0.8</v>
      </c>
      <c r="E54" s="6">
        <v>54.2</v>
      </c>
      <c r="F54" s="6">
        <v>3.1</v>
      </c>
      <c r="G54" s="6">
        <v>9</v>
      </c>
      <c r="H54" s="6">
        <v>0.4</v>
      </c>
      <c r="I54" s="6"/>
      <c r="J54" s="6">
        <v>0</v>
      </c>
      <c r="K54" s="6">
        <v>0</v>
      </c>
      <c r="L54" s="6">
        <v>0</v>
      </c>
      <c r="M54" s="6">
        <v>0.1</v>
      </c>
      <c r="N54" s="6">
        <v>0</v>
      </c>
      <c r="O54" s="6"/>
    </row>
    <row r="55" spans="1:15" x14ac:dyDescent="0.2">
      <c r="A55" s="5">
        <v>54</v>
      </c>
      <c r="B55" t="s">
        <v>102</v>
      </c>
      <c r="C55" s="1">
        <v>100</v>
      </c>
      <c r="D55" s="6">
        <v>0.85</v>
      </c>
      <c r="E55" s="6">
        <v>59.55</v>
      </c>
      <c r="F55" s="6">
        <v>0.25</v>
      </c>
      <c r="G55" s="6">
        <v>15.5</v>
      </c>
      <c r="H55" s="6">
        <v>23</v>
      </c>
      <c r="I55" s="6">
        <v>0.4</v>
      </c>
      <c r="J55" s="6">
        <v>299.5</v>
      </c>
      <c r="K55" s="6">
        <v>0.05</v>
      </c>
      <c r="L55" s="6">
        <v>2.5000000000000001E-2</v>
      </c>
      <c r="M55" s="6">
        <v>0.03</v>
      </c>
      <c r="N55" s="6">
        <v>6.5</v>
      </c>
      <c r="O55" s="6"/>
    </row>
    <row r="56" spans="1:15" x14ac:dyDescent="0.2">
      <c r="A56" s="5">
        <v>55</v>
      </c>
      <c r="B56" t="s">
        <v>168</v>
      </c>
      <c r="C56" s="1">
        <v>100</v>
      </c>
      <c r="D56" s="1">
        <v>2.88</v>
      </c>
      <c r="E56" s="1">
        <v>56.75</v>
      </c>
      <c r="F56" s="1">
        <v>7.65</v>
      </c>
      <c r="G56" s="1">
        <v>14.32</v>
      </c>
      <c r="H56" s="1">
        <v>33.479999999999997</v>
      </c>
      <c r="I56" s="1">
        <v>0.94</v>
      </c>
      <c r="J56" s="1">
        <v>205.8</v>
      </c>
      <c r="K56" s="1">
        <v>0.06</v>
      </c>
      <c r="L56" s="1">
        <v>0.06</v>
      </c>
      <c r="M56" s="1">
        <v>0.44</v>
      </c>
      <c r="N56" s="1">
        <v>11.25</v>
      </c>
    </row>
    <row r="57" spans="1:15" x14ac:dyDescent="0.2">
      <c r="A57" s="5">
        <v>56</v>
      </c>
      <c r="B57" t="s">
        <v>103</v>
      </c>
      <c r="C57" s="1">
        <v>100</v>
      </c>
      <c r="D57" s="6">
        <v>0.66</v>
      </c>
      <c r="E57" s="6">
        <v>78.430000000000007</v>
      </c>
      <c r="F57" s="6">
        <v>0</v>
      </c>
      <c r="G57" s="6">
        <v>30</v>
      </c>
      <c r="H57" s="6">
        <v>14</v>
      </c>
      <c r="I57" s="6">
        <v>0.3</v>
      </c>
      <c r="J57" s="6">
        <v>0</v>
      </c>
      <c r="K57" s="6">
        <v>0</v>
      </c>
      <c r="L57" s="6">
        <v>0</v>
      </c>
      <c r="M57" s="6">
        <v>0</v>
      </c>
      <c r="N57" s="6">
        <v>11</v>
      </c>
      <c r="O57" s="6"/>
    </row>
    <row r="58" spans="1:15" x14ac:dyDescent="0.2">
      <c r="A58" s="5">
        <v>57</v>
      </c>
      <c r="B58" t="s">
        <v>104</v>
      </c>
      <c r="C58" s="1">
        <v>100</v>
      </c>
      <c r="D58" s="6">
        <v>8.75</v>
      </c>
      <c r="E58" s="6">
        <v>54.72</v>
      </c>
      <c r="F58" s="6">
        <v>4</v>
      </c>
      <c r="G58" s="6">
        <v>176</v>
      </c>
      <c r="H58" s="6">
        <v>139</v>
      </c>
      <c r="I58" s="6">
        <v>0.3</v>
      </c>
      <c r="J58" s="6">
        <v>8</v>
      </c>
      <c r="K58" s="6">
        <v>0.02</v>
      </c>
      <c r="L58" s="6">
        <v>0.05</v>
      </c>
      <c r="M58" s="6">
        <v>0.12</v>
      </c>
      <c r="N58" s="6">
        <v>1</v>
      </c>
      <c r="O58" s="6"/>
    </row>
    <row r="59" spans="1:15" x14ac:dyDescent="0.2">
      <c r="A59" s="5">
        <v>58</v>
      </c>
      <c r="B59" t="s">
        <v>67</v>
      </c>
      <c r="C59" s="1">
        <v>100</v>
      </c>
      <c r="D59" s="6">
        <v>0.44</v>
      </c>
      <c r="E59" s="6">
        <v>27.17</v>
      </c>
      <c r="F59" s="6">
        <v>0.19</v>
      </c>
      <c r="G59" s="6">
        <v>18.25</v>
      </c>
      <c r="H59" s="6">
        <v>14.25</v>
      </c>
      <c r="I59" s="6">
        <v>0.57999999999999996</v>
      </c>
      <c r="J59" s="6">
        <v>58.5</v>
      </c>
      <c r="K59" s="6">
        <v>0.27</v>
      </c>
      <c r="L59" s="6">
        <v>0.02</v>
      </c>
      <c r="M59" s="6">
        <v>0.41</v>
      </c>
      <c r="N59" s="6">
        <v>9.5</v>
      </c>
      <c r="O59" s="6">
        <v>0</v>
      </c>
    </row>
    <row r="60" spans="1:15" x14ac:dyDescent="0.2">
      <c r="A60" s="5">
        <v>59</v>
      </c>
      <c r="B60" t="s">
        <v>51</v>
      </c>
      <c r="C60" s="1">
        <v>100</v>
      </c>
      <c r="D60" s="6">
        <v>4.93</v>
      </c>
      <c r="E60" s="6">
        <v>12.87</v>
      </c>
      <c r="F60" s="6">
        <v>0.33</v>
      </c>
      <c r="G60" s="6">
        <v>26.67</v>
      </c>
      <c r="H60" s="6">
        <v>65.33</v>
      </c>
      <c r="I60" s="6">
        <v>1.8</v>
      </c>
      <c r="J60" s="6">
        <v>0</v>
      </c>
      <c r="K60" s="6">
        <v>0.12</v>
      </c>
      <c r="L60" s="6">
        <v>0.06</v>
      </c>
      <c r="M60" s="6">
        <v>0.67</v>
      </c>
      <c r="N60" s="6">
        <v>0.67</v>
      </c>
      <c r="O60" s="6">
        <v>0</v>
      </c>
    </row>
    <row r="61" spans="1:15" x14ac:dyDescent="0.2">
      <c r="A61" s="5">
        <v>60</v>
      </c>
      <c r="B61" s="3" t="s">
        <v>156</v>
      </c>
      <c r="C61" s="1">
        <v>100</v>
      </c>
      <c r="D61" s="10">
        <v>8.6</v>
      </c>
      <c r="E61" s="10">
        <v>10.5</v>
      </c>
      <c r="F61" s="10">
        <v>8.6</v>
      </c>
      <c r="O61" s="10">
        <v>0.7</v>
      </c>
    </row>
    <row r="62" spans="1:15" x14ac:dyDescent="0.2">
      <c r="A62" s="5">
        <v>61</v>
      </c>
      <c r="B62" t="s">
        <v>54</v>
      </c>
      <c r="C62" s="1">
        <v>100</v>
      </c>
      <c r="D62" s="6">
        <v>0.57999999999999996</v>
      </c>
      <c r="E62" s="6">
        <v>9.44</v>
      </c>
      <c r="F62" s="6">
        <v>0.25</v>
      </c>
      <c r="G62" s="6">
        <v>19.62</v>
      </c>
      <c r="H62" s="6">
        <v>17.23</v>
      </c>
      <c r="I62" s="6">
        <v>0.75</v>
      </c>
      <c r="J62" s="6">
        <v>37.94</v>
      </c>
      <c r="K62" s="6">
        <v>0.04</v>
      </c>
      <c r="L62" s="6">
        <v>0.05</v>
      </c>
      <c r="M62" s="6">
        <v>0.53</v>
      </c>
      <c r="N62" s="6">
        <v>25.74</v>
      </c>
      <c r="O62" s="6">
        <v>1.65</v>
      </c>
    </row>
    <row r="63" spans="1:15" x14ac:dyDescent="0.2">
      <c r="A63" s="5">
        <v>62</v>
      </c>
      <c r="B63" t="s">
        <v>55</v>
      </c>
      <c r="C63" s="1">
        <v>100</v>
      </c>
      <c r="D63" s="6">
        <v>1.01</v>
      </c>
      <c r="E63" s="6">
        <v>17.66</v>
      </c>
      <c r="F63" s="6">
        <v>0.31</v>
      </c>
      <c r="G63" s="6">
        <v>18.670000000000002</v>
      </c>
      <c r="H63" s="6">
        <v>21.89</v>
      </c>
      <c r="I63" s="6">
        <v>1.1599999999999999</v>
      </c>
      <c r="J63" s="6">
        <v>77.14</v>
      </c>
      <c r="K63" s="6">
        <v>0.06</v>
      </c>
      <c r="L63" s="6">
        <v>7.0000000000000007E-2</v>
      </c>
      <c r="M63" s="6">
        <v>0.56999999999999995</v>
      </c>
      <c r="N63" s="6">
        <v>26.37</v>
      </c>
      <c r="O63" s="6">
        <v>2.67</v>
      </c>
    </row>
    <row r="64" spans="1:15" x14ac:dyDescent="0.2">
      <c r="A64" s="5">
        <v>63</v>
      </c>
      <c r="B64" t="s">
        <v>69</v>
      </c>
      <c r="C64" s="1">
        <v>100</v>
      </c>
      <c r="D64" s="6">
        <v>1.6</v>
      </c>
      <c r="E64" s="6">
        <v>15.2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</row>
    <row r="65" spans="1:15" x14ac:dyDescent="0.2">
      <c r="A65" s="5">
        <v>64</v>
      </c>
      <c r="B65" t="s">
        <v>105</v>
      </c>
      <c r="C65" s="1">
        <v>100</v>
      </c>
      <c r="D65" s="6">
        <v>0.4</v>
      </c>
      <c r="E65" s="6">
        <v>64.959999999999994</v>
      </c>
      <c r="F65" s="6">
        <v>0.1</v>
      </c>
      <c r="G65" s="6">
        <v>21</v>
      </c>
      <c r="H65" s="6">
        <v>34</v>
      </c>
      <c r="I65" s="6">
        <v>0.35</v>
      </c>
      <c r="J65" s="6">
        <v>100</v>
      </c>
      <c r="K65" s="6">
        <v>2.8000000000000001E-2</v>
      </c>
      <c r="L65" s="6">
        <v>0.02</v>
      </c>
      <c r="M65" s="6">
        <v>0.15</v>
      </c>
      <c r="N65" s="6">
        <v>3</v>
      </c>
      <c r="O65" s="6"/>
    </row>
    <row r="66" spans="1:15" x14ac:dyDescent="0.2">
      <c r="A66" s="5">
        <v>65</v>
      </c>
      <c r="B66" t="s">
        <v>59</v>
      </c>
      <c r="C66" s="1">
        <v>100</v>
      </c>
      <c r="D66" s="6">
        <v>0.1</v>
      </c>
      <c r="E66" s="6">
        <v>61.6</v>
      </c>
      <c r="F66" s="6">
        <v>0.1</v>
      </c>
      <c r="G66" s="6">
        <v>18</v>
      </c>
      <c r="H66" s="6">
        <v>6</v>
      </c>
      <c r="I66" s="6">
        <v>1.3</v>
      </c>
      <c r="J66" s="6">
        <v>1</v>
      </c>
      <c r="K66" s="6">
        <v>0.01</v>
      </c>
      <c r="L66" s="6">
        <v>0.03</v>
      </c>
      <c r="M66" s="6">
        <v>0.2</v>
      </c>
      <c r="N66" s="6">
        <v>3</v>
      </c>
      <c r="O66" s="6">
        <v>0</v>
      </c>
    </row>
    <row r="67" spans="1:15" x14ac:dyDescent="0.2">
      <c r="A67" s="5">
        <v>66</v>
      </c>
      <c r="B67" t="s">
        <v>106</v>
      </c>
      <c r="C67" s="1">
        <v>100</v>
      </c>
      <c r="D67" s="6">
        <v>0.19</v>
      </c>
      <c r="E67" s="6">
        <v>59.12</v>
      </c>
      <c r="F67" s="6">
        <v>0.31</v>
      </c>
      <c r="G67" s="6">
        <v>47</v>
      </c>
      <c r="H67" s="6">
        <v>7</v>
      </c>
      <c r="I67" s="6">
        <v>2.16</v>
      </c>
      <c r="J67" s="6">
        <v>0</v>
      </c>
      <c r="K67" s="6">
        <v>0</v>
      </c>
      <c r="L67" s="6">
        <v>0</v>
      </c>
      <c r="M67" s="6">
        <v>0</v>
      </c>
      <c r="N67" s="6">
        <v>11</v>
      </c>
      <c r="O67" s="6"/>
    </row>
    <row r="68" spans="1:15" x14ac:dyDescent="0.2">
      <c r="A68" s="5">
        <v>67</v>
      </c>
      <c r="B68" t="s">
        <v>107</v>
      </c>
      <c r="C68" s="1">
        <v>100</v>
      </c>
      <c r="D68" s="6">
        <v>0.3</v>
      </c>
      <c r="E68" s="6">
        <v>63.05</v>
      </c>
      <c r="F68" s="6">
        <v>0.15</v>
      </c>
      <c r="G68" s="6"/>
      <c r="H68" s="6"/>
      <c r="I68" s="6"/>
      <c r="J68" s="6">
        <v>3</v>
      </c>
      <c r="K68" s="6">
        <v>0</v>
      </c>
      <c r="L68" s="6">
        <v>0</v>
      </c>
      <c r="M68" s="6">
        <v>0</v>
      </c>
      <c r="N68" s="6">
        <v>2</v>
      </c>
      <c r="O68" s="6"/>
    </row>
    <row r="69" spans="1:15" x14ac:dyDescent="0.2">
      <c r="A69" s="5">
        <v>68</v>
      </c>
      <c r="B69" t="s">
        <v>108</v>
      </c>
      <c r="C69" s="1">
        <v>100</v>
      </c>
      <c r="D69" s="6">
        <v>0.6</v>
      </c>
      <c r="E69" s="6">
        <v>63.53</v>
      </c>
      <c r="F69" s="6">
        <v>0.2</v>
      </c>
      <c r="G69" s="6">
        <v>15</v>
      </c>
      <c r="H69" s="6">
        <v>16</v>
      </c>
      <c r="I69" s="6">
        <v>0.57999999999999996</v>
      </c>
      <c r="J69" s="6"/>
      <c r="K69" s="6"/>
      <c r="L69" s="6"/>
      <c r="M69" s="6"/>
      <c r="N69" s="6">
        <v>25</v>
      </c>
      <c r="O69" s="6"/>
    </row>
    <row r="70" spans="1:15" x14ac:dyDescent="0.2">
      <c r="A70" s="5">
        <v>69</v>
      </c>
      <c r="B70" t="s">
        <v>109</v>
      </c>
      <c r="C70" s="1">
        <v>100</v>
      </c>
      <c r="D70" s="6">
        <v>0.3</v>
      </c>
      <c r="E70" s="6">
        <v>65.040000000000006</v>
      </c>
      <c r="F70" s="6">
        <v>0.15</v>
      </c>
      <c r="G70" s="6"/>
      <c r="H70" s="6"/>
      <c r="I70" s="6"/>
      <c r="J70" s="6"/>
      <c r="K70" s="6"/>
      <c r="L70" s="6"/>
      <c r="M70" s="6"/>
      <c r="N70" s="6"/>
      <c r="O70" s="6"/>
    </row>
    <row r="71" spans="1:15" x14ac:dyDescent="0.2">
      <c r="A71" s="5">
        <v>70</v>
      </c>
      <c r="B71" t="s">
        <v>110</v>
      </c>
      <c r="C71" s="1">
        <v>100</v>
      </c>
      <c r="D71" s="6">
        <v>0.2</v>
      </c>
      <c r="E71" s="6">
        <v>67.739999999999995</v>
      </c>
      <c r="F71" s="6">
        <v>0.1</v>
      </c>
      <c r="G71" s="6"/>
      <c r="H71" s="6"/>
      <c r="I71" s="6"/>
      <c r="J71" s="6"/>
      <c r="K71" s="6"/>
      <c r="L71" s="6"/>
      <c r="M71" s="6"/>
      <c r="N71" s="6"/>
      <c r="O71" s="6"/>
    </row>
    <row r="72" spans="1:15" x14ac:dyDescent="0.2">
      <c r="A72" s="5">
        <v>71</v>
      </c>
      <c r="B72" s="3" t="s">
        <v>157</v>
      </c>
      <c r="C72" s="1">
        <v>100</v>
      </c>
      <c r="D72" s="10">
        <v>6.4</v>
      </c>
      <c r="E72" s="10">
        <v>33.5</v>
      </c>
      <c r="F72" s="10">
        <v>6</v>
      </c>
      <c r="O72" s="10"/>
    </row>
    <row r="73" spans="1:15" x14ac:dyDescent="0.2">
      <c r="A73" s="5">
        <v>72</v>
      </c>
      <c r="B73" t="s">
        <v>111</v>
      </c>
      <c r="C73" s="1">
        <v>100</v>
      </c>
      <c r="D73" s="6">
        <v>0</v>
      </c>
      <c r="E73" s="6">
        <v>68.34</v>
      </c>
      <c r="F73" s="6">
        <v>0</v>
      </c>
      <c r="G73" s="6">
        <v>8</v>
      </c>
      <c r="H73" s="6">
        <v>16</v>
      </c>
      <c r="I73" s="6">
        <v>0.76</v>
      </c>
      <c r="J73" s="6">
        <v>0</v>
      </c>
      <c r="K73" s="6">
        <v>0</v>
      </c>
      <c r="L73" s="6">
        <v>0</v>
      </c>
      <c r="M73" s="6">
        <v>0</v>
      </c>
      <c r="N73" s="6">
        <v>5.5</v>
      </c>
      <c r="O73" s="6"/>
    </row>
    <row r="74" spans="1:15" x14ac:dyDescent="0.2">
      <c r="A74" s="5">
        <v>73</v>
      </c>
      <c r="B74" t="s">
        <v>46</v>
      </c>
      <c r="C74" s="1">
        <v>100</v>
      </c>
      <c r="D74" s="6">
        <v>1.7</v>
      </c>
      <c r="E74" s="6">
        <v>4.3600000000000003</v>
      </c>
      <c r="F74" s="6">
        <v>0.26</v>
      </c>
      <c r="G74" s="6">
        <v>78.94</v>
      </c>
      <c r="H74" s="6">
        <v>42.5</v>
      </c>
      <c r="I74" s="6">
        <v>1.38</v>
      </c>
      <c r="J74" s="6">
        <v>297.77</v>
      </c>
      <c r="K74" s="6">
        <v>7.0000000000000007E-2</v>
      </c>
      <c r="L74" s="6">
        <v>0.11</v>
      </c>
      <c r="M74" s="6">
        <v>0.64</v>
      </c>
      <c r="N74" s="6">
        <v>36.58</v>
      </c>
      <c r="O74" s="6">
        <v>1.7</v>
      </c>
    </row>
    <row r="75" spans="1:15" x14ac:dyDescent="0.2">
      <c r="A75" s="5">
        <v>74</v>
      </c>
      <c r="B75" t="s">
        <v>47</v>
      </c>
      <c r="C75" s="1">
        <v>100</v>
      </c>
      <c r="D75" s="6">
        <v>1.91</v>
      </c>
      <c r="E75" s="6">
        <v>9.02</v>
      </c>
      <c r="F75" s="6">
        <v>0.33</v>
      </c>
      <c r="G75" s="6">
        <v>28.22</v>
      </c>
      <c r="H75" s="6">
        <v>43.58</v>
      </c>
      <c r="I75" s="6">
        <v>1</v>
      </c>
      <c r="J75" s="6">
        <v>242.59</v>
      </c>
      <c r="K75" s="6">
        <v>7.0000000000000007E-2</v>
      </c>
      <c r="L75" s="6">
        <v>7.0000000000000007E-2</v>
      </c>
      <c r="M75" s="6">
        <v>0.79</v>
      </c>
      <c r="N75" s="6">
        <v>30.94</v>
      </c>
      <c r="O75" s="6">
        <v>2.1</v>
      </c>
    </row>
    <row r="76" spans="1:15" x14ac:dyDescent="0.2">
      <c r="A76" s="5">
        <v>75</v>
      </c>
      <c r="B76" t="s">
        <v>48</v>
      </c>
      <c r="C76" s="1">
        <v>100</v>
      </c>
      <c r="D76" s="6">
        <v>1.59</v>
      </c>
      <c r="E76" s="6">
        <v>25.83</v>
      </c>
      <c r="F76" s="6">
        <v>0.25</v>
      </c>
      <c r="G76" s="6">
        <v>33.880000000000003</v>
      </c>
      <c r="H76" s="6">
        <v>64.53</v>
      </c>
      <c r="I76" s="6">
        <v>1.44</v>
      </c>
      <c r="J76" s="6">
        <v>56.12</v>
      </c>
      <c r="K76" s="6">
        <v>0.14000000000000001</v>
      </c>
      <c r="L76" s="6">
        <v>0.04</v>
      </c>
      <c r="M76" s="6">
        <v>1.08</v>
      </c>
      <c r="N76" s="6">
        <v>21.61</v>
      </c>
      <c r="O76" s="6">
        <v>3.98</v>
      </c>
    </row>
    <row r="77" spans="1:15" x14ac:dyDescent="0.2">
      <c r="A77" s="5">
        <v>76</v>
      </c>
      <c r="B77" t="s">
        <v>63</v>
      </c>
      <c r="C77" s="1">
        <v>100</v>
      </c>
      <c r="D77" s="6">
        <v>3.5</v>
      </c>
      <c r="E77" s="6">
        <v>15.5</v>
      </c>
      <c r="F77" s="6">
        <v>0.1</v>
      </c>
      <c r="G77" s="6">
        <v>120</v>
      </c>
      <c r="H77" s="6">
        <v>100</v>
      </c>
      <c r="I77" s="6">
        <v>0</v>
      </c>
      <c r="J77" s="6">
        <v>0</v>
      </c>
      <c r="K77" s="6">
        <v>0.03</v>
      </c>
      <c r="L77" s="6">
        <v>0.15</v>
      </c>
      <c r="M77" s="6">
        <v>0.1</v>
      </c>
      <c r="N77" s="6">
        <v>0</v>
      </c>
      <c r="O77" s="6">
        <v>0</v>
      </c>
    </row>
    <row r="78" spans="1:15" x14ac:dyDescent="0.2">
      <c r="A78" s="5">
        <v>77</v>
      </c>
      <c r="B78" t="s">
        <v>112</v>
      </c>
      <c r="C78" s="1">
        <v>100</v>
      </c>
      <c r="D78" s="6">
        <v>1.2</v>
      </c>
      <c r="E78" s="6">
        <v>6.8</v>
      </c>
      <c r="F78" s="6">
        <v>0.8</v>
      </c>
      <c r="G78" s="6">
        <v>15</v>
      </c>
      <c r="H78" s="6">
        <v>35</v>
      </c>
      <c r="I78" s="6">
        <v>0.6</v>
      </c>
      <c r="J78" s="6">
        <v>140</v>
      </c>
      <c r="K78" s="6">
        <v>0.09</v>
      </c>
      <c r="L78" s="6">
        <v>7.0000000000000007E-2</v>
      </c>
      <c r="M78" s="6">
        <v>1.6</v>
      </c>
      <c r="N78" s="6">
        <v>15</v>
      </c>
      <c r="O78" s="6"/>
    </row>
    <row r="79" spans="1:15" x14ac:dyDescent="0.2">
      <c r="A79" s="5">
        <v>78</v>
      </c>
      <c r="B79" t="s">
        <v>65</v>
      </c>
      <c r="C79" s="1">
        <v>100</v>
      </c>
      <c r="D79" s="6">
        <v>6.88</v>
      </c>
      <c r="E79" s="6">
        <v>23.23</v>
      </c>
      <c r="F79" s="6">
        <v>1.03</v>
      </c>
      <c r="G79" s="6">
        <v>47.1</v>
      </c>
      <c r="H79" s="6">
        <v>109.11</v>
      </c>
      <c r="I79" s="6">
        <v>2.46</v>
      </c>
      <c r="J79" s="6">
        <v>1.39</v>
      </c>
      <c r="K79" s="6">
        <v>0.11</v>
      </c>
      <c r="L79" s="6">
        <v>0.06</v>
      </c>
      <c r="M79" s="6">
        <v>0.61</v>
      </c>
      <c r="N79" s="6">
        <v>2.95</v>
      </c>
      <c r="O79" s="6">
        <v>0</v>
      </c>
    </row>
    <row r="80" spans="1:15" x14ac:dyDescent="0.2">
      <c r="A80" s="5">
        <v>79</v>
      </c>
      <c r="B80" t="s">
        <v>4</v>
      </c>
      <c r="C80" s="1">
        <v>100</v>
      </c>
      <c r="D80" s="6">
        <v>3.6</v>
      </c>
      <c r="E80" s="6">
        <v>5</v>
      </c>
      <c r="F80" s="6">
        <v>0.1</v>
      </c>
      <c r="G80" s="6">
        <v>124</v>
      </c>
      <c r="H80" s="6">
        <v>98</v>
      </c>
      <c r="I80" s="6">
        <v>0.08</v>
      </c>
      <c r="J80" s="6">
        <v>0</v>
      </c>
      <c r="K80" s="6">
        <v>0.03</v>
      </c>
      <c r="L80" s="6">
        <v>0.18</v>
      </c>
      <c r="M80" s="6">
        <v>0.13</v>
      </c>
      <c r="N80" s="6">
        <v>1</v>
      </c>
      <c r="O80" s="6">
        <v>0</v>
      </c>
    </row>
    <row r="81" spans="1:15" x14ac:dyDescent="0.2">
      <c r="A81" s="5">
        <v>80</v>
      </c>
      <c r="B81" t="s">
        <v>5</v>
      </c>
      <c r="C81" s="1">
        <v>100</v>
      </c>
      <c r="D81" s="6">
        <v>3.57</v>
      </c>
      <c r="E81" s="6">
        <v>4.47</v>
      </c>
      <c r="F81" s="6">
        <v>3.63</v>
      </c>
      <c r="G81" s="6">
        <v>135.33000000000001</v>
      </c>
      <c r="H81" s="6">
        <v>94.33</v>
      </c>
      <c r="I81" s="6">
        <v>0.17</v>
      </c>
      <c r="J81" s="6">
        <v>34</v>
      </c>
      <c r="K81" s="6">
        <v>0.03</v>
      </c>
      <c r="L81" s="6">
        <v>0.19</v>
      </c>
      <c r="M81" s="6">
        <v>0.15</v>
      </c>
      <c r="N81" s="6">
        <v>1</v>
      </c>
      <c r="O81" s="6">
        <v>0</v>
      </c>
    </row>
    <row r="82" spans="1:15" x14ac:dyDescent="0.2">
      <c r="A82" s="5">
        <v>81</v>
      </c>
      <c r="B82" t="s">
        <v>62</v>
      </c>
      <c r="C82" s="1">
        <v>100</v>
      </c>
      <c r="D82" s="6">
        <v>3.1</v>
      </c>
      <c r="E82" s="6">
        <v>4.8</v>
      </c>
      <c r="F82" s="6">
        <v>1</v>
      </c>
      <c r="G82" s="6">
        <v>119</v>
      </c>
      <c r="H82" s="6">
        <v>80</v>
      </c>
      <c r="I82" s="6">
        <v>0.2</v>
      </c>
      <c r="J82" s="6">
        <v>99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</row>
    <row r="83" spans="1:15" x14ac:dyDescent="0.2">
      <c r="A83" s="5">
        <v>82</v>
      </c>
      <c r="B83" t="s">
        <v>113</v>
      </c>
      <c r="C83" s="1">
        <v>100</v>
      </c>
      <c r="D83" s="6">
        <v>0</v>
      </c>
      <c r="E83" s="6">
        <v>25.4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/>
    </row>
    <row r="84" spans="1:15" x14ac:dyDescent="0.2">
      <c r="A84" s="5">
        <v>83</v>
      </c>
      <c r="B84" s="3" t="s">
        <v>158</v>
      </c>
      <c r="C84" s="1">
        <v>100</v>
      </c>
      <c r="D84" s="10">
        <v>12.1</v>
      </c>
      <c r="E84" s="10">
        <v>1.1000000000000001</v>
      </c>
      <c r="F84" s="10">
        <v>27.5</v>
      </c>
      <c r="O84" s="10"/>
    </row>
    <row r="85" spans="1:15" x14ac:dyDescent="0.2">
      <c r="A85" s="5">
        <v>84</v>
      </c>
      <c r="B85" t="s">
        <v>73</v>
      </c>
      <c r="C85" s="1">
        <v>100</v>
      </c>
      <c r="D85" s="6">
        <v>3.55</v>
      </c>
      <c r="E85" s="6">
        <v>21.2</v>
      </c>
      <c r="F85" s="6">
        <v>0.4</v>
      </c>
      <c r="G85" s="6">
        <v>6</v>
      </c>
      <c r="H85" s="6">
        <v>37.5</v>
      </c>
      <c r="I85" s="6">
        <v>0.33</v>
      </c>
      <c r="J85" s="6">
        <v>0.14000000000000001</v>
      </c>
      <c r="K85" s="6">
        <v>0.7</v>
      </c>
      <c r="L85" s="6">
        <v>1.1499999999999999</v>
      </c>
      <c r="M85" s="6">
        <v>0</v>
      </c>
      <c r="N85" s="6">
        <v>0</v>
      </c>
      <c r="O85" s="6">
        <v>1.64</v>
      </c>
    </row>
    <row r="86" spans="1:15" x14ac:dyDescent="0.2">
      <c r="A86" s="5">
        <v>85</v>
      </c>
      <c r="B86" t="s">
        <v>70</v>
      </c>
      <c r="C86" s="1">
        <v>100</v>
      </c>
      <c r="D86" s="6">
        <v>1.4</v>
      </c>
      <c r="E86" s="6">
        <v>9.4700000000000006</v>
      </c>
      <c r="F86" s="6">
        <v>48.77</v>
      </c>
      <c r="G86" s="6">
        <v>9</v>
      </c>
      <c r="H86" s="6">
        <v>30</v>
      </c>
      <c r="I86" s="6">
        <v>0.4</v>
      </c>
      <c r="J86" s="6">
        <v>34</v>
      </c>
      <c r="K86" s="6">
        <v>0.02</v>
      </c>
      <c r="L86" s="6">
        <v>0.03</v>
      </c>
      <c r="M86" s="6">
        <v>0</v>
      </c>
      <c r="N86" s="6">
        <v>0</v>
      </c>
      <c r="O86" s="6">
        <v>0</v>
      </c>
    </row>
    <row r="87" spans="1:15" x14ac:dyDescent="0.2">
      <c r="A87" s="5">
        <v>86</v>
      </c>
      <c r="B87" t="s">
        <v>6</v>
      </c>
      <c r="C87" s="1">
        <v>100</v>
      </c>
      <c r="D87" s="6">
        <v>0.88</v>
      </c>
      <c r="E87" s="6">
        <v>0.2</v>
      </c>
      <c r="F87" s="6">
        <v>82.65</v>
      </c>
      <c r="G87" s="6">
        <v>18.75</v>
      </c>
      <c r="H87" s="6">
        <v>16.75</v>
      </c>
      <c r="I87" s="6">
        <v>0.1</v>
      </c>
      <c r="J87" s="6">
        <v>699</v>
      </c>
      <c r="K87" s="6">
        <v>0.01</v>
      </c>
      <c r="L87" s="6">
        <v>0.02</v>
      </c>
      <c r="M87" s="6">
        <v>0.08</v>
      </c>
      <c r="N87" s="6">
        <v>0</v>
      </c>
      <c r="O87" s="6">
        <v>0</v>
      </c>
    </row>
    <row r="88" spans="1:15" x14ac:dyDescent="0.2">
      <c r="A88" s="5">
        <v>87</v>
      </c>
      <c r="B88" t="s">
        <v>71</v>
      </c>
      <c r="C88" s="1">
        <v>100</v>
      </c>
      <c r="D88" s="6">
        <v>0.55000000000000004</v>
      </c>
      <c r="E88" s="6">
        <v>0.45</v>
      </c>
      <c r="F88" s="6">
        <v>81</v>
      </c>
      <c r="G88" s="6">
        <v>15.75</v>
      </c>
      <c r="H88" s="6">
        <v>15.25</v>
      </c>
      <c r="I88" s="6">
        <v>0.08</v>
      </c>
      <c r="J88" s="6">
        <v>693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</row>
    <row r="89" spans="1:15" x14ac:dyDescent="0.2">
      <c r="A89" s="5">
        <v>88</v>
      </c>
      <c r="B89" t="s">
        <v>114</v>
      </c>
      <c r="C89" s="1">
        <v>100</v>
      </c>
      <c r="D89" s="6">
        <v>0.9</v>
      </c>
      <c r="E89" s="6">
        <v>61.7</v>
      </c>
      <c r="F89" s="6">
        <v>0.2</v>
      </c>
      <c r="G89" s="6">
        <v>7</v>
      </c>
      <c r="H89" s="6">
        <v>13</v>
      </c>
      <c r="I89" s="6">
        <v>0.56999999999999995</v>
      </c>
      <c r="J89" s="6">
        <v>1</v>
      </c>
      <c r="K89" s="6">
        <v>3.0000000000000001E-3</v>
      </c>
      <c r="L89" s="6">
        <v>0.129</v>
      </c>
      <c r="M89" s="6">
        <v>0.39</v>
      </c>
      <c r="N89" s="6">
        <v>5.4</v>
      </c>
      <c r="O89" s="6"/>
    </row>
    <row r="90" spans="1:15" x14ac:dyDescent="0.2">
      <c r="A90" s="5">
        <v>89</v>
      </c>
      <c r="B90" t="s">
        <v>115</v>
      </c>
      <c r="C90" s="1">
        <v>100</v>
      </c>
      <c r="D90" s="6">
        <v>8.3000000000000007</v>
      </c>
      <c r="E90" s="6">
        <v>72.8</v>
      </c>
      <c r="F90" s="6">
        <v>15.5</v>
      </c>
      <c r="G90" s="6">
        <v>38</v>
      </c>
      <c r="H90" s="6">
        <v>124</v>
      </c>
      <c r="I90" s="6">
        <v>2</v>
      </c>
      <c r="J90" s="6"/>
      <c r="K90" s="6"/>
      <c r="L90" s="6"/>
      <c r="M90" s="6"/>
      <c r="N90" s="6"/>
      <c r="O90" s="6"/>
    </row>
    <row r="91" spans="1:15" x14ac:dyDescent="0.2">
      <c r="A91" s="5">
        <v>90</v>
      </c>
      <c r="B91" t="s">
        <v>116</v>
      </c>
      <c r="C91" s="1">
        <v>100</v>
      </c>
      <c r="D91" s="6">
        <v>0</v>
      </c>
      <c r="E91" s="6">
        <v>78.14</v>
      </c>
      <c r="F91" s="6">
        <v>0</v>
      </c>
      <c r="G91" s="6">
        <v>4</v>
      </c>
      <c r="H91" s="6">
        <v>19</v>
      </c>
      <c r="I91" s="6">
        <v>0.7</v>
      </c>
      <c r="J91" s="6">
        <v>0</v>
      </c>
      <c r="K91" s="6">
        <v>0.01</v>
      </c>
      <c r="L91" s="6">
        <v>7.0000000000000007E-2</v>
      </c>
      <c r="M91" s="6">
        <v>0.2</v>
      </c>
      <c r="N91" s="6">
        <v>4</v>
      </c>
      <c r="O91" s="6"/>
    </row>
    <row r="92" spans="1:15" x14ac:dyDescent="0.2">
      <c r="A92" s="5">
        <v>91</v>
      </c>
      <c r="B92" t="s">
        <v>117</v>
      </c>
      <c r="C92" s="1">
        <v>100</v>
      </c>
      <c r="D92" s="6">
        <v>3.6</v>
      </c>
      <c r="E92" s="6">
        <v>22.7</v>
      </c>
      <c r="F92" s="6">
        <v>3.4</v>
      </c>
      <c r="G92" s="6">
        <v>116</v>
      </c>
      <c r="H92" s="6">
        <v>107</v>
      </c>
      <c r="I92" s="6">
        <v>0.4</v>
      </c>
      <c r="J92" s="6">
        <v>31</v>
      </c>
      <c r="K92" s="6">
        <v>0.06</v>
      </c>
      <c r="L92" s="6">
        <v>0.13</v>
      </c>
      <c r="M92" s="6">
        <v>0.2</v>
      </c>
      <c r="N92" s="6">
        <v>1</v>
      </c>
      <c r="O92" s="6"/>
    </row>
    <row r="93" spans="1:15" x14ac:dyDescent="0.2">
      <c r="A93" s="5">
        <v>92</v>
      </c>
      <c r="B93" t="s">
        <v>118</v>
      </c>
      <c r="C93" s="1">
        <v>100</v>
      </c>
      <c r="D93" s="6">
        <v>18.399999999999999</v>
      </c>
      <c r="E93" s="6">
        <v>2.8</v>
      </c>
      <c r="F93" s="6">
        <v>20.8</v>
      </c>
      <c r="G93" s="6">
        <v>53</v>
      </c>
      <c r="H93" s="6">
        <v>157</v>
      </c>
      <c r="I93" s="6">
        <v>157</v>
      </c>
      <c r="J93" s="6">
        <v>0</v>
      </c>
      <c r="K93" s="6">
        <v>0.11</v>
      </c>
      <c r="L93" s="6">
        <v>0.18</v>
      </c>
      <c r="M93" s="6">
        <v>5.9</v>
      </c>
      <c r="N93" s="6">
        <v>0</v>
      </c>
      <c r="O93" s="6"/>
    </row>
    <row r="94" spans="1:15" x14ac:dyDescent="0.2">
      <c r="A94" s="5">
        <v>93</v>
      </c>
      <c r="B94" t="s">
        <v>169</v>
      </c>
      <c r="C94" s="1">
        <v>100</v>
      </c>
      <c r="D94" s="1">
        <v>4.6100000000000003</v>
      </c>
      <c r="E94" s="1">
        <v>20.27</v>
      </c>
      <c r="F94" s="1">
        <v>9.3000000000000007</v>
      </c>
      <c r="G94" s="1">
        <v>62.33</v>
      </c>
      <c r="H94" s="1">
        <v>49</v>
      </c>
      <c r="I94" s="1">
        <v>0.66</v>
      </c>
      <c r="J94" s="1">
        <v>103.33</v>
      </c>
      <c r="K94" s="1">
        <v>0.01</v>
      </c>
      <c r="L94" s="1">
        <v>0.06</v>
      </c>
      <c r="M94" s="1">
        <v>0</v>
      </c>
      <c r="N94" s="1">
        <v>3.63</v>
      </c>
    </row>
    <row r="95" spans="1:15" x14ac:dyDescent="0.2">
      <c r="A95" s="5">
        <v>94</v>
      </c>
      <c r="B95" t="s">
        <v>119</v>
      </c>
      <c r="C95" s="1">
        <v>100</v>
      </c>
      <c r="D95" s="6">
        <v>9</v>
      </c>
      <c r="E95" s="6">
        <v>80.5</v>
      </c>
      <c r="F95" s="6">
        <v>1.5</v>
      </c>
      <c r="G95" s="6"/>
      <c r="H95" s="6"/>
      <c r="I95" s="6"/>
      <c r="J95" s="6"/>
      <c r="K95" s="6"/>
      <c r="L95" s="6"/>
      <c r="M95" s="6"/>
      <c r="N95" s="6"/>
      <c r="O95" s="6"/>
    </row>
    <row r="96" spans="1:15" x14ac:dyDescent="0.2">
      <c r="A96" s="5">
        <v>95</v>
      </c>
      <c r="B96" t="s">
        <v>57</v>
      </c>
      <c r="C96" s="1">
        <v>100</v>
      </c>
      <c r="D96" s="6">
        <v>19.2</v>
      </c>
      <c r="E96" s="6">
        <v>50.2</v>
      </c>
      <c r="F96" s="6">
        <v>12.7</v>
      </c>
      <c r="G96" s="6">
        <v>152</v>
      </c>
      <c r="H96" s="6">
        <v>686</v>
      </c>
      <c r="I96" s="6">
        <v>10.7</v>
      </c>
      <c r="J96" s="6">
        <v>2</v>
      </c>
      <c r="K96" s="6">
        <v>0.11</v>
      </c>
      <c r="L96" s="6">
        <v>0.46</v>
      </c>
      <c r="M96" s="6">
        <v>2.4</v>
      </c>
      <c r="N96" s="6">
        <v>0</v>
      </c>
      <c r="O96" s="6">
        <v>5.2</v>
      </c>
    </row>
    <row r="97" spans="1:15" x14ac:dyDescent="0.2">
      <c r="A97" s="5">
        <v>96</v>
      </c>
      <c r="B97" t="s">
        <v>120</v>
      </c>
      <c r="C97" s="1">
        <v>100</v>
      </c>
      <c r="D97" s="6">
        <v>4.4000000000000004</v>
      </c>
      <c r="E97" s="6">
        <v>21.4</v>
      </c>
      <c r="F97" s="6">
        <v>1.9</v>
      </c>
      <c r="G97" s="6">
        <v>38</v>
      </c>
      <c r="H97" s="6">
        <v>86</v>
      </c>
      <c r="I97" s="6">
        <v>0.9</v>
      </c>
      <c r="J97" s="6">
        <v>31</v>
      </c>
      <c r="K97" s="6">
        <v>0.12</v>
      </c>
      <c r="L97" s="6">
        <v>0.08</v>
      </c>
      <c r="M97" s="6">
        <v>1.6</v>
      </c>
      <c r="N97" s="6">
        <v>13</v>
      </c>
      <c r="O97" s="6"/>
    </row>
    <row r="98" spans="1:15" x14ac:dyDescent="0.2">
      <c r="A98" s="5">
        <v>97</v>
      </c>
      <c r="B98" t="s">
        <v>121</v>
      </c>
      <c r="C98" s="1">
        <v>100</v>
      </c>
      <c r="D98" s="6">
        <v>18.399999999999999</v>
      </c>
      <c r="E98" s="6">
        <v>13</v>
      </c>
      <c r="F98" s="6">
        <v>64.400000000000006</v>
      </c>
      <c r="G98" s="6">
        <v>83</v>
      </c>
      <c r="H98" s="6">
        <v>380</v>
      </c>
      <c r="I98" s="6">
        <v>2.1</v>
      </c>
      <c r="J98" s="6">
        <v>3</v>
      </c>
      <c r="K98" s="6">
        <v>0.33</v>
      </c>
      <c r="L98" s="6">
        <v>0.13</v>
      </c>
      <c r="M98" s="6">
        <v>0.9</v>
      </c>
      <c r="N98" s="6">
        <v>2</v>
      </c>
      <c r="O98" s="6"/>
    </row>
    <row r="99" spans="1:15" x14ac:dyDescent="0.2">
      <c r="A99" s="5">
        <v>98</v>
      </c>
      <c r="B99" t="s">
        <v>53</v>
      </c>
      <c r="C99" s="1">
        <v>100</v>
      </c>
      <c r="D99" s="6">
        <v>0</v>
      </c>
      <c r="E99" s="6">
        <v>0</v>
      </c>
      <c r="F99" s="6">
        <v>100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</row>
    <row r="100" spans="1:15" x14ac:dyDescent="0.2">
      <c r="A100" s="5">
        <v>99</v>
      </c>
      <c r="B100" t="s">
        <v>122</v>
      </c>
      <c r="C100" s="1">
        <v>100</v>
      </c>
      <c r="D100" s="6">
        <v>11</v>
      </c>
      <c r="E100" s="6">
        <v>2.2000000000000002</v>
      </c>
      <c r="F100" s="6">
        <v>12</v>
      </c>
      <c r="G100" s="6">
        <v>81</v>
      </c>
      <c r="H100" s="6">
        <v>194</v>
      </c>
      <c r="I100" s="6">
        <v>2.1</v>
      </c>
      <c r="J100" s="6">
        <v>259</v>
      </c>
      <c r="K100" s="6">
        <v>0.08</v>
      </c>
      <c r="L100" s="6">
        <v>0.28000000000000003</v>
      </c>
      <c r="M100" s="6">
        <v>0.1</v>
      </c>
      <c r="N100" s="6">
        <v>0</v>
      </c>
      <c r="O100" s="6"/>
    </row>
    <row r="101" spans="1:15" x14ac:dyDescent="0.2">
      <c r="A101" s="5">
        <v>100</v>
      </c>
      <c r="B101" t="s">
        <v>66</v>
      </c>
      <c r="C101" s="1">
        <v>100</v>
      </c>
      <c r="D101" s="6">
        <v>12.17</v>
      </c>
      <c r="E101" s="6">
        <v>1.17</v>
      </c>
      <c r="F101" s="6">
        <v>10.87</v>
      </c>
      <c r="G101" s="6">
        <v>62.67</v>
      </c>
      <c r="H101" s="6">
        <v>216.67</v>
      </c>
      <c r="I101" s="6">
        <v>2.93</v>
      </c>
      <c r="J101" s="6">
        <v>395</v>
      </c>
      <c r="K101" s="6">
        <v>0.11</v>
      </c>
      <c r="L101" s="6">
        <v>0.32</v>
      </c>
      <c r="M101" s="6">
        <v>0.1</v>
      </c>
      <c r="N101" s="6">
        <v>0</v>
      </c>
      <c r="O101" s="6">
        <v>0</v>
      </c>
    </row>
    <row r="102" spans="1:15" x14ac:dyDescent="0.2">
      <c r="A102" s="5">
        <v>101</v>
      </c>
      <c r="B102" t="s">
        <v>123</v>
      </c>
      <c r="C102" s="1">
        <v>100</v>
      </c>
      <c r="D102" s="6">
        <v>14.3</v>
      </c>
      <c r="E102" s="6">
        <v>72.099999999999994</v>
      </c>
      <c r="F102" s="6">
        <v>7.4</v>
      </c>
      <c r="G102" s="6">
        <v>59</v>
      </c>
      <c r="H102" s="6">
        <v>196</v>
      </c>
      <c r="I102" s="6">
        <v>1.1000000000000001</v>
      </c>
      <c r="J102" s="6">
        <v>482</v>
      </c>
      <c r="K102" s="6">
        <v>1.01</v>
      </c>
      <c r="L102" s="6">
        <v>1.7</v>
      </c>
      <c r="M102" s="6">
        <v>11.5</v>
      </c>
      <c r="N102" s="6">
        <v>4</v>
      </c>
      <c r="O102" s="6"/>
    </row>
    <row r="103" spans="1:15" x14ac:dyDescent="0.2">
      <c r="A103" s="5">
        <v>102</v>
      </c>
      <c r="B103" t="s">
        <v>124</v>
      </c>
      <c r="C103" s="1">
        <v>100</v>
      </c>
      <c r="D103" s="6">
        <v>1.6</v>
      </c>
      <c r="E103" s="6">
        <v>3.7</v>
      </c>
      <c r="F103" s="6">
        <v>0.1</v>
      </c>
      <c r="G103" s="6">
        <v>61</v>
      </c>
      <c r="H103" s="6">
        <v>56</v>
      </c>
      <c r="I103" s="6">
        <v>0.6</v>
      </c>
      <c r="J103" s="6"/>
      <c r="K103" s="6"/>
      <c r="L103" s="6"/>
      <c r="M103" s="6"/>
      <c r="N103" s="6"/>
      <c r="O103" s="6"/>
    </row>
    <row r="104" spans="1:15" x14ac:dyDescent="0.2">
      <c r="A104" s="5">
        <v>103</v>
      </c>
      <c r="B104" t="s">
        <v>125</v>
      </c>
      <c r="C104" s="1">
        <v>100</v>
      </c>
      <c r="D104" s="6">
        <v>4.4000000000000004</v>
      </c>
      <c r="E104" s="6">
        <v>42.9</v>
      </c>
      <c r="F104" s="6">
        <v>7.6</v>
      </c>
      <c r="G104" s="6">
        <v>18</v>
      </c>
      <c r="H104" s="6">
        <v>140</v>
      </c>
      <c r="I104" s="6">
        <v>0.9</v>
      </c>
      <c r="J104" s="6">
        <v>25</v>
      </c>
      <c r="K104" s="6">
        <v>0.16</v>
      </c>
      <c r="L104" s="6">
        <v>0.11</v>
      </c>
      <c r="M104" s="6">
        <v>1.6</v>
      </c>
      <c r="N104" s="6">
        <v>55</v>
      </c>
      <c r="O104" s="6"/>
    </row>
    <row r="105" spans="1:15" x14ac:dyDescent="0.2">
      <c r="A105" s="5">
        <v>104</v>
      </c>
      <c r="B105" t="s">
        <v>126</v>
      </c>
      <c r="C105" s="1">
        <v>100</v>
      </c>
      <c r="D105" s="6">
        <v>9.1999999999999993</v>
      </c>
      <c r="E105" s="6">
        <v>26.6</v>
      </c>
      <c r="F105" s="6">
        <v>5.0999999999999996</v>
      </c>
      <c r="G105" s="6">
        <v>158</v>
      </c>
      <c r="H105" s="6">
        <v>154</v>
      </c>
      <c r="I105" s="6">
        <v>0.6</v>
      </c>
      <c r="J105" s="6">
        <v>58</v>
      </c>
      <c r="K105" s="6">
        <v>0.13</v>
      </c>
      <c r="L105" s="6">
        <v>0.11</v>
      </c>
      <c r="M105" s="6">
        <v>1.2</v>
      </c>
      <c r="N105" s="6">
        <v>4</v>
      </c>
      <c r="O105" s="6"/>
    </row>
    <row r="106" spans="1:15" x14ac:dyDescent="0.2">
      <c r="A106" s="5">
        <v>105</v>
      </c>
      <c r="B106" t="s">
        <v>185</v>
      </c>
      <c r="C106" s="1">
        <v>100</v>
      </c>
      <c r="D106" s="6">
        <v>8.9</v>
      </c>
      <c r="E106" s="6">
        <v>57.68</v>
      </c>
      <c r="F106" s="6">
        <v>1.2</v>
      </c>
      <c r="G106" s="6">
        <v>31.8</v>
      </c>
      <c r="H106" s="6">
        <v>149.30000000000001</v>
      </c>
      <c r="I106" s="6">
        <v>1.8</v>
      </c>
      <c r="J106" s="6">
        <v>9.16</v>
      </c>
      <c r="K106" s="6">
        <v>0.15</v>
      </c>
      <c r="L106" s="6">
        <v>0.11</v>
      </c>
      <c r="M106" s="6">
        <v>1.49</v>
      </c>
      <c r="N106" s="6">
        <v>0.04</v>
      </c>
      <c r="O106" s="6">
        <v>5.94</v>
      </c>
    </row>
    <row r="107" spans="1:15" x14ac:dyDescent="0.2">
      <c r="A107" s="5">
        <v>106</v>
      </c>
      <c r="B107" s="3" t="s">
        <v>159</v>
      </c>
      <c r="C107" s="1">
        <v>100</v>
      </c>
      <c r="D107" s="10">
        <v>10</v>
      </c>
      <c r="E107" s="10">
        <v>2.2000000000000002</v>
      </c>
      <c r="F107" s="10">
        <v>40.200000000000003</v>
      </c>
      <c r="O107" s="10"/>
    </row>
    <row r="108" spans="1:15" x14ac:dyDescent="0.2">
      <c r="A108" s="1">
        <v>107</v>
      </c>
      <c r="B108" t="s">
        <v>127</v>
      </c>
      <c r="C108" s="1">
        <v>100</v>
      </c>
      <c r="D108" s="6">
        <v>7.4</v>
      </c>
      <c r="E108" s="6">
        <v>70.5</v>
      </c>
      <c r="F108" s="6">
        <v>14.1</v>
      </c>
      <c r="G108" s="6">
        <v>45</v>
      </c>
      <c r="H108" s="6">
        <v>147</v>
      </c>
      <c r="I108" s="6">
        <v>2.2999999999999998</v>
      </c>
      <c r="J108" s="6">
        <v>20</v>
      </c>
      <c r="K108" s="6"/>
      <c r="L108" s="6"/>
      <c r="M108" s="6"/>
      <c r="N108" s="6"/>
      <c r="O108" s="6"/>
    </row>
    <row r="109" spans="1:15" x14ac:dyDescent="0.2">
      <c r="A109" s="1">
        <v>108</v>
      </c>
      <c r="B109" t="s">
        <v>128</v>
      </c>
      <c r="C109" s="1">
        <v>100</v>
      </c>
      <c r="D109" s="6">
        <v>0.62</v>
      </c>
      <c r="E109" s="6">
        <v>40.99</v>
      </c>
      <c r="F109" s="6">
        <v>0.17</v>
      </c>
      <c r="G109" s="6">
        <v>27</v>
      </c>
      <c r="H109" s="6">
        <v>0.78</v>
      </c>
      <c r="I109" s="6"/>
      <c r="J109" s="6"/>
      <c r="K109" s="6"/>
      <c r="L109" s="6"/>
      <c r="M109" s="6"/>
      <c r="N109" s="6">
        <v>7.9</v>
      </c>
      <c r="O109" s="6"/>
    </row>
    <row r="110" spans="1:15" x14ac:dyDescent="0.2">
      <c r="A110" s="1">
        <v>109</v>
      </c>
      <c r="B110" t="s">
        <v>180</v>
      </c>
      <c r="C110" s="1">
        <v>100</v>
      </c>
      <c r="D110" s="6">
        <f>(5.95+3.01+3.4+2.06+3.53+4.31+3.82+3.15+3.85+5.72+4.08+3.8)/12</f>
        <v>3.8899999999999992</v>
      </c>
      <c r="E110" s="6">
        <f>(25.95+30+27.8+25.08+24.7+27.93+29.82+36.3+25.54+29.06+31.83+32.2)/12</f>
        <v>28.850833333333327</v>
      </c>
      <c r="F110" s="6">
        <f>(5.71+3.97+20.8+3.97+7.65+33.1+19.45+21.85+28.15+21.89+18.87+19.2)/12</f>
        <v>17.050833333333333</v>
      </c>
    </row>
    <row r="111" spans="1:15" x14ac:dyDescent="0.2">
      <c r="A111" s="1">
        <v>110</v>
      </c>
      <c r="B111" t="s">
        <v>179</v>
      </c>
      <c r="C111" s="1">
        <v>100</v>
      </c>
      <c r="D111" s="6">
        <f>(0+0.16+0+0+0.16+2.33)/6</f>
        <v>0.44166666666666665</v>
      </c>
      <c r="E111" s="6">
        <f>(27.46+30+26.03+23.45+26.45+25.2)/6</f>
        <v>26.431666666666668</v>
      </c>
      <c r="F111" s="6">
        <f>(0+0+0+0+0.16+6.57)/6</f>
        <v>1.1216666666666668</v>
      </c>
      <c r="G111" s="6"/>
    </row>
    <row r="112" spans="1:15" x14ac:dyDescent="0.2">
      <c r="A112" s="1">
        <v>111</v>
      </c>
      <c r="B112" t="s">
        <v>129</v>
      </c>
      <c r="C112" s="1">
        <v>100</v>
      </c>
      <c r="D112" s="6">
        <v>12.7</v>
      </c>
      <c r="E112" s="6">
        <v>76.7</v>
      </c>
      <c r="F112" s="6">
        <v>5</v>
      </c>
      <c r="G112" s="6">
        <v>281</v>
      </c>
      <c r="H112" s="6">
        <v>2.7</v>
      </c>
      <c r="I112" s="6"/>
      <c r="J112" s="6"/>
      <c r="K112" s="6">
        <v>0.12</v>
      </c>
      <c r="L112" s="6">
        <v>0.05</v>
      </c>
      <c r="M112" s="6">
        <v>1.2</v>
      </c>
      <c r="N112" s="6">
        <v>0</v>
      </c>
      <c r="O112" s="6"/>
    </row>
    <row r="113" spans="1:15" x14ac:dyDescent="0.2">
      <c r="A113" s="1">
        <v>112</v>
      </c>
      <c r="B113" t="s">
        <v>130</v>
      </c>
      <c r="C113" s="1">
        <v>100</v>
      </c>
      <c r="D113" s="6">
        <v>8</v>
      </c>
      <c r="E113" s="6">
        <v>27.2</v>
      </c>
      <c r="F113" s="6">
        <v>12</v>
      </c>
      <c r="G113" s="6">
        <v>133</v>
      </c>
      <c r="H113" s="6">
        <v>0.9</v>
      </c>
      <c r="I113" s="6"/>
      <c r="J113" s="6">
        <v>58</v>
      </c>
      <c r="K113" s="6">
        <v>0.13</v>
      </c>
      <c r="L113" s="6">
        <v>0.1</v>
      </c>
      <c r="M113" s="6">
        <v>1.2</v>
      </c>
      <c r="N113" s="6">
        <v>0</v>
      </c>
      <c r="O113" s="6"/>
    </row>
    <row r="114" spans="1:15" x14ac:dyDescent="0.2">
      <c r="A114" s="1">
        <v>113</v>
      </c>
      <c r="B114" t="s">
        <v>56</v>
      </c>
      <c r="C114" s="1">
        <v>100</v>
      </c>
      <c r="D114" s="6">
        <v>17.73</v>
      </c>
      <c r="E114" s="6">
        <v>0</v>
      </c>
      <c r="F114" s="6">
        <v>25.17</v>
      </c>
      <c r="G114" s="6">
        <v>10.67</v>
      </c>
      <c r="H114" s="6">
        <v>199.33</v>
      </c>
      <c r="I114" s="6">
        <v>2.23</v>
      </c>
      <c r="J114" s="6">
        <v>0</v>
      </c>
      <c r="K114" s="6">
        <v>0.73</v>
      </c>
      <c r="L114" s="6">
        <v>0.2</v>
      </c>
      <c r="M114" s="6">
        <v>3.9</v>
      </c>
      <c r="N114" s="6">
        <v>0</v>
      </c>
      <c r="O114" s="6">
        <v>0</v>
      </c>
    </row>
    <row r="115" spans="1:15" x14ac:dyDescent="0.2">
      <c r="A115" s="1">
        <v>114</v>
      </c>
      <c r="B115" t="s">
        <v>131</v>
      </c>
      <c r="C115" s="1">
        <v>100</v>
      </c>
      <c r="D115" s="6">
        <v>19.88</v>
      </c>
      <c r="E115" s="6">
        <v>0</v>
      </c>
      <c r="F115" s="6">
        <v>29.15</v>
      </c>
      <c r="G115" s="6">
        <v>218</v>
      </c>
      <c r="H115" s="6">
        <v>1.7</v>
      </c>
      <c r="I115" s="6"/>
      <c r="J115" s="6">
        <v>0</v>
      </c>
      <c r="K115" s="6">
        <v>0.55000000000000004</v>
      </c>
      <c r="L115" s="6">
        <v>0.2</v>
      </c>
      <c r="M115" s="6">
        <v>2.9</v>
      </c>
      <c r="N115" s="6">
        <v>0</v>
      </c>
      <c r="O115" s="6"/>
    </row>
    <row r="116" spans="1:15" x14ac:dyDescent="0.2">
      <c r="A116" s="1">
        <v>115</v>
      </c>
      <c r="B116" t="s">
        <v>178</v>
      </c>
      <c r="C116" s="1">
        <v>100</v>
      </c>
      <c r="D116" s="1">
        <v>6.7</v>
      </c>
      <c r="E116" s="1">
        <v>24.34</v>
      </c>
      <c r="F116" s="1">
        <v>6.39</v>
      </c>
      <c r="G116" s="1">
        <v>170.51</v>
      </c>
      <c r="I116" s="1">
        <v>0.54</v>
      </c>
      <c r="J116" s="1">
        <v>123.67</v>
      </c>
      <c r="N116" s="1">
        <v>0.91</v>
      </c>
    </row>
    <row r="117" spans="1:15" x14ac:dyDescent="0.2">
      <c r="A117" s="1">
        <v>116</v>
      </c>
      <c r="B117" t="s">
        <v>132</v>
      </c>
      <c r="C117" s="1">
        <v>100</v>
      </c>
      <c r="D117" s="6">
        <v>4.4000000000000004</v>
      </c>
      <c r="E117" s="6">
        <v>21.4</v>
      </c>
      <c r="F117" s="6">
        <v>1.9</v>
      </c>
      <c r="G117" s="6">
        <v>86</v>
      </c>
      <c r="H117" s="6">
        <v>0.9</v>
      </c>
      <c r="I117" s="6"/>
      <c r="J117" s="6">
        <v>31</v>
      </c>
      <c r="K117" s="6">
        <v>0.12</v>
      </c>
      <c r="L117" s="6">
        <v>0.8</v>
      </c>
      <c r="M117" s="6">
        <v>1.6</v>
      </c>
      <c r="N117" s="6">
        <v>12</v>
      </c>
      <c r="O117" s="6"/>
    </row>
    <row r="118" spans="1:15" x14ac:dyDescent="0.2">
      <c r="A118" s="1">
        <v>117</v>
      </c>
      <c r="B118" t="s">
        <v>133</v>
      </c>
      <c r="C118" s="1">
        <v>100</v>
      </c>
      <c r="D118" s="6">
        <v>5.2</v>
      </c>
      <c r="E118" s="6">
        <v>26.3</v>
      </c>
      <c r="F118" s="6">
        <v>8.6999999999999993</v>
      </c>
      <c r="G118" s="6">
        <v>116</v>
      </c>
      <c r="H118" s="6">
        <v>1.2</v>
      </c>
      <c r="I118" s="6"/>
      <c r="J118" s="6"/>
      <c r="K118" s="6"/>
      <c r="L118" s="6"/>
      <c r="M118" s="6"/>
      <c r="N118" s="6"/>
      <c r="O118" s="6"/>
    </row>
    <row r="119" spans="1:15" x14ac:dyDescent="0.2">
      <c r="A119" s="1">
        <v>118</v>
      </c>
      <c r="B119" t="s">
        <v>52</v>
      </c>
      <c r="C119" s="1">
        <v>100</v>
      </c>
      <c r="D119" s="6">
        <v>21.5</v>
      </c>
      <c r="E119" s="6">
        <v>2.06</v>
      </c>
      <c r="F119" s="6">
        <v>23.5</v>
      </c>
      <c r="G119" s="6">
        <v>423.25</v>
      </c>
      <c r="H119" s="6">
        <v>400.5</v>
      </c>
      <c r="I119" s="6">
        <v>0.47</v>
      </c>
      <c r="J119" s="6">
        <v>190.25</v>
      </c>
      <c r="K119" s="6">
        <v>0.02</v>
      </c>
      <c r="L119" s="6">
        <v>0.28999999999999998</v>
      </c>
      <c r="M119" s="6">
        <v>0.15</v>
      </c>
      <c r="N119" s="6">
        <v>0.17</v>
      </c>
      <c r="O119" s="6">
        <v>0</v>
      </c>
    </row>
    <row r="120" spans="1:15" x14ac:dyDescent="0.2">
      <c r="A120" s="1">
        <v>119</v>
      </c>
      <c r="B120" t="s">
        <v>134</v>
      </c>
      <c r="C120" s="1">
        <v>100</v>
      </c>
      <c r="D120" s="6">
        <v>10.6</v>
      </c>
      <c r="E120" s="6">
        <v>79.099999999999994</v>
      </c>
      <c r="F120" s="6">
        <v>6.2</v>
      </c>
      <c r="G120" s="6">
        <v>84</v>
      </c>
      <c r="H120" s="6">
        <v>0.23</v>
      </c>
      <c r="I120" s="6"/>
      <c r="J120" s="6">
        <v>130</v>
      </c>
      <c r="K120" s="6">
        <v>0.09</v>
      </c>
      <c r="L120" s="6">
        <v>0.22</v>
      </c>
      <c r="M120" s="6">
        <v>0.7</v>
      </c>
      <c r="N120" s="6">
        <v>0</v>
      </c>
      <c r="O120" s="6"/>
    </row>
    <row r="121" spans="1:15" x14ac:dyDescent="0.2">
      <c r="A121" s="1">
        <v>120</v>
      </c>
      <c r="B121" t="s">
        <v>135</v>
      </c>
      <c r="C121" s="1">
        <v>100</v>
      </c>
      <c r="D121" s="6">
        <v>33.880000000000003</v>
      </c>
      <c r="E121" s="6">
        <v>0</v>
      </c>
      <c r="F121" s="6">
        <v>24.26</v>
      </c>
      <c r="G121" s="6">
        <v>245</v>
      </c>
      <c r="H121" s="6">
        <v>0.85</v>
      </c>
      <c r="I121" s="6"/>
      <c r="J121" s="6">
        <v>500</v>
      </c>
      <c r="K121" s="6">
        <v>0.01</v>
      </c>
      <c r="L121" s="6">
        <v>0.54</v>
      </c>
      <c r="M121" s="6">
        <v>0.1</v>
      </c>
      <c r="N121" s="6">
        <v>0</v>
      </c>
      <c r="O121" s="6"/>
    </row>
    <row r="122" spans="1:15" x14ac:dyDescent="0.2">
      <c r="A122" s="1">
        <v>121</v>
      </c>
      <c r="B122" t="s">
        <v>64</v>
      </c>
      <c r="C122" s="1">
        <v>100</v>
      </c>
      <c r="D122" s="6">
        <v>12.6</v>
      </c>
      <c r="E122" s="6">
        <v>0</v>
      </c>
      <c r="F122" s="6">
        <v>14.28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</row>
    <row r="123" spans="1:15" x14ac:dyDescent="0.2">
      <c r="A123" s="1">
        <v>122</v>
      </c>
      <c r="B123" t="s">
        <v>136</v>
      </c>
      <c r="C123" s="1">
        <v>100</v>
      </c>
      <c r="D123" s="6">
        <v>10.9</v>
      </c>
      <c r="E123" s="6">
        <v>21.7</v>
      </c>
      <c r="F123" s="6">
        <v>3.9</v>
      </c>
      <c r="G123" s="6">
        <v>113</v>
      </c>
      <c r="H123" s="6">
        <v>1.2</v>
      </c>
      <c r="I123" s="6"/>
      <c r="J123" s="6">
        <v>14</v>
      </c>
      <c r="K123" s="6">
        <v>0.04</v>
      </c>
      <c r="L123" s="6">
        <v>0.08</v>
      </c>
      <c r="M123" s="6">
        <v>1.8</v>
      </c>
      <c r="N123" s="6">
        <v>2</v>
      </c>
      <c r="O123" s="6"/>
    </row>
    <row r="124" spans="1:15" x14ac:dyDescent="0.2">
      <c r="A124" s="1">
        <v>123</v>
      </c>
      <c r="B124" t="s">
        <v>137</v>
      </c>
      <c r="C124" s="1">
        <v>100</v>
      </c>
      <c r="D124" s="6">
        <v>14.54</v>
      </c>
      <c r="E124" s="6">
        <v>62</v>
      </c>
      <c r="F124" s="6">
        <v>8.9600000000000009</v>
      </c>
      <c r="G124" s="6"/>
      <c r="H124" s="6"/>
      <c r="I124" s="6"/>
      <c r="J124" s="6"/>
      <c r="K124" s="6"/>
      <c r="L124" s="6"/>
      <c r="M124" s="6"/>
      <c r="N124" s="6"/>
      <c r="O124" s="6"/>
    </row>
    <row r="125" spans="1:15" x14ac:dyDescent="0.2">
      <c r="A125" s="1">
        <v>124</v>
      </c>
      <c r="B125" s="3" t="s">
        <v>160</v>
      </c>
      <c r="C125" s="1">
        <v>100</v>
      </c>
      <c r="D125" s="10">
        <v>0.6</v>
      </c>
      <c r="E125" s="10">
        <v>27.9</v>
      </c>
      <c r="F125" s="10">
        <v>0.9</v>
      </c>
      <c r="O125" s="10">
        <v>0.5</v>
      </c>
    </row>
    <row r="126" spans="1:15" x14ac:dyDescent="0.2">
      <c r="A126" s="1">
        <v>125</v>
      </c>
      <c r="B126" t="s">
        <v>138</v>
      </c>
      <c r="C126" s="1">
        <v>100</v>
      </c>
      <c r="D126" s="6">
        <v>24.04</v>
      </c>
      <c r="E126" s="6">
        <v>0</v>
      </c>
      <c r="F126" s="6">
        <v>22.36</v>
      </c>
      <c r="G126" s="6">
        <v>260</v>
      </c>
      <c r="H126" s="6">
        <v>2.6</v>
      </c>
      <c r="I126" s="6"/>
      <c r="J126" s="6">
        <v>0</v>
      </c>
      <c r="K126" s="6">
        <v>0.25</v>
      </c>
      <c r="L126" s="6">
        <v>0.21</v>
      </c>
      <c r="M126" s="6">
        <v>2.9</v>
      </c>
      <c r="N126" s="6">
        <v>0</v>
      </c>
      <c r="O126" s="6"/>
    </row>
    <row r="127" spans="1:15" x14ac:dyDescent="0.2">
      <c r="A127" s="1">
        <v>126</v>
      </c>
      <c r="B127" s="3" t="s">
        <v>161</v>
      </c>
      <c r="C127" s="1">
        <v>100</v>
      </c>
      <c r="D127" s="10">
        <v>1.2</v>
      </c>
      <c r="E127" s="10">
        <v>5.2</v>
      </c>
      <c r="F127" s="10">
        <v>1.5</v>
      </c>
      <c r="O127" s="10">
        <v>0.2</v>
      </c>
    </row>
    <row r="128" spans="1:15" x14ac:dyDescent="0.2">
      <c r="A128" s="1">
        <v>127</v>
      </c>
      <c r="B128" s="3" t="s">
        <v>162</v>
      </c>
      <c r="C128" s="1">
        <v>100</v>
      </c>
      <c r="D128" s="10">
        <v>2.6</v>
      </c>
      <c r="E128" s="10">
        <v>18</v>
      </c>
      <c r="F128" s="10">
        <v>16.100000000000001</v>
      </c>
      <c r="O128" s="10"/>
    </row>
    <row r="129" spans="1:15" x14ac:dyDescent="0.2">
      <c r="A129" s="1">
        <v>128</v>
      </c>
      <c r="B129" s="3" t="s">
        <v>163</v>
      </c>
      <c r="C129" s="1">
        <v>100</v>
      </c>
      <c r="D129" s="10">
        <v>0.4</v>
      </c>
      <c r="E129" s="10">
        <v>32.6</v>
      </c>
      <c r="F129" s="10"/>
      <c r="O129" s="10"/>
    </row>
    <row r="130" spans="1:15" x14ac:dyDescent="0.2">
      <c r="A130" s="1">
        <v>129</v>
      </c>
      <c r="B130" t="s">
        <v>68</v>
      </c>
      <c r="C130" s="1">
        <v>100</v>
      </c>
      <c r="D130" s="6">
        <v>0.4</v>
      </c>
      <c r="E130" s="6">
        <v>13.4</v>
      </c>
      <c r="F130" s="6">
        <v>0.1</v>
      </c>
      <c r="G130" s="6">
        <v>10</v>
      </c>
      <c r="H130" s="6">
        <v>12</v>
      </c>
      <c r="I130" s="6">
        <v>0.6</v>
      </c>
      <c r="J130" s="6">
        <v>20</v>
      </c>
      <c r="K130" s="6">
        <v>0.03</v>
      </c>
      <c r="L130" s="6">
        <v>0.02</v>
      </c>
      <c r="M130" s="6">
        <v>0.2</v>
      </c>
      <c r="N130" s="6">
        <v>18</v>
      </c>
      <c r="O130" s="6">
        <v>0</v>
      </c>
    </row>
    <row r="131" spans="1:15" x14ac:dyDescent="0.2">
      <c r="A131" s="1">
        <v>130</v>
      </c>
      <c r="B131" t="s">
        <v>139</v>
      </c>
      <c r="C131" s="1">
        <v>100</v>
      </c>
      <c r="D131" s="6">
        <v>1.7</v>
      </c>
      <c r="E131" s="6">
        <v>92.6</v>
      </c>
      <c r="F131" s="6">
        <v>0.1</v>
      </c>
      <c r="G131" s="6">
        <v>2</v>
      </c>
      <c r="H131" s="6">
        <v>0.1</v>
      </c>
      <c r="I131" s="6"/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/>
    </row>
    <row r="132" spans="1:15" x14ac:dyDescent="0.2">
      <c r="A132" s="1">
        <v>131</v>
      </c>
      <c r="B132" t="s">
        <v>140</v>
      </c>
      <c r="C132" s="1">
        <v>100</v>
      </c>
      <c r="D132" s="6">
        <v>23.5</v>
      </c>
      <c r="E132" s="6">
        <v>65</v>
      </c>
      <c r="F132" s="6">
        <v>3.5</v>
      </c>
      <c r="G132" s="6">
        <v>638</v>
      </c>
      <c r="H132" s="6">
        <v>3.3</v>
      </c>
      <c r="I132" s="6"/>
      <c r="J132" s="6">
        <v>110</v>
      </c>
      <c r="K132" s="6">
        <v>1.1000000000000001</v>
      </c>
      <c r="L132" s="6">
        <v>1.1000000000000001</v>
      </c>
      <c r="M132" s="6">
        <v>11</v>
      </c>
      <c r="N132" s="6">
        <v>7</v>
      </c>
      <c r="O132" s="6"/>
    </row>
    <row r="133" spans="1:15" x14ac:dyDescent="0.2">
      <c r="A133" s="1">
        <v>132</v>
      </c>
      <c r="B133" t="s">
        <v>141</v>
      </c>
      <c r="C133" s="1">
        <v>100</v>
      </c>
      <c r="D133" s="6">
        <v>11</v>
      </c>
      <c r="E133" s="6">
        <v>63.6</v>
      </c>
      <c r="F133" s="6">
        <v>1.6</v>
      </c>
      <c r="G133" s="6"/>
      <c r="H133" s="6"/>
      <c r="I133" s="6"/>
      <c r="J133" s="6">
        <v>0</v>
      </c>
      <c r="K133" s="6">
        <v>0.05</v>
      </c>
      <c r="L133" s="6">
        <v>0.05</v>
      </c>
      <c r="M133" s="6">
        <v>0.8</v>
      </c>
      <c r="N133" s="6">
        <v>0</v>
      </c>
      <c r="O133" s="6"/>
    </row>
    <row r="134" spans="1:15" x14ac:dyDescent="0.2">
      <c r="A134" s="1">
        <v>133</v>
      </c>
      <c r="B134" t="s">
        <v>142</v>
      </c>
      <c r="C134" s="1">
        <v>100</v>
      </c>
      <c r="D134" s="6">
        <v>8.6999999999999993</v>
      </c>
      <c r="E134" s="6">
        <v>12.6</v>
      </c>
      <c r="F134" s="6">
        <v>0.4</v>
      </c>
      <c r="G134" s="6">
        <v>87</v>
      </c>
      <c r="H134" s="6">
        <v>2.39</v>
      </c>
      <c r="I134" s="6"/>
      <c r="J134" s="6"/>
      <c r="K134" s="6"/>
      <c r="L134" s="6"/>
      <c r="M134" s="6"/>
      <c r="N134" s="6"/>
      <c r="O134" s="6"/>
    </row>
    <row r="135" spans="1:15" x14ac:dyDescent="0.2">
      <c r="A135" s="1">
        <v>134</v>
      </c>
      <c r="B135" s="3" t="s">
        <v>164</v>
      </c>
      <c r="C135" s="1">
        <v>100</v>
      </c>
      <c r="D135" s="10">
        <v>8.5</v>
      </c>
      <c r="E135" s="10">
        <v>9.4</v>
      </c>
      <c r="F135" s="10">
        <v>6.2</v>
      </c>
      <c r="O135" s="10">
        <v>0.5</v>
      </c>
    </row>
    <row r="136" spans="1:15" x14ac:dyDescent="0.2">
      <c r="A136" s="1">
        <v>135</v>
      </c>
      <c r="B136" t="s">
        <v>143</v>
      </c>
      <c r="C136" s="1">
        <v>100</v>
      </c>
      <c r="D136" s="6">
        <v>0.1</v>
      </c>
      <c r="E136" s="6">
        <v>4.2</v>
      </c>
      <c r="F136" s="6">
        <v>0</v>
      </c>
      <c r="G136" s="6">
        <v>10</v>
      </c>
      <c r="H136" s="6">
        <v>0.4</v>
      </c>
      <c r="I136" s="6"/>
      <c r="J136" s="6">
        <v>0</v>
      </c>
      <c r="K136" s="6">
        <v>0.01</v>
      </c>
      <c r="L136" s="6">
        <v>0.01</v>
      </c>
      <c r="M136" s="6">
        <v>0.1</v>
      </c>
      <c r="N136" s="6">
        <v>0</v>
      </c>
      <c r="O136" s="6"/>
    </row>
    <row r="137" spans="1:15" x14ac:dyDescent="0.2">
      <c r="A137" s="1">
        <v>136</v>
      </c>
      <c r="B137" t="s">
        <v>144</v>
      </c>
      <c r="C137" s="1">
        <v>100</v>
      </c>
      <c r="D137" s="6">
        <v>3.5</v>
      </c>
      <c r="E137" s="6">
        <v>15.5</v>
      </c>
      <c r="F137" s="6">
        <v>3.3</v>
      </c>
      <c r="G137" s="6">
        <v>69</v>
      </c>
      <c r="H137" s="6">
        <v>0.4</v>
      </c>
      <c r="I137" s="6"/>
      <c r="J137" s="6"/>
      <c r="K137" s="6">
        <v>1.4E-2</v>
      </c>
      <c r="L137" s="6">
        <v>0.03</v>
      </c>
      <c r="M137" s="6">
        <v>0.04</v>
      </c>
      <c r="N137" s="6">
        <v>0.2</v>
      </c>
      <c r="O137" s="6"/>
    </row>
    <row r="138" spans="1:15" x14ac:dyDescent="0.2">
      <c r="A138" s="1">
        <v>137</v>
      </c>
      <c r="B138" t="s">
        <v>145</v>
      </c>
      <c r="C138" s="1">
        <v>100</v>
      </c>
      <c r="D138" s="6">
        <v>0.8</v>
      </c>
      <c r="E138" s="6">
        <v>20.6</v>
      </c>
      <c r="F138" s="6">
        <v>0.8</v>
      </c>
      <c r="G138" s="6">
        <v>13</v>
      </c>
      <c r="H138" s="6">
        <v>0.6</v>
      </c>
      <c r="I138" s="6"/>
      <c r="J138" s="6"/>
      <c r="K138" s="6">
        <v>0.03</v>
      </c>
      <c r="L138" s="6">
        <v>0.03</v>
      </c>
      <c r="M138" s="6">
        <v>0.13</v>
      </c>
      <c r="N138" s="6">
        <v>0.4</v>
      </c>
      <c r="O138" s="6"/>
    </row>
    <row r="139" spans="1:15" x14ac:dyDescent="0.2">
      <c r="A139" s="1">
        <v>138</v>
      </c>
      <c r="B139" t="s">
        <v>146</v>
      </c>
      <c r="C139" s="1">
        <v>100</v>
      </c>
      <c r="D139" s="6">
        <v>9.3000000000000007</v>
      </c>
      <c r="E139" s="6">
        <v>37.799999999999997</v>
      </c>
      <c r="F139" s="6">
        <v>10.6</v>
      </c>
      <c r="G139" s="6">
        <v>204</v>
      </c>
      <c r="H139" s="6">
        <v>0.47</v>
      </c>
      <c r="I139" s="6"/>
      <c r="J139" s="6">
        <v>3</v>
      </c>
      <c r="K139" s="6">
        <v>0.06</v>
      </c>
      <c r="L139" s="6">
        <v>0.02</v>
      </c>
      <c r="M139" s="6">
        <v>0.6</v>
      </c>
      <c r="N139" s="6">
        <v>0</v>
      </c>
      <c r="O139" s="6"/>
    </row>
    <row r="140" spans="1:15" x14ac:dyDescent="0.2">
      <c r="A140" s="1">
        <v>139</v>
      </c>
      <c r="B140" t="s">
        <v>49</v>
      </c>
      <c r="C140" s="1">
        <v>100</v>
      </c>
      <c r="D140" s="1">
        <v>19.170000000000002</v>
      </c>
      <c r="E140" s="1">
        <v>0.22</v>
      </c>
      <c r="F140" s="1">
        <v>12.54</v>
      </c>
      <c r="G140" s="1">
        <v>16.2</v>
      </c>
      <c r="H140" s="1">
        <v>199.6</v>
      </c>
      <c r="I140" s="1">
        <v>2.58</v>
      </c>
      <c r="J140" s="1">
        <v>174.22</v>
      </c>
      <c r="K140" s="1">
        <v>0.15</v>
      </c>
      <c r="L140" s="1">
        <v>0.24</v>
      </c>
      <c r="M140" s="1">
        <v>5.6</v>
      </c>
      <c r="N140" s="1">
        <v>0.5</v>
      </c>
    </row>
    <row r="141" spans="1:15" x14ac:dyDescent="0.2">
      <c r="A141" s="1">
        <v>140</v>
      </c>
      <c r="B141" t="s">
        <v>192</v>
      </c>
      <c r="C141" s="1">
        <v>80</v>
      </c>
      <c r="D141" s="6">
        <v>2.08</v>
      </c>
      <c r="E141" s="6">
        <v>28.67</v>
      </c>
      <c r="F141" s="6">
        <v>0.45</v>
      </c>
      <c r="G141" s="6">
        <v>8.51</v>
      </c>
      <c r="H141" s="6">
        <v>6.43</v>
      </c>
      <c r="I141" s="6">
        <v>0.26</v>
      </c>
      <c r="J141" s="6">
        <v>26.33</v>
      </c>
      <c r="K141" s="6">
        <v>0.12</v>
      </c>
      <c r="L141" s="6">
        <v>0.01</v>
      </c>
      <c r="M141" s="6">
        <v>0.18</v>
      </c>
      <c r="N141" s="6">
        <v>4.28</v>
      </c>
      <c r="O141" s="6">
        <v>0.25</v>
      </c>
    </row>
    <row r="142" spans="1:15" x14ac:dyDescent="0.2">
      <c r="A142" s="1">
        <v>141</v>
      </c>
      <c r="B142" t="s">
        <v>165</v>
      </c>
      <c r="C142" s="1">
        <v>100</v>
      </c>
      <c r="D142" s="6">
        <v>0</v>
      </c>
      <c r="E142" s="6">
        <v>35</v>
      </c>
      <c r="F142" s="6">
        <v>0</v>
      </c>
      <c r="G142" s="6">
        <v>179</v>
      </c>
      <c r="H142" s="6"/>
      <c r="I142" s="6">
        <v>5.6</v>
      </c>
    </row>
    <row r="143" spans="1:15" x14ac:dyDescent="0.2">
      <c r="A143" s="1">
        <v>142</v>
      </c>
      <c r="B143" t="s">
        <v>181</v>
      </c>
      <c r="C143" s="1">
        <v>100</v>
      </c>
      <c r="D143" s="6">
        <v>19.329999999999998</v>
      </c>
      <c r="E143" s="6">
        <v>69.760000000000005</v>
      </c>
      <c r="F143" s="6">
        <v>3.7</v>
      </c>
      <c r="G143" s="6">
        <v>63.74</v>
      </c>
      <c r="H143" s="6"/>
      <c r="I143" s="6">
        <v>2.56</v>
      </c>
      <c r="J143" s="6"/>
      <c r="K143" s="6"/>
      <c r="L143" s="6"/>
      <c r="M143" s="6"/>
      <c r="N143" s="6">
        <v>5.32</v>
      </c>
      <c r="O143" s="6"/>
    </row>
    <row r="144" spans="1:15" x14ac:dyDescent="0.2">
      <c r="A144" s="1">
        <v>143</v>
      </c>
      <c r="B144" t="s">
        <v>182</v>
      </c>
      <c r="C144" s="1">
        <v>100</v>
      </c>
      <c r="D144" s="6">
        <v>5.69</v>
      </c>
      <c r="E144" s="6">
        <v>50.05</v>
      </c>
      <c r="F144" s="6">
        <v>19.100000000000001</v>
      </c>
      <c r="G144" s="6">
        <v>28.44</v>
      </c>
      <c r="H144" s="6"/>
      <c r="I144" s="6">
        <v>1.1200000000000001</v>
      </c>
      <c r="J144" s="6">
        <v>301.68</v>
      </c>
      <c r="K144" s="6"/>
      <c r="L144" s="6"/>
      <c r="M144" s="6"/>
      <c r="N144" s="6">
        <v>7.14</v>
      </c>
      <c r="O144" s="6"/>
    </row>
    <row r="145" spans="1:15" x14ac:dyDescent="0.2">
      <c r="A145" s="1">
        <v>144</v>
      </c>
      <c r="B145" t="s">
        <v>183</v>
      </c>
      <c r="C145" s="1">
        <v>100</v>
      </c>
      <c r="D145" s="6">
        <f>(4.36+4.26+4.2)/3</f>
        <v>4.2733333333333334</v>
      </c>
      <c r="E145" s="6">
        <v>28.1</v>
      </c>
      <c r="F145" s="6">
        <f>(6.06+6.58+5.3)/3</f>
        <v>5.98</v>
      </c>
      <c r="G145" s="6">
        <f>(121+131+106)/3</f>
        <v>119.33333333333333</v>
      </c>
      <c r="H145" s="6"/>
      <c r="I145" s="6">
        <f>(14+0.37+0.23)/3</f>
        <v>4.8666666666666663</v>
      </c>
      <c r="J145" s="6">
        <f>(50.7+42+42)/3</f>
        <v>44.9</v>
      </c>
      <c r="K145" s="6"/>
      <c r="L145" s="6"/>
      <c r="M145" s="6"/>
      <c r="N145" s="6">
        <f>(2.18+1.7+1.5)/3</f>
        <v>1.7933333333333332</v>
      </c>
      <c r="O145" s="6"/>
    </row>
    <row r="146" spans="1:15" x14ac:dyDescent="0.2">
      <c r="A146" s="1">
        <v>145</v>
      </c>
      <c r="B146" t="s">
        <v>193</v>
      </c>
      <c r="C146" s="1">
        <v>80</v>
      </c>
      <c r="D146" s="6">
        <v>4.32</v>
      </c>
      <c r="E146" s="6">
        <v>35.200000000000003</v>
      </c>
      <c r="F146" s="6">
        <v>7.79</v>
      </c>
      <c r="G146" s="6">
        <v>66.489999999999995</v>
      </c>
      <c r="H146" s="6">
        <v>31.73</v>
      </c>
      <c r="I146" s="6">
        <v>0.6</v>
      </c>
      <c r="J146" s="6">
        <v>65.47</v>
      </c>
      <c r="K146" s="6">
        <v>0.02</v>
      </c>
      <c r="L146" s="6">
        <v>0.2</v>
      </c>
      <c r="M146" s="6">
        <v>3.35</v>
      </c>
      <c r="N146" s="6">
        <v>0.3</v>
      </c>
      <c r="O146" s="6"/>
    </row>
    <row r="147" spans="1:15" x14ac:dyDescent="0.2">
      <c r="A147" s="1">
        <v>146</v>
      </c>
      <c r="B147" t="s">
        <v>194</v>
      </c>
      <c r="C147" s="1">
        <v>110</v>
      </c>
      <c r="D147" s="6">
        <v>6.28</v>
      </c>
      <c r="E147" s="6">
        <v>57.5</v>
      </c>
      <c r="F147" s="6">
        <v>10.19</v>
      </c>
      <c r="G147" s="6">
        <v>90.24</v>
      </c>
      <c r="H147" s="6">
        <v>112.12</v>
      </c>
      <c r="I147" s="6">
        <v>1.96</v>
      </c>
      <c r="J147" s="6">
        <v>139.41999999999999</v>
      </c>
      <c r="K147" s="6">
        <v>0.06</v>
      </c>
      <c r="L147" s="6">
        <v>0.2</v>
      </c>
      <c r="M147" s="6">
        <v>1.63</v>
      </c>
      <c r="N147" s="6">
        <v>15.42</v>
      </c>
      <c r="O147" s="6">
        <v>0</v>
      </c>
    </row>
    <row r="148" spans="1:15" x14ac:dyDescent="0.2">
      <c r="A148" s="1">
        <v>147</v>
      </c>
      <c r="B148" t="s">
        <v>195</v>
      </c>
      <c r="C148" s="1">
        <v>90</v>
      </c>
      <c r="D148" s="6">
        <v>6.21</v>
      </c>
      <c r="E148" s="6">
        <v>44.46</v>
      </c>
      <c r="F148" s="6">
        <v>21.69</v>
      </c>
      <c r="G148" s="6">
        <v>64.36</v>
      </c>
      <c r="H148" s="6">
        <v>78.400000000000006</v>
      </c>
      <c r="I148" s="6">
        <v>1.76</v>
      </c>
      <c r="J148" s="6">
        <v>210.26</v>
      </c>
      <c r="K148" s="6">
        <v>0.03</v>
      </c>
      <c r="L148" s="6">
        <v>0.02</v>
      </c>
      <c r="M148" s="6">
        <v>0.28000000000000003</v>
      </c>
      <c r="N148" s="6">
        <v>1.3</v>
      </c>
      <c r="O148" s="6">
        <v>0</v>
      </c>
    </row>
    <row r="149" spans="1:15" x14ac:dyDescent="0.2">
      <c r="A149" s="1">
        <v>148</v>
      </c>
      <c r="B149" t="s">
        <v>209</v>
      </c>
      <c r="C149" s="1">
        <v>100</v>
      </c>
      <c r="D149" s="1">
        <v>18</v>
      </c>
      <c r="E149" s="1">
        <v>0</v>
      </c>
      <c r="F149" s="1">
        <v>19</v>
      </c>
      <c r="G149" s="1">
        <v>685</v>
      </c>
      <c r="H149" s="1">
        <v>0</v>
      </c>
      <c r="I149" s="1">
        <v>0.4</v>
      </c>
      <c r="J149" s="1">
        <v>270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</row>
    <row r="150" spans="1:15" x14ac:dyDescent="0.2">
      <c r="A150" s="1">
        <v>149</v>
      </c>
      <c r="B150" t="s">
        <v>210</v>
      </c>
      <c r="C150" s="1">
        <v>100</v>
      </c>
      <c r="D150" s="1">
        <v>1.95</v>
      </c>
      <c r="E150" s="1">
        <v>83.78</v>
      </c>
      <c r="F150" s="1">
        <v>0.18</v>
      </c>
      <c r="G150" s="1">
        <v>41</v>
      </c>
      <c r="H150" s="1">
        <v>86.5</v>
      </c>
      <c r="I150" s="1">
        <v>1.95</v>
      </c>
      <c r="J150" s="1">
        <v>0</v>
      </c>
      <c r="K150" s="1">
        <v>0.08</v>
      </c>
      <c r="L150" s="1">
        <v>0.09</v>
      </c>
      <c r="M150" s="1">
        <v>1.02</v>
      </c>
      <c r="N150" s="1">
        <v>1.95</v>
      </c>
      <c r="O150" s="1">
        <v>9.7799999999999994</v>
      </c>
    </row>
    <row r="151" spans="1:15" x14ac:dyDescent="0.2">
      <c r="A151" s="1">
        <v>150</v>
      </c>
      <c r="B151" t="s">
        <v>211</v>
      </c>
      <c r="C151" s="1">
        <v>100</v>
      </c>
      <c r="D151" s="1">
        <v>3.1</v>
      </c>
      <c r="E151" s="1">
        <v>4</v>
      </c>
      <c r="F151" s="1">
        <v>1.7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</row>
    <row r="152" spans="1:15" x14ac:dyDescent="0.2">
      <c r="A152" s="1">
        <v>151</v>
      </c>
      <c r="B152" t="s">
        <v>212</v>
      </c>
      <c r="C152" s="1">
        <v>100</v>
      </c>
      <c r="D152" s="1">
        <v>10.7</v>
      </c>
      <c r="E152" s="1">
        <v>64.2</v>
      </c>
      <c r="F152" s="1">
        <v>14.7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</row>
    <row r="153" spans="1:15" x14ac:dyDescent="0.2">
      <c r="A153" s="1"/>
    </row>
    <row r="154" spans="1:15" x14ac:dyDescent="0.2">
      <c r="A154" s="1"/>
    </row>
  </sheetData>
  <pageMargins left="0.19685039370078741" right="0.19685039370078741" top="0.19685039370078741" bottom="0.19685039370078741" header="0.51181102362204722" footer="0.51181102362204722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</vt:i4>
      </vt:variant>
    </vt:vector>
  </HeadingPairs>
  <TitlesOfParts>
    <vt:vector size="12" baseType="lpstr">
      <vt:lpstr>CLAC_PJ_CLT</vt:lpstr>
      <vt:lpstr>ANAMNESE</vt:lpstr>
      <vt:lpstr>AVALIAÇÃO ANTROPOMÉTRICA</vt:lpstr>
      <vt:lpstr>ANÁLISES LABORATORIAIS</vt:lpstr>
      <vt:lpstr>FICHA &amp; DIETA</vt:lpstr>
      <vt:lpstr>EXEMPLO DE CARDÁPIO</vt:lpstr>
      <vt:lpstr>EXEMPLO DE CARDÁPIO LIVRE</vt:lpstr>
      <vt:lpstr>LISTA DE SUBSTITUIÇÕES</vt:lpstr>
      <vt:lpstr>Base</vt:lpstr>
      <vt:lpstr>BaseX</vt:lpstr>
      <vt:lpstr>Sobremesas</vt:lpstr>
      <vt:lpstr>'FICHA &amp; DIETA'!Area_de_impressao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</dc:creator>
  <cp:lastModifiedBy>Alex_Hotmail Monteiro</cp:lastModifiedBy>
  <cp:lastPrinted>2019-03-22T19:23:25Z</cp:lastPrinted>
  <dcterms:created xsi:type="dcterms:W3CDTF">2002-08-17T17:52:01Z</dcterms:created>
  <dcterms:modified xsi:type="dcterms:W3CDTF">2021-09-11T15:43:56Z</dcterms:modified>
</cp:coreProperties>
</file>