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marcos.silva\OneDrive - Wood PLC\Desktop\"/>
    </mc:Choice>
  </mc:AlternateContent>
  <xr:revisionPtr revIDLastSave="1085" documentId="13_ncr:1_{3ED17AB5-A835-4FBF-8531-7B76528B7308}" xr6:coauthVersionLast="45" xr6:coauthVersionMax="45" xr10:uidLastSave="{C12035C7-F557-4F4A-82C9-30D484AD639E}"/>
  <bookViews>
    <workbookView xWindow="-120" yWindow="-120" windowWidth="20730" windowHeight="11310" tabRatio="542" xr2:uid="{00000000-000D-0000-FFFF-FFFF00000000}"/>
  </bookViews>
  <sheets>
    <sheet name="Residencial" sheetId="5" r:id="rId1"/>
    <sheet name="Comércial" sheetId="1" r:id="rId2"/>
    <sheet name="Dados" sheetId="3" r:id="rId3"/>
    <sheet name="Potência De Aparelhos" sheetId="6" r:id="rId4"/>
  </sheets>
  <definedNames>
    <definedName name="_xlnm._FilterDatabase" localSheetId="0" hidden="1">Residencial!$A$4:$C$4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0" i="5" l="1"/>
  <c r="H18" i="1"/>
  <c r="Q18" i="1"/>
  <c r="F18" i="1"/>
  <c r="G6" i="1" l="1"/>
  <c r="H6" i="1" s="1"/>
  <c r="G7" i="1"/>
  <c r="H7" i="1" s="1"/>
  <c r="G8" i="1"/>
  <c r="S8" i="1" s="1"/>
  <c r="G9" i="1"/>
  <c r="S9" i="1" s="1"/>
  <c r="G10" i="1"/>
  <c r="S10" i="1" s="1"/>
  <c r="G11" i="1"/>
  <c r="S11" i="1" s="1"/>
  <c r="G12" i="1"/>
  <c r="S12" i="1" s="1"/>
  <c r="G13" i="1"/>
  <c r="H13" i="1" s="1"/>
  <c r="G14" i="1"/>
  <c r="H14" i="1" s="1"/>
  <c r="G15" i="1"/>
  <c r="H15" i="1" s="1"/>
  <c r="G16" i="1"/>
  <c r="S16" i="1" s="1"/>
  <c r="H16" i="1"/>
  <c r="K16" i="1" s="1"/>
  <c r="M16" i="1" s="1"/>
  <c r="H12" i="3"/>
  <c r="H11" i="3"/>
  <c r="H10" i="3"/>
  <c r="H9" i="3"/>
  <c r="H8" i="3"/>
  <c r="H7" i="3"/>
  <c r="H6" i="3"/>
  <c r="H5" i="3"/>
  <c r="H4" i="3"/>
  <c r="H8" i="1" l="1"/>
  <c r="K8" i="1" s="1"/>
  <c r="M8" i="1" s="1"/>
  <c r="S14" i="1"/>
  <c r="S13" i="1"/>
  <c r="S15" i="1"/>
  <c r="K14" i="1"/>
  <c r="M14" i="1" s="1"/>
  <c r="N14" i="1"/>
  <c r="Q14" i="1"/>
  <c r="K13" i="1"/>
  <c r="M13" i="1" s="1"/>
  <c r="Q13" i="1"/>
  <c r="N13" i="1"/>
  <c r="H12" i="1"/>
  <c r="H11" i="1"/>
  <c r="S7" i="1"/>
  <c r="H10" i="1"/>
  <c r="N10" i="1" s="1"/>
  <c r="S6" i="1"/>
  <c r="K7" i="1"/>
  <c r="M7" i="1" s="1"/>
  <c r="Q7" i="1"/>
  <c r="N7" i="1"/>
  <c r="K15" i="1"/>
  <c r="M15" i="1" s="1"/>
  <c r="N15" i="1"/>
  <c r="Q15" i="1"/>
  <c r="K6" i="1"/>
  <c r="M6" i="1" s="1"/>
  <c r="N6" i="1"/>
  <c r="Q6" i="1"/>
  <c r="N11" i="1"/>
  <c r="K10" i="1"/>
  <c r="M10" i="1" s="1"/>
  <c r="H9" i="1"/>
  <c r="N8" i="1"/>
  <c r="Q16" i="1"/>
  <c r="Q8" i="1"/>
  <c r="Q10" i="1"/>
  <c r="N16" i="1"/>
  <c r="G18" i="1" l="1"/>
  <c r="K18" i="1" s="1"/>
  <c r="M18" i="1" s="1"/>
  <c r="Q11" i="1"/>
  <c r="K11" i="1"/>
  <c r="M11" i="1" s="1"/>
  <c r="N12" i="1"/>
  <c r="Q12" i="1"/>
  <c r="K12" i="1"/>
  <c r="M12" i="1" s="1"/>
  <c r="N9" i="1"/>
  <c r="Q9" i="1"/>
  <c r="K9" i="1"/>
  <c r="M9" i="1" s="1"/>
  <c r="N18" i="1" l="1"/>
  <c r="G7" i="5" l="1"/>
  <c r="S7" i="5" s="1"/>
  <c r="H7" i="5" l="1"/>
  <c r="M7" i="5" s="1"/>
  <c r="K7" i="5" l="1"/>
  <c r="N7" i="5" s="1"/>
  <c r="Q7" i="5"/>
  <c r="G6" i="5"/>
  <c r="S6" i="5" s="1"/>
  <c r="G8" i="5"/>
  <c r="S8" i="5" s="1"/>
  <c r="G9" i="5"/>
  <c r="G10" i="5"/>
  <c r="G11" i="5"/>
  <c r="S11" i="5" s="1"/>
  <c r="G12" i="5"/>
  <c r="G13" i="5"/>
  <c r="G14" i="5"/>
  <c r="G15" i="5"/>
  <c r="G16" i="5"/>
  <c r="G17" i="5"/>
  <c r="G18" i="5"/>
  <c r="G19" i="5"/>
  <c r="G20" i="5"/>
  <c r="G21" i="5"/>
  <c r="G22" i="5"/>
  <c r="G23" i="5"/>
  <c r="S23" i="5" s="1"/>
  <c r="G24" i="5"/>
  <c r="S24" i="5" s="1"/>
  <c r="G25" i="5"/>
  <c r="S25" i="5" s="1"/>
  <c r="G26" i="5"/>
  <c r="S26" i="5" s="1"/>
  <c r="G27" i="5"/>
  <c r="G28" i="5"/>
  <c r="S28" i="5" s="1"/>
  <c r="S27" i="5" l="1"/>
  <c r="H27" i="5"/>
  <c r="K27" i="5" s="1"/>
  <c r="N27" i="5" s="1"/>
  <c r="H14" i="5"/>
  <c r="M14" i="5" s="1"/>
  <c r="S14" i="5"/>
  <c r="H20" i="5"/>
  <c r="M20" i="5" s="1"/>
  <c r="S20" i="5"/>
  <c r="H12" i="5"/>
  <c r="M12" i="5" s="1"/>
  <c r="S12" i="5"/>
  <c r="H13" i="5"/>
  <c r="M13" i="5" s="1"/>
  <c r="S13" i="5"/>
  <c r="H19" i="5"/>
  <c r="M19" i="5" s="1"/>
  <c r="S19" i="5"/>
  <c r="H9" i="5"/>
  <c r="M9" i="5" s="1"/>
  <c r="S9" i="5"/>
  <c r="G30" i="5" s="1"/>
  <c r="H30" i="5" s="1"/>
  <c r="H21" i="5"/>
  <c r="M21" i="5" s="1"/>
  <c r="S21" i="5"/>
  <c r="H28" i="5"/>
  <c r="M28" i="5" s="1"/>
  <c r="H18" i="5"/>
  <c r="M18" i="5" s="1"/>
  <c r="S18" i="5"/>
  <c r="H22" i="5"/>
  <c r="M22" i="5" s="1"/>
  <c r="S22" i="5"/>
  <c r="H26" i="5"/>
  <c r="M26" i="5" s="1"/>
  <c r="H10" i="5"/>
  <c r="M10" i="5" s="1"/>
  <c r="S10" i="5"/>
  <c r="H25" i="5"/>
  <c r="M25" i="5" s="1"/>
  <c r="H17" i="5"/>
  <c r="M17" i="5" s="1"/>
  <c r="S17" i="5"/>
  <c r="H24" i="5"/>
  <c r="M24" i="5" s="1"/>
  <c r="H16" i="5"/>
  <c r="M16" i="5" s="1"/>
  <c r="S16" i="5"/>
  <c r="H23" i="5"/>
  <c r="M23" i="5" s="1"/>
  <c r="H15" i="5"/>
  <c r="M15" i="5" s="1"/>
  <c r="S15" i="5"/>
  <c r="H11" i="5"/>
  <c r="M11" i="5" s="1"/>
  <c r="H6" i="5"/>
  <c r="Q6" i="5" s="1"/>
  <c r="H8" i="5"/>
  <c r="K8" i="5" s="1"/>
  <c r="N8" i="5" s="1"/>
  <c r="K20" i="5"/>
  <c r="N20" i="5" s="1"/>
  <c r="Q30" i="5" l="1"/>
  <c r="K30" i="5"/>
  <c r="M30" i="5" s="1"/>
  <c r="N30" i="5"/>
  <c r="K9" i="5"/>
  <c r="N9" i="5" s="1"/>
  <c r="Q20" i="5"/>
  <c r="K28" i="5"/>
  <c r="N28" i="5" s="1"/>
  <c r="Q24" i="5"/>
  <c r="M27" i="5"/>
  <c r="K19" i="5"/>
  <c r="N19" i="5" s="1"/>
  <c r="K17" i="5"/>
  <c r="N17" i="5" s="1"/>
  <c r="Q25" i="5"/>
  <c r="K12" i="5"/>
  <c r="N12" i="5" s="1"/>
  <c r="Q22" i="5"/>
  <c r="K22" i="5"/>
  <c r="N22" i="5" s="1"/>
  <c r="K21" i="5"/>
  <c r="N21" i="5" s="1"/>
  <c r="K25" i="5"/>
  <c r="N25" i="5" s="1"/>
  <c r="K23" i="5"/>
  <c r="N23" i="5" s="1"/>
  <c r="Q23" i="5"/>
  <c r="Q12" i="5"/>
  <c r="Q21" i="5"/>
  <c r="Q17" i="5"/>
  <c r="Q14" i="5"/>
  <c r="Q18" i="5"/>
  <c r="K15" i="5"/>
  <c r="N15" i="5" s="1"/>
  <c r="Q9" i="5"/>
  <c r="Q15" i="5"/>
  <c r="K14" i="5"/>
  <c r="N14" i="5" s="1"/>
  <c r="Q19" i="5"/>
  <c r="Q28" i="5"/>
  <c r="K16" i="5"/>
  <c r="N16" i="5" s="1"/>
  <c r="K13" i="5"/>
  <c r="N13" i="5" s="1"/>
  <c r="K10" i="5"/>
  <c r="N10" i="5" s="1"/>
  <c r="K26" i="5"/>
  <c r="N26" i="5" s="1"/>
  <c r="Q26" i="5"/>
  <c r="K11" i="5"/>
  <c r="N11" i="5" s="1"/>
  <c r="Q27" i="5"/>
  <c r="Q13" i="5"/>
  <c r="Q10" i="5"/>
  <c r="M8" i="5"/>
  <c r="Q16" i="5"/>
  <c r="Q11" i="5"/>
  <c r="K24" i="5"/>
  <c r="N24" i="5" s="1"/>
  <c r="K18" i="5"/>
  <c r="N18" i="5" s="1"/>
  <c r="Q8" i="5"/>
  <c r="M6" i="5"/>
  <c r="K6" i="5"/>
  <c r="N6" i="5" s="1"/>
</calcChain>
</file>

<file path=xl/sharedStrings.xml><?xml version="1.0" encoding="utf-8"?>
<sst xmlns="http://schemas.openxmlformats.org/spreadsheetml/2006/main" count="193" uniqueCount="138">
  <si>
    <t>fator de potencia de de iluminação "= 1"</t>
  </si>
  <si>
    <t>POTÊNCIA</t>
  </si>
  <si>
    <t>Total
(VA)</t>
  </si>
  <si>
    <t>Corrente 
(A)</t>
  </si>
  <si>
    <t>Nº</t>
  </si>
  <si>
    <t>Seção dos 
Condutores mm²</t>
  </si>
  <si>
    <t>Tipo</t>
  </si>
  <si>
    <t>Nº de
Polos</t>
  </si>
  <si>
    <t>Corrente
Nominal</t>
  </si>
  <si>
    <t>Iluminação</t>
  </si>
  <si>
    <t>Chuveiro</t>
  </si>
  <si>
    <t>Quant.</t>
  </si>
  <si>
    <t>Potência (VA)</t>
  </si>
  <si>
    <t>Local</t>
  </si>
  <si>
    <t>Capacidade de condução de corrente (A)</t>
  </si>
  <si>
    <t>Seção (mm²)</t>
  </si>
  <si>
    <t>Padrão Mini DJ Schneider</t>
  </si>
  <si>
    <t>Capacidade (A)</t>
  </si>
  <si>
    <t>Verificação DJ</t>
  </si>
  <si>
    <t>Freezer 1 e 2</t>
  </si>
  <si>
    <t>Geladeira/ Balcão/ Estufa</t>
  </si>
  <si>
    <t>Freezer 3 e 4/ Geladeira</t>
  </si>
  <si>
    <t>Computadores</t>
  </si>
  <si>
    <t>Ar condicionado 1</t>
  </si>
  <si>
    <t>Ar condicionado 2</t>
  </si>
  <si>
    <t>Chuveiro (220V)</t>
  </si>
  <si>
    <t>Fator de Demanda</t>
  </si>
  <si>
    <t>Demanda</t>
  </si>
  <si>
    <t>PROTEÇÃO</t>
  </si>
  <si>
    <t>CIRCUITO</t>
  </si>
  <si>
    <t>COMERCIAL</t>
  </si>
  <si>
    <t>Tabela de Referência Para
Dimencionamento Para Ar condicionado</t>
  </si>
  <si>
    <t>Capacidade</t>
  </si>
  <si>
    <t>Tipo Splite</t>
  </si>
  <si>
    <t>Tipo Janela</t>
  </si>
  <si>
    <t>BTU/h</t>
  </si>
  <si>
    <t>Watt(W)</t>
  </si>
  <si>
    <t>-</t>
  </si>
  <si>
    <t>TUG's</t>
  </si>
  <si>
    <t>Varanda</t>
  </si>
  <si>
    <t>TUE's</t>
  </si>
  <si>
    <t>Área De
Serviço</t>
  </si>
  <si>
    <t>Corredor 02</t>
  </si>
  <si>
    <t>Banheiro</t>
  </si>
  <si>
    <t>Cozinha</t>
  </si>
  <si>
    <t>Sala</t>
  </si>
  <si>
    <t>Escritório</t>
  </si>
  <si>
    <t>Corredor 01</t>
  </si>
  <si>
    <t>Ar Condicionado</t>
  </si>
  <si>
    <t>Quarto 02</t>
  </si>
  <si>
    <t>Quarto 01</t>
  </si>
  <si>
    <t>CIRCUITOS</t>
  </si>
  <si>
    <t>RESIDENCIAL</t>
  </si>
  <si>
    <t>OBS; 
Tomadas De Uso Geral 100VA (TUGs)
Uso Especifico 400VA (TUEs)
Demanda Para Iluminação é "0".</t>
  </si>
  <si>
    <t>Aparelho</t>
  </si>
  <si>
    <t>Potência Aproximada (WATTS)</t>
  </si>
  <si>
    <t>Consumidores » Tabela de Consumo dos Aparelhos
(Potência Elétrica Média (WATTS) de Aparelhos Elétricos)</t>
  </si>
  <si>
    <t>Tabela 36 NBR-5410</t>
  </si>
  <si>
    <t>Queda de tensão (FP=0,92)
(V/A.km)</t>
  </si>
  <si>
    <t>(Catálogo Prysmian Afumex 450/750V)</t>
  </si>
  <si>
    <t>Comprimento do Circuito (m)</t>
  </si>
  <si>
    <t>Queda de tensão permitida (%)</t>
  </si>
  <si>
    <t>Queda de tensão circuito (%)</t>
  </si>
  <si>
    <t>Queda de Tensão Permitida (%)</t>
  </si>
  <si>
    <t>Queda de Tensão Circuito (%)</t>
  </si>
  <si>
    <t xml:space="preserve"> </t>
  </si>
  <si>
    <t>1 HP = 736W</t>
  </si>
  <si>
    <t>1 BTU = 0,293</t>
  </si>
  <si>
    <t>Motores</t>
  </si>
  <si>
    <t xml:space="preserve">Aquecedor de água por acumulação até 80 L </t>
  </si>
  <si>
    <t xml:space="preserve">Conjunto de som </t>
  </si>
  <si>
    <t xml:space="preserve">Aquecedor de água por acumulação de 100 a 150 L </t>
  </si>
  <si>
    <t xml:space="preserve">Ebulidor </t>
  </si>
  <si>
    <t xml:space="preserve">Aquecedor de água por acumulação de 200 a 400 L </t>
  </si>
  <si>
    <t xml:space="preserve">Enceradeira residencial </t>
  </si>
  <si>
    <t xml:space="preserve">Aquecedor de água por tampa </t>
  </si>
  <si>
    <t xml:space="preserve">Espremedor de frutas </t>
  </si>
  <si>
    <t xml:space="preserve">Aquecedor de ambiente </t>
  </si>
  <si>
    <t xml:space="preserve">Exaustor </t>
  </si>
  <si>
    <t xml:space="preserve">Aspirador de pó residencial </t>
  </si>
  <si>
    <t xml:space="preserve">Ferro elétrico automático de passar roupa </t>
  </si>
  <si>
    <t xml:space="preserve">Assadeira grande </t>
  </si>
  <si>
    <t xml:space="preserve">Ferro elétrico simples de passar roupa </t>
  </si>
  <si>
    <t xml:space="preserve">Assadeira pequena </t>
  </si>
  <si>
    <t xml:space="preserve">Fogão comum com acendedor </t>
  </si>
  <si>
    <t xml:space="preserve">Banheira de hidromassagem </t>
  </si>
  <si>
    <t xml:space="preserve">Fogão elétrico de 4 bocas potência por cada queimador </t>
  </si>
  <si>
    <t xml:space="preserve">Batedeira de bolo </t>
  </si>
  <si>
    <t xml:space="preserve">Fogão elétrico de 6 bocas potência por cada queimador médio </t>
  </si>
  <si>
    <t xml:space="preserve">Bomba d´água 1/4 CV monofásica </t>
  </si>
  <si>
    <t xml:space="preserve">Fogão elétrico de 6 bocas potência por cada queimador grande </t>
  </si>
  <si>
    <t xml:space="preserve">Bomba d”água 1/3 CV monofásica </t>
  </si>
  <si>
    <t xml:space="preserve">Forno de microondas </t>
  </si>
  <si>
    <t xml:space="preserve">Bomba d”água 1/2 CV trifásica </t>
  </si>
  <si>
    <t xml:space="preserve">Forno elétrico de embutir </t>
  </si>
  <si>
    <t xml:space="preserve">Bomba d”água 3/4 CV trifásica </t>
  </si>
  <si>
    <t xml:space="preserve">Freezer vertical Pequeno </t>
  </si>
  <si>
    <t xml:space="preserve">Bomba d”água 1 CV monofásica </t>
  </si>
  <si>
    <t xml:space="preserve">Freezer horizontal médio </t>
  </si>
  <si>
    <t xml:space="preserve">Cafeteira elétrica pequena uso doméstico </t>
  </si>
  <si>
    <t xml:space="preserve">Freezer Horizontal Grande </t>
  </si>
  <si>
    <t xml:space="preserve">Cafeteira elétrica uso comercial </t>
  </si>
  <si>
    <t xml:space="preserve">Geladeira Comum </t>
  </si>
  <si>
    <t xml:space="preserve">Chuveiro elétrico 127V </t>
  </si>
  <si>
    <t xml:space="preserve">Geladeira Duplex </t>
  </si>
  <si>
    <t xml:space="preserve">Chuveiro elétrico 220V </t>
  </si>
  <si>
    <t xml:space="preserve">Grill </t>
  </si>
  <si>
    <t xml:space="preserve">Chuveiro 4 estações </t>
  </si>
  <si>
    <t xml:space="preserve">Impressora comum </t>
  </si>
  <si>
    <t xml:space="preserve">Liquidificador doméstico </t>
  </si>
  <si>
    <t xml:space="preserve">Impressora laser </t>
  </si>
  <si>
    <t>Verificação
(DJ)</t>
  </si>
  <si>
    <t>Potência 
(VA)</t>
  </si>
  <si>
    <t>Queda de tensão</t>
  </si>
  <si>
    <t>Verificação</t>
  </si>
  <si>
    <t>Capac. de corrente</t>
  </si>
  <si>
    <t>fator de potencia de tomadas "= 0,8"</t>
  </si>
  <si>
    <t>Tensão
(V)</t>
  </si>
  <si>
    <t/>
  </si>
  <si>
    <t>TENSÃO
(V)</t>
  </si>
  <si>
    <t>Seção dos 
Condutores
(mm²)</t>
  </si>
  <si>
    <t>Comprimento do Circuito
(m)</t>
  </si>
  <si>
    <t>Tipo de CKT</t>
  </si>
  <si>
    <t>Tipo de Tensão</t>
  </si>
  <si>
    <t>Entrada</t>
  </si>
  <si>
    <t>Potência (W)</t>
  </si>
  <si>
    <t>0 a 1000</t>
  </si>
  <si>
    <t>1001 a 2000</t>
  </si>
  <si>
    <t>2001 a 3000</t>
  </si>
  <si>
    <t>3001 a 4000</t>
  </si>
  <si>
    <t>4001 a 5000</t>
  </si>
  <si>
    <t>5001 a 6000</t>
  </si>
  <si>
    <t>6001 a 7000</t>
  </si>
  <si>
    <t>7001 a 8000</t>
  </si>
  <si>
    <t>8001 a 9000</t>
  </si>
  <si>
    <t>9001 a 10000</t>
  </si>
  <si>
    <t>Acima de 10000</t>
  </si>
  <si>
    <t>Fator de demanda para iluminação
e tomadas (TUGs)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</si>
</sst>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4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21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5" fillId="0" borderId="7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0" xfId="0" applyFont="1" applyFill="1" applyBorder="1" applyAlignment="1">
      <alignment horizontal="center" vertical="center" wrapText="1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5" fillId="0" borderId="7" xfId="0" applyFont="1" applyBorder="1" applyAlignment="1">
      <alignment horizontal="center" vertical="center"/>
    </xf>
    <xf numFmtId="0" fontId="2" fillId="7" borderId="6" xfId="0" applyFont="1" applyFill="1" applyBorder="1" applyAlignment="1" applyProtection="1">
      <alignment horizontal="center" vertical="center"/>
      <protection locked="0"/>
    </xf>
    <xf numFmtId="0" fontId="2" fillId="7" borderId="7" xfId="0" applyFont="1" applyFill="1" applyBorder="1" applyAlignment="1" applyProtection="1">
      <alignment horizontal="center" vertical="center"/>
      <protection locked="0"/>
    </xf>
    <xf numFmtId="0" fontId="6" fillId="7" borderId="6" xfId="0" applyFont="1" applyFill="1" applyBorder="1" applyAlignment="1" applyProtection="1">
      <alignment horizontal="center" vertical="center"/>
      <protection locked="0"/>
    </xf>
    <xf numFmtId="0" fontId="2" fillId="0" borderId="6" xfId="0" applyFont="1" applyBorder="1" applyAlignment="1">
      <alignment horizontal="center" vertical="center"/>
    </xf>
    <xf numFmtId="0" fontId="5" fillId="7" borderId="6" xfId="0" applyFont="1" applyFill="1" applyBorder="1" applyAlignment="1" applyProtection="1">
      <alignment horizontal="center" vertical="center"/>
      <protection locked="0"/>
    </xf>
    <xf numFmtId="0" fontId="5" fillId="7" borderId="7" xfId="0" applyFont="1" applyFill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7" borderId="7" xfId="0" applyFont="1" applyFill="1" applyBorder="1" applyAlignment="1" applyProtection="1">
      <alignment horizontal="center" vertical="center"/>
      <protection locked="0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5" borderId="5" xfId="0" applyFill="1" applyBorder="1" applyAlignment="1" applyProtection="1">
      <alignment horizontal="center" vertical="center"/>
      <protection locked="0"/>
    </xf>
    <xf numFmtId="0" fontId="0" fillId="5" borderId="24" xfId="0" applyFill="1" applyBorder="1" applyAlignment="1" applyProtection="1">
      <alignment horizontal="center" vertical="center"/>
      <protection locked="0"/>
    </xf>
    <xf numFmtId="0" fontId="0" fillId="5" borderId="11" xfId="0" applyFill="1" applyBorder="1" applyAlignment="1" applyProtection="1">
      <alignment horizontal="center" vertical="center"/>
      <protection locked="0"/>
    </xf>
    <xf numFmtId="0" fontId="0" fillId="5" borderId="25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2" borderId="26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27" xfId="0" applyFill="1" applyBorder="1" applyAlignment="1" applyProtection="1">
      <alignment horizontal="center" vertical="center"/>
      <protection locked="0"/>
    </xf>
    <xf numFmtId="0" fontId="0" fillId="0" borderId="28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6" borderId="33" xfId="0" applyFill="1" applyBorder="1" applyAlignment="1" applyProtection="1">
      <alignment vertical="center"/>
      <protection locked="0"/>
    </xf>
    <xf numFmtId="0" fontId="0" fillId="6" borderId="34" xfId="0" applyFill="1" applyBorder="1" applyAlignment="1" applyProtection="1">
      <alignment vertical="center"/>
      <protection locked="0"/>
    </xf>
    <xf numFmtId="0" fontId="0" fillId="6" borderId="35" xfId="0" applyFill="1" applyBorder="1" applyAlignment="1" applyProtection="1">
      <alignment vertic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3" borderId="42" xfId="0" applyFill="1" applyBorder="1" applyAlignment="1" applyProtection="1">
      <alignment horizontal="center" vertical="center" wrapText="1"/>
      <protection locked="0"/>
    </xf>
    <xf numFmtId="0" fontId="0" fillId="3" borderId="43" xfId="0" quotePrefix="1" applyFill="1" applyBorder="1" applyAlignment="1" applyProtection="1">
      <alignment horizontal="center" wrapText="1"/>
      <protection locked="0"/>
    </xf>
    <xf numFmtId="0" fontId="0" fillId="3" borderId="44" xfId="0" quotePrefix="1" applyFill="1" applyBorder="1" applyAlignment="1" applyProtection="1">
      <alignment horizontal="center" wrapText="1"/>
      <protection locked="0"/>
    </xf>
    <xf numFmtId="0" fontId="3" fillId="4" borderId="47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165" fontId="6" fillId="7" borderId="6" xfId="1" applyNumberFormat="1" applyFont="1" applyFill="1" applyBorder="1" applyAlignment="1" applyProtection="1">
      <alignment horizontal="center" vertical="center"/>
      <protection locked="0"/>
    </xf>
    <xf numFmtId="0" fontId="11" fillId="7" borderId="2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7" borderId="7" xfId="0" applyFill="1" applyBorder="1" applyAlignment="1" applyProtection="1">
      <alignment horizontal="center" vertical="center"/>
      <protection locked="0"/>
    </xf>
    <xf numFmtId="0" fontId="4" fillId="7" borderId="7" xfId="0" applyFont="1" applyFill="1" applyBorder="1" applyAlignment="1" applyProtection="1">
      <alignment horizontal="center" vertical="center"/>
      <protection locked="0"/>
    </xf>
    <xf numFmtId="165" fontId="6" fillId="0" borderId="6" xfId="1" applyNumberFormat="1" applyFont="1" applyBorder="1" applyAlignment="1">
      <alignment horizontal="center" vertical="center"/>
    </xf>
    <xf numFmtId="164" fontId="0" fillId="7" borderId="6" xfId="0" applyNumberFormat="1" applyFill="1" applyBorder="1" applyAlignment="1" applyProtection="1">
      <alignment horizontal="center" vertical="center"/>
      <protection locked="0"/>
    </xf>
    <xf numFmtId="0" fontId="0" fillId="7" borderId="54" xfId="0" applyFill="1" applyBorder="1" applyAlignment="1" applyProtection="1">
      <alignment horizontal="center" vertical="center"/>
      <protection locked="0"/>
    </xf>
    <xf numFmtId="0" fontId="0" fillId="0" borderId="55" xfId="0" applyBorder="1" applyAlignment="1">
      <alignment horizontal="center" vertical="center"/>
    </xf>
    <xf numFmtId="0" fontId="0" fillId="7" borderId="56" xfId="0" applyFill="1" applyBorder="1" applyAlignment="1" applyProtection="1">
      <alignment horizontal="center" vertical="center"/>
      <protection locked="0"/>
    </xf>
    <xf numFmtId="0" fontId="0" fillId="0" borderId="57" xfId="0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39" xfId="0" applyFont="1" applyFill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0" fillId="7" borderId="58" xfId="0" applyFill="1" applyBorder="1" applyAlignment="1" applyProtection="1">
      <alignment horizontal="center" vertical="center"/>
      <protection locked="0"/>
    </xf>
    <xf numFmtId="0" fontId="0" fillId="7" borderId="59" xfId="0" applyFill="1" applyBorder="1" applyAlignment="1" applyProtection="1">
      <alignment horizontal="center" vertical="center"/>
      <protection locked="0"/>
    </xf>
    <xf numFmtId="0" fontId="2" fillId="7" borderId="59" xfId="0" applyFont="1" applyFill="1" applyBorder="1" applyAlignment="1" applyProtection="1">
      <alignment horizontal="center" vertical="center"/>
      <protection locked="0"/>
    </xf>
    <xf numFmtId="0" fontId="5" fillId="7" borderId="59" xfId="0" applyFont="1" applyFill="1" applyBorder="1" applyAlignment="1" applyProtection="1">
      <alignment horizontal="center" vertical="center"/>
      <protection locked="0"/>
    </xf>
    <xf numFmtId="0" fontId="4" fillId="7" borderId="59" xfId="0" applyFont="1" applyFill="1" applyBorder="1" applyAlignment="1" applyProtection="1">
      <alignment horizontal="center" vertical="center"/>
      <protection locked="0"/>
    </xf>
    <xf numFmtId="0" fontId="5" fillId="0" borderId="59" xfId="0" applyFont="1" applyBorder="1" applyAlignment="1">
      <alignment horizontal="center" vertical="center"/>
    </xf>
    <xf numFmtId="164" fontId="5" fillId="0" borderId="59" xfId="0" applyNumberFormat="1" applyFont="1" applyBorder="1" applyAlignment="1">
      <alignment horizontal="center" vertical="center"/>
    </xf>
    <xf numFmtId="164" fontId="5" fillId="7" borderId="59" xfId="0" applyNumberFormat="1" applyFont="1" applyFill="1" applyBorder="1" applyAlignment="1" applyProtection="1">
      <alignment horizontal="center" vertical="center"/>
      <protection locked="0"/>
    </xf>
    <xf numFmtId="0" fontId="6" fillId="7" borderId="59" xfId="0" applyFont="1" applyFill="1" applyBorder="1" applyAlignment="1" applyProtection="1">
      <alignment horizontal="center" vertical="center"/>
      <protection locked="0"/>
    </xf>
    <xf numFmtId="0" fontId="5" fillId="0" borderId="59" xfId="0" applyFont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7" borderId="62" xfId="0" applyFill="1" applyBorder="1" applyAlignment="1" applyProtection="1">
      <alignment horizontal="center" vertical="center"/>
      <protection locked="0"/>
    </xf>
    <xf numFmtId="0" fontId="0" fillId="7" borderId="63" xfId="0" applyFill="1" applyBorder="1" applyAlignment="1" applyProtection="1">
      <alignment horizontal="center" vertical="center"/>
      <protection locked="0"/>
    </xf>
    <xf numFmtId="0" fontId="2" fillId="7" borderId="63" xfId="0" applyFont="1" applyFill="1" applyBorder="1" applyAlignment="1" applyProtection="1">
      <alignment horizontal="center" vertical="center"/>
      <protection locked="0"/>
    </xf>
    <xf numFmtId="0" fontId="5" fillId="7" borderId="63" xfId="0" applyFont="1" applyFill="1" applyBorder="1" applyAlignment="1" applyProtection="1">
      <alignment horizontal="center" vertical="center"/>
      <protection locked="0"/>
    </xf>
    <xf numFmtId="0" fontId="4" fillId="7" borderId="63" xfId="0" applyFont="1" applyFill="1" applyBorder="1" applyAlignment="1" applyProtection="1">
      <alignment horizontal="center" vertical="center"/>
      <protection locked="0"/>
    </xf>
    <xf numFmtId="0" fontId="5" fillId="0" borderId="63" xfId="0" applyFont="1" applyBorder="1" applyAlignment="1">
      <alignment horizontal="center" vertical="center"/>
    </xf>
    <xf numFmtId="164" fontId="5" fillId="0" borderId="63" xfId="0" applyNumberFormat="1" applyFont="1" applyBorder="1" applyAlignment="1">
      <alignment horizontal="center" vertical="center"/>
    </xf>
    <xf numFmtId="164" fontId="5" fillId="7" borderId="63" xfId="0" applyNumberFormat="1" applyFont="1" applyFill="1" applyBorder="1" applyAlignment="1" applyProtection="1">
      <alignment horizontal="center" vertical="center"/>
      <protection locked="0"/>
    </xf>
    <xf numFmtId="0" fontId="6" fillId="7" borderId="63" xfId="0" applyFont="1" applyFill="1" applyBorder="1" applyAlignment="1" applyProtection="1">
      <alignment horizontal="center" vertical="center"/>
      <protection locked="0"/>
    </xf>
    <xf numFmtId="165" fontId="6" fillId="0" borderId="63" xfId="1" applyNumberFormat="1" applyFont="1" applyBorder="1" applyAlignment="1">
      <alignment horizontal="center" vertical="center"/>
    </xf>
    <xf numFmtId="165" fontId="6" fillId="7" borderId="63" xfId="1" applyNumberFormat="1" applyFont="1" applyFill="1" applyBorder="1" applyAlignment="1" applyProtection="1">
      <alignment horizontal="center" vertical="center"/>
      <protection locked="0"/>
    </xf>
    <xf numFmtId="0" fontId="2" fillId="0" borderId="63" xfId="0" applyFont="1" applyBorder="1" applyAlignment="1">
      <alignment horizontal="center" vertical="center"/>
    </xf>
    <xf numFmtId="0" fontId="0" fillId="0" borderId="63" xfId="0" applyBorder="1" applyAlignment="1" applyProtection="1">
      <alignment horizontal="center" vertical="center"/>
      <protection locked="0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164" fontId="5" fillId="7" borderId="7" xfId="0" applyNumberFormat="1" applyFont="1" applyFill="1" applyBorder="1" applyAlignment="1" applyProtection="1">
      <alignment horizontal="center" vertical="center"/>
      <protection locked="0"/>
    </xf>
    <xf numFmtId="165" fontId="6" fillId="0" borderId="7" xfId="1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164" fontId="6" fillId="7" borderId="7" xfId="0" applyNumberFormat="1" applyFont="1" applyFill="1" applyBorder="1" applyAlignment="1" applyProtection="1">
      <alignment horizontal="center" vertical="center"/>
      <protection locked="0"/>
    </xf>
    <xf numFmtId="0" fontId="2" fillId="0" borderId="59" xfId="0" applyFont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165" fontId="6" fillId="7" borderId="7" xfId="1" applyNumberFormat="1" applyFont="1" applyFill="1" applyBorder="1" applyAlignment="1" applyProtection="1">
      <alignment horizontal="center" vertical="center"/>
      <protection locked="0"/>
    </xf>
    <xf numFmtId="165" fontId="6" fillId="7" borderId="59" xfId="1" applyNumberFormat="1" applyFont="1" applyFill="1" applyBorder="1" applyAlignment="1" applyProtection="1">
      <alignment horizontal="center" vertical="center"/>
      <protection locked="0"/>
    </xf>
    <xf numFmtId="0" fontId="6" fillId="8" borderId="3" xfId="0" applyFont="1" applyFill="1" applyBorder="1" applyAlignment="1">
      <alignment horizontal="center" vertical="center" wrapText="1"/>
    </xf>
    <xf numFmtId="0" fontId="0" fillId="0" borderId="30" xfId="0" applyBorder="1" applyAlignment="1">
      <alignment vertical="center"/>
    </xf>
    <xf numFmtId="0" fontId="0" fillId="0" borderId="66" xfId="0" applyBorder="1" applyAlignment="1" applyProtection="1">
      <alignment horizontal="center" vertical="center"/>
      <protection locked="0"/>
    </xf>
    <xf numFmtId="0" fontId="13" fillId="11" borderId="1" xfId="0" applyFont="1" applyFill="1" applyBorder="1" applyAlignment="1" applyProtection="1">
      <alignment horizontal="center" vertical="center" wrapText="1"/>
      <protection locked="0"/>
    </xf>
    <xf numFmtId="0" fontId="13" fillId="7" borderId="1" xfId="0" applyFont="1" applyFill="1" applyBorder="1" applyAlignment="1" applyProtection="1">
      <alignment horizontal="center" vertical="center"/>
      <protection locked="0"/>
    </xf>
    <xf numFmtId="1" fontId="13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64" fontId="13" fillId="7" borderId="1" xfId="0" applyNumberFormat="1" applyFont="1" applyFill="1" applyBorder="1" applyAlignment="1" applyProtection="1">
      <alignment horizontal="center" vertical="center"/>
      <protection locked="0"/>
    </xf>
    <xf numFmtId="165" fontId="13" fillId="0" borderId="1" xfId="1" applyNumberFormat="1" applyFont="1" applyBorder="1" applyAlignment="1">
      <alignment horizontal="center" vertical="center"/>
    </xf>
    <xf numFmtId="165" fontId="13" fillId="7" borderId="1" xfId="1" applyNumberFormat="1" applyFont="1" applyFill="1" applyBorder="1" applyAlignment="1" applyProtection="1">
      <alignment horizontal="center" vertical="center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 applyProtection="1">
      <alignment horizontal="center" vertical="center"/>
      <protection locked="0"/>
    </xf>
    <xf numFmtId="0" fontId="3" fillId="8" borderId="40" xfId="0" applyFont="1" applyFill="1" applyBorder="1" applyAlignment="1">
      <alignment horizontal="center" vertical="center" wrapText="1"/>
    </xf>
    <xf numFmtId="0" fontId="3" fillId="8" borderId="37" xfId="0" applyFont="1" applyFill="1" applyBorder="1" applyAlignment="1">
      <alignment horizontal="center" vertical="center" wrapText="1"/>
    </xf>
    <xf numFmtId="0" fontId="0" fillId="7" borderId="7" xfId="0" applyFill="1" applyBorder="1" applyAlignment="1" applyProtection="1">
      <alignment horizontal="center" vertical="center"/>
      <protection locked="0"/>
    </xf>
    <xf numFmtId="0" fontId="0" fillId="7" borderId="59" xfId="0" applyFill="1" applyBorder="1" applyAlignment="1" applyProtection="1">
      <alignment horizontal="center" vertical="center"/>
      <protection locked="0"/>
    </xf>
    <xf numFmtId="0" fontId="3" fillId="8" borderId="36" xfId="0" applyFont="1" applyFill="1" applyBorder="1" applyAlignment="1">
      <alignment horizontal="center" vertical="center" wrapText="1"/>
    </xf>
    <xf numFmtId="0" fontId="6" fillId="8" borderId="36" xfId="0" applyFont="1" applyFill="1" applyBorder="1" applyAlignment="1">
      <alignment horizontal="center" vertical="center" wrapText="1"/>
    </xf>
    <xf numFmtId="0" fontId="6" fillId="8" borderId="38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39" xfId="0" applyFont="1" applyFill="1" applyBorder="1" applyAlignment="1">
      <alignment horizontal="center" vertical="center" wrapText="1"/>
    </xf>
    <xf numFmtId="0" fontId="6" fillId="8" borderId="48" xfId="0" applyFont="1" applyFill="1" applyBorder="1" applyAlignment="1">
      <alignment horizontal="center" vertical="center" wrapText="1"/>
    </xf>
    <xf numFmtId="0" fontId="6" fillId="8" borderId="41" xfId="0" applyFont="1" applyFill="1" applyBorder="1" applyAlignment="1">
      <alignment horizontal="center" vertical="center" wrapText="1"/>
    </xf>
    <xf numFmtId="0" fontId="6" fillId="8" borderId="51" xfId="0" applyFont="1" applyFill="1" applyBorder="1" applyAlignment="1">
      <alignment horizontal="center" vertical="center" wrapText="1"/>
    </xf>
    <xf numFmtId="0" fontId="10" fillId="8" borderId="10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0" fillId="7" borderId="7" xfId="0" applyFill="1" applyBorder="1" applyAlignment="1" applyProtection="1">
      <alignment horizontal="center" vertical="center" wrapText="1"/>
      <protection locked="0"/>
    </xf>
    <xf numFmtId="0" fontId="10" fillId="8" borderId="10" xfId="0" applyFont="1" applyFill="1" applyBorder="1" applyAlignment="1">
      <alignment horizontal="center" vertical="center"/>
    </xf>
    <xf numFmtId="0" fontId="6" fillId="8" borderId="39" xfId="0" applyFont="1" applyFill="1" applyBorder="1" applyAlignment="1">
      <alignment horizontal="center" vertical="center"/>
    </xf>
    <xf numFmtId="0" fontId="6" fillId="8" borderId="48" xfId="0" applyFont="1" applyFill="1" applyBorder="1" applyAlignment="1">
      <alignment horizontal="center" vertical="center"/>
    </xf>
    <xf numFmtId="0" fontId="6" fillId="8" borderId="40" xfId="0" applyFont="1" applyFill="1" applyBorder="1" applyAlignment="1">
      <alignment horizontal="center" vertical="center"/>
    </xf>
    <xf numFmtId="0" fontId="6" fillId="8" borderId="49" xfId="0" applyFont="1" applyFill="1" applyBorder="1" applyAlignment="1">
      <alignment horizontal="center" vertical="center"/>
    </xf>
    <xf numFmtId="0" fontId="6" fillId="8" borderId="41" xfId="0" applyFont="1" applyFill="1" applyBorder="1" applyAlignment="1">
      <alignment horizontal="center" vertical="center"/>
    </xf>
    <xf numFmtId="0" fontId="6" fillId="8" borderId="51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0" fillId="7" borderId="63" xfId="0" applyFill="1" applyBorder="1" applyAlignment="1" applyProtection="1">
      <alignment horizontal="center" vertical="center"/>
      <protection locked="0"/>
    </xf>
    <xf numFmtId="0" fontId="3" fillId="8" borderId="41" xfId="0" applyFont="1" applyFill="1" applyBorder="1" applyAlignment="1">
      <alignment horizontal="center" vertical="center" wrapText="1"/>
    </xf>
    <xf numFmtId="0" fontId="3" fillId="8" borderId="5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 applyProtection="1">
      <alignment horizontal="center" vertical="center"/>
      <protection locked="0"/>
    </xf>
    <xf numFmtId="0" fontId="10" fillId="8" borderId="52" xfId="0" applyFont="1" applyFill="1" applyBorder="1" applyAlignment="1">
      <alignment horizontal="center" vertical="center"/>
    </xf>
    <xf numFmtId="0" fontId="10" fillId="8" borderId="53" xfId="0" applyFont="1" applyFill="1" applyBorder="1" applyAlignment="1">
      <alignment horizontal="center" vertical="center"/>
    </xf>
    <xf numFmtId="0" fontId="10" fillId="8" borderId="50" xfId="0" applyFont="1" applyFill="1" applyBorder="1" applyAlignment="1">
      <alignment horizontal="center" vertical="center"/>
    </xf>
    <xf numFmtId="0" fontId="6" fillId="8" borderId="40" xfId="0" applyFont="1" applyFill="1" applyBorder="1" applyAlignment="1">
      <alignment horizontal="center" vertical="center" wrapText="1"/>
    </xf>
    <xf numFmtId="0" fontId="6" fillId="8" borderId="49" xfId="0" applyFont="1" applyFill="1" applyBorder="1" applyAlignment="1">
      <alignment horizontal="center" vertical="center" wrapText="1"/>
    </xf>
    <xf numFmtId="0" fontId="6" fillId="8" borderId="67" xfId="0" applyFont="1" applyFill="1" applyBorder="1" applyAlignment="1">
      <alignment horizontal="center" vertical="center" wrapText="1"/>
    </xf>
    <xf numFmtId="0" fontId="6" fillId="8" borderId="68" xfId="0" applyFont="1" applyFill="1" applyBorder="1" applyAlignment="1">
      <alignment horizontal="center" vertical="center" wrapText="1"/>
    </xf>
    <xf numFmtId="0" fontId="3" fillId="8" borderId="49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/>
    </xf>
    <xf numFmtId="0" fontId="9" fillId="2" borderId="53" xfId="0" applyFont="1" applyFill="1" applyBorder="1" applyAlignment="1">
      <alignment horizontal="center" vertical="center"/>
    </xf>
    <xf numFmtId="0" fontId="9" fillId="2" borderId="50" xfId="0" applyFont="1" applyFill="1" applyBorder="1" applyAlignment="1">
      <alignment horizontal="center" vertical="center"/>
    </xf>
    <xf numFmtId="0" fontId="3" fillId="8" borderId="40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8" borderId="39" xfId="0" applyFont="1" applyFill="1" applyBorder="1" applyAlignment="1">
      <alignment horizontal="center" vertical="center" wrapText="1"/>
    </xf>
    <xf numFmtId="0" fontId="3" fillId="8" borderId="48" xfId="0" applyFont="1" applyFill="1" applyBorder="1" applyAlignment="1">
      <alignment horizontal="center" vertical="center" wrapText="1"/>
    </xf>
    <xf numFmtId="0" fontId="3" fillId="4" borderId="45" xfId="0" applyFont="1" applyFill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0" fillId="6" borderId="31" xfId="0" applyFill="1" applyBorder="1" applyAlignment="1" applyProtection="1">
      <alignment horizontal="left" vertical="center"/>
      <protection locked="0"/>
    </xf>
    <xf numFmtId="0" fontId="0" fillId="6" borderId="30" xfId="0" applyFill="1" applyBorder="1" applyAlignment="1" applyProtection="1">
      <alignment horizontal="left" vertical="center"/>
      <protection locked="0"/>
    </xf>
    <xf numFmtId="0" fontId="0" fillId="6" borderId="32" xfId="0" applyFill="1" applyBorder="1" applyAlignment="1" applyProtection="1">
      <alignment horizontal="left" vertical="center"/>
      <protection locked="0"/>
    </xf>
    <xf numFmtId="0" fontId="0" fillId="6" borderId="31" xfId="0" applyFill="1" applyBorder="1" applyAlignment="1" applyProtection="1">
      <alignment horizontal="left" vertical="center" wrapText="1"/>
      <protection locked="0"/>
    </xf>
    <xf numFmtId="0" fontId="0" fillId="6" borderId="30" xfId="0" applyFill="1" applyBorder="1" applyAlignment="1" applyProtection="1">
      <alignment horizontal="left" vertical="center" wrapText="1"/>
      <protection locked="0"/>
    </xf>
    <xf numFmtId="0" fontId="0" fillId="6" borderId="32" xfId="0" applyFill="1" applyBorder="1" applyAlignment="1" applyProtection="1">
      <alignment horizontal="left" vertical="center" wrapText="1"/>
      <protection locked="0"/>
    </xf>
    <xf numFmtId="0" fontId="0" fillId="6" borderId="8" xfId="0" applyFill="1" applyBorder="1" applyAlignment="1" applyProtection="1">
      <alignment horizontal="left" vertical="center" wrapText="1"/>
      <protection locked="0"/>
    </xf>
    <xf numFmtId="0" fontId="0" fillId="6" borderId="0" xfId="0" applyFill="1" applyAlignment="1" applyProtection="1">
      <alignment horizontal="left" vertical="center" wrapText="1"/>
      <protection locked="0"/>
    </xf>
    <xf numFmtId="0" fontId="0" fillId="6" borderId="9" xfId="0" applyFill="1" applyBorder="1" applyAlignment="1" applyProtection="1">
      <alignment horizontal="left" vertical="center" wrapText="1"/>
      <protection locked="0"/>
    </xf>
    <xf numFmtId="0" fontId="0" fillId="6" borderId="33" xfId="0" applyFill="1" applyBorder="1" applyAlignment="1" applyProtection="1">
      <alignment horizontal="left" vertical="center" wrapText="1"/>
      <protection locked="0"/>
    </xf>
    <xf numFmtId="0" fontId="0" fillId="6" borderId="34" xfId="0" applyFill="1" applyBorder="1" applyAlignment="1" applyProtection="1">
      <alignment horizontal="left" vertical="center" wrapText="1"/>
      <protection locked="0"/>
    </xf>
    <xf numFmtId="0" fontId="0" fillId="6" borderId="35" xfId="0" applyFill="1" applyBorder="1" applyAlignment="1" applyProtection="1">
      <alignment horizontal="left" vertical="center" wrapText="1"/>
      <protection locked="0"/>
    </xf>
    <xf numFmtId="0" fontId="11" fillId="10" borderId="38" xfId="0" applyFont="1" applyFill="1" applyBorder="1" applyAlignment="1">
      <alignment horizontal="center" vertical="center" wrapText="1"/>
    </xf>
    <xf numFmtId="0" fontId="11" fillId="10" borderId="36" xfId="0" applyFont="1" applyFill="1" applyBorder="1" applyAlignment="1">
      <alignment horizontal="center" vertical="center" wrapText="1"/>
    </xf>
    <xf numFmtId="0" fontId="11" fillId="10" borderId="3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5" borderId="60" xfId="0" applyFill="1" applyBorder="1" applyAlignment="1" applyProtection="1">
      <alignment horizontal="center" vertical="center"/>
      <protection locked="0"/>
    </xf>
    <xf numFmtId="0" fontId="0" fillId="5" borderId="61" xfId="0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sz="4000" b="1" i="1" cap="none" spc="0">
            <a:ln w="17780" cmpd="sng">
              <a:solidFill>
                <a:srgbClr val="FFFFFF"/>
              </a:solidFill>
              <a:prstDash val="solid"/>
              <a:miter lim="800000"/>
            </a:ln>
            <a:gradFill rotWithShape="1">
              <a:gsLst>
                <a:gs pos="0">
                  <a:srgbClr val="000000">
                    <a:tint val="92000"/>
                    <a:shade val="100000"/>
                    <a:satMod val="150000"/>
                  </a:srgbClr>
                </a:gs>
                <a:gs pos="49000">
                  <a:srgbClr val="000000">
                    <a:tint val="89000"/>
                    <a:shade val="90000"/>
                    <a:satMod val="150000"/>
                  </a:srgbClr>
                </a:gs>
                <a:gs pos="50000">
                  <a:srgbClr val="000000">
                    <a:tint val="100000"/>
                    <a:shade val="75000"/>
                    <a:satMod val="150000"/>
                  </a:srgbClr>
                </a:gs>
                <a:gs pos="95000">
                  <a:srgbClr val="000000">
                    <a:shade val="47000"/>
                    <a:satMod val="150000"/>
                  </a:srgbClr>
                </a:gs>
                <a:gs pos="100000">
                  <a:srgbClr val="000000">
                    <a:shade val="39000"/>
                    <a:satMod val="150000"/>
                  </a:srgbClr>
                </a:gs>
              </a:gsLst>
              <a:lin ang="5400000"/>
            </a:gradFill>
            <a:effectLst>
              <a:outerShdw blurRad="50800" algn="tl" rotWithShape="0">
                <a:srgbClr val="000000"/>
              </a:outerShdw>
            </a:effectLst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9"/>
  <sheetViews>
    <sheetView showGridLines="0" tabSelected="1" zoomScale="84" zoomScaleNormal="84" workbookViewId="0">
      <selection activeCell="F18" sqref="F18"/>
    </sheetView>
  </sheetViews>
  <sheetFormatPr defaultColWidth="0" defaultRowHeight="15" zeroHeight="1" x14ac:dyDescent="0.25"/>
  <cols>
    <col min="1" max="1" width="10.7109375" style="1" customWidth="1"/>
    <col min="2" max="2" width="15.7109375" style="1" customWidth="1"/>
    <col min="3" max="3" width="25.7109375" style="1" customWidth="1"/>
    <col min="4" max="5" width="7.7109375" style="1" customWidth="1"/>
    <col min="6" max="6" width="12.7109375" style="1" customWidth="1"/>
    <col min="7" max="8" width="10.7109375" style="1" customWidth="1"/>
    <col min="9" max="10" width="10.7109375" style="6" customWidth="1"/>
    <col min="11" max="11" width="10.7109375" style="1" customWidth="1"/>
    <col min="12" max="12" width="12.7109375" style="1" customWidth="1"/>
    <col min="13" max="14" width="10.7109375" style="3" customWidth="1"/>
    <col min="15" max="16" width="10.7109375" style="1" customWidth="1"/>
    <col min="17" max="17" width="10.7109375" style="2" customWidth="1"/>
    <col min="18" max="19" width="10.7109375" style="1" customWidth="1"/>
    <col min="20" max="20" width="7.85546875" style="2" hidden="1" customWidth="1"/>
    <col min="21" max="16383" width="0" style="2" hidden="1"/>
    <col min="16384" max="16384" width="0.140625" style="2" customWidth="1"/>
  </cols>
  <sheetData>
    <row r="1" spans="1:19" ht="1.5" customHeight="1" thickBot="1" x14ac:dyDescent="0.3">
      <c r="I1" s="1"/>
      <c r="J1" s="1"/>
    </row>
    <row r="2" spans="1:19" s="5" customFormat="1" ht="20.100000000000001" customHeight="1" thickBot="1" x14ac:dyDescent="0.3">
      <c r="A2" s="151" t="s">
        <v>52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  <c r="O2" s="151"/>
      <c r="P2" s="151"/>
      <c r="Q2" s="151"/>
      <c r="R2" s="151"/>
      <c r="S2" s="151"/>
    </row>
    <row r="3" spans="1:19" s="1" customFormat="1" ht="20.100000000000001" customHeight="1" thickBot="1" x14ac:dyDescent="0.3">
      <c r="A3" s="155" t="s">
        <v>51</v>
      </c>
      <c r="B3" s="155"/>
      <c r="C3" s="155"/>
      <c r="D3" s="149" t="s">
        <v>1</v>
      </c>
      <c r="E3" s="149"/>
      <c r="F3" s="149"/>
      <c r="G3" s="149"/>
      <c r="H3" s="149"/>
      <c r="I3" s="149" t="s">
        <v>28</v>
      </c>
      <c r="J3" s="149"/>
      <c r="K3" s="149"/>
      <c r="L3" s="149"/>
      <c r="M3" s="149"/>
      <c r="N3" s="149"/>
      <c r="O3" s="149"/>
      <c r="P3" s="149"/>
      <c r="Q3" s="149"/>
      <c r="R3" s="149"/>
      <c r="S3" s="149"/>
    </row>
    <row r="4" spans="1:19" s="1" customFormat="1" ht="24.95" customHeight="1" x14ac:dyDescent="0.25">
      <c r="A4" s="156" t="s">
        <v>4</v>
      </c>
      <c r="B4" s="158" t="s">
        <v>13</v>
      </c>
      <c r="C4" s="160" t="s">
        <v>6</v>
      </c>
      <c r="D4" s="145" t="s">
        <v>119</v>
      </c>
      <c r="E4" s="142" t="s">
        <v>11</v>
      </c>
      <c r="F4" s="162" t="s">
        <v>112</v>
      </c>
      <c r="G4" s="142" t="s">
        <v>2</v>
      </c>
      <c r="H4" s="147" t="s">
        <v>3</v>
      </c>
      <c r="I4" s="143" t="s">
        <v>121</v>
      </c>
      <c r="J4" s="142" t="s">
        <v>120</v>
      </c>
      <c r="K4" s="142" t="s">
        <v>64</v>
      </c>
      <c r="L4" s="142" t="s">
        <v>63</v>
      </c>
      <c r="M4" s="142" t="s">
        <v>114</v>
      </c>
      <c r="N4" s="142"/>
      <c r="O4" s="142" t="s">
        <v>7</v>
      </c>
      <c r="P4" s="142" t="s">
        <v>8</v>
      </c>
      <c r="Q4" s="142" t="s">
        <v>111</v>
      </c>
      <c r="R4" s="141" t="s">
        <v>26</v>
      </c>
      <c r="S4" s="138" t="s">
        <v>27</v>
      </c>
    </row>
    <row r="5" spans="1:19" s="1" customFormat="1" ht="39.950000000000003" customHeight="1" thickBot="1" x14ac:dyDescent="0.3">
      <c r="A5" s="157"/>
      <c r="B5" s="159"/>
      <c r="C5" s="161"/>
      <c r="D5" s="146"/>
      <c r="E5" s="144"/>
      <c r="F5" s="163"/>
      <c r="G5" s="144"/>
      <c r="H5" s="148"/>
      <c r="I5" s="150"/>
      <c r="J5" s="144"/>
      <c r="K5" s="144"/>
      <c r="L5" s="144"/>
      <c r="M5" s="125" t="s">
        <v>113</v>
      </c>
      <c r="N5" s="125" t="s">
        <v>115</v>
      </c>
      <c r="O5" s="144"/>
      <c r="P5" s="144"/>
      <c r="Q5" s="144"/>
      <c r="R5" s="152"/>
      <c r="S5" s="153"/>
    </row>
    <row r="6" spans="1:19" ht="15" customHeight="1" x14ac:dyDescent="0.25">
      <c r="A6" s="99">
        <v>1</v>
      </c>
      <c r="B6" s="164" t="s">
        <v>50</v>
      </c>
      <c r="C6" s="100" t="s">
        <v>9</v>
      </c>
      <c r="D6" s="101">
        <v>127</v>
      </c>
      <c r="E6" s="102"/>
      <c r="F6" s="103"/>
      <c r="G6" s="104">
        <f t="shared" ref="G6:G28" si="0">F6*E6</f>
        <v>0</v>
      </c>
      <c r="H6" s="105">
        <f t="shared" ref="H6:H27" si="1">G6/D6</f>
        <v>0</v>
      </c>
      <c r="I6" s="106"/>
      <c r="J6" s="107"/>
      <c r="K6" s="108" t="str">
        <f>IFERROR((VLOOKUP(J6,Dados!$A$4:$C$13,3,FALSE))*H6*I6/1000/D6,"")</f>
        <v/>
      </c>
      <c r="L6" s="109"/>
      <c r="M6" s="110" t="str">
        <f>IFERROR(IF(VLOOKUP(J6,Dados!A:B,2,FALSE)&gt;H6,"OK","NÃO"),"")</f>
        <v/>
      </c>
      <c r="N6" s="110" t="str">
        <f t="shared" ref="N6:N28" si="2">IF(K6="","",IF(K6&lt;L6,"OK","NÃO"))</f>
        <v/>
      </c>
      <c r="O6" s="111">
        <v>1</v>
      </c>
      <c r="P6" s="107"/>
      <c r="Q6" s="110" t="str">
        <f>IFERROR(IF(VLOOKUP(P6,Dados!E:E,1,FALSE)&gt;Residencial!H6*1.1,"OK","NÃO"),"")</f>
        <v/>
      </c>
      <c r="R6" s="112"/>
      <c r="S6" s="113">
        <f>(R6)*(G6)</f>
        <v>0</v>
      </c>
    </row>
    <row r="7" spans="1:19" ht="15" customHeight="1" x14ac:dyDescent="0.25">
      <c r="A7" s="78">
        <v>2</v>
      </c>
      <c r="B7" s="139"/>
      <c r="C7" s="74" t="s">
        <v>38</v>
      </c>
      <c r="D7" s="13">
        <v>127</v>
      </c>
      <c r="E7" s="17">
        <v>66</v>
      </c>
      <c r="F7" s="75">
        <v>100</v>
      </c>
      <c r="G7" s="11">
        <f>F7*E7</f>
        <v>6600</v>
      </c>
      <c r="H7" s="4">
        <f>G7/D7</f>
        <v>51.968503937007874</v>
      </c>
      <c r="I7" s="114">
        <v>20</v>
      </c>
      <c r="J7" s="21">
        <v>1.5</v>
      </c>
      <c r="K7" s="115">
        <f>IFERROR((VLOOKUP(J7,Dados!$A$4:$C$13,3,FALSE))*H7*I7/1000/D7,"")</f>
        <v>8.3231446462892919E-2</v>
      </c>
      <c r="L7" s="123">
        <v>1.4999999999999999E-2</v>
      </c>
      <c r="M7" s="116" t="str">
        <f>IFERROR(IF(VLOOKUP(J7,Dados!A:B,2,FALSE)&gt;H7,"OK","NÃO"),"")</f>
        <v>NÃO</v>
      </c>
      <c r="N7" s="116" t="str">
        <f t="shared" si="2"/>
        <v>NÃO</v>
      </c>
      <c r="O7" s="84">
        <v>1</v>
      </c>
      <c r="P7" s="21">
        <v>16</v>
      </c>
      <c r="Q7" s="116" t="str">
        <f>IFERROR(IF(VLOOKUP(P7,Dados!E:E,1,FALSE)&gt;Residencial!H7*1.1,"OK","NÃO"),"")</f>
        <v>NÃO</v>
      </c>
      <c r="R7" s="20">
        <v>0.8</v>
      </c>
      <c r="S7" s="81">
        <f>(R7)*(G7)</f>
        <v>5280</v>
      </c>
    </row>
    <row r="8" spans="1:19" ht="15" customHeight="1" x14ac:dyDescent="0.25">
      <c r="A8" s="78">
        <v>3</v>
      </c>
      <c r="B8" s="139"/>
      <c r="C8" s="13" t="s">
        <v>48</v>
      </c>
      <c r="D8" s="13">
        <v>127</v>
      </c>
      <c r="E8" s="17"/>
      <c r="F8" s="13"/>
      <c r="G8" s="117">
        <f t="shared" si="0"/>
        <v>0</v>
      </c>
      <c r="H8" s="118">
        <f>G8/D8</f>
        <v>0</v>
      </c>
      <c r="I8" s="119"/>
      <c r="J8" s="21"/>
      <c r="K8" s="115" t="str">
        <f>IFERROR((VLOOKUP(J8,Dados!$A$4:$C$13,3,FALSE))*H8*I8/1000/D8,"")</f>
        <v/>
      </c>
      <c r="L8" s="123"/>
      <c r="M8" s="116" t="str">
        <f>IFERROR(IF(VLOOKUP(J8,Dados!A:B,2,FALSE)&gt;H8,"OK","NÃO"),"")</f>
        <v/>
      </c>
      <c r="N8" s="116" t="str">
        <f t="shared" si="2"/>
        <v/>
      </c>
      <c r="O8" s="84">
        <v>2</v>
      </c>
      <c r="P8" s="21"/>
      <c r="Q8" s="116" t="str">
        <f>IFERROR(IF(VLOOKUP(P8,Dados!E:E,1,FALSE)&gt;Residencial!H8*1.1,"OK","NÃO"),"")</f>
        <v/>
      </c>
      <c r="R8" s="20"/>
      <c r="S8" s="79">
        <f t="shared" ref="S8:S28" si="3">R8*G8</f>
        <v>0</v>
      </c>
    </row>
    <row r="9" spans="1:19" ht="15" customHeight="1" x14ac:dyDescent="0.25">
      <c r="A9" s="78">
        <v>4</v>
      </c>
      <c r="B9" s="139" t="s">
        <v>49</v>
      </c>
      <c r="C9" s="74" t="s">
        <v>9</v>
      </c>
      <c r="D9" s="13">
        <v>127</v>
      </c>
      <c r="E9" s="17"/>
      <c r="F9" s="75"/>
      <c r="G9" s="11">
        <f t="shared" si="0"/>
        <v>0</v>
      </c>
      <c r="H9" s="4">
        <f t="shared" si="1"/>
        <v>0</v>
      </c>
      <c r="I9" s="114"/>
      <c r="J9" s="21"/>
      <c r="K9" s="115" t="str">
        <f>IFERROR((VLOOKUP(J9,Dados!$A$4:$C$13,3,FALSE))*H9*I9/1000/D9,"")</f>
        <v/>
      </c>
      <c r="L9" s="123"/>
      <c r="M9" s="116" t="str">
        <f>IFERROR(IF(VLOOKUP(J9,Dados!A:B,2,FALSE)&gt;H9,"OK","NÃO"),"")</f>
        <v/>
      </c>
      <c r="N9" s="116" t="str">
        <f t="shared" si="2"/>
        <v/>
      </c>
      <c r="O9" s="84">
        <v>1</v>
      </c>
      <c r="P9" s="21"/>
      <c r="Q9" s="116" t="str">
        <f>IFERROR(IF(VLOOKUP(P9,Dados!E:E,1,FALSE)&gt;Residencial!H9*1.1,"OK","NÃO"),"")</f>
        <v/>
      </c>
      <c r="R9" s="20"/>
      <c r="S9" s="79">
        <f t="shared" si="3"/>
        <v>0</v>
      </c>
    </row>
    <row r="10" spans="1:19" ht="15" customHeight="1" x14ac:dyDescent="0.25">
      <c r="A10" s="78">
        <v>5</v>
      </c>
      <c r="B10" s="139"/>
      <c r="C10" s="74" t="s">
        <v>38</v>
      </c>
      <c r="D10" s="13">
        <v>127</v>
      </c>
      <c r="E10" s="17"/>
      <c r="F10" s="75"/>
      <c r="G10" s="11">
        <f t="shared" si="0"/>
        <v>0</v>
      </c>
      <c r="H10" s="4">
        <f t="shared" si="1"/>
        <v>0</v>
      </c>
      <c r="I10" s="114"/>
      <c r="J10" s="21"/>
      <c r="K10" s="115" t="str">
        <f>IFERROR((VLOOKUP(J10,Dados!$A$4:$C$13,3,FALSE))*H10*I10/1000/D10,"")</f>
        <v/>
      </c>
      <c r="L10" s="123"/>
      <c r="M10" s="116" t="str">
        <f>IFERROR(IF(VLOOKUP(J10,Dados!A:B,2,FALSE)&gt;H10,"OK","NÃO"),"")</f>
        <v/>
      </c>
      <c r="N10" s="116" t="str">
        <f t="shared" si="2"/>
        <v/>
      </c>
      <c r="O10" s="84">
        <v>1</v>
      </c>
      <c r="P10" s="21"/>
      <c r="Q10" s="116" t="str">
        <f>IFERROR(IF(VLOOKUP(P10,Dados!E:E,1,FALSE)&gt;Residencial!H10*1.1,"OK","NÃO"),"")</f>
        <v/>
      </c>
      <c r="R10" s="20"/>
      <c r="S10" s="79">
        <f t="shared" si="3"/>
        <v>0</v>
      </c>
    </row>
    <row r="11" spans="1:19" ht="15" customHeight="1" x14ac:dyDescent="0.25">
      <c r="A11" s="78">
        <v>6</v>
      </c>
      <c r="B11" s="139"/>
      <c r="C11" s="13" t="s">
        <v>48</v>
      </c>
      <c r="D11" s="13">
        <v>127</v>
      </c>
      <c r="E11" s="17"/>
      <c r="F11" s="13"/>
      <c r="G11" s="117">
        <f t="shared" si="0"/>
        <v>0</v>
      </c>
      <c r="H11" s="118">
        <f t="shared" si="1"/>
        <v>0</v>
      </c>
      <c r="I11" s="119"/>
      <c r="J11" s="21"/>
      <c r="K11" s="115" t="str">
        <f>IFERROR((VLOOKUP(J11,Dados!$A$4:$C$13,3,FALSE))*H11*I11/1000/D11,"")</f>
        <v/>
      </c>
      <c r="L11" s="123"/>
      <c r="M11" s="116" t="str">
        <f>IFERROR(IF(VLOOKUP(J11,Dados!A:B,2,FALSE)&gt;H11,"OK","NÃO"),"")</f>
        <v/>
      </c>
      <c r="N11" s="116" t="str">
        <f t="shared" si="2"/>
        <v/>
      </c>
      <c r="O11" s="84">
        <v>1</v>
      </c>
      <c r="P11" s="21"/>
      <c r="Q11" s="116" t="str">
        <f>IFERROR(IF(VLOOKUP(P11,Dados!E:E,1,FALSE)&gt;Residencial!H11*1.1,"OK","NÃO"),"")</f>
        <v/>
      </c>
      <c r="R11" s="20"/>
      <c r="S11" s="79">
        <f t="shared" si="3"/>
        <v>0</v>
      </c>
    </row>
    <row r="12" spans="1:19" ht="15" customHeight="1" x14ac:dyDescent="0.25">
      <c r="A12" s="78">
        <v>7</v>
      </c>
      <c r="B12" s="139" t="s">
        <v>47</v>
      </c>
      <c r="C12" s="74" t="s">
        <v>9</v>
      </c>
      <c r="D12" s="13">
        <v>127</v>
      </c>
      <c r="E12" s="17"/>
      <c r="F12" s="75"/>
      <c r="G12" s="11">
        <f t="shared" si="0"/>
        <v>0</v>
      </c>
      <c r="H12" s="4">
        <f t="shared" si="1"/>
        <v>0</v>
      </c>
      <c r="I12" s="114"/>
      <c r="J12" s="21"/>
      <c r="K12" s="115" t="str">
        <f>IFERROR((VLOOKUP(J12,Dados!$A$4:$C$13,3,FALSE))*H12*I12/1000/D12,"")</f>
        <v/>
      </c>
      <c r="L12" s="123"/>
      <c r="M12" s="116" t="str">
        <f>IFERROR(IF(VLOOKUP(J12,Dados!A:B,2,FALSE)&gt;H12,"OK","NÃO"),"")</f>
        <v/>
      </c>
      <c r="N12" s="116" t="str">
        <f t="shared" si="2"/>
        <v/>
      </c>
      <c r="O12" s="84">
        <v>1</v>
      </c>
      <c r="P12" s="21"/>
      <c r="Q12" s="116" t="str">
        <f>IFERROR(IF(VLOOKUP(P12,Dados!E:E,1,FALSE)&gt;Residencial!H12*1.1,"OK","NÃO"),"")</f>
        <v/>
      </c>
      <c r="R12" s="20"/>
      <c r="S12" s="79">
        <f t="shared" si="3"/>
        <v>0</v>
      </c>
    </row>
    <row r="13" spans="1:19" ht="15" customHeight="1" x14ac:dyDescent="0.25">
      <c r="A13" s="78">
        <v>8</v>
      </c>
      <c r="B13" s="139"/>
      <c r="C13" s="74" t="s">
        <v>38</v>
      </c>
      <c r="D13" s="13">
        <v>127</v>
      </c>
      <c r="E13" s="17"/>
      <c r="F13" s="75"/>
      <c r="G13" s="11">
        <f t="shared" si="0"/>
        <v>0</v>
      </c>
      <c r="H13" s="4">
        <f t="shared" si="1"/>
        <v>0</v>
      </c>
      <c r="I13" s="114"/>
      <c r="J13" s="21"/>
      <c r="K13" s="115" t="str">
        <f>IFERROR((VLOOKUP(J13,Dados!$A$4:$C$13,3,FALSE))*H13*I13/1000/D13,"")</f>
        <v/>
      </c>
      <c r="L13" s="123"/>
      <c r="M13" s="116" t="str">
        <f>IFERROR(IF(VLOOKUP(J13,Dados!A:B,2,FALSE)&gt;H13,"OK","NÃO"),"")</f>
        <v/>
      </c>
      <c r="N13" s="116" t="str">
        <f t="shared" si="2"/>
        <v/>
      </c>
      <c r="O13" s="84">
        <v>1</v>
      </c>
      <c r="P13" s="21"/>
      <c r="Q13" s="116" t="str">
        <f>IFERROR(IF(VLOOKUP(P13,Dados!E:E,1,FALSE)&gt;Residencial!H13*1.1,"OK","NÃO"),"")</f>
        <v/>
      </c>
      <c r="R13" s="20"/>
      <c r="S13" s="79">
        <f t="shared" si="3"/>
        <v>0</v>
      </c>
    </row>
    <row r="14" spans="1:19" ht="15" customHeight="1" x14ac:dyDescent="0.25">
      <c r="A14" s="78">
        <v>9</v>
      </c>
      <c r="B14" s="139" t="s">
        <v>46</v>
      </c>
      <c r="C14" s="74" t="s">
        <v>9</v>
      </c>
      <c r="D14" s="13">
        <v>127</v>
      </c>
      <c r="E14" s="17"/>
      <c r="F14" s="75"/>
      <c r="G14" s="11">
        <f t="shared" si="0"/>
        <v>0</v>
      </c>
      <c r="H14" s="4">
        <f t="shared" si="1"/>
        <v>0</v>
      </c>
      <c r="I14" s="114"/>
      <c r="J14" s="21"/>
      <c r="K14" s="115" t="str">
        <f>IFERROR((VLOOKUP(J14,Dados!$A$4:$C$13,3,FALSE))*H14*I14/1000/D14,"")</f>
        <v/>
      </c>
      <c r="L14" s="123"/>
      <c r="M14" s="116" t="str">
        <f>IFERROR(IF(VLOOKUP(J14,Dados!A:B,2,FALSE)&gt;H14,"OK","NÃO"),"")</f>
        <v/>
      </c>
      <c r="N14" s="116" t="str">
        <f t="shared" si="2"/>
        <v/>
      </c>
      <c r="O14" s="84">
        <v>1</v>
      </c>
      <c r="P14" s="21"/>
      <c r="Q14" s="116" t="str">
        <f>IFERROR(IF(VLOOKUP(P14,Dados!E:E,1,FALSE)&gt;Residencial!H14*1.1,"OK","NÃO"),"")</f>
        <v/>
      </c>
      <c r="R14" s="20"/>
      <c r="S14" s="79">
        <f t="shared" si="3"/>
        <v>0</v>
      </c>
    </row>
    <row r="15" spans="1:19" ht="15" customHeight="1" x14ac:dyDescent="0.25">
      <c r="A15" s="78">
        <v>10</v>
      </c>
      <c r="B15" s="139"/>
      <c r="C15" s="74" t="s">
        <v>38</v>
      </c>
      <c r="D15" s="13">
        <v>127</v>
      </c>
      <c r="E15" s="17"/>
      <c r="F15" s="75"/>
      <c r="G15" s="11">
        <f t="shared" si="0"/>
        <v>0</v>
      </c>
      <c r="H15" s="4">
        <f t="shared" si="1"/>
        <v>0</v>
      </c>
      <c r="I15" s="114"/>
      <c r="J15" s="21"/>
      <c r="K15" s="115" t="str">
        <f>IFERROR((VLOOKUP(J15,Dados!$A$4:$C$13,3,FALSE))*H15*I15/1000/D15,"")</f>
        <v/>
      </c>
      <c r="L15" s="123"/>
      <c r="M15" s="116" t="str">
        <f>IFERROR(IF(VLOOKUP(J15,Dados!A:B,2,FALSE)&gt;H15,"OK","NÃO"),"")</f>
        <v/>
      </c>
      <c r="N15" s="116" t="str">
        <f t="shared" si="2"/>
        <v/>
      </c>
      <c r="O15" s="84">
        <v>1</v>
      </c>
      <c r="P15" s="21"/>
      <c r="Q15" s="116" t="str">
        <f>IFERROR(IF(VLOOKUP(P15,Dados!E:E,1,FALSE)&gt;Residencial!H15*1.1,"OK","NÃO"),"")</f>
        <v/>
      </c>
      <c r="R15" s="20"/>
      <c r="S15" s="79">
        <f t="shared" si="3"/>
        <v>0</v>
      </c>
    </row>
    <row r="16" spans="1:19" ht="15" customHeight="1" x14ac:dyDescent="0.25">
      <c r="A16" s="78">
        <v>11</v>
      </c>
      <c r="B16" s="139" t="s">
        <v>45</v>
      </c>
      <c r="C16" s="74" t="s">
        <v>9</v>
      </c>
      <c r="D16" s="13">
        <v>127</v>
      </c>
      <c r="E16" s="17"/>
      <c r="F16" s="75"/>
      <c r="G16" s="11">
        <f t="shared" si="0"/>
        <v>0</v>
      </c>
      <c r="H16" s="4">
        <f t="shared" si="1"/>
        <v>0</v>
      </c>
      <c r="I16" s="114"/>
      <c r="J16" s="21"/>
      <c r="K16" s="115" t="str">
        <f>IFERROR((VLOOKUP(J16,Dados!$A$4:$C$13,3,FALSE))*H16*I16/1000/D16,"")</f>
        <v/>
      </c>
      <c r="L16" s="123"/>
      <c r="M16" s="116" t="str">
        <f>IFERROR(IF(VLOOKUP(J16,Dados!A:B,2,FALSE)&gt;H16,"OK","NÃO"),"")</f>
        <v/>
      </c>
      <c r="N16" s="116" t="str">
        <f t="shared" si="2"/>
        <v/>
      </c>
      <c r="O16" s="84">
        <v>1</v>
      </c>
      <c r="P16" s="21"/>
      <c r="Q16" s="116" t="str">
        <f>IFERROR(IF(VLOOKUP(P16,Dados!E:E,1,FALSE)&gt;Residencial!H16*1.1,"OK","NÃO"),"")</f>
        <v/>
      </c>
      <c r="R16" s="20"/>
      <c r="S16" s="79">
        <f t="shared" si="3"/>
        <v>0</v>
      </c>
    </row>
    <row r="17" spans="1:19" ht="15" customHeight="1" x14ac:dyDescent="0.25">
      <c r="A17" s="78">
        <v>12</v>
      </c>
      <c r="B17" s="139"/>
      <c r="C17" s="74" t="s">
        <v>38</v>
      </c>
      <c r="D17" s="13">
        <v>127</v>
      </c>
      <c r="E17" s="17"/>
      <c r="F17" s="75"/>
      <c r="G17" s="11">
        <f t="shared" si="0"/>
        <v>0</v>
      </c>
      <c r="H17" s="4">
        <f t="shared" si="1"/>
        <v>0</v>
      </c>
      <c r="I17" s="114"/>
      <c r="J17" s="21"/>
      <c r="K17" s="115" t="str">
        <f>IFERROR((VLOOKUP(J17,Dados!$A$4:$C$13,3,FALSE))*H17*I17/1000/D17,"")</f>
        <v/>
      </c>
      <c r="L17" s="123"/>
      <c r="M17" s="116" t="str">
        <f>IFERROR(IF(VLOOKUP(J17,Dados!A:B,2,FALSE)&gt;H17,"OK","NÃO"),"")</f>
        <v/>
      </c>
      <c r="N17" s="116" t="str">
        <f t="shared" si="2"/>
        <v/>
      </c>
      <c r="O17" s="84">
        <v>1</v>
      </c>
      <c r="P17" s="21"/>
      <c r="Q17" s="116" t="str">
        <f>IFERROR(IF(VLOOKUP(P17,Dados!E:E,1,FALSE)&gt;Residencial!H17*1.1,"OK","NÃO"),"")</f>
        <v/>
      </c>
      <c r="R17" s="20"/>
      <c r="S17" s="79">
        <f t="shared" si="3"/>
        <v>0</v>
      </c>
    </row>
    <row r="18" spans="1:19" ht="15" customHeight="1" x14ac:dyDescent="0.25">
      <c r="A18" s="78">
        <v>13</v>
      </c>
      <c r="B18" s="139" t="s">
        <v>44</v>
      </c>
      <c r="C18" s="74" t="s">
        <v>9</v>
      </c>
      <c r="D18" s="13">
        <v>127</v>
      </c>
      <c r="E18" s="17"/>
      <c r="F18" s="75"/>
      <c r="G18" s="11">
        <f t="shared" si="0"/>
        <v>0</v>
      </c>
      <c r="H18" s="4">
        <f t="shared" si="1"/>
        <v>0</v>
      </c>
      <c r="I18" s="114"/>
      <c r="J18" s="21"/>
      <c r="K18" s="115" t="str">
        <f>IFERROR((VLOOKUP(J18,Dados!$A$4:$C$13,3,FALSE))*H18*I18/1000/D18,"")</f>
        <v/>
      </c>
      <c r="L18" s="123"/>
      <c r="M18" s="116" t="str">
        <f>IFERROR(IF(VLOOKUP(J18,Dados!A:B,2,FALSE)&gt;H18,"OK","NÃO"),"")</f>
        <v/>
      </c>
      <c r="N18" s="116" t="str">
        <f t="shared" si="2"/>
        <v/>
      </c>
      <c r="O18" s="84">
        <v>1</v>
      </c>
      <c r="P18" s="21"/>
      <c r="Q18" s="116" t="str">
        <f>IFERROR(IF(VLOOKUP(P18,Dados!E:E,1,FALSE)&gt;Residencial!H18*1.1,"OK","NÃO"),"")</f>
        <v/>
      </c>
      <c r="R18" s="20"/>
      <c r="S18" s="79">
        <f t="shared" si="3"/>
        <v>0</v>
      </c>
    </row>
    <row r="19" spans="1:19" ht="15" customHeight="1" x14ac:dyDescent="0.25">
      <c r="A19" s="78">
        <v>14</v>
      </c>
      <c r="B19" s="139"/>
      <c r="C19" s="13" t="s">
        <v>40</v>
      </c>
      <c r="D19" s="13">
        <v>127</v>
      </c>
      <c r="E19" s="17"/>
      <c r="F19" s="13"/>
      <c r="G19" s="117">
        <f t="shared" si="0"/>
        <v>0</v>
      </c>
      <c r="H19" s="118">
        <f t="shared" si="1"/>
        <v>0</v>
      </c>
      <c r="I19" s="119"/>
      <c r="J19" s="21"/>
      <c r="K19" s="115" t="str">
        <f>IFERROR((VLOOKUP(J19,Dados!$A$4:$C$13,3,FALSE))*H19*I19/1000/D19,"")</f>
        <v/>
      </c>
      <c r="L19" s="123"/>
      <c r="M19" s="116" t="str">
        <f>IFERROR(IF(VLOOKUP(J19,Dados!A:B,2,FALSE)&gt;H19,"OK","NÃO"),"")</f>
        <v/>
      </c>
      <c r="N19" s="116" t="str">
        <f t="shared" si="2"/>
        <v/>
      </c>
      <c r="O19" s="84">
        <v>1</v>
      </c>
      <c r="P19" s="21"/>
      <c r="Q19" s="116" t="str">
        <f>IFERROR(IF(VLOOKUP(P19,Dados!E:E,1,FALSE)&gt;Residencial!H19*1.1,"OK","NÃO"),"")</f>
        <v/>
      </c>
      <c r="R19" s="20"/>
      <c r="S19" s="79">
        <f t="shared" si="3"/>
        <v>0</v>
      </c>
    </row>
    <row r="20" spans="1:19" ht="15" customHeight="1" x14ac:dyDescent="0.25">
      <c r="A20" s="78">
        <v>15</v>
      </c>
      <c r="B20" s="139" t="s">
        <v>43</v>
      </c>
      <c r="C20" s="74" t="s">
        <v>9</v>
      </c>
      <c r="D20" s="13">
        <v>127</v>
      </c>
      <c r="E20" s="17"/>
      <c r="F20" s="75"/>
      <c r="G20" s="11">
        <f t="shared" si="0"/>
        <v>0</v>
      </c>
      <c r="H20" s="4">
        <f t="shared" si="1"/>
        <v>0</v>
      </c>
      <c r="I20" s="114"/>
      <c r="J20" s="21"/>
      <c r="K20" s="115" t="str">
        <f>IFERROR((VLOOKUP(J20,Dados!$A$4:$C$13,3,FALSE))*H20*I20/1000/D20,"")</f>
        <v/>
      </c>
      <c r="L20" s="123"/>
      <c r="M20" s="116" t="str">
        <f>IFERROR(IF(VLOOKUP(J20,Dados!A:B,2,FALSE)&gt;H20,"OK","NÃO"),"")</f>
        <v/>
      </c>
      <c r="N20" s="116" t="str">
        <f t="shared" si="2"/>
        <v/>
      </c>
      <c r="O20" s="84">
        <v>1</v>
      </c>
      <c r="P20" s="21"/>
      <c r="Q20" s="116" t="str">
        <f>IFERROR(IF(VLOOKUP(P20,Dados!E:E,1,FALSE)&gt;Residencial!H20*1.1,"OK","NÃO"),"")</f>
        <v/>
      </c>
      <c r="R20" s="20"/>
      <c r="S20" s="79">
        <f t="shared" si="3"/>
        <v>0</v>
      </c>
    </row>
    <row r="21" spans="1:19" ht="15" customHeight="1" x14ac:dyDescent="0.25">
      <c r="A21" s="78">
        <v>16</v>
      </c>
      <c r="B21" s="139"/>
      <c r="C21" s="74" t="s">
        <v>38</v>
      </c>
      <c r="D21" s="13">
        <v>127</v>
      </c>
      <c r="E21" s="17"/>
      <c r="F21" s="75"/>
      <c r="G21" s="11">
        <f t="shared" si="0"/>
        <v>0</v>
      </c>
      <c r="H21" s="4">
        <f t="shared" si="1"/>
        <v>0</v>
      </c>
      <c r="I21" s="114"/>
      <c r="J21" s="21"/>
      <c r="K21" s="115" t="str">
        <f>IFERROR((VLOOKUP(J21,Dados!$A$4:$C$13,3,FALSE))*H21*I21/1000/D21,"")</f>
        <v/>
      </c>
      <c r="L21" s="123"/>
      <c r="M21" s="116" t="str">
        <f>IFERROR(IF(VLOOKUP(J21,Dados!A:B,2,FALSE)&gt;H21,"OK","NÃO"),"")</f>
        <v/>
      </c>
      <c r="N21" s="116" t="str">
        <f t="shared" si="2"/>
        <v/>
      </c>
      <c r="O21" s="84">
        <v>1</v>
      </c>
      <c r="P21" s="21"/>
      <c r="Q21" s="116" t="str">
        <f>IFERROR(IF(VLOOKUP(P21,Dados!E:E,1,FALSE)&gt;Residencial!H21*1.1,"OK","NÃO"),"")</f>
        <v/>
      </c>
      <c r="R21" s="20"/>
      <c r="S21" s="79">
        <f t="shared" si="3"/>
        <v>0</v>
      </c>
    </row>
    <row r="22" spans="1:19" ht="15" customHeight="1" x14ac:dyDescent="0.25">
      <c r="A22" s="78">
        <v>17</v>
      </c>
      <c r="B22" s="139"/>
      <c r="C22" s="13" t="s">
        <v>10</v>
      </c>
      <c r="D22" s="13">
        <v>127</v>
      </c>
      <c r="E22" s="17"/>
      <c r="F22" s="75"/>
      <c r="G22" s="11">
        <f t="shared" si="0"/>
        <v>0</v>
      </c>
      <c r="H22" s="118">
        <f t="shared" si="1"/>
        <v>0</v>
      </c>
      <c r="I22" s="119"/>
      <c r="J22" s="21"/>
      <c r="K22" s="115" t="str">
        <f>IFERROR((VLOOKUP(J22,Dados!$A$4:$C$13,3,FALSE))*H22*I22/1000/D22,"")</f>
        <v/>
      </c>
      <c r="L22" s="123"/>
      <c r="M22" s="116" t="str">
        <f>IFERROR(IF(VLOOKUP(J22,Dados!A:B,2,FALSE)&gt;H22,"OK","NÃO"),"")</f>
        <v/>
      </c>
      <c r="N22" s="116" t="str">
        <f t="shared" si="2"/>
        <v/>
      </c>
      <c r="O22" s="84">
        <v>2</v>
      </c>
      <c r="P22" s="21"/>
      <c r="Q22" s="116" t="str">
        <f>IFERROR(IF(VLOOKUP(P22,Dados!E:E,1,FALSE)&gt;Residencial!H22*1.1,"OK","NÃO"),"")</f>
        <v/>
      </c>
      <c r="R22" s="20"/>
      <c r="S22" s="79">
        <f t="shared" si="3"/>
        <v>0</v>
      </c>
    </row>
    <row r="23" spans="1:19" ht="15" customHeight="1" x14ac:dyDescent="0.25">
      <c r="A23" s="78">
        <v>18</v>
      </c>
      <c r="B23" s="139" t="s">
        <v>42</v>
      </c>
      <c r="C23" s="74" t="s">
        <v>9</v>
      </c>
      <c r="D23" s="13">
        <v>127</v>
      </c>
      <c r="E23" s="17"/>
      <c r="F23" s="75"/>
      <c r="G23" s="11">
        <f t="shared" si="0"/>
        <v>0</v>
      </c>
      <c r="H23" s="4">
        <f t="shared" si="1"/>
        <v>0</v>
      </c>
      <c r="I23" s="114"/>
      <c r="J23" s="21"/>
      <c r="K23" s="115" t="str">
        <f>IFERROR((VLOOKUP(J23,Dados!$A$4:$C$13,3,FALSE))*H23*I23/1000/D23,"")</f>
        <v/>
      </c>
      <c r="L23" s="123"/>
      <c r="M23" s="116" t="str">
        <f>IFERROR(IF(VLOOKUP(J23,Dados!A:B,2,FALSE)&gt;H23,"OK","NÃO"),"")</f>
        <v/>
      </c>
      <c r="N23" s="116" t="str">
        <f t="shared" si="2"/>
        <v/>
      </c>
      <c r="O23" s="84">
        <v>1</v>
      </c>
      <c r="P23" s="21"/>
      <c r="Q23" s="116" t="str">
        <f>IFERROR(IF(VLOOKUP(P23,Dados!E:E,1,FALSE)&gt;Residencial!H23*1.1,"OK","NÃO"),"")</f>
        <v/>
      </c>
      <c r="R23" s="20"/>
      <c r="S23" s="79">
        <f t="shared" si="3"/>
        <v>0</v>
      </c>
    </row>
    <row r="24" spans="1:19" ht="15" customHeight="1" x14ac:dyDescent="0.25">
      <c r="A24" s="78">
        <v>19</v>
      </c>
      <c r="B24" s="139"/>
      <c r="C24" s="74" t="s">
        <v>38</v>
      </c>
      <c r="D24" s="13">
        <v>127</v>
      </c>
      <c r="E24" s="17"/>
      <c r="F24" s="75"/>
      <c r="G24" s="11">
        <f t="shared" si="0"/>
        <v>0</v>
      </c>
      <c r="H24" s="4">
        <f t="shared" si="1"/>
        <v>0</v>
      </c>
      <c r="I24" s="114"/>
      <c r="J24" s="21"/>
      <c r="K24" s="115" t="str">
        <f>IFERROR((VLOOKUP(J24,Dados!$A$4:$C$13,3,FALSE))*H24*I24/1000/D24,"")</f>
        <v/>
      </c>
      <c r="L24" s="123"/>
      <c r="M24" s="116" t="str">
        <f>IFERROR(IF(VLOOKUP(J24,Dados!A:B,2,FALSE)&gt;H24,"OK","NÃO"),"")</f>
        <v/>
      </c>
      <c r="N24" s="116" t="str">
        <f t="shared" si="2"/>
        <v/>
      </c>
      <c r="O24" s="84">
        <v>1</v>
      </c>
      <c r="P24" s="21"/>
      <c r="Q24" s="116" t="str">
        <f>IFERROR(IF(VLOOKUP(P24,Dados!E:E,1,FALSE)&gt;Residencial!H24*1.1,"OK","NÃO"),"")</f>
        <v/>
      </c>
      <c r="R24" s="20"/>
      <c r="S24" s="79">
        <f t="shared" si="3"/>
        <v>0</v>
      </c>
    </row>
    <row r="25" spans="1:19" ht="15" customHeight="1" x14ac:dyDescent="0.25">
      <c r="A25" s="78">
        <v>20</v>
      </c>
      <c r="B25" s="154" t="s">
        <v>41</v>
      </c>
      <c r="C25" s="74" t="s">
        <v>9</v>
      </c>
      <c r="D25" s="13">
        <v>127</v>
      </c>
      <c r="E25" s="17"/>
      <c r="F25" s="75"/>
      <c r="G25" s="11">
        <f t="shared" si="0"/>
        <v>0</v>
      </c>
      <c r="H25" s="4">
        <f t="shared" si="1"/>
        <v>0</v>
      </c>
      <c r="I25" s="114"/>
      <c r="J25" s="21"/>
      <c r="K25" s="115" t="str">
        <f>IFERROR((VLOOKUP(J25,Dados!$A$4:$C$13,3,FALSE))*H25*I25/1000/D25,"")</f>
        <v/>
      </c>
      <c r="L25" s="123"/>
      <c r="M25" s="116" t="str">
        <f>IFERROR(IF(VLOOKUP(J25,Dados!A:B,2,FALSE)&gt;H25,"OK","NÃO"),"")</f>
        <v/>
      </c>
      <c r="N25" s="116" t="str">
        <f t="shared" si="2"/>
        <v/>
      </c>
      <c r="O25" s="84">
        <v>1</v>
      </c>
      <c r="P25" s="21"/>
      <c r="Q25" s="116" t="str">
        <f>IFERROR(IF(VLOOKUP(P25,Dados!E:E,1,FALSE)&gt;Residencial!H25*1.1,"OK","NÃO"),"")</f>
        <v/>
      </c>
      <c r="R25" s="20"/>
      <c r="S25" s="79">
        <f t="shared" si="3"/>
        <v>0</v>
      </c>
    </row>
    <row r="26" spans="1:19" ht="15" customHeight="1" x14ac:dyDescent="0.25">
      <c r="A26" s="78">
        <v>21</v>
      </c>
      <c r="B26" s="154"/>
      <c r="C26" s="74" t="s">
        <v>40</v>
      </c>
      <c r="D26" s="13">
        <v>127</v>
      </c>
      <c r="E26" s="17"/>
      <c r="F26" s="75"/>
      <c r="G26" s="117">
        <f t="shared" si="0"/>
        <v>0</v>
      </c>
      <c r="H26" s="118">
        <f t="shared" si="1"/>
        <v>0</v>
      </c>
      <c r="I26" s="119"/>
      <c r="J26" s="21"/>
      <c r="K26" s="115" t="str">
        <f>IFERROR((VLOOKUP(J26,Dados!$A$4:$C$13,3,FALSE))*H26*I26/1000/D26,"")</f>
        <v/>
      </c>
      <c r="L26" s="123"/>
      <c r="M26" s="116" t="str">
        <f>IFERROR(IF(VLOOKUP(J26,Dados!A:B,2,FALSE)&gt;H26,"OK","NÃO"),"")</f>
        <v/>
      </c>
      <c r="N26" s="116" t="str">
        <f t="shared" si="2"/>
        <v/>
      </c>
      <c r="O26" s="84">
        <v>1</v>
      </c>
      <c r="P26" s="21"/>
      <c r="Q26" s="116" t="str">
        <f>IFERROR(IF(VLOOKUP(P26,Dados!E:E,1,FALSE)&gt;Residencial!H26*1.1,"OK","NÃO"),"")</f>
        <v/>
      </c>
      <c r="R26" s="20"/>
      <c r="S26" s="79">
        <f t="shared" si="3"/>
        <v>0</v>
      </c>
    </row>
    <row r="27" spans="1:19" ht="15" customHeight="1" x14ac:dyDescent="0.25">
      <c r="A27" s="78">
        <v>22</v>
      </c>
      <c r="B27" s="139" t="s">
        <v>39</v>
      </c>
      <c r="C27" s="74" t="s">
        <v>9</v>
      </c>
      <c r="D27" s="13">
        <v>127</v>
      </c>
      <c r="E27" s="17"/>
      <c r="F27" s="75"/>
      <c r="G27" s="11">
        <f t="shared" si="0"/>
        <v>0</v>
      </c>
      <c r="H27" s="4">
        <f t="shared" si="1"/>
        <v>0</v>
      </c>
      <c r="I27" s="114"/>
      <c r="J27" s="21"/>
      <c r="K27" s="115" t="str">
        <f>IFERROR((VLOOKUP(J27,Dados!$A$4:$C$13,3,FALSE))*H27*I27/1000/D27,"")</f>
        <v/>
      </c>
      <c r="L27" s="123"/>
      <c r="M27" s="116" t="str">
        <f>IFERROR(IF(VLOOKUP(J27,Dados!A:B,2,FALSE)&gt;H27,"OK","NÃO"),"")</f>
        <v/>
      </c>
      <c r="N27" s="116" t="str">
        <f t="shared" si="2"/>
        <v/>
      </c>
      <c r="O27" s="84">
        <v>1</v>
      </c>
      <c r="P27" s="21"/>
      <c r="Q27" s="116" t="str">
        <f>IFERROR(IF(VLOOKUP(P27,Dados!E:E,1,FALSE)&gt;Residencial!H27*1.1,"OK","NÃO"),"")</f>
        <v/>
      </c>
      <c r="R27" s="20"/>
      <c r="S27" s="79">
        <f t="shared" si="3"/>
        <v>0</v>
      </c>
    </row>
    <row r="28" spans="1:19" ht="15" customHeight="1" thickBot="1" x14ac:dyDescent="0.3">
      <c r="A28" s="85">
        <v>23</v>
      </c>
      <c r="B28" s="140"/>
      <c r="C28" s="86" t="s">
        <v>38</v>
      </c>
      <c r="D28" s="87">
        <v>127</v>
      </c>
      <c r="E28" s="88"/>
      <c r="F28" s="89"/>
      <c r="G28" s="90">
        <f t="shared" si="0"/>
        <v>0</v>
      </c>
      <c r="H28" s="91">
        <f>G28/D28</f>
        <v>0</v>
      </c>
      <c r="I28" s="92"/>
      <c r="J28" s="93"/>
      <c r="K28" s="120" t="str">
        <f>IFERROR((VLOOKUP(J28,Dados!$A$4:$C$13,3,FALSE))*H28*I28/1000/D28,"")</f>
        <v/>
      </c>
      <c r="L28" s="124"/>
      <c r="M28" s="120" t="str">
        <f>IFERROR(IF(VLOOKUP(J28,Dados!A:B,2,FALSE)&gt;H28,"OK","NÃO"),"")</f>
        <v/>
      </c>
      <c r="N28" s="120" t="str">
        <f t="shared" si="2"/>
        <v/>
      </c>
      <c r="O28" s="94">
        <v>1</v>
      </c>
      <c r="P28" s="93"/>
      <c r="Q28" s="120" t="str">
        <f>IFERROR(IF(VLOOKUP(P28,Dados!E:E,1,FALSE)&gt;Residencial!H28*1.1,"OK","NÃO"),"")</f>
        <v/>
      </c>
      <c r="R28" s="121"/>
      <c r="S28" s="122">
        <f t="shared" si="3"/>
        <v>0</v>
      </c>
    </row>
    <row r="29" spans="1:19" ht="18.75" customHeight="1" x14ac:dyDescent="0.25">
      <c r="P29" s="126"/>
    </row>
    <row r="30" spans="1:19" ht="18.75" customHeight="1" x14ac:dyDescent="0.25">
      <c r="C30" s="128" t="s">
        <v>124</v>
      </c>
      <c r="D30" s="167">
        <v>220</v>
      </c>
      <c r="E30" s="167"/>
      <c r="F30" s="129">
        <f>SUM(F6:F28)</f>
        <v>100</v>
      </c>
      <c r="G30" s="130">
        <f>SUM(S6:S28)</f>
        <v>5280</v>
      </c>
      <c r="H30" s="131">
        <f>G30/(1.73*D30)</f>
        <v>13.872832369942195</v>
      </c>
      <c r="I30" s="132">
        <v>50</v>
      </c>
      <c r="J30" s="129">
        <v>1.5</v>
      </c>
      <c r="K30" s="133">
        <f>IFERROR(VLOOKUP(J30,Dados!$A$4:$C$13,3,FALSE)*H30*I30/1000/D30,"")</f>
        <v>3.2065160273252749E-2</v>
      </c>
      <c r="L30" s="134">
        <v>0.05</v>
      </c>
      <c r="M30" s="135" t="str">
        <f>IF(K30="","",IF(K30&lt;L30,"OK","NÃO"))</f>
        <v>OK</v>
      </c>
      <c r="N30" s="135" t="str">
        <f>IFERROR(IF(VLOOKUP(J30,Dados!A:B,2,FALSE)&gt;H30,"OK","NÃO"),"")</f>
        <v>OK</v>
      </c>
      <c r="O30" s="136">
        <v>2</v>
      </c>
      <c r="P30" s="129">
        <v>16</v>
      </c>
      <c r="Q30" s="135" t="str">
        <f>IFERROR(IF(VLOOKUP(P30,Dados!E:E,1,FALSE)&gt;Residencial!H30*1.15,"OK","NÃO"),"")</f>
        <v>OK</v>
      </c>
    </row>
    <row r="31" spans="1:19" ht="15" customHeight="1" x14ac:dyDescent="0.25"/>
    <row r="32" spans="1:19" hidden="1" x14ac:dyDescent="0.25"/>
    <row r="33" hidden="1" x14ac:dyDescent="0.25"/>
    <row r="34" ht="18.75" hidden="1" customHeight="1" x14ac:dyDescent="0.25"/>
    <row r="35" ht="8.25" hidden="1" customHeight="1" x14ac:dyDescent="0.25"/>
    <row r="36" ht="36.75" hidden="1" customHeight="1" x14ac:dyDescent="0.25"/>
    <row r="37" ht="8.25" hidden="1" customHeight="1" x14ac:dyDescent="0.25"/>
    <row r="38" hidden="1" x14ac:dyDescent="0.25"/>
    <row r="39" hidden="1" x14ac:dyDescent="0.25"/>
  </sheetData>
  <sheetProtection selectLockedCells="1"/>
  <mergeCells count="33">
    <mergeCell ref="D30:E30"/>
    <mergeCell ref="A2:S2"/>
    <mergeCell ref="I3:S3"/>
    <mergeCell ref="R4:R5"/>
    <mergeCell ref="S4:S5"/>
    <mergeCell ref="B25:B26"/>
    <mergeCell ref="A3:C3"/>
    <mergeCell ref="M4:N4"/>
    <mergeCell ref="A4:A5"/>
    <mergeCell ref="B4:B5"/>
    <mergeCell ref="C4:C5"/>
    <mergeCell ref="E4:E5"/>
    <mergeCell ref="F4:F5"/>
    <mergeCell ref="G4:G5"/>
    <mergeCell ref="B6:B8"/>
    <mergeCell ref="B9:B11"/>
    <mergeCell ref="B12:B13"/>
    <mergeCell ref="B14:B15"/>
    <mergeCell ref="B16:B17"/>
    <mergeCell ref="B18:B19"/>
    <mergeCell ref="P4:P5"/>
    <mergeCell ref="Q4:Q5"/>
    <mergeCell ref="D4:D5"/>
    <mergeCell ref="H4:H5"/>
    <mergeCell ref="D3:H3"/>
    <mergeCell ref="I4:I5"/>
    <mergeCell ref="K4:K5"/>
    <mergeCell ref="L4:L5"/>
    <mergeCell ref="J4:J5"/>
    <mergeCell ref="O4:O5"/>
    <mergeCell ref="B27:B28"/>
    <mergeCell ref="B20:B22"/>
    <mergeCell ref="B23:B24"/>
  </mergeCells>
  <printOptions horizontalCentered="1" verticalCentered="1"/>
  <pageMargins left="0" right="0" top="0" bottom="0" header="0" footer="0"/>
  <pageSetup paperSize="9" scale="85" orientation="landscape" r:id="rId1"/>
  <ignoredErrors>
    <ignoredError sqref="K6 K8:K21 K23:K27 F30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Dados!$A$4:$A$13</xm:f>
          </x14:formula1>
          <xm:sqref>J6:J28 J30</xm:sqref>
        </x14:dataValidation>
        <x14:dataValidation type="list" allowBlank="1" showInputMessage="1" showErrorMessage="1" xr:uid="{00000000-0002-0000-0100-000001000000}">
          <x14:formula1>
            <xm:f>Dados!$E$4:$E$15</xm:f>
          </x14:formula1>
          <xm:sqref>P6:P28 P30</xm:sqref>
        </x14:dataValidation>
        <x14:dataValidation type="list" allowBlank="1" showInputMessage="1" showErrorMessage="1" xr:uid="{BA41D207-4D12-4D8A-AD81-EB71E27043B0}">
          <x14:formula1>
            <xm:f>Dados!$M$3:$M$7</xm:f>
          </x14:formula1>
          <xm:sqref>D6:D28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0"/>
  <sheetViews>
    <sheetView showGridLines="0" zoomScale="84" zoomScaleNormal="84" workbookViewId="0">
      <selection activeCell="A18" sqref="A18:XFD18"/>
    </sheetView>
  </sheetViews>
  <sheetFormatPr defaultColWidth="0" defaultRowHeight="15" zeroHeight="1" x14ac:dyDescent="0.25"/>
  <cols>
    <col min="1" max="1" width="10.7109375" style="1" customWidth="1"/>
    <col min="2" max="2" width="15.7109375" style="1" customWidth="1"/>
    <col min="3" max="3" width="25.7109375" style="1" customWidth="1"/>
    <col min="4" max="5" width="7.7109375" style="1" customWidth="1"/>
    <col min="6" max="6" width="12.7109375" style="1" customWidth="1"/>
    <col min="7" max="11" width="10.7109375" style="1" customWidth="1"/>
    <col min="12" max="12" width="12.7109375" style="1" customWidth="1"/>
    <col min="13" max="19" width="10.7109375" style="1" customWidth="1"/>
    <col min="20" max="20" width="0.140625" style="1" customWidth="1"/>
    <col min="21" max="21" width="9.140625" style="1" hidden="1" customWidth="1"/>
    <col min="22" max="16384" width="0" style="1" hidden="1"/>
  </cols>
  <sheetData>
    <row r="1" spans="1:19" ht="1.5" customHeight="1" thickBot="1" x14ac:dyDescent="0.3"/>
    <row r="2" spans="1:19" ht="20.100000000000001" customHeight="1" thickBot="1" x14ac:dyDescent="0.3">
      <c r="A2" s="176" t="s">
        <v>30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8"/>
    </row>
    <row r="3" spans="1:19" ht="19.5" customHeight="1" thickBot="1" x14ac:dyDescent="0.3">
      <c r="A3" s="168" t="s">
        <v>29</v>
      </c>
      <c r="B3" s="169"/>
      <c r="C3" s="170"/>
      <c r="D3" s="168" t="s">
        <v>1</v>
      </c>
      <c r="E3" s="169"/>
      <c r="F3" s="169"/>
      <c r="G3" s="169"/>
      <c r="H3" s="170"/>
      <c r="I3" s="168" t="s">
        <v>28</v>
      </c>
      <c r="J3" s="169"/>
      <c r="K3" s="169"/>
      <c r="L3" s="169"/>
      <c r="M3" s="169"/>
      <c r="N3" s="169"/>
      <c r="O3" s="169"/>
      <c r="P3" s="169"/>
      <c r="Q3" s="169"/>
      <c r="R3" s="169"/>
      <c r="S3" s="170"/>
    </row>
    <row r="4" spans="1:19" ht="30" customHeight="1" x14ac:dyDescent="0.25">
      <c r="A4" s="83" t="s">
        <v>4</v>
      </c>
      <c r="B4" s="179" t="s">
        <v>13</v>
      </c>
      <c r="C4" s="181" t="s">
        <v>6</v>
      </c>
      <c r="D4" s="183" t="s">
        <v>117</v>
      </c>
      <c r="E4" s="137" t="s">
        <v>11</v>
      </c>
      <c r="F4" s="137" t="s">
        <v>12</v>
      </c>
      <c r="G4" s="137" t="s">
        <v>2</v>
      </c>
      <c r="H4" s="165" t="s">
        <v>3</v>
      </c>
      <c r="I4" s="145" t="s">
        <v>60</v>
      </c>
      <c r="J4" s="137" t="s">
        <v>5</v>
      </c>
      <c r="K4" s="171" t="s">
        <v>62</v>
      </c>
      <c r="L4" s="171" t="s">
        <v>61</v>
      </c>
      <c r="M4" s="173" t="s">
        <v>114</v>
      </c>
      <c r="N4" s="174"/>
      <c r="O4" s="137" t="s">
        <v>7</v>
      </c>
      <c r="P4" s="137" t="s">
        <v>8</v>
      </c>
      <c r="Q4" s="137" t="s">
        <v>18</v>
      </c>
      <c r="R4" s="137" t="s">
        <v>26</v>
      </c>
      <c r="S4" s="165" t="s">
        <v>27</v>
      </c>
    </row>
    <row r="5" spans="1:19" ht="36.75" customHeight="1" thickBot="1" x14ac:dyDescent="0.3">
      <c r="A5" s="82"/>
      <c r="B5" s="180"/>
      <c r="C5" s="182"/>
      <c r="D5" s="184"/>
      <c r="E5" s="175"/>
      <c r="F5" s="175"/>
      <c r="G5" s="175"/>
      <c r="H5" s="166"/>
      <c r="I5" s="146"/>
      <c r="J5" s="175"/>
      <c r="K5" s="172"/>
      <c r="L5" s="172"/>
      <c r="M5" s="125" t="s">
        <v>113</v>
      </c>
      <c r="N5" s="125" t="s">
        <v>115</v>
      </c>
      <c r="O5" s="175"/>
      <c r="P5" s="175"/>
      <c r="Q5" s="175"/>
      <c r="R5" s="175"/>
      <c r="S5" s="166"/>
    </row>
    <row r="6" spans="1:19" x14ac:dyDescent="0.25">
      <c r="A6" s="80">
        <v>1</v>
      </c>
      <c r="B6" s="16"/>
      <c r="C6" s="16" t="s">
        <v>9</v>
      </c>
      <c r="D6" s="12">
        <v>127</v>
      </c>
      <c r="E6" s="14">
        <v>70</v>
      </c>
      <c r="F6" s="12">
        <v>100</v>
      </c>
      <c r="G6" s="18">
        <f>(F6*E6)</f>
        <v>7000</v>
      </c>
      <c r="H6" s="19">
        <f>(G6/D6)</f>
        <v>55.118110236220474</v>
      </c>
      <c r="I6" s="77">
        <v>20</v>
      </c>
      <c r="J6" s="14">
        <v>1.5</v>
      </c>
      <c r="K6" s="76">
        <f>IFERROR(VLOOKUP(J6,Dados!$A$4:$C$13,3,FALSE)*H6*I6/1000/D6,"")</f>
        <v>8.8275776551553095E-2</v>
      </c>
      <c r="L6" s="58">
        <v>1.2E-2</v>
      </c>
      <c r="M6" s="15" t="str">
        <f t="shared" ref="M6:M16" si="0">IF(K6="","",IF(K6&lt;L6,"OK","NÃO"))</f>
        <v>NÃO</v>
      </c>
      <c r="N6" s="15" t="str">
        <f>IFERROR(IF(VLOOKUP(J6,Dados!A:B,2,FALSE)&gt;H6,"OK","NÃO"),"")</f>
        <v>NÃO</v>
      </c>
      <c r="O6" s="9">
        <v>1</v>
      </c>
      <c r="P6" s="14">
        <v>16</v>
      </c>
      <c r="Q6" s="15" t="str">
        <f>IFERROR(IF(VLOOKUP(P6,Dados!E:E,1,FALSE)&gt;Comércial!H6*1.15,"OK","NÃO"),"")</f>
        <v>NÃO</v>
      </c>
      <c r="R6" s="18">
        <v>0.8</v>
      </c>
      <c r="S6" s="81">
        <f>R6*G6</f>
        <v>5600</v>
      </c>
    </row>
    <row r="7" spans="1:19" x14ac:dyDescent="0.25">
      <c r="A7" s="78">
        <v>2</v>
      </c>
      <c r="B7" s="17"/>
      <c r="C7" s="17" t="s">
        <v>9</v>
      </c>
      <c r="D7" s="13">
        <v>127</v>
      </c>
      <c r="E7" s="21"/>
      <c r="F7" s="13"/>
      <c r="G7" s="18">
        <f t="shared" ref="G7:G16" si="1">(F7*E7)</f>
        <v>0</v>
      </c>
      <c r="H7" s="19">
        <f t="shared" ref="H7:H16" si="2">(G7/D7)</f>
        <v>0</v>
      </c>
      <c r="I7" s="77">
        <v>20</v>
      </c>
      <c r="J7" s="21">
        <v>2.5</v>
      </c>
      <c r="K7" s="76">
        <f>IFERROR(VLOOKUP(J7,Dados!$A$4:$C$13,3,FALSE)*H7*I7/1000/D7,"")</f>
        <v>0</v>
      </c>
      <c r="L7" s="58">
        <v>0.01</v>
      </c>
      <c r="M7" s="15" t="str">
        <f t="shared" si="0"/>
        <v>OK</v>
      </c>
      <c r="N7" s="15" t="str">
        <f>IFERROR(IF(VLOOKUP(J7,Dados!A:B,2,FALSE)&gt;H7,"OK","NÃO"),"")</f>
        <v>OK</v>
      </c>
      <c r="O7" s="10">
        <v>1</v>
      </c>
      <c r="P7" s="14">
        <v>16</v>
      </c>
      <c r="Q7" s="15" t="str">
        <f>IFERROR(IF(VLOOKUP(P7,Dados!E:E,1,FALSE)&gt;Comércial!H7*1.15,"OK","NÃO"),"")</f>
        <v>OK</v>
      </c>
      <c r="R7" s="20">
        <v>1</v>
      </c>
      <c r="S7" s="79">
        <f>R7*G7</f>
        <v>0</v>
      </c>
    </row>
    <row r="8" spans="1:19" x14ac:dyDescent="0.25">
      <c r="A8" s="80">
        <v>3</v>
      </c>
      <c r="B8" s="16"/>
      <c r="C8" s="16" t="s">
        <v>9</v>
      </c>
      <c r="D8" s="12">
        <v>127</v>
      </c>
      <c r="E8" s="21"/>
      <c r="F8" s="12"/>
      <c r="G8" s="18">
        <f t="shared" si="1"/>
        <v>0</v>
      </c>
      <c r="H8" s="19">
        <f t="shared" si="2"/>
        <v>0</v>
      </c>
      <c r="I8" s="77">
        <v>20</v>
      </c>
      <c r="J8" s="21">
        <v>2.5</v>
      </c>
      <c r="K8" s="76">
        <f>IFERROR(VLOOKUP(J8,Dados!$A$4:$C$13,3,FALSE)*H8*I8/1000/D8,"")</f>
        <v>0</v>
      </c>
      <c r="L8" s="58">
        <v>0.05</v>
      </c>
      <c r="M8" s="15" t="str">
        <f t="shared" si="0"/>
        <v>OK</v>
      </c>
      <c r="N8" s="15" t="str">
        <f>IFERROR(IF(VLOOKUP(J8,Dados!A:B,2,FALSE)&gt;H8,"OK","NÃO"),"")</f>
        <v>OK</v>
      </c>
      <c r="O8" s="9">
        <v>1</v>
      </c>
      <c r="P8" s="14">
        <v>16</v>
      </c>
      <c r="Q8" s="15" t="str">
        <f>IFERROR(IF(VLOOKUP(P8,Dados!E:E,1,FALSE)&gt;Comércial!H8*1.15,"OK","NÃO"),"")</f>
        <v>OK</v>
      </c>
      <c r="R8" s="18">
        <v>1</v>
      </c>
      <c r="S8" s="81">
        <f t="shared" ref="S8:S16" si="3">R8*G8</f>
        <v>0</v>
      </c>
    </row>
    <row r="9" spans="1:19" x14ac:dyDescent="0.25">
      <c r="A9" s="78">
        <v>4</v>
      </c>
      <c r="B9" s="17"/>
      <c r="C9" s="17" t="s">
        <v>19</v>
      </c>
      <c r="D9" s="13">
        <v>220</v>
      </c>
      <c r="E9" s="21"/>
      <c r="F9" s="13"/>
      <c r="G9" s="18">
        <f t="shared" si="1"/>
        <v>0</v>
      </c>
      <c r="H9" s="19">
        <f t="shared" si="2"/>
        <v>0</v>
      </c>
      <c r="I9" s="77">
        <v>10</v>
      </c>
      <c r="J9" s="21">
        <v>2.5</v>
      </c>
      <c r="K9" s="76">
        <f>IFERROR(VLOOKUP(J9,Dados!$A$4:$C$13,3,FALSE)*H9*I9/1000/D9,"")</f>
        <v>0</v>
      </c>
      <c r="L9" s="58">
        <v>0.05</v>
      </c>
      <c r="M9" s="15" t="str">
        <f t="shared" si="0"/>
        <v>OK</v>
      </c>
      <c r="N9" s="15" t="str">
        <f>IFERROR(IF(VLOOKUP(J9,Dados!A:B,2,FALSE)&gt;H9,"OK","NÃO"),"")</f>
        <v>OK</v>
      </c>
      <c r="O9" s="10">
        <v>1</v>
      </c>
      <c r="P9" s="14">
        <v>16</v>
      </c>
      <c r="Q9" s="15" t="str">
        <f>IFERROR(IF(VLOOKUP(P9,Dados!E:E,1,FALSE)&gt;Comércial!H9*1.15,"OK","NÃO"),"")</f>
        <v>OK</v>
      </c>
      <c r="R9" s="20">
        <v>0.6</v>
      </c>
      <c r="S9" s="79">
        <f t="shared" si="3"/>
        <v>0</v>
      </c>
    </row>
    <row r="10" spans="1:19" x14ac:dyDescent="0.25">
      <c r="A10" s="80">
        <v>5</v>
      </c>
      <c r="B10" s="16"/>
      <c r="C10" s="16" t="s">
        <v>20</v>
      </c>
      <c r="D10" s="12">
        <v>220</v>
      </c>
      <c r="E10" s="21"/>
      <c r="F10" s="12"/>
      <c r="G10" s="18">
        <f t="shared" si="1"/>
        <v>0</v>
      </c>
      <c r="H10" s="19">
        <f t="shared" si="2"/>
        <v>0</v>
      </c>
      <c r="I10" s="77">
        <v>20</v>
      </c>
      <c r="J10" s="21">
        <v>2.5</v>
      </c>
      <c r="K10" s="76">
        <f>IFERROR(VLOOKUP(J10,Dados!$A$4:$C$13,3,FALSE)*H10*I10/1000/D10,"")</f>
        <v>0</v>
      </c>
      <c r="L10" s="58">
        <v>0.05</v>
      </c>
      <c r="M10" s="15" t="str">
        <f t="shared" si="0"/>
        <v>OK</v>
      </c>
      <c r="N10" s="15" t="str">
        <f>IFERROR(IF(VLOOKUP(J10,Dados!A:B,2,FALSE)&gt;H10,"OK","NÃO"),"")</f>
        <v>OK</v>
      </c>
      <c r="O10" s="9">
        <v>2</v>
      </c>
      <c r="P10" s="14">
        <v>16</v>
      </c>
      <c r="Q10" s="15" t="str">
        <f>IFERROR(IF(VLOOKUP(P10,Dados!E:E,1,FALSE)&gt;Comércial!H10*1.15,"OK","NÃO"),"")</f>
        <v>OK</v>
      </c>
      <c r="R10" s="18">
        <v>0.6</v>
      </c>
      <c r="S10" s="81">
        <f t="shared" si="3"/>
        <v>0</v>
      </c>
    </row>
    <row r="11" spans="1:19" x14ac:dyDescent="0.25">
      <c r="A11" s="78">
        <v>6</v>
      </c>
      <c r="B11" s="17"/>
      <c r="C11" s="17" t="s">
        <v>21</v>
      </c>
      <c r="D11" s="13">
        <v>127</v>
      </c>
      <c r="E11" s="21"/>
      <c r="F11" s="13"/>
      <c r="G11" s="18">
        <f t="shared" si="1"/>
        <v>0</v>
      </c>
      <c r="H11" s="19">
        <f t="shared" si="2"/>
        <v>0</v>
      </c>
      <c r="I11" s="77">
        <v>20</v>
      </c>
      <c r="J11" s="21">
        <v>2.5</v>
      </c>
      <c r="K11" s="76">
        <f>IFERROR(VLOOKUP(J11,Dados!$A$4:$C$13,3,FALSE)*H11*I11/1000/D11,"")</f>
        <v>0</v>
      </c>
      <c r="L11" s="58">
        <v>0.05</v>
      </c>
      <c r="M11" s="15" t="str">
        <f t="shared" si="0"/>
        <v>OK</v>
      </c>
      <c r="N11" s="15" t="str">
        <f>IFERROR(IF(VLOOKUP(J11,Dados!A:B,2,FALSE)&gt;H11,"OK","NÃO"),"")</f>
        <v>OK</v>
      </c>
      <c r="O11" s="10">
        <v>1</v>
      </c>
      <c r="P11" s="14">
        <v>16</v>
      </c>
      <c r="Q11" s="15" t="str">
        <f>IFERROR(IF(VLOOKUP(P11,Dados!E:E,1,FALSE)&gt;Comércial!H11*1.15,"OK","NÃO"),"")</f>
        <v>OK</v>
      </c>
      <c r="R11" s="20">
        <v>0.6</v>
      </c>
      <c r="S11" s="79">
        <f t="shared" si="3"/>
        <v>0</v>
      </c>
    </row>
    <row r="12" spans="1:19" x14ac:dyDescent="0.25">
      <c r="A12" s="80">
        <v>7</v>
      </c>
      <c r="B12" s="16"/>
      <c r="C12" s="16" t="s">
        <v>22</v>
      </c>
      <c r="D12" s="12">
        <v>127</v>
      </c>
      <c r="E12" s="21"/>
      <c r="F12" s="12"/>
      <c r="G12" s="18">
        <f t="shared" si="1"/>
        <v>0</v>
      </c>
      <c r="H12" s="19">
        <f>(G12/D12)</f>
        <v>0</v>
      </c>
      <c r="I12" s="77">
        <v>20</v>
      </c>
      <c r="J12" s="21">
        <v>2.5</v>
      </c>
      <c r="K12" s="76">
        <f>IFERROR(VLOOKUP(J12,Dados!$A$4:$C$13,3,FALSE)*H12*I12/1000/D12,"")</f>
        <v>0</v>
      </c>
      <c r="L12" s="58">
        <v>0.05</v>
      </c>
      <c r="M12" s="15" t="str">
        <f t="shared" si="0"/>
        <v>OK</v>
      </c>
      <c r="N12" s="15" t="str">
        <f>IFERROR(IF(VLOOKUP(J12,Dados!A:B,2,FALSE)&gt;H12,"OK","NÃO"),"")</f>
        <v>OK</v>
      </c>
      <c r="O12" s="9">
        <v>1</v>
      </c>
      <c r="P12" s="14">
        <v>16</v>
      </c>
      <c r="Q12" s="15" t="str">
        <f>IFERROR(IF(VLOOKUP(P12,Dados!E:E,1,FALSE)&gt;Comércial!H12*1.15,"OK","NÃO"),"")</f>
        <v>OK</v>
      </c>
      <c r="R12" s="18">
        <v>0.8</v>
      </c>
      <c r="S12" s="81">
        <f t="shared" si="3"/>
        <v>0</v>
      </c>
    </row>
    <row r="13" spans="1:19" x14ac:dyDescent="0.25">
      <c r="A13" s="78">
        <v>8</v>
      </c>
      <c r="B13" s="17"/>
      <c r="C13" s="17" t="s">
        <v>10</v>
      </c>
      <c r="D13" s="13">
        <v>220</v>
      </c>
      <c r="E13" s="21"/>
      <c r="F13" s="13"/>
      <c r="G13" s="18">
        <f t="shared" si="1"/>
        <v>0</v>
      </c>
      <c r="H13" s="19">
        <f t="shared" si="2"/>
        <v>0</v>
      </c>
      <c r="I13" s="77">
        <v>20</v>
      </c>
      <c r="J13" s="21">
        <v>2.5</v>
      </c>
      <c r="K13" s="76">
        <f>IFERROR(VLOOKUP(J13,Dados!$A$4:$C$13,3,FALSE)*H13*I13/1000/D13,"")</f>
        <v>0</v>
      </c>
      <c r="L13" s="58">
        <v>0.05</v>
      </c>
      <c r="M13" s="15" t="str">
        <f t="shared" si="0"/>
        <v>OK</v>
      </c>
      <c r="N13" s="15" t="str">
        <f>IFERROR(IF(VLOOKUP(J13,Dados!A:B,2,FALSE)&gt;H13,"OK","NÃO"),"")</f>
        <v>OK</v>
      </c>
      <c r="O13" s="10">
        <v>1</v>
      </c>
      <c r="P13" s="14">
        <v>25</v>
      </c>
      <c r="Q13" s="15" t="str">
        <f>IFERROR(IF(VLOOKUP(P13,Dados!E:E,1,FALSE)&gt;Comércial!H13*1.15,"OK","NÃO"),"")</f>
        <v>OK</v>
      </c>
      <c r="R13" s="20">
        <v>0.3</v>
      </c>
      <c r="S13" s="79">
        <f t="shared" si="3"/>
        <v>0</v>
      </c>
    </row>
    <row r="14" spans="1:19" x14ac:dyDescent="0.25">
      <c r="A14" s="80">
        <v>8</v>
      </c>
      <c r="B14" s="16"/>
      <c r="C14" s="16" t="s">
        <v>25</v>
      </c>
      <c r="D14" s="12">
        <v>220</v>
      </c>
      <c r="E14" s="21"/>
      <c r="F14" s="12"/>
      <c r="G14" s="18">
        <f t="shared" si="1"/>
        <v>0</v>
      </c>
      <c r="H14" s="19">
        <f t="shared" si="2"/>
        <v>0</v>
      </c>
      <c r="I14" s="77">
        <v>20</v>
      </c>
      <c r="J14" s="21">
        <v>4</v>
      </c>
      <c r="K14" s="76">
        <f>IFERROR(VLOOKUP(J14,Dados!$A$4:$C$13,3,FALSE)*H14*I14/1000/D14,"")</f>
        <v>0</v>
      </c>
      <c r="L14" s="58">
        <v>0.05</v>
      </c>
      <c r="M14" s="15" t="str">
        <f t="shared" si="0"/>
        <v>OK</v>
      </c>
      <c r="N14" s="15" t="str">
        <f>IFERROR(IF(VLOOKUP(J14,Dados!A:B,2,FALSE)&gt;H14,"OK","NÃO"),"")</f>
        <v>OK</v>
      </c>
      <c r="O14" s="9">
        <v>2</v>
      </c>
      <c r="P14" s="14">
        <v>40</v>
      </c>
      <c r="Q14" s="15" t="str">
        <f>IFERROR(IF(VLOOKUP(P14,Dados!E:E,1,FALSE)&gt;Comércial!H14*1.15,"OK","NÃO"),"")</f>
        <v>OK</v>
      </c>
      <c r="R14" s="18">
        <v>0.3</v>
      </c>
      <c r="S14" s="81">
        <f t="shared" si="3"/>
        <v>0</v>
      </c>
    </row>
    <row r="15" spans="1:19" x14ac:dyDescent="0.25">
      <c r="A15" s="78">
        <v>9</v>
      </c>
      <c r="B15" s="17"/>
      <c r="C15" s="17" t="s">
        <v>23</v>
      </c>
      <c r="D15" s="13">
        <v>220</v>
      </c>
      <c r="E15" s="21"/>
      <c r="F15" s="13"/>
      <c r="G15" s="18">
        <f t="shared" si="1"/>
        <v>0</v>
      </c>
      <c r="H15" s="19">
        <f t="shared" si="2"/>
        <v>0</v>
      </c>
      <c r="I15" s="77">
        <v>20</v>
      </c>
      <c r="J15" s="21">
        <v>6</v>
      </c>
      <c r="K15" s="76">
        <f>IFERROR(VLOOKUP(J15,Dados!$A$4:$C$13,3,FALSE)*H15*I15/1000/D15,"")</f>
        <v>0</v>
      </c>
      <c r="L15" s="58">
        <v>0.05</v>
      </c>
      <c r="M15" s="15" t="str">
        <f t="shared" si="0"/>
        <v>OK</v>
      </c>
      <c r="N15" s="15" t="str">
        <f>IFERROR(IF(VLOOKUP(J15,Dados!A:B,2,FALSE)&gt;H15,"OK","NÃO"),"")</f>
        <v>OK</v>
      </c>
      <c r="O15" s="10">
        <v>2</v>
      </c>
      <c r="P15" s="21">
        <v>50</v>
      </c>
      <c r="Q15" s="15" t="str">
        <f>IFERROR(IF(VLOOKUP(P15,Dados!E:E,1,FALSE)&gt;Comércial!H15*1.15,"OK","NÃO"),"")</f>
        <v>OK</v>
      </c>
      <c r="R15" s="20">
        <v>0.5</v>
      </c>
      <c r="S15" s="79">
        <f t="shared" si="3"/>
        <v>0</v>
      </c>
    </row>
    <row r="16" spans="1:19" x14ac:dyDescent="0.25">
      <c r="A16" s="80">
        <v>10</v>
      </c>
      <c r="B16" s="16"/>
      <c r="C16" s="16" t="s">
        <v>24</v>
      </c>
      <c r="D16" s="12">
        <v>220</v>
      </c>
      <c r="E16" s="21"/>
      <c r="F16" s="12"/>
      <c r="G16" s="18">
        <f t="shared" si="1"/>
        <v>0</v>
      </c>
      <c r="H16" s="19">
        <f t="shared" si="2"/>
        <v>0</v>
      </c>
      <c r="I16" s="77">
        <v>20</v>
      </c>
      <c r="J16" s="21">
        <v>6</v>
      </c>
      <c r="K16" s="76">
        <f>IFERROR(VLOOKUP(J16,Dados!$A$4:$C$13,3,FALSE)*H16*I16/1000/D16,"")</f>
        <v>0</v>
      </c>
      <c r="L16" s="58">
        <v>0.05</v>
      </c>
      <c r="M16" s="15" t="str">
        <f t="shared" si="0"/>
        <v>OK</v>
      </c>
      <c r="N16" s="15" t="str">
        <f>IFERROR(IF(VLOOKUP(J16,Dados!A:B,2,FALSE)&gt;H16,"OK","NÃO"),"")</f>
        <v>OK</v>
      </c>
      <c r="O16" s="9">
        <v>2</v>
      </c>
      <c r="P16" s="14">
        <v>50</v>
      </c>
      <c r="Q16" s="15" t="str">
        <f>IFERROR(IF(VLOOKUP(P16,Dados!E:E,1,FALSE)&gt;Comércial!H16*1.15,"OK","NÃO"),"")</f>
        <v>OK</v>
      </c>
      <c r="R16" s="18">
        <v>0.5</v>
      </c>
      <c r="S16" s="81">
        <f t="shared" si="3"/>
        <v>0</v>
      </c>
    </row>
    <row r="17" spans="1:19" ht="20.100000000000001" customHeight="1" x14ac:dyDescent="0.25"/>
    <row r="18" spans="1:19" ht="20.100000000000001" customHeight="1" x14ac:dyDescent="0.25">
      <c r="A18" s="95"/>
      <c r="B18" s="96"/>
      <c r="C18" s="128" t="s">
        <v>124</v>
      </c>
      <c r="D18" s="167">
        <v>220</v>
      </c>
      <c r="E18" s="167"/>
      <c r="F18" s="129">
        <f>SUM(F6:F16)</f>
        <v>100</v>
      </c>
      <c r="G18" s="130">
        <f>SUM(S6:S16)</f>
        <v>5600</v>
      </c>
      <c r="H18" s="131">
        <f>G18/(1.73*D18)</f>
        <v>14.713610089332631</v>
      </c>
      <c r="I18" s="132">
        <v>50</v>
      </c>
      <c r="J18" s="129">
        <v>1.5</v>
      </c>
      <c r="K18" s="133">
        <f>IFERROR(VLOOKUP(J18,Dados!$A$4:$C$13,3,FALSE)*H18*I18/1000/D18,"")</f>
        <v>3.4008503320116561E-2</v>
      </c>
      <c r="L18" s="134">
        <v>0.05</v>
      </c>
      <c r="M18" s="135" t="str">
        <f>IF(K18="","",IF(K18&lt;L18,"OK","NÃO"))</f>
        <v>OK</v>
      </c>
      <c r="N18" s="135" t="str">
        <f>IFERROR(IF(VLOOKUP(J18,Dados!A:B,2,FALSE)&gt;H18,"OK","NÃO"),"")</f>
        <v>OK</v>
      </c>
      <c r="O18" s="136">
        <v>2</v>
      </c>
      <c r="P18" s="129">
        <v>16</v>
      </c>
      <c r="Q18" s="135" t="str">
        <f>IFERROR(IF(VLOOKUP(P18,Dados!E:E,1,FALSE)&gt;Comércial!H18*1.15,"OK","NÃO"),"")</f>
        <v>NÃO</v>
      </c>
      <c r="R18" s="97"/>
      <c r="S18" s="97"/>
    </row>
    <row r="19" spans="1:19" x14ac:dyDescent="0.25"/>
    <row r="20" spans="1:19" hidden="1" x14ac:dyDescent="0.25"/>
    <row r="21" spans="1:19" hidden="1" x14ac:dyDescent="0.25">
      <c r="L21" s="98" t="s">
        <v>118</v>
      </c>
    </row>
    <row r="22" spans="1:19" hidden="1" x14ac:dyDescent="0.25"/>
    <row r="23" spans="1:19" hidden="1" x14ac:dyDescent="0.25"/>
    <row r="24" spans="1:19" hidden="1" x14ac:dyDescent="0.25"/>
    <row r="25" spans="1:19" hidden="1" x14ac:dyDescent="0.25"/>
    <row r="26" spans="1:19" hidden="1" x14ac:dyDescent="0.25"/>
    <row r="27" spans="1:19" hidden="1" x14ac:dyDescent="0.25"/>
    <row r="28" spans="1:19" hidden="1" x14ac:dyDescent="0.25"/>
    <row r="29" spans="1:19" hidden="1" x14ac:dyDescent="0.25"/>
    <row r="30" spans="1:19" hidden="1" x14ac:dyDescent="0.25"/>
    <row r="31" spans="1:19" hidden="1" x14ac:dyDescent="0.25"/>
    <row r="32" spans="1:19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</sheetData>
  <sheetProtection selectLockedCells="1"/>
  <mergeCells count="22">
    <mergeCell ref="I3:S3"/>
    <mergeCell ref="L4:L5"/>
    <mergeCell ref="M4:N4"/>
    <mergeCell ref="O4:O5"/>
    <mergeCell ref="A2:S2"/>
    <mergeCell ref="A3:C3"/>
    <mergeCell ref="D3:H3"/>
    <mergeCell ref="G4:G5"/>
    <mergeCell ref="H4:H5"/>
    <mergeCell ref="I4:I5"/>
    <mergeCell ref="J4:J5"/>
    <mergeCell ref="K4:K5"/>
    <mergeCell ref="B4:B5"/>
    <mergeCell ref="C4:C5"/>
    <mergeCell ref="D4:D5"/>
    <mergeCell ref="E4:E5"/>
    <mergeCell ref="S4:S5"/>
    <mergeCell ref="D18:E18"/>
    <mergeCell ref="F4:F5"/>
    <mergeCell ref="P4:P5"/>
    <mergeCell ref="Q4:Q5"/>
    <mergeCell ref="R4:R5"/>
  </mergeCells>
  <printOptions horizontalCentered="1" verticalCentered="1"/>
  <pageMargins left="0" right="0" top="0" bottom="0" header="0" footer="0"/>
  <pageSetup paperSize="9" scale="75" orientation="landscape" r:id="rId1"/>
  <ignoredErrors>
    <ignoredError sqref="K6:K11 K13:K16 F18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Dados!$A$4:$A$13</xm:f>
          </x14:formula1>
          <xm:sqref>J6:J16 J18</xm:sqref>
        </x14:dataValidation>
        <x14:dataValidation type="list" allowBlank="1" showInputMessage="1" showErrorMessage="1" xr:uid="{00000000-0002-0000-0200-000001000000}">
          <x14:formula1>
            <xm:f>Dados!$E$4:$E$15</xm:f>
          </x14:formula1>
          <xm:sqref>P6:P16 P18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4"/>
  <sheetViews>
    <sheetView showGridLines="0" zoomScale="95" zoomScaleNormal="95" workbookViewId="0">
      <selection activeCell="K25" sqref="K25"/>
    </sheetView>
  </sheetViews>
  <sheetFormatPr defaultColWidth="18.28515625" defaultRowHeight="15" x14ac:dyDescent="0.25"/>
  <cols>
    <col min="1" max="1" width="21.28515625" customWidth="1"/>
    <col min="2" max="2" width="17.42578125" bestFit="1" customWidth="1"/>
    <col min="4" max="4" width="6.140625" customWidth="1"/>
    <col min="5" max="5" width="14.42578125" bestFit="1" customWidth="1"/>
    <col min="6" max="6" width="1.42578125" bestFit="1" customWidth="1"/>
    <col min="7" max="7" width="12.28515625" bestFit="1" customWidth="1"/>
    <col min="8" max="8" width="10.42578125" bestFit="1" customWidth="1"/>
    <col min="9" max="9" width="10.85546875" bestFit="1" customWidth="1"/>
    <col min="10" max="10" width="5.5703125" customWidth="1"/>
    <col min="11" max="11" width="19.7109375" bestFit="1" customWidth="1"/>
    <col min="12" max="12" width="3.85546875" customWidth="1"/>
  </cols>
  <sheetData>
    <row r="1" spans="1:13" ht="30.75" thickBot="1" x14ac:dyDescent="0.3">
      <c r="A1" s="185" t="s">
        <v>57</v>
      </c>
      <c r="B1" s="186"/>
      <c r="C1" s="55" t="s">
        <v>59</v>
      </c>
      <c r="E1" s="8" t="s">
        <v>16</v>
      </c>
      <c r="G1" s="187" t="s">
        <v>31</v>
      </c>
      <c r="H1" s="188"/>
      <c r="I1" s="189"/>
      <c r="K1" s="212" t="s">
        <v>122</v>
      </c>
      <c r="M1" s="212" t="s">
        <v>123</v>
      </c>
    </row>
    <row r="2" spans="1:13" ht="45.75" thickBot="1" x14ac:dyDescent="0.3">
      <c r="A2" s="52" t="s">
        <v>15</v>
      </c>
      <c r="B2" s="53" t="s">
        <v>14</v>
      </c>
      <c r="C2" s="54" t="s">
        <v>58</v>
      </c>
      <c r="D2" s="7"/>
      <c r="E2" s="25" t="s">
        <v>17</v>
      </c>
      <c r="F2" s="7"/>
      <c r="G2" s="26" t="s">
        <v>32</v>
      </c>
      <c r="H2" s="27" t="s">
        <v>33</v>
      </c>
      <c r="I2" s="28" t="s">
        <v>34</v>
      </c>
      <c r="K2" s="213"/>
      <c r="M2" s="213"/>
    </row>
    <row r="3" spans="1:13" x14ac:dyDescent="0.25">
      <c r="A3" s="47">
        <v>1</v>
      </c>
      <c r="B3" s="48">
        <v>14</v>
      </c>
      <c r="C3" s="49">
        <v>16.95</v>
      </c>
      <c r="D3" s="29"/>
      <c r="E3" s="33">
        <v>10</v>
      </c>
      <c r="F3" s="7"/>
      <c r="G3" s="30" t="s">
        <v>35</v>
      </c>
      <c r="H3" s="31" t="s">
        <v>36</v>
      </c>
      <c r="I3" s="32" t="s">
        <v>36</v>
      </c>
      <c r="K3" s="127" t="s">
        <v>9</v>
      </c>
      <c r="M3" s="127">
        <v>127</v>
      </c>
    </row>
    <row r="4" spans="1:13" x14ac:dyDescent="0.25">
      <c r="A4" s="47">
        <v>1.5</v>
      </c>
      <c r="B4" s="48">
        <v>17.5</v>
      </c>
      <c r="C4" s="49">
        <v>10.17</v>
      </c>
      <c r="D4" s="29"/>
      <c r="E4" s="33">
        <v>16</v>
      </c>
      <c r="F4" s="7"/>
      <c r="G4" s="34">
        <v>7000</v>
      </c>
      <c r="H4" s="35">
        <f t="shared" ref="H4:H12" si="0">($G4)*(0.293)</f>
        <v>2051</v>
      </c>
      <c r="I4" s="36" t="s">
        <v>37</v>
      </c>
      <c r="K4" s="33" t="s">
        <v>38</v>
      </c>
      <c r="M4" s="33">
        <v>220</v>
      </c>
    </row>
    <row r="5" spans="1:13" x14ac:dyDescent="0.25">
      <c r="A5" s="47">
        <v>2.5</v>
      </c>
      <c r="B5" s="48">
        <v>24</v>
      </c>
      <c r="C5" s="56">
        <v>6.31</v>
      </c>
      <c r="D5" s="29"/>
      <c r="E5" s="33">
        <v>20</v>
      </c>
      <c r="F5" s="7"/>
      <c r="G5" s="37">
        <v>7500</v>
      </c>
      <c r="H5" s="38">
        <f t="shared" si="0"/>
        <v>2197.5</v>
      </c>
      <c r="I5" s="39" t="s">
        <v>37</v>
      </c>
      <c r="K5" s="33" t="s">
        <v>40</v>
      </c>
      <c r="M5" s="33">
        <v>380</v>
      </c>
    </row>
    <row r="6" spans="1:13" x14ac:dyDescent="0.25">
      <c r="A6" s="47">
        <v>4</v>
      </c>
      <c r="B6" s="48">
        <v>32</v>
      </c>
      <c r="C6" s="56">
        <v>4.21</v>
      </c>
      <c r="D6" s="29"/>
      <c r="E6" s="33">
        <v>25</v>
      </c>
      <c r="F6" s="7"/>
      <c r="G6" s="37">
        <v>9000</v>
      </c>
      <c r="H6" s="38">
        <f t="shared" si="0"/>
        <v>2637</v>
      </c>
      <c r="I6" s="39" t="s">
        <v>37</v>
      </c>
      <c r="K6" s="33" t="s">
        <v>10</v>
      </c>
      <c r="M6" s="33">
        <v>440</v>
      </c>
    </row>
    <row r="7" spans="1:13" x14ac:dyDescent="0.25">
      <c r="A7" s="47">
        <v>6</v>
      </c>
      <c r="B7" s="48">
        <v>41</v>
      </c>
      <c r="C7" s="56">
        <v>2.4300000000000002</v>
      </c>
      <c r="D7" s="29"/>
      <c r="E7" s="33">
        <v>32</v>
      </c>
      <c r="F7" s="7"/>
      <c r="G7" s="37">
        <v>10000</v>
      </c>
      <c r="H7" s="38">
        <f t="shared" si="0"/>
        <v>2930</v>
      </c>
      <c r="I7" s="39" t="s">
        <v>37</v>
      </c>
      <c r="K7" s="33" t="s">
        <v>48</v>
      </c>
      <c r="M7" s="33">
        <v>760</v>
      </c>
    </row>
    <row r="8" spans="1:13" x14ac:dyDescent="0.25">
      <c r="A8" s="47">
        <v>10</v>
      </c>
      <c r="B8" s="48">
        <v>57</v>
      </c>
      <c r="C8" s="56">
        <v>1.54</v>
      </c>
      <c r="D8" s="29"/>
      <c r="E8" s="33">
        <v>40</v>
      </c>
      <c r="F8" s="7"/>
      <c r="G8" s="37">
        <v>12000</v>
      </c>
      <c r="H8" s="38">
        <f t="shared" si="0"/>
        <v>3516</v>
      </c>
      <c r="I8" s="39" t="s">
        <v>37</v>
      </c>
      <c r="K8" s="33"/>
      <c r="M8" s="33"/>
    </row>
    <row r="9" spans="1:13" x14ac:dyDescent="0.25">
      <c r="A9" s="47">
        <v>16</v>
      </c>
      <c r="B9" s="48">
        <v>76</v>
      </c>
      <c r="C9" s="56">
        <v>0.99</v>
      </c>
      <c r="D9" s="29"/>
      <c r="E9" s="33">
        <v>50</v>
      </c>
      <c r="F9" s="7"/>
      <c r="G9" s="37">
        <v>18000</v>
      </c>
      <c r="H9" s="38">
        <f t="shared" si="0"/>
        <v>5274</v>
      </c>
      <c r="I9" s="39" t="s">
        <v>37</v>
      </c>
      <c r="K9" s="33"/>
      <c r="M9" s="33"/>
    </row>
    <row r="10" spans="1:13" x14ac:dyDescent="0.25">
      <c r="A10" s="47">
        <v>25</v>
      </c>
      <c r="B10" s="48">
        <v>101</v>
      </c>
      <c r="C10" s="56">
        <v>0.71</v>
      </c>
      <c r="D10" s="29"/>
      <c r="E10" s="33">
        <v>63</v>
      </c>
      <c r="F10" s="7"/>
      <c r="G10" s="37">
        <v>21000</v>
      </c>
      <c r="H10" s="38">
        <f t="shared" si="0"/>
        <v>6153</v>
      </c>
      <c r="I10" s="39" t="s">
        <v>37</v>
      </c>
      <c r="K10" s="33"/>
      <c r="M10" s="33"/>
    </row>
    <row r="11" spans="1:13" x14ac:dyDescent="0.25">
      <c r="A11" s="47">
        <v>35</v>
      </c>
      <c r="B11" s="48">
        <v>125</v>
      </c>
      <c r="C11" s="56">
        <v>0.49</v>
      </c>
      <c r="D11" s="29"/>
      <c r="E11" s="33">
        <v>70</v>
      </c>
      <c r="F11" s="7"/>
      <c r="G11" s="37">
        <v>22000</v>
      </c>
      <c r="H11" s="38">
        <f t="shared" si="0"/>
        <v>6446</v>
      </c>
      <c r="I11" s="39" t="s">
        <v>37</v>
      </c>
      <c r="K11" s="33"/>
      <c r="M11" s="33"/>
    </row>
    <row r="12" spans="1:13" ht="15.75" thickBot="1" x14ac:dyDescent="0.3">
      <c r="A12" s="50">
        <v>50</v>
      </c>
      <c r="B12" s="51">
        <v>151</v>
      </c>
      <c r="C12" s="57">
        <v>0.35</v>
      </c>
      <c r="D12" s="29"/>
      <c r="E12" s="33">
        <v>80</v>
      </c>
      <c r="F12" s="7"/>
      <c r="G12" s="40">
        <v>30000</v>
      </c>
      <c r="H12" s="41">
        <f t="shared" si="0"/>
        <v>8790</v>
      </c>
      <c r="I12" s="42" t="s">
        <v>37</v>
      </c>
      <c r="K12" s="33"/>
      <c r="M12" s="33"/>
    </row>
    <row r="13" spans="1:13" x14ac:dyDescent="0.25">
      <c r="A13" s="29"/>
      <c r="B13" s="29"/>
      <c r="C13" s="29"/>
      <c r="D13" s="29"/>
      <c r="E13" s="33">
        <v>100</v>
      </c>
      <c r="F13" s="7"/>
      <c r="G13" s="7"/>
      <c r="H13" s="7"/>
      <c r="I13" s="7"/>
      <c r="K13" s="33"/>
      <c r="M13" s="33"/>
    </row>
    <row r="14" spans="1:13" ht="15.75" thickBot="1" x14ac:dyDescent="0.3">
      <c r="A14" s="29"/>
      <c r="B14" s="29"/>
      <c r="C14" s="29"/>
      <c r="D14" s="29"/>
      <c r="E14" s="43">
        <v>125</v>
      </c>
      <c r="F14" s="7"/>
      <c r="G14" s="7"/>
      <c r="H14" s="7"/>
      <c r="I14" s="7"/>
      <c r="K14" s="33"/>
      <c r="M14" s="33"/>
    </row>
    <row r="15" spans="1:13" ht="15.75" thickBot="1" x14ac:dyDescent="0.3">
      <c r="B15" s="29"/>
      <c r="C15" s="29"/>
      <c r="D15" s="29"/>
      <c r="E15" s="7"/>
      <c r="F15" s="7"/>
      <c r="G15" s="7"/>
      <c r="H15" s="7"/>
      <c r="I15" s="7"/>
      <c r="K15" s="43"/>
      <c r="M15" s="43"/>
    </row>
    <row r="16" spans="1:13" ht="15" customHeight="1" x14ac:dyDescent="0.25">
      <c r="A16" s="207" t="s">
        <v>137</v>
      </c>
      <c r="B16" s="209"/>
      <c r="C16" s="29"/>
      <c r="D16" s="190" t="s">
        <v>116</v>
      </c>
      <c r="E16" s="191"/>
      <c r="F16" s="191"/>
      <c r="G16" s="191"/>
      <c r="H16" s="192"/>
      <c r="I16" s="7"/>
    </row>
    <row r="17" spans="1:21" ht="15.75" thickBot="1" x14ac:dyDescent="0.3">
      <c r="A17" s="208"/>
      <c r="B17" s="210"/>
      <c r="D17" s="44" t="s">
        <v>0</v>
      </c>
      <c r="E17" s="45"/>
      <c r="F17" s="45"/>
      <c r="G17" s="45"/>
      <c r="H17" s="46"/>
      <c r="I17" s="7"/>
      <c r="T17" s="7"/>
      <c r="U17" s="7"/>
    </row>
    <row r="18" spans="1:21" ht="15.75" thickBot="1" x14ac:dyDescent="0.3">
      <c r="A18" s="211" t="s">
        <v>125</v>
      </c>
      <c r="B18" s="211" t="s">
        <v>26</v>
      </c>
      <c r="D18" s="7"/>
      <c r="E18" s="7"/>
      <c r="F18" s="7"/>
      <c r="G18" s="7"/>
      <c r="H18" s="7"/>
      <c r="I18" s="7"/>
      <c r="T18" s="7"/>
      <c r="U18" s="7"/>
    </row>
    <row r="19" spans="1:21" x14ac:dyDescent="0.25">
      <c r="A19" s="205" t="s">
        <v>126</v>
      </c>
      <c r="B19" s="205">
        <v>0.86</v>
      </c>
      <c r="D19" s="193" t="s">
        <v>53</v>
      </c>
      <c r="E19" s="194"/>
      <c r="F19" s="194"/>
      <c r="G19" s="194"/>
      <c r="H19" s="195"/>
      <c r="T19" s="7"/>
      <c r="U19" s="7"/>
    </row>
    <row r="20" spans="1:21" x14ac:dyDescent="0.25">
      <c r="A20" s="211" t="s">
        <v>127</v>
      </c>
      <c r="B20" s="211">
        <v>0.75</v>
      </c>
      <c r="D20" s="196"/>
      <c r="E20" s="197"/>
      <c r="F20" s="197"/>
      <c r="G20" s="197"/>
      <c r="H20" s="198"/>
      <c r="T20" s="7" t="s">
        <v>65</v>
      </c>
      <c r="U20" s="7" t="s">
        <v>68</v>
      </c>
    </row>
    <row r="21" spans="1:21" x14ac:dyDescent="0.25">
      <c r="A21" s="205" t="s">
        <v>128</v>
      </c>
      <c r="B21" s="205">
        <v>0.66</v>
      </c>
      <c r="D21" s="196"/>
      <c r="E21" s="197"/>
      <c r="F21" s="197"/>
      <c r="G21" s="197"/>
      <c r="H21" s="198"/>
      <c r="T21" s="7"/>
      <c r="U21" s="7" t="s">
        <v>66</v>
      </c>
    </row>
    <row r="22" spans="1:21" ht="15.75" thickBot="1" x14ac:dyDescent="0.3">
      <c r="A22" s="211" t="s">
        <v>129</v>
      </c>
      <c r="B22" s="211">
        <v>0.59</v>
      </c>
      <c r="D22" s="199"/>
      <c r="E22" s="200"/>
      <c r="F22" s="200"/>
      <c r="G22" s="200"/>
      <c r="H22" s="201"/>
      <c r="T22" s="7"/>
      <c r="U22" s="7" t="s">
        <v>67</v>
      </c>
    </row>
    <row r="23" spans="1:21" x14ac:dyDescent="0.25">
      <c r="A23" s="205" t="s">
        <v>130</v>
      </c>
      <c r="B23" s="205">
        <v>0.52</v>
      </c>
      <c r="H23" s="7"/>
      <c r="T23" s="7"/>
      <c r="U23" s="7"/>
    </row>
    <row r="24" spans="1:21" x14ac:dyDescent="0.25">
      <c r="A24" s="211" t="s">
        <v>131</v>
      </c>
      <c r="B24" s="211">
        <v>0.45</v>
      </c>
    </row>
    <row r="25" spans="1:21" x14ac:dyDescent="0.25">
      <c r="A25" s="205" t="s">
        <v>132</v>
      </c>
      <c r="B25" s="205">
        <v>0.4</v>
      </c>
    </row>
    <row r="26" spans="1:21" x14ac:dyDescent="0.25">
      <c r="A26" s="211" t="s">
        <v>133</v>
      </c>
      <c r="B26" s="211">
        <v>0.35</v>
      </c>
    </row>
    <row r="27" spans="1:21" x14ac:dyDescent="0.25">
      <c r="A27" s="205" t="s">
        <v>134</v>
      </c>
      <c r="B27" s="205">
        <v>0.31</v>
      </c>
    </row>
    <row r="28" spans="1:21" x14ac:dyDescent="0.25">
      <c r="A28" s="211" t="s">
        <v>135</v>
      </c>
      <c r="B28" s="211">
        <v>0.27</v>
      </c>
    </row>
    <row r="29" spans="1:21" x14ac:dyDescent="0.25">
      <c r="A29" s="205" t="s">
        <v>136</v>
      </c>
      <c r="B29" s="205">
        <v>0.27</v>
      </c>
    </row>
    <row r="30" spans="1:21" ht="20.100000000000001" customHeight="1" x14ac:dyDescent="0.25"/>
    <row r="31" spans="1:21" ht="20.100000000000001" customHeight="1" x14ac:dyDescent="0.25"/>
    <row r="44" spans="1:2" x14ac:dyDescent="0.25">
      <c r="A44" s="206"/>
      <c r="B44" s="206"/>
    </row>
  </sheetData>
  <mergeCells count="7">
    <mergeCell ref="K1:K2"/>
    <mergeCell ref="M1:M2"/>
    <mergeCell ref="A1:B1"/>
    <mergeCell ref="G1:I1"/>
    <mergeCell ref="D16:H16"/>
    <mergeCell ref="D19:H22"/>
    <mergeCell ref="A16:B17"/>
  </mergeCells>
  <pageMargins left="0.511811024" right="0.511811024" top="0.78740157499999996" bottom="0.78740157499999996" header="0.31496062000000002" footer="0.31496062000000002"/>
  <pageSetup paperSize="9" scale="91" orientation="portrait" r:id="rId1"/>
  <ignoredErrors>
    <ignoredError sqref="H4:H12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"/>
  <sheetViews>
    <sheetView showGridLines="0" zoomScaleNormal="100" workbookViewId="0"/>
  </sheetViews>
  <sheetFormatPr defaultColWidth="0" defaultRowHeight="15" zeroHeight="1" x14ac:dyDescent="0.25"/>
  <cols>
    <col min="1" max="1" width="9.140625" customWidth="1"/>
    <col min="2" max="2" width="46.28515625" style="1" bestFit="1" customWidth="1"/>
    <col min="3" max="3" width="21" style="1" bestFit="1" customWidth="1"/>
    <col min="4" max="4" width="57.85546875" style="1" bestFit="1" customWidth="1"/>
    <col min="5" max="5" width="21" style="1" bestFit="1" customWidth="1"/>
    <col min="6" max="6" width="11" customWidth="1"/>
    <col min="7" max="16384" width="9.140625" hidden="1"/>
  </cols>
  <sheetData>
    <row r="1" spans="2:5" ht="0.95" customHeight="1" thickBot="1" x14ac:dyDescent="0.3">
      <c r="B1" s="22"/>
      <c r="C1" s="23"/>
      <c r="D1" s="23"/>
      <c r="E1" s="24"/>
    </row>
    <row r="2" spans="2:5" ht="30" customHeight="1" x14ac:dyDescent="0.25">
      <c r="B2" s="202" t="s">
        <v>56</v>
      </c>
      <c r="C2" s="203"/>
      <c r="D2" s="203"/>
      <c r="E2" s="204"/>
    </row>
    <row r="3" spans="2:5" ht="30.75" thickBot="1" x14ac:dyDescent="0.3">
      <c r="B3" s="59" t="s">
        <v>54</v>
      </c>
      <c r="C3" s="60" t="s">
        <v>55</v>
      </c>
      <c r="D3" s="60" t="s">
        <v>54</v>
      </c>
      <c r="E3" s="61" t="s">
        <v>55</v>
      </c>
    </row>
    <row r="4" spans="2:5" ht="15" customHeight="1" x14ac:dyDescent="0.25">
      <c r="B4" s="62" t="s">
        <v>69</v>
      </c>
      <c r="C4" s="63">
        <v>1500</v>
      </c>
      <c r="D4" s="63" t="s">
        <v>70</v>
      </c>
      <c r="E4" s="64">
        <v>100</v>
      </c>
    </row>
    <row r="5" spans="2:5" ht="15" customHeight="1" x14ac:dyDescent="0.25">
      <c r="B5" s="65" t="s">
        <v>71</v>
      </c>
      <c r="C5" s="66">
        <v>2500</v>
      </c>
      <c r="D5" s="66" t="s">
        <v>72</v>
      </c>
      <c r="E5" s="67">
        <v>1000</v>
      </c>
    </row>
    <row r="6" spans="2:5" ht="15" customHeight="1" x14ac:dyDescent="0.25">
      <c r="B6" s="68" t="s">
        <v>73</v>
      </c>
      <c r="C6" s="69">
        <v>4000</v>
      </c>
      <c r="D6" s="69" t="s">
        <v>74</v>
      </c>
      <c r="E6" s="70">
        <v>300</v>
      </c>
    </row>
    <row r="7" spans="2:5" ht="15" customHeight="1" x14ac:dyDescent="0.25">
      <c r="B7" s="65" t="s">
        <v>75</v>
      </c>
      <c r="C7" s="66">
        <v>6000</v>
      </c>
      <c r="D7" s="66" t="s">
        <v>76</v>
      </c>
      <c r="E7" s="67">
        <v>200</v>
      </c>
    </row>
    <row r="8" spans="2:5" ht="15" customHeight="1" x14ac:dyDescent="0.25">
      <c r="B8" s="68" t="s">
        <v>77</v>
      </c>
      <c r="C8" s="69">
        <v>1000</v>
      </c>
      <c r="D8" s="69" t="s">
        <v>78</v>
      </c>
      <c r="E8" s="70">
        <v>150</v>
      </c>
    </row>
    <row r="9" spans="2:5" ht="15" customHeight="1" x14ac:dyDescent="0.25">
      <c r="B9" s="65" t="s">
        <v>79</v>
      </c>
      <c r="C9" s="66">
        <v>600</v>
      </c>
      <c r="D9" s="66" t="s">
        <v>80</v>
      </c>
      <c r="E9" s="67">
        <v>1000</v>
      </c>
    </row>
    <row r="10" spans="2:5" ht="15" customHeight="1" x14ac:dyDescent="0.25">
      <c r="B10" s="68" t="s">
        <v>81</v>
      </c>
      <c r="C10" s="69">
        <v>1000</v>
      </c>
      <c r="D10" s="69" t="s">
        <v>82</v>
      </c>
      <c r="E10" s="70">
        <v>500</v>
      </c>
    </row>
    <row r="11" spans="2:5" ht="15" customHeight="1" x14ac:dyDescent="0.25">
      <c r="B11" s="65" t="s">
        <v>83</v>
      </c>
      <c r="C11" s="66">
        <v>500</v>
      </c>
      <c r="D11" s="66" t="s">
        <v>84</v>
      </c>
      <c r="E11" s="67">
        <v>90</v>
      </c>
    </row>
    <row r="12" spans="2:5" ht="15" customHeight="1" x14ac:dyDescent="0.25">
      <c r="B12" s="68" t="s">
        <v>85</v>
      </c>
      <c r="C12" s="69">
        <v>6600</v>
      </c>
      <c r="D12" s="69" t="s">
        <v>86</v>
      </c>
      <c r="E12" s="70">
        <v>1500</v>
      </c>
    </row>
    <row r="13" spans="2:5" ht="15" customHeight="1" x14ac:dyDescent="0.25">
      <c r="B13" s="65" t="s">
        <v>87</v>
      </c>
      <c r="C13" s="66">
        <v>100</v>
      </c>
      <c r="D13" s="66" t="s">
        <v>88</v>
      </c>
      <c r="E13" s="67">
        <v>2100</v>
      </c>
    </row>
    <row r="14" spans="2:5" ht="15" customHeight="1" x14ac:dyDescent="0.25">
      <c r="B14" s="68" t="s">
        <v>89</v>
      </c>
      <c r="C14" s="69">
        <v>390</v>
      </c>
      <c r="D14" s="69" t="s">
        <v>90</v>
      </c>
      <c r="E14" s="70">
        <v>2700</v>
      </c>
    </row>
    <row r="15" spans="2:5" ht="15" customHeight="1" x14ac:dyDescent="0.25">
      <c r="B15" s="65" t="s">
        <v>91</v>
      </c>
      <c r="C15" s="66">
        <v>520</v>
      </c>
      <c r="D15" s="66" t="s">
        <v>92</v>
      </c>
      <c r="E15" s="67">
        <v>750</v>
      </c>
    </row>
    <row r="16" spans="2:5" ht="15" customHeight="1" x14ac:dyDescent="0.25">
      <c r="B16" s="68" t="s">
        <v>93</v>
      </c>
      <c r="C16" s="69">
        <v>570</v>
      </c>
      <c r="D16" s="69" t="s">
        <v>94</v>
      </c>
      <c r="E16" s="70">
        <v>4500</v>
      </c>
    </row>
    <row r="17" spans="2:5" ht="15" customHeight="1" x14ac:dyDescent="0.25">
      <c r="B17" s="65" t="s">
        <v>95</v>
      </c>
      <c r="C17" s="66">
        <v>820</v>
      </c>
      <c r="D17" s="66" t="s">
        <v>96</v>
      </c>
      <c r="E17" s="67">
        <v>300</v>
      </c>
    </row>
    <row r="18" spans="2:5" ht="15" customHeight="1" x14ac:dyDescent="0.25">
      <c r="B18" s="68" t="s">
        <v>97</v>
      </c>
      <c r="C18" s="69">
        <v>1100</v>
      </c>
      <c r="D18" s="69" t="s">
        <v>98</v>
      </c>
      <c r="E18" s="70">
        <v>400</v>
      </c>
    </row>
    <row r="19" spans="2:5" ht="15" customHeight="1" x14ac:dyDescent="0.25">
      <c r="B19" s="65" t="s">
        <v>99</v>
      </c>
      <c r="C19" s="66">
        <v>600</v>
      </c>
      <c r="D19" s="66" t="s">
        <v>100</v>
      </c>
      <c r="E19" s="67">
        <v>500</v>
      </c>
    </row>
    <row r="20" spans="2:5" ht="15" customHeight="1" x14ac:dyDescent="0.25">
      <c r="B20" s="68" t="s">
        <v>101</v>
      </c>
      <c r="C20" s="69">
        <v>1200</v>
      </c>
      <c r="D20" s="69" t="s">
        <v>102</v>
      </c>
      <c r="E20" s="70">
        <v>250</v>
      </c>
    </row>
    <row r="21" spans="2:5" ht="15" customHeight="1" x14ac:dyDescent="0.25">
      <c r="B21" s="65" t="s">
        <v>103</v>
      </c>
      <c r="C21" s="66">
        <v>4400</v>
      </c>
      <c r="D21" s="66" t="s">
        <v>104</v>
      </c>
      <c r="E21" s="67">
        <v>300</v>
      </c>
    </row>
    <row r="22" spans="2:5" ht="15" customHeight="1" x14ac:dyDescent="0.25">
      <c r="B22" s="68" t="s">
        <v>105</v>
      </c>
      <c r="C22" s="69">
        <v>6000</v>
      </c>
      <c r="D22" s="69" t="s">
        <v>106</v>
      </c>
      <c r="E22" s="70">
        <v>1200</v>
      </c>
    </row>
    <row r="23" spans="2:5" ht="15" customHeight="1" x14ac:dyDescent="0.25">
      <c r="B23" s="65" t="s">
        <v>107</v>
      </c>
      <c r="C23" s="66">
        <v>6500</v>
      </c>
      <c r="D23" s="66" t="s">
        <v>108</v>
      </c>
      <c r="E23" s="67">
        <v>90</v>
      </c>
    </row>
    <row r="24" spans="2:5" ht="15" customHeight="1" thickBot="1" x14ac:dyDescent="0.3">
      <c r="B24" s="71" t="s">
        <v>109</v>
      </c>
      <c r="C24" s="72">
        <v>200</v>
      </c>
      <c r="D24" s="72" t="s">
        <v>110</v>
      </c>
      <c r="E24" s="73">
        <v>900</v>
      </c>
    </row>
    <row r="25" spans="2:5" ht="15" customHeight="1" x14ac:dyDescent="0.25"/>
    <row r="26" spans="2:5" hidden="1" x14ac:dyDescent="0.25"/>
  </sheetData>
  <mergeCells count="1">
    <mergeCell ref="B2:E2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Residencial</vt:lpstr>
      <vt:lpstr>Comércial</vt:lpstr>
      <vt:lpstr>Dados</vt:lpstr>
      <vt:lpstr>Potência De Aparelhos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SILVA, Marcos</cp:lastModifiedBy>
  <cp:lastPrinted>2019-03-16T18:06:12Z</cp:lastPrinted>
  <dcterms:created xsi:type="dcterms:W3CDTF">2016-11-27T18:19:06Z</dcterms:created>
  <dcterms:modified xsi:type="dcterms:W3CDTF">2020-01-29T11:58:53Z</dcterms:modified>
</cp:coreProperties>
</file>