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0" yWindow="60" windowWidth="24000" windowHeight="9540"/>
  </bookViews>
  <sheets>
    <sheet name="Баланс мощности" sheetId="1" r:id="rId1"/>
  </sheets>
  <definedNames>
    <definedName name="_xlnm.Print_Titles" localSheetId="0">'Баланс мощности'!$2:$3</definedName>
  </definedNames>
  <calcPr calcId="145621"/>
</workbook>
</file>

<file path=xl/calcChain.xml><?xml version="1.0" encoding="utf-8"?>
<calcChain xmlns="http://schemas.openxmlformats.org/spreadsheetml/2006/main">
  <c r="F53" i="1" l="1"/>
  <c r="F44" i="1"/>
  <c r="Q30" i="1" l="1"/>
  <c r="Q31" i="1"/>
  <c r="G30" i="1"/>
  <c r="G31" i="1"/>
  <c r="V17" i="1" l="1"/>
  <c r="Q23" i="1"/>
  <c r="G23" i="1"/>
  <c r="Q114" i="1" l="1"/>
  <c r="Q113" i="1"/>
  <c r="Q109" i="1"/>
  <c r="V143" i="1" l="1"/>
  <c r="R143" i="1"/>
  <c r="F143" i="1"/>
  <c r="E143" i="1"/>
  <c r="W141" i="1"/>
  <c r="U139" i="1"/>
  <c r="T139" i="1"/>
  <c r="S139" i="1"/>
  <c r="P139" i="1"/>
  <c r="O139" i="1"/>
  <c r="N139" i="1"/>
  <c r="M139" i="1"/>
  <c r="L139" i="1"/>
  <c r="K139" i="1"/>
  <c r="J139" i="1"/>
  <c r="I139" i="1"/>
  <c r="V131" i="1"/>
  <c r="V139" i="1" s="1"/>
  <c r="R131" i="1"/>
  <c r="R139" i="1" s="1"/>
  <c r="H131" i="1"/>
  <c r="H139" i="1" s="1"/>
  <c r="F131" i="1"/>
  <c r="F139" i="1" s="1"/>
  <c r="E131" i="1"/>
  <c r="E139" i="1" s="1"/>
  <c r="J130" i="1"/>
  <c r="W128" i="1"/>
  <c r="E117" i="1"/>
  <c r="Q124" i="1"/>
  <c r="G124" i="1"/>
  <c r="Q123" i="1"/>
  <c r="G123" i="1"/>
  <c r="V108" i="1"/>
  <c r="R108" i="1"/>
  <c r="F108" i="1"/>
  <c r="E108" i="1"/>
  <c r="Q116" i="1"/>
  <c r="G116" i="1"/>
  <c r="Q115" i="1"/>
  <c r="G115" i="1"/>
  <c r="G114" i="1"/>
  <c r="G113" i="1"/>
  <c r="E17" i="1"/>
  <c r="Q29" i="1" l="1"/>
  <c r="Z29" i="1" s="1"/>
  <c r="G29" i="1"/>
  <c r="Q28" i="1"/>
  <c r="Z28" i="1" s="1"/>
  <c r="G28" i="1"/>
  <c r="Q27" i="1"/>
  <c r="Z27" i="1" s="1"/>
  <c r="G27" i="1"/>
  <c r="Q26" i="1"/>
  <c r="Z26" i="1" s="1"/>
  <c r="G26" i="1"/>
  <c r="Q25" i="1"/>
  <c r="Z25" i="1" s="1"/>
  <c r="G25" i="1"/>
  <c r="Q24" i="1"/>
  <c r="G24" i="1"/>
  <c r="Z48" i="1" l="1"/>
  <c r="H107" i="1" l="1"/>
  <c r="H106" i="1"/>
  <c r="H105" i="1"/>
  <c r="H104" i="1"/>
  <c r="H83" i="1"/>
  <c r="H82" i="1"/>
  <c r="H61" i="1"/>
  <c r="H60" i="1"/>
  <c r="H59" i="1" s="1"/>
  <c r="H16" i="1"/>
  <c r="H9" i="1"/>
  <c r="H140" i="1" l="1"/>
  <c r="H108" i="1"/>
  <c r="Q112" i="1"/>
  <c r="Q143" i="1" s="1"/>
  <c r="G112" i="1"/>
  <c r="G143" i="1" s="1"/>
  <c r="Q86" i="1" l="1"/>
  <c r="Q85" i="1" s="1"/>
  <c r="V85" i="1"/>
  <c r="T85" i="1"/>
  <c r="S85" i="1"/>
  <c r="R85" i="1"/>
  <c r="P85" i="1"/>
  <c r="O85" i="1"/>
  <c r="N85" i="1"/>
  <c r="M85" i="1"/>
  <c r="L85" i="1"/>
  <c r="K85" i="1"/>
  <c r="J85" i="1"/>
  <c r="I85" i="1"/>
  <c r="H85" i="1"/>
  <c r="F85" i="1"/>
  <c r="E85" i="1"/>
  <c r="Q57" i="1" l="1"/>
  <c r="Q131" i="1" s="1"/>
  <c r="Q139" i="1" s="1"/>
  <c r="Z131" i="1" l="1"/>
  <c r="G58" i="1"/>
  <c r="Q80" i="1" l="1"/>
  <c r="G71" i="1"/>
  <c r="Z80" i="1" l="1"/>
  <c r="Z132" i="1"/>
  <c r="Z133" i="1"/>
  <c r="Z134" i="1"/>
  <c r="Z135" i="1"/>
  <c r="Z136" i="1"/>
  <c r="E34" i="1"/>
  <c r="Q47" i="1"/>
  <c r="Z47" i="1" s="1"/>
  <c r="G47" i="1"/>
  <c r="I148" i="1" l="1"/>
  <c r="G148" i="1"/>
  <c r="I147" i="1"/>
  <c r="G147" i="1"/>
  <c r="Z57" i="1" l="1"/>
  <c r="G57" i="1"/>
  <c r="G131" i="1" s="1"/>
  <c r="G139" i="1" s="1"/>
  <c r="J63" i="1" l="1"/>
  <c r="J64" i="1"/>
  <c r="N64" i="1" l="1"/>
  <c r="M64" i="1"/>
  <c r="N63" i="1"/>
  <c r="M63" i="1"/>
  <c r="L64" i="1"/>
  <c r="K64" i="1"/>
  <c r="L63" i="1"/>
  <c r="K63" i="1"/>
  <c r="I64" i="1"/>
  <c r="I63" i="1"/>
  <c r="E88" i="1" l="1"/>
  <c r="Q101" i="1"/>
  <c r="Z101" i="1" s="1"/>
  <c r="G101" i="1"/>
  <c r="V64" i="1"/>
  <c r="S63" i="1"/>
  <c r="U64" i="1"/>
  <c r="T64" i="1"/>
  <c r="R64" i="1"/>
  <c r="P64" i="1"/>
  <c r="O64" i="1"/>
  <c r="H64" i="1"/>
  <c r="E64" i="1"/>
  <c r="U81" i="1"/>
  <c r="R81" i="1"/>
  <c r="P81" i="1"/>
  <c r="O81" i="1"/>
  <c r="N81" i="1"/>
  <c r="M81" i="1"/>
  <c r="L81" i="1"/>
  <c r="K81" i="1"/>
  <c r="I81" i="1"/>
  <c r="H81" i="1"/>
  <c r="E81" i="1"/>
  <c r="Q84" i="1"/>
  <c r="Z84" i="1" s="1"/>
  <c r="G84" i="1"/>
  <c r="Q83" i="1"/>
  <c r="T63" i="1" l="1"/>
  <c r="S64" i="1" l="1"/>
  <c r="R17" i="1" l="1"/>
  <c r="S17" i="1"/>
  <c r="T17" i="1"/>
  <c r="Z139" i="1" l="1"/>
  <c r="V62" i="1"/>
  <c r="V117" i="1" l="1"/>
  <c r="V103" i="1"/>
  <c r="V144" i="1" s="1"/>
  <c r="V88" i="1" l="1"/>
  <c r="V87" i="1"/>
  <c r="V141" i="1" s="1"/>
  <c r="V142" i="1" s="1"/>
  <c r="V34" i="1" l="1"/>
  <c r="T34" i="1"/>
  <c r="G127" i="1"/>
  <c r="G126" i="1"/>
  <c r="G125" i="1"/>
  <c r="G122" i="1"/>
  <c r="G121" i="1"/>
  <c r="G120" i="1"/>
  <c r="G119" i="1"/>
  <c r="G118" i="1"/>
  <c r="G111" i="1"/>
  <c r="G110" i="1"/>
  <c r="G109" i="1"/>
  <c r="G102" i="1"/>
  <c r="G100" i="1"/>
  <c r="G99" i="1"/>
  <c r="G98" i="1"/>
  <c r="G97" i="1"/>
  <c r="G96" i="1"/>
  <c r="G95" i="1"/>
  <c r="G94" i="1"/>
  <c r="G93" i="1"/>
  <c r="G92" i="1"/>
  <c r="G91" i="1"/>
  <c r="G90" i="1"/>
  <c r="G89" i="1"/>
  <c r="G86" i="1"/>
  <c r="G85" i="1" s="1"/>
  <c r="G80" i="1"/>
  <c r="G79" i="1"/>
  <c r="G77" i="1"/>
  <c r="G76" i="1"/>
  <c r="G75" i="1"/>
  <c r="G74" i="1"/>
  <c r="G73" i="1"/>
  <c r="G72" i="1"/>
  <c r="G70" i="1"/>
  <c r="G69" i="1"/>
  <c r="G68" i="1"/>
  <c r="G67" i="1"/>
  <c r="G66" i="1"/>
  <c r="G56" i="1"/>
  <c r="G54" i="1"/>
  <c r="G53" i="1"/>
  <c r="G52" i="1"/>
  <c r="G51" i="1"/>
  <c r="G50" i="1"/>
  <c r="G37" i="1"/>
  <c r="G48" i="1"/>
  <c r="G46" i="1"/>
  <c r="G45" i="1"/>
  <c r="G44" i="1"/>
  <c r="G43" i="1"/>
  <c r="G42" i="1"/>
  <c r="G41" i="1"/>
  <c r="G40" i="1"/>
  <c r="G39" i="1"/>
  <c r="G38" i="1"/>
  <c r="G36" i="1"/>
  <c r="G35" i="1"/>
  <c r="G33" i="1"/>
  <c r="G32" i="1"/>
  <c r="G22" i="1"/>
  <c r="G21" i="1"/>
  <c r="G20" i="1"/>
  <c r="G19" i="1"/>
  <c r="G18" i="1"/>
  <c r="G15" i="1"/>
  <c r="G14" i="1"/>
  <c r="G13" i="1"/>
  <c r="G12" i="1"/>
  <c r="G11" i="1"/>
  <c r="G6" i="1"/>
  <c r="G7" i="1"/>
  <c r="G8" i="1"/>
  <c r="G5" i="1"/>
  <c r="G17" i="1" l="1"/>
  <c r="V49" i="1"/>
  <c r="V59" i="1"/>
  <c r="U59" i="1"/>
  <c r="U140" i="1" l="1"/>
  <c r="V140" i="1"/>
  <c r="V130" i="1"/>
  <c r="V55" i="1"/>
  <c r="V10" i="1"/>
  <c r="V9" i="1"/>
  <c r="V4" i="1"/>
  <c r="M4" i="1"/>
  <c r="W63" i="1"/>
  <c r="W137" i="1" s="1"/>
  <c r="U63" i="1"/>
  <c r="E65" i="1"/>
  <c r="F65" i="1"/>
  <c r="H65" i="1"/>
  <c r="I65" i="1"/>
  <c r="J65" i="1"/>
  <c r="K65" i="1"/>
  <c r="L65" i="1"/>
  <c r="M65" i="1"/>
  <c r="N65" i="1"/>
  <c r="O65" i="1"/>
  <c r="P65" i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9" i="1"/>
  <c r="Z79" i="1" s="1"/>
  <c r="Q82" i="1"/>
  <c r="V128" i="1" l="1"/>
  <c r="V129" i="1" s="1"/>
  <c r="Q81" i="1"/>
  <c r="Q64" i="1"/>
  <c r="G65" i="1"/>
  <c r="E62" i="1"/>
  <c r="Q65" i="1"/>
  <c r="Z65" i="1" s="1"/>
  <c r="Q43" i="1" l="1"/>
  <c r="Z43" i="1" s="1"/>
  <c r="Q42" i="1"/>
  <c r="Z42" i="1" s="1"/>
  <c r="H62" i="1" l="1"/>
  <c r="N62" i="1" l="1"/>
  <c r="M62" i="1"/>
  <c r="L62" i="1"/>
  <c r="K62" i="1"/>
  <c r="J62" i="1"/>
  <c r="I62" i="1"/>
  <c r="F88" i="1" l="1"/>
  <c r="F10" i="1"/>
  <c r="E10" i="1"/>
  <c r="Q16" i="1"/>
  <c r="Q105" i="1"/>
  <c r="T65" i="1"/>
  <c r="S65" i="1"/>
  <c r="R65" i="1"/>
  <c r="R62" i="1"/>
  <c r="Q120" i="1"/>
  <c r="Z120" i="1" s="1"/>
  <c r="Q119" i="1"/>
  <c r="Z119" i="1" s="1"/>
  <c r="Q118" i="1"/>
  <c r="Z118" i="1" s="1"/>
  <c r="Q111" i="1"/>
  <c r="Z112" i="1"/>
  <c r="Q5" i="1"/>
  <c r="Z5" i="1" s="1"/>
  <c r="Q6" i="1"/>
  <c r="Z6" i="1" s="1"/>
  <c r="J55" i="1"/>
  <c r="S55" i="1"/>
  <c r="T55" i="1"/>
  <c r="F17" i="1"/>
  <c r="H17" i="1"/>
  <c r="O17" i="1"/>
  <c r="P17" i="1"/>
  <c r="Q52" i="1"/>
  <c r="Z52" i="1" s="1"/>
  <c r="S62" i="1"/>
  <c r="T49" i="1"/>
  <c r="H49" i="1"/>
  <c r="F49" i="1"/>
  <c r="G49" i="1"/>
  <c r="P49" i="1"/>
  <c r="R49" i="1"/>
  <c r="S49" i="1"/>
  <c r="E49" i="1"/>
  <c r="F117" i="1"/>
  <c r="S117" i="1"/>
  <c r="J117" i="1"/>
  <c r="K117" i="1"/>
  <c r="L117" i="1"/>
  <c r="M117" i="1"/>
  <c r="I117" i="1"/>
  <c r="H117" i="1"/>
  <c r="N117" i="1"/>
  <c r="O117" i="1"/>
  <c r="P117" i="1"/>
  <c r="R117" i="1"/>
  <c r="T117" i="1"/>
  <c r="J49" i="1"/>
  <c r="K49" i="1"/>
  <c r="L49" i="1"/>
  <c r="O49" i="1"/>
  <c r="M49" i="1"/>
  <c r="N49" i="1"/>
  <c r="I49" i="1"/>
  <c r="N17" i="1"/>
  <c r="M17" i="1"/>
  <c r="L17" i="1"/>
  <c r="K17" i="1"/>
  <c r="J17" i="1"/>
  <c r="I17" i="1"/>
  <c r="Q22" i="1"/>
  <c r="Z22" i="1" s="1"/>
  <c r="Q54" i="1"/>
  <c r="Z54" i="1" s="1"/>
  <c r="Q33" i="1"/>
  <c r="Z33" i="1" s="1"/>
  <c r="Q32" i="1"/>
  <c r="Z32" i="1" s="1"/>
  <c r="U103" i="1"/>
  <c r="O108" i="1"/>
  <c r="O4" i="1"/>
  <c r="U9" i="1"/>
  <c r="T9" i="1"/>
  <c r="S9" i="1"/>
  <c r="R9" i="1"/>
  <c r="P9" i="1"/>
  <c r="O9" i="1"/>
  <c r="N9" i="1"/>
  <c r="M9" i="1"/>
  <c r="L9" i="1"/>
  <c r="K9" i="1"/>
  <c r="J9" i="1"/>
  <c r="I9" i="1"/>
  <c r="E9" i="1"/>
  <c r="E103" i="1"/>
  <c r="E144" i="1" s="1"/>
  <c r="H103" i="1"/>
  <c r="I103" i="1"/>
  <c r="I144" i="1" s="1"/>
  <c r="K103" i="1"/>
  <c r="K144" i="1" s="1"/>
  <c r="L103" i="1"/>
  <c r="L144" i="1" s="1"/>
  <c r="M103" i="1"/>
  <c r="M144" i="1" s="1"/>
  <c r="N103" i="1"/>
  <c r="N144" i="1" s="1"/>
  <c r="O103" i="1"/>
  <c r="O144" i="1" s="1"/>
  <c r="P103" i="1"/>
  <c r="P144" i="1" s="1"/>
  <c r="R103" i="1"/>
  <c r="R144" i="1" s="1"/>
  <c r="T88" i="1"/>
  <c r="T87" i="1"/>
  <c r="S88" i="1"/>
  <c r="S87" i="1"/>
  <c r="R88" i="1"/>
  <c r="Q107" i="1"/>
  <c r="Q106" i="1"/>
  <c r="Q104" i="1"/>
  <c r="Q102" i="1"/>
  <c r="Z102" i="1" s="1"/>
  <c r="Q100" i="1"/>
  <c r="Z100" i="1" s="1"/>
  <c r="Q99" i="1"/>
  <c r="Z99" i="1" s="1"/>
  <c r="Q98" i="1"/>
  <c r="Z98" i="1" s="1"/>
  <c r="Q97" i="1"/>
  <c r="Z97" i="1" s="1"/>
  <c r="Q96" i="1"/>
  <c r="Z96" i="1" s="1"/>
  <c r="Q95" i="1"/>
  <c r="Z95" i="1" s="1"/>
  <c r="Q94" i="1"/>
  <c r="Z94" i="1" s="1"/>
  <c r="Q93" i="1"/>
  <c r="Z93" i="1" s="1"/>
  <c r="Q92" i="1"/>
  <c r="Z92" i="1" s="1"/>
  <c r="Q91" i="1"/>
  <c r="Z91" i="1" s="1"/>
  <c r="Q90" i="1"/>
  <c r="Z90" i="1" s="1"/>
  <c r="Q89" i="1"/>
  <c r="Z89" i="1" s="1"/>
  <c r="P88" i="1"/>
  <c r="O88" i="1"/>
  <c r="N88" i="1"/>
  <c r="M88" i="1"/>
  <c r="L88" i="1"/>
  <c r="K88" i="1"/>
  <c r="J88" i="1"/>
  <c r="J87" i="1"/>
  <c r="I88" i="1"/>
  <c r="H88" i="1"/>
  <c r="Z86" i="1"/>
  <c r="O62" i="1"/>
  <c r="P62" i="1"/>
  <c r="T62" i="1"/>
  <c r="E59" i="1"/>
  <c r="I59" i="1"/>
  <c r="K59" i="1"/>
  <c r="L59" i="1"/>
  <c r="M59" i="1"/>
  <c r="N59" i="1"/>
  <c r="O59" i="1"/>
  <c r="P59" i="1"/>
  <c r="Q51" i="1"/>
  <c r="Z51" i="1" s="1"/>
  <c r="Q50" i="1"/>
  <c r="Z50" i="1" s="1"/>
  <c r="K34" i="1"/>
  <c r="Q48" i="1"/>
  <c r="Q46" i="1"/>
  <c r="Z46" i="1" s="1"/>
  <c r="Q45" i="1"/>
  <c r="Z45" i="1" s="1"/>
  <c r="Q44" i="1"/>
  <c r="Z44" i="1" s="1"/>
  <c r="Q41" i="1"/>
  <c r="Z41" i="1" s="1"/>
  <c r="Q39" i="1"/>
  <c r="Z39" i="1" s="1"/>
  <c r="Q37" i="1"/>
  <c r="Z37" i="1" s="1"/>
  <c r="Q36" i="1"/>
  <c r="Z36" i="1" s="1"/>
  <c r="Q35" i="1"/>
  <c r="Z35" i="1" s="1"/>
  <c r="S34" i="1"/>
  <c r="R34" i="1"/>
  <c r="P34" i="1"/>
  <c r="O34" i="1"/>
  <c r="N34" i="1"/>
  <c r="M34" i="1"/>
  <c r="L34" i="1"/>
  <c r="J34" i="1"/>
  <c r="H34" i="1"/>
  <c r="G34" i="1"/>
  <c r="F34" i="1"/>
  <c r="Q21" i="1"/>
  <c r="Z21" i="1" s="1"/>
  <c r="Q20" i="1"/>
  <c r="Z20" i="1" s="1"/>
  <c r="Q19" i="1"/>
  <c r="Z19" i="1" s="1"/>
  <c r="Q18" i="1"/>
  <c r="Z18" i="1" s="1"/>
  <c r="T10" i="1"/>
  <c r="S10" i="1"/>
  <c r="R10" i="1"/>
  <c r="Q15" i="1"/>
  <c r="Z15" i="1" s="1"/>
  <c r="Q14" i="1"/>
  <c r="Z14" i="1" s="1"/>
  <c r="Q13" i="1"/>
  <c r="Z13" i="1" s="1"/>
  <c r="Q12" i="1"/>
  <c r="Z12" i="1" s="1"/>
  <c r="Q11" i="1"/>
  <c r="Z11" i="1" s="1"/>
  <c r="P10" i="1"/>
  <c r="O10" i="1"/>
  <c r="N10" i="1"/>
  <c r="M10" i="1"/>
  <c r="L10" i="1"/>
  <c r="K10" i="1"/>
  <c r="J10" i="1"/>
  <c r="I10" i="1"/>
  <c r="H10" i="1"/>
  <c r="Q8" i="1"/>
  <c r="Z8" i="1" s="1"/>
  <c r="Q7" i="1"/>
  <c r="Z7" i="1" s="1"/>
  <c r="T4" i="1"/>
  <c r="S4" i="1"/>
  <c r="R4" i="1"/>
  <c r="P4" i="1"/>
  <c r="N4" i="1"/>
  <c r="L4" i="1"/>
  <c r="K4" i="1"/>
  <c r="J4" i="1"/>
  <c r="I4" i="1"/>
  <c r="H4" i="1"/>
  <c r="F4" i="1"/>
  <c r="E4" i="1"/>
  <c r="G108" i="1"/>
  <c r="T108" i="1"/>
  <c r="S108" i="1"/>
  <c r="J108" i="1"/>
  <c r="Z109" i="1"/>
  <c r="Q110" i="1"/>
  <c r="Q121" i="1"/>
  <c r="Z121" i="1" s="1"/>
  <c r="Q122" i="1"/>
  <c r="Z122" i="1" s="1"/>
  <c r="Q126" i="1"/>
  <c r="Z126" i="1" s="1"/>
  <c r="Q127" i="1"/>
  <c r="Z127" i="1" s="1"/>
  <c r="P108" i="1"/>
  <c r="N108" i="1"/>
  <c r="M108" i="1"/>
  <c r="L108" i="1"/>
  <c r="K108" i="1"/>
  <c r="I108" i="1"/>
  <c r="R59" i="1"/>
  <c r="Q38" i="1"/>
  <c r="Z38" i="1" s="1"/>
  <c r="Q40" i="1"/>
  <c r="Z40" i="1" s="1"/>
  <c r="Q56" i="1"/>
  <c r="Z56" i="1" s="1"/>
  <c r="Q58" i="1"/>
  <c r="Z58" i="1" s="1"/>
  <c r="I34" i="1"/>
  <c r="Y128" i="1"/>
  <c r="X128" i="1"/>
  <c r="D151" i="1" s="1"/>
  <c r="Q61" i="1"/>
  <c r="Q60" i="1"/>
  <c r="Q53" i="1"/>
  <c r="Z53" i="1" s="1"/>
  <c r="U55" i="1"/>
  <c r="Q59" i="1"/>
  <c r="G4" i="1"/>
  <c r="Q62" i="1"/>
  <c r="N140" i="1" l="1"/>
  <c r="N130" i="1"/>
  <c r="I130" i="1"/>
  <c r="I140" i="1"/>
  <c r="T141" i="1"/>
  <c r="T142" i="1" s="1"/>
  <c r="Q140" i="1"/>
  <c r="M130" i="1"/>
  <c r="M140" i="1"/>
  <c r="J141" i="1"/>
  <c r="J142" i="1" s="1"/>
  <c r="U87" i="1"/>
  <c r="U141" i="1" s="1"/>
  <c r="U144" i="1" s="1"/>
  <c r="U130" i="1"/>
  <c r="Z110" i="1"/>
  <c r="Q108" i="1"/>
  <c r="S137" i="1"/>
  <c r="S138" i="1" s="1"/>
  <c r="S128" i="1"/>
  <c r="S129" i="1" s="1"/>
  <c r="P140" i="1"/>
  <c r="P130" i="1"/>
  <c r="L140" i="1"/>
  <c r="L130" i="1"/>
  <c r="E140" i="1"/>
  <c r="E130" i="1"/>
  <c r="S141" i="1"/>
  <c r="S142" i="1" s="1"/>
  <c r="H144" i="1"/>
  <c r="H130" i="1"/>
  <c r="U137" i="1"/>
  <c r="R140" i="1"/>
  <c r="R130" i="1"/>
  <c r="T128" i="1"/>
  <c r="T129" i="1" s="1"/>
  <c r="T137" i="1"/>
  <c r="T138" i="1" s="1"/>
  <c r="O140" i="1"/>
  <c r="O130" i="1"/>
  <c r="K140" i="1"/>
  <c r="K130" i="1"/>
  <c r="J128" i="1"/>
  <c r="J129" i="1" s="1"/>
  <c r="J137" i="1"/>
  <c r="J138" i="1" s="1"/>
  <c r="Z111" i="1"/>
  <c r="Z143" i="1"/>
  <c r="P87" i="1"/>
  <c r="P141" i="1" s="1"/>
  <c r="P142" i="1" s="1"/>
  <c r="Q103" i="1"/>
  <c r="Q144" i="1" s="1"/>
  <c r="E87" i="1"/>
  <c r="E141" i="1" s="1"/>
  <c r="E142" i="1" s="1"/>
  <c r="H87" i="1"/>
  <c r="H141" i="1" s="1"/>
  <c r="H142" i="1" s="1"/>
  <c r="E55" i="1"/>
  <c r="G88" i="1"/>
  <c r="Q10" i="1"/>
  <c r="Z10" i="1" s="1"/>
  <c r="Q49" i="1"/>
  <c r="Z49" i="1" s="1"/>
  <c r="N55" i="1"/>
  <c r="N137" i="1" s="1"/>
  <c r="N138" i="1" s="1"/>
  <c r="I55" i="1"/>
  <c r="I137" i="1" s="1"/>
  <c r="I138" i="1" s="1"/>
  <c r="O87" i="1"/>
  <c r="O141" i="1" s="1"/>
  <c r="O142" i="1" s="1"/>
  <c r="K87" i="1"/>
  <c r="K141" i="1" s="1"/>
  <c r="K142" i="1" s="1"/>
  <c r="G10" i="1"/>
  <c r="M55" i="1"/>
  <c r="M128" i="1" s="1"/>
  <c r="M129" i="1" s="1"/>
  <c r="H55" i="1"/>
  <c r="N87" i="1"/>
  <c r="N141" i="1" s="1"/>
  <c r="N142" i="1" s="1"/>
  <c r="I87" i="1"/>
  <c r="I141" i="1" s="1"/>
  <c r="I142" i="1" s="1"/>
  <c r="P55" i="1"/>
  <c r="P128" i="1" s="1"/>
  <c r="P129" i="1" s="1"/>
  <c r="L55" i="1"/>
  <c r="L137" i="1" s="1"/>
  <c r="L138" i="1" s="1"/>
  <c r="M87" i="1"/>
  <c r="M141" i="1" s="1"/>
  <c r="M142" i="1" s="1"/>
  <c r="O55" i="1"/>
  <c r="L87" i="1"/>
  <c r="L141" i="1" s="1"/>
  <c r="L142" i="1" s="1"/>
  <c r="Z85" i="1"/>
  <c r="G117" i="1"/>
  <c r="Q34" i="1"/>
  <c r="Z34" i="1" s="1"/>
  <c r="Q4" i="1"/>
  <c r="Z4" i="1" s="1"/>
  <c r="R55" i="1"/>
  <c r="R128" i="1" s="1"/>
  <c r="R129" i="1" s="1"/>
  <c r="Q88" i="1"/>
  <c r="Z88" i="1" s="1"/>
  <c r="U62" i="1"/>
  <c r="U128" i="1" s="1"/>
  <c r="U129" i="1" s="1"/>
  <c r="R87" i="1"/>
  <c r="R141" i="1" s="1"/>
  <c r="R142" i="1" s="1"/>
  <c r="K55" i="1"/>
  <c r="K137" i="1" s="1"/>
  <c r="K138" i="1" s="1"/>
  <c r="Q125" i="1"/>
  <c r="Z125" i="1" s="1"/>
  <c r="Q55" i="1"/>
  <c r="Q9" i="1"/>
  <c r="Q17" i="1"/>
  <c r="O128" i="1" l="1"/>
  <c r="O129" i="1" s="1"/>
  <c r="N128" i="1"/>
  <c r="N129" i="1" s="1"/>
  <c r="M137" i="1"/>
  <c r="M138" i="1" s="1"/>
  <c r="L128" i="1"/>
  <c r="L129" i="1" s="1"/>
  <c r="K128" i="1"/>
  <c r="K129" i="1" s="1"/>
  <c r="I128" i="1"/>
  <c r="I129" i="1" s="1"/>
  <c r="H128" i="1"/>
  <c r="H129" i="1" s="1"/>
  <c r="Q130" i="1"/>
  <c r="E128" i="1"/>
  <c r="E129" i="1" s="1"/>
  <c r="Z17" i="1"/>
  <c r="Z108" i="1"/>
  <c r="Q128" i="1"/>
  <c r="Q129" i="1" s="1"/>
  <c r="Q87" i="1"/>
  <c r="Q141" i="1" s="1"/>
  <c r="Q142" i="1" s="1"/>
  <c r="Q117" i="1"/>
  <c r="Z117" i="1" s="1"/>
  <c r="T135" i="1" l="1"/>
  <c r="S135" i="1"/>
  <c r="R135" i="1"/>
  <c r="T134" i="1"/>
  <c r="S134" i="1"/>
  <c r="R134" i="1"/>
  <c r="T133" i="1"/>
  <c r="S133" i="1"/>
  <c r="R133" i="1"/>
  <c r="T132" i="1"/>
  <c r="S132" i="1"/>
  <c r="R132" i="1"/>
  <c r="R136" i="1" s="1"/>
  <c r="F107" i="1"/>
  <c r="F106" i="1"/>
  <c r="F105" i="1"/>
  <c r="F104" i="1"/>
  <c r="F83" i="1"/>
  <c r="F82" i="1"/>
  <c r="V78" i="1"/>
  <c r="R78" i="1"/>
  <c r="P78" i="1"/>
  <c r="P63" i="1" s="1"/>
  <c r="P137" i="1" s="1"/>
  <c r="P138" i="1" s="1"/>
  <c r="O78" i="1"/>
  <c r="O63" i="1" s="1"/>
  <c r="O137" i="1" s="1"/>
  <c r="O138" i="1" s="1"/>
  <c r="H78" i="1"/>
  <c r="H63" i="1" s="1"/>
  <c r="H137" i="1" s="1"/>
  <c r="H138" i="1" s="1"/>
  <c r="F78" i="1"/>
  <c r="F63" i="1" s="1"/>
  <c r="E78" i="1"/>
  <c r="E63" i="1" s="1"/>
  <c r="E137" i="1" s="1"/>
  <c r="F61" i="1"/>
  <c r="F60" i="1"/>
  <c r="F16" i="1"/>
  <c r="E138" i="1" l="1"/>
  <c r="F64" i="1"/>
  <c r="G83" i="1"/>
  <c r="Z83" i="1"/>
  <c r="G107" i="1"/>
  <c r="Z107" i="1"/>
  <c r="R63" i="1"/>
  <c r="R137" i="1" s="1"/>
  <c r="R138" i="1" s="1"/>
  <c r="Q78" i="1"/>
  <c r="G104" i="1"/>
  <c r="F103" i="1"/>
  <c r="Z104" i="1"/>
  <c r="V63" i="1"/>
  <c r="G78" i="1"/>
  <c r="G105" i="1"/>
  <c r="Z105" i="1"/>
  <c r="S136" i="1"/>
  <c r="G16" i="1"/>
  <c r="F9" i="1"/>
  <c r="Z16" i="1"/>
  <c r="G60" i="1"/>
  <c r="F59" i="1"/>
  <c r="F140" i="1" s="1"/>
  <c r="Z140" i="1" s="1"/>
  <c r="Z60" i="1"/>
  <c r="G61" i="1"/>
  <c r="Z61" i="1"/>
  <c r="F81" i="1"/>
  <c r="G82" i="1"/>
  <c r="Z82" i="1"/>
  <c r="G106" i="1"/>
  <c r="Z106" i="1"/>
  <c r="T136" i="1"/>
  <c r="G81" i="1" l="1"/>
  <c r="G62" i="1" s="1"/>
  <c r="Z81" i="1"/>
  <c r="F62" i="1"/>
  <c r="Z62" i="1" s="1"/>
  <c r="F130" i="1"/>
  <c r="Z130" i="1" s="1"/>
  <c r="G103" i="1"/>
  <c r="F87" i="1"/>
  <c r="Z87" i="1" s="1"/>
  <c r="Z103" i="1"/>
  <c r="F141" i="1"/>
  <c r="G64" i="1"/>
  <c r="Z64" i="1"/>
  <c r="F144" i="1"/>
  <c r="Z144" i="1" s="1"/>
  <c r="Z9" i="1"/>
  <c r="G63" i="1"/>
  <c r="V137" i="1"/>
  <c r="V138" i="1" s="1"/>
  <c r="Z78" i="1"/>
  <c r="Q63" i="1"/>
  <c r="G59" i="1"/>
  <c r="Z59" i="1"/>
  <c r="F55" i="1"/>
  <c r="Z55" i="1" s="1"/>
  <c r="G130" i="1"/>
  <c r="G9" i="1"/>
  <c r="F137" i="1" l="1"/>
  <c r="F142" i="1"/>
  <c r="Z142" i="1" s="1"/>
  <c r="Z141" i="1"/>
  <c r="G140" i="1"/>
  <c r="G55" i="1"/>
  <c r="G137" i="1" s="1"/>
  <c r="G138" i="1" s="1"/>
  <c r="Z63" i="1"/>
  <c r="Q137" i="1"/>
  <c r="Q138" i="1" s="1"/>
  <c r="F128" i="1"/>
  <c r="G144" i="1"/>
  <c r="G87" i="1"/>
  <c r="G141" i="1" s="1"/>
  <c r="G142" i="1" s="1"/>
  <c r="G128" i="1" l="1"/>
  <c r="G129" i="1" s="1"/>
  <c r="F129" i="1"/>
  <c r="Z129" i="1" s="1"/>
  <c r="Z128" i="1"/>
  <c r="F138" i="1"/>
  <c r="Z138" i="1" s="1"/>
  <c r="Z137" i="1"/>
</calcChain>
</file>

<file path=xl/sharedStrings.xml><?xml version="1.0" encoding="utf-8"?>
<sst xmlns="http://schemas.openxmlformats.org/spreadsheetml/2006/main" count="420" uniqueCount="171">
  <si>
    <t>Потребление</t>
  </si>
  <si>
    <t>КанскаяТЭЦ</t>
  </si>
  <si>
    <t>ОЭС Сибири</t>
  </si>
  <si>
    <t>Энергосистема</t>
  </si>
  <si>
    <t>ТЭЦ СХК</t>
  </si>
  <si>
    <t>Огран.</t>
  </si>
  <si>
    <t>Всего</t>
  </si>
  <si>
    <t>КР</t>
  </si>
  <si>
    <t>СР</t>
  </si>
  <si>
    <t>ТР</t>
  </si>
  <si>
    <t>Рек</t>
  </si>
  <si>
    <t>КС</t>
  </si>
  <si>
    <t>ВПр</t>
  </si>
  <si>
    <t>ТЭС всего</t>
  </si>
  <si>
    <t>ГЭС всего</t>
  </si>
  <si>
    <t>Электростанция</t>
  </si>
  <si>
    <t xml:space="preserve">Ремонты </t>
  </si>
  <si>
    <t>ТЭЦ Каскад-Энерго</t>
  </si>
  <si>
    <t>Сумма ГЭС</t>
  </si>
  <si>
    <t>ТЭЦ АГК</t>
  </si>
  <si>
    <t>ТЭЦ СЦКК</t>
  </si>
  <si>
    <t>ТЭЦ ППГХО</t>
  </si>
  <si>
    <t>ЗРР</t>
  </si>
  <si>
    <t>Суточное</t>
  </si>
  <si>
    <t>-</t>
  </si>
  <si>
    <t>Час собств. максимума</t>
  </si>
  <si>
    <t>Устан. мощн.</t>
  </si>
  <si>
    <t>Расп. мощн.</t>
  </si>
  <si>
    <t>Раб. мощн.</t>
  </si>
  <si>
    <t>Ген-ция</t>
  </si>
  <si>
    <r>
      <t>k</t>
    </r>
    <r>
      <rPr>
        <sz val="8"/>
        <rFont val="Arial Cyr"/>
        <charset val="204"/>
      </rPr>
      <t>заполн</t>
    </r>
  </si>
  <si>
    <r>
      <t>∆</t>
    </r>
    <r>
      <rPr>
        <sz val="8"/>
        <rFont val="Arial Cyr"/>
        <charset val="204"/>
      </rPr>
      <t xml:space="preserve"> не совмещенного максимума по ОЭС Сибири, МВт</t>
    </r>
  </si>
  <si>
    <t>Сумма ТЭС</t>
  </si>
  <si>
    <t>Енашиминская ГЭС</t>
  </si>
  <si>
    <t>Запад ОЭС</t>
  </si>
  <si>
    <t xml:space="preserve">в т.ч ТЭС </t>
  </si>
  <si>
    <t xml:space="preserve">в т.ч ГЭС </t>
  </si>
  <si>
    <t>Вращ. резерв ТЭС</t>
  </si>
  <si>
    <t>Хол. резерв ТЭС</t>
  </si>
  <si>
    <t>Резерв ГЭС</t>
  </si>
  <si>
    <t>Час собств. Максимума</t>
  </si>
  <si>
    <t>Час совм. максимума</t>
  </si>
  <si>
    <t/>
  </si>
  <si>
    <t>ТЭС пп.</t>
  </si>
  <si>
    <t>ТЭС пп., в т.ч.</t>
  </si>
  <si>
    <t>Богучанская ГЭС</t>
  </si>
  <si>
    <t>ТЭС вост (неблоч.)</t>
  </si>
  <si>
    <t>ТЭС пп</t>
  </si>
  <si>
    <t>ТЭЦ Тепло-Сбыт-сервис</t>
  </si>
  <si>
    <t>ДЭС Олимпиадинский ГОК</t>
  </si>
  <si>
    <t>Омская ТЭЦ-3</t>
  </si>
  <si>
    <t>Омская ТЭЦ-4</t>
  </si>
  <si>
    <t>Омская ТЭЦ-5</t>
  </si>
  <si>
    <t>Новосибирская ТЭЦ-2</t>
  </si>
  <si>
    <t>Новосибирская ТЭЦ-3</t>
  </si>
  <si>
    <t>Новосибирская ТЭЦ-4</t>
  </si>
  <si>
    <t>Новосибирская ТЭЦ-5</t>
  </si>
  <si>
    <t>Барабинская ТЭЦ</t>
  </si>
  <si>
    <t>Новосибирская ГЭС</t>
  </si>
  <si>
    <t>Барнаульская ТЭЦ-2</t>
  </si>
  <si>
    <t>Барнаульская  ТЭЦ-3</t>
  </si>
  <si>
    <t xml:space="preserve">Барнаульская ГТ ТЭЦ </t>
  </si>
  <si>
    <t>Белокурихинская ГП ТЭC</t>
  </si>
  <si>
    <t>ТЭЦ АКХЗ</t>
  </si>
  <si>
    <t>Томь-Усинская ГРЭС</t>
  </si>
  <si>
    <t>Беловская ГРЭС</t>
  </si>
  <si>
    <t>Южно-Кузбасская ГРЭС</t>
  </si>
  <si>
    <t>Кемеровская ГРЭС</t>
  </si>
  <si>
    <t>Западно-Сибирская ТЭЦ</t>
  </si>
  <si>
    <t>Кемеровская ТЭЦ</t>
  </si>
  <si>
    <t>Ново-Кемеровская ТЭЦ</t>
  </si>
  <si>
    <t>Кузнецкая ТЭЦ</t>
  </si>
  <si>
    <t>Центральная ТЭЦ</t>
  </si>
  <si>
    <t>ТЭЦ Юрмаш</t>
  </si>
  <si>
    <t>Томская ГРЭС-2</t>
  </si>
  <si>
    <t>Томская ТЭЦ-3</t>
  </si>
  <si>
    <t>Абаканская ТЭЦ</t>
  </si>
  <si>
    <t>Саяно-Шушенская ГЭС</t>
  </si>
  <si>
    <t>Майнская ГЭС</t>
  </si>
  <si>
    <t>Березовская ГРЭС</t>
  </si>
  <si>
    <t>Красноярская ГРЭС-2</t>
  </si>
  <si>
    <t>Назаровская ГРЭС</t>
  </si>
  <si>
    <t>Красноярская ТЭЦ-1</t>
  </si>
  <si>
    <t>Красноярская ТЭЦ-2</t>
  </si>
  <si>
    <t>Красноярская ТЭЦ-3</t>
  </si>
  <si>
    <t>Минусинская ТЭЦ</t>
  </si>
  <si>
    <t>ТЭЦ АНПЗ</t>
  </si>
  <si>
    <t>ТЭС Полюс</t>
  </si>
  <si>
    <t>Красноярская ГЭС</t>
  </si>
  <si>
    <t>Кызылская ТЭЦ</t>
  </si>
  <si>
    <t>Участок №1 Иркутской ТЭЦ-9</t>
  </si>
  <si>
    <t>Шелеховский участок Ново-Иркутской ТЭЦ</t>
  </si>
  <si>
    <t>Участок ТИ и ТС Иркутской ТЭЦ-6</t>
  </si>
  <si>
    <t>Иркутская ТЭЦ-6</t>
  </si>
  <si>
    <t>Иркутская ТЭЦ-9</t>
  </si>
  <si>
    <t>Иркутская ТЭЦ-10</t>
  </si>
  <si>
    <t>Иркутская ТЭЦ-11</t>
  </si>
  <si>
    <t>Иркутская ТЭЦ-12</t>
  </si>
  <si>
    <t>Иркутская ТЭЦ-16</t>
  </si>
  <si>
    <t>Ново-Зиминская ТЭЦ</t>
  </si>
  <si>
    <t>Ново-Иркутская ТЭЦ</t>
  </si>
  <si>
    <t>Усть-Илимская ТЭЦ</t>
  </si>
  <si>
    <t>Иркутская ГЭС</t>
  </si>
  <si>
    <t>Братская ГЭС</t>
  </si>
  <si>
    <t>Усть-Илимская ГЭС</t>
  </si>
  <si>
    <t>Мамаканская ГЭС</t>
  </si>
  <si>
    <t>Гусиноозерская ГРЭС</t>
  </si>
  <si>
    <t>Улан-Удэнская ТЭЦ-1</t>
  </si>
  <si>
    <t>Читинская ТЭЦ-1</t>
  </si>
  <si>
    <t>Приаргунская ТЭЦ</t>
  </si>
  <si>
    <t>Шерловогорская ТЭЦ</t>
  </si>
  <si>
    <t>Читинская ТЭЦ-2</t>
  </si>
  <si>
    <t>Харанорская ГРЭС</t>
  </si>
  <si>
    <t>Первомайская ТЭЦ</t>
  </si>
  <si>
    <t>ЭС пп., в т.ч.</t>
  </si>
  <si>
    <t>ГТЭС Новокузнецкая</t>
  </si>
  <si>
    <t>ГТЭС Ванкорского м.р.</t>
  </si>
  <si>
    <t>Запад</t>
  </si>
  <si>
    <t>Восток</t>
  </si>
  <si>
    <t>Перегруз</t>
  </si>
  <si>
    <t>ТЭС зап (неблоч.)</t>
  </si>
  <si>
    <t>небаланс</t>
  </si>
  <si>
    <t>Кош-Агачская СЭС</t>
  </si>
  <si>
    <t xml:space="preserve">                       3. В составе восточной части ОЭС Сибири  - Бурятская ЭС, Забайкальская ЭС, Иркутская ЭС, Красноярская ЭС (КрГРЭС-2,  Канская ТЭЦ, Тепло-Сбыт-сервис, Богучанская ГЭС)</t>
  </si>
  <si>
    <t>ТЭС зап блоч. *</t>
  </si>
  <si>
    <t>ТЭС вост блоч.**</t>
  </si>
  <si>
    <t>Восток ОЭС***</t>
  </si>
  <si>
    <t>CЭС всего</t>
  </si>
  <si>
    <t xml:space="preserve">в т.ч CЭС </t>
  </si>
  <si>
    <t>ООО ТЭЦ Теплоснабжение</t>
  </si>
  <si>
    <t>Абаканская СЭС</t>
  </si>
  <si>
    <t>Кош-Агачская СЭС-2</t>
  </si>
  <si>
    <t>Томская ТЭЦ-1</t>
  </si>
  <si>
    <t xml:space="preserve"> Сравнение температур, ОЭС Сибири (нарастающий итог)  'месяц', °C.</t>
  </si>
  <si>
    <t>Тфакт</t>
  </si>
  <si>
    <t>Тнорм</t>
  </si>
  <si>
    <t>ΔTнорм</t>
  </si>
  <si>
    <t>Тпред.год</t>
  </si>
  <si>
    <t>ΔТпред</t>
  </si>
  <si>
    <t>Усть-Канская СЭС</t>
  </si>
  <si>
    <t>КЭС Кокс</t>
  </si>
  <si>
    <t>Онгудайская СЭС</t>
  </si>
  <si>
    <t>Майминская СЭС</t>
  </si>
  <si>
    <t>Бичурская СЭС</t>
  </si>
  <si>
    <t>БийскаяТЭЦ-1</t>
  </si>
  <si>
    <t>Ининская СЭС</t>
  </si>
  <si>
    <t>АР</t>
  </si>
  <si>
    <t xml:space="preserve">                       2.  ТЭС вост. блоч. **)   сумма (ГОГРЭС;  ИрТЭЦ-10; ХарГРЭС)</t>
  </si>
  <si>
    <t>Примечания:  1.  ТЭС зап. блоч. *)   сумма (Барн ГТ ТЭЦ; Белокурих ТЭС;  НазГРЭС;  БГРЭС;  КрГРЭС-2 (кроме ТГ-9,10);  КрТЭЦ-3;  Бел.ГРЭС;  ТУГРЭС;  ГТЭС Новокузнецкая; НТЭЦ-5; ТомТЭЦ-3; ПГУ-1 ОмТЭЦ-3)</t>
  </si>
  <si>
    <t>Омской области</t>
  </si>
  <si>
    <t>Новосибирской области</t>
  </si>
  <si>
    <t>Республики Алтай и Алтайского края</t>
  </si>
  <si>
    <t>Кемеровской области</t>
  </si>
  <si>
    <t>Томской области</t>
  </si>
  <si>
    <t>Республики Хакасия</t>
  </si>
  <si>
    <t>Красноярского края и Республики Тыва (по территории Красноярского края)</t>
  </si>
  <si>
    <t>Красноярского края и Республики Тыва (по территории Республики Тыва)</t>
  </si>
  <si>
    <t>Иркутской области</t>
  </si>
  <si>
    <t>Республики Бурятии</t>
  </si>
  <si>
    <t>Забайкальского края</t>
  </si>
  <si>
    <t>Усть-Коксинская СЭС</t>
  </si>
  <si>
    <t>Чемальская СЭС</t>
  </si>
  <si>
    <t>Кабанская СЭС</t>
  </si>
  <si>
    <t>Кяхтинская СЭС</t>
  </si>
  <si>
    <t>Тарбагатайская СЭС</t>
  </si>
  <si>
    <t>Хоринская СЭС</t>
  </si>
  <si>
    <t>Кенонская СЭС</t>
  </si>
  <si>
    <t>Ингодинская СЭС</t>
  </si>
  <si>
    <t>Южная тепловая станция</t>
  </si>
  <si>
    <t>Баланс мощности по территории на час совмещённого максимума ОЭС за дату: 06:00 04.03.2020 Сформировано: 11.04.2020 12:53</t>
  </si>
  <si>
    <t xml:space="preserve"> Среднесуточная температура ОЭС Сибири за дату 04.03.2020 , °C.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</si>
</sst>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yy\ hh:mm"/>
  </numFmts>
  <fonts count="12" x14ac:knownFonts="1">
    <font>
      <sz val="10"/>
      <name val="Arial Cyr"/>
      <charset val="204"/>
    </font>
    <font>
      <sz val="8"/>
      <name val="Arial Cyr"/>
      <charset val="204"/>
    </font>
    <font>
      <sz val="7"/>
      <name val="Arial Cyr"/>
      <charset val="204"/>
    </font>
    <font>
      <b/>
      <sz val="9"/>
      <name val="Arial Cyr"/>
      <charset val="204"/>
    </font>
    <font>
      <sz val="8"/>
      <name val="Verdana"/>
      <family val="2"/>
      <charset val="204"/>
    </font>
    <font>
      <sz val="8"/>
      <name val="Arial"/>
      <family val="2"/>
      <charset val="204"/>
    </font>
    <font>
      <sz val="9"/>
      <name val="Arial Cyr"/>
      <charset val="204"/>
    </font>
    <font>
      <sz val="10"/>
      <name val="Arial Cyr"/>
      <charset val="204"/>
    </font>
    <font>
      <sz val="9"/>
      <name val="Arial"/>
      <family val="2"/>
      <charset val="204"/>
    </font>
    <font>
      <b/>
      <sz val="9"/>
      <color theme="4" tint="-0.249977111117893"/>
      <name val="Arial"/>
      <family val="2"/>
      <charset val="204"/>
    </font>
    <font>
      <sz val="9"/>
      <color rgb="FF204D89"/>
      <name val="Arial"/>
      <family val="2"/>
      <charset val="204"/>
    </font>
    <font>
      <b/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DBFF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08">
    <xf numFmtId="0" fontId="0" fillId="0" borderId="0" xfId="0"/>
    <xf numFmtId="1" fontId="2" fillId="0" borderId="0" xfId="0" applyNumberFormat="1" applyFont="1"/>
    <xf numFmtId="1" fontId="2" fillId="0" borderId="0" xfId="0" applyNumberFormat="1" applyFont="1" applyAlignme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left"/>
    </xf>
    <xf numFmtId="1" fontId="3" fillId="2" borderId="2" xfId="0" applyNumberFormat="1" applyFont="1" applyFill="1" applyBorder="1" applyAlignment="1">
      <alignment horizontal="left"/>
    </xf>
    <xf numFmtId="1" fontId="3" fillId="2" borderId="3" xfId="0" applyNumberFormat="1" applyFont="1" applyFill="1" applyBorder="1" applyAlignment="1">
      <alignment horizontal="left"/>
    </xf>
    <xf numFmtId="1" fontId="1" fillId="0" borderId="0" xfId="0" applyNumberFormat="1" applyFont="1"/>
    <xf numFmtId="1" fontId="5" fillId="0" borderId="6" xfId="0" applyNumberFormat="1" applyFont="1" applyBorder="1" applyAlignment="1">
      <alignment horizontal="left"/>
    </xf>
    <xf numFmtId="2" fontId="5" fillId="0" borderId="6" xfId="0" applyNumberFormat="1" applyFont="1" applyBorder="1" applyAlignment="1">
      <alignment horizontal="left"/>
    </xf>
    <xf numFmtId="1" fontId="3" fillId="2" borderId="7" xfId="0" applyNumberFormat="1" applyFont="1" applyFill="1" applyBorder="1" applyAlignment="1">
      <alignment horizontal="left"/>
    </xf>
    <xf numFmtId="1" fontId="3" fillId="2" borderId="8" xfId="0" applyNumberFormat="1" applyFont="1" applyFill="1" applyBorder="1" applyAlignment="1">
      <alignment horizontal="left"/>
    </xf>
    <xf numFmtId="1" fontId="3" fillId="2" borderId="9" xfId="0" applyNumberFormat="1" applyFont="1" applyFill="1" applyBorder="1" applyAlignment="1">
      <alignment horizontal="left"/>
    </xf>
    <xf numFmtId="1" fontId="6" fillId="2" borderId="10" xfId="0" applyNumberFormat="1" applyFont="1" applyFill="1" applyBorder="1" applyAlignment="1">
      <alignment horizontal="center"/>
    </xf>
    <xf numFmtId="1" fontId="6" fillId="2" borderId="11" xfId="0" applyNumberFormat="1" applyFont="1" applyFill="1" applyBorder="1" applyAlignment="1">
      <alignment horizontal="center"/>
    </xf>
    <xf numFmtId="1" fontId="6" fillId="2" borderId="12" xfId="0" applyNumberFormat="1" applyFont="1" applyFill="1" applyBorder="1" applyAlignment="1">
      <alignment horizontal="center"/>
    </xf>
    <xf numFmtId="1" fontId="6" fillId="2" borderId="13" xfId="0" applyNumberFormat="1" applyFont="1" applyFill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6" fillId="0" borderId="5" xfId="0" applyFont="1" applyBorder="1"/>
    <xf numFmtId="0" fontId="6" fillId="0" borderId="17" xfId="0" applyFont="1" applyBorder="1"/>
    <xf numFmtId="0" fontId="3" fillId="0" borderId="17" xfId="0" applyFont="1" applyBorder="1" applyAlignment="1">
      <alignment horizontal="center" vertical="center"/>
    </xf>
    <xf numFmtId="1" fontId="6" fillId="2" borderId="19" xfId="0" applyNumberFormat="1" applyFont="1" applyFill="1" applyBorder="1" applyAlignment="1">
      <alignment horizontal="center"/>
    </xf>
    <xf numFmtId="1" fontId="6" fillId="2" borderId="25" xfId="0" applyNumberFormat="1" applyFont="1" applyFill="1" applyBorder="1" applyAlignment="1">
      <alignment horizontal="center"/>
    </xf>
    <xf numFmtId="1" fontId="6" fillId="2" borderId="14" xfId="0" applyNumberFormat="1" applyFont="1" applyFill="1" applyBorder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1" fontId="6" fillId="2" borderId="28" xfId="0" applyNumberFormat="1" applyFont="1" applyFill="1" applyBorder="1" applyAlignment="1">
      <alignment horizontal="center"/>
    </xf>
    <xf numFmtId="1" fontId="6" fillId="2" borderId="31" xfId="0" applyNumberFormat="1" applyFont="1" applyFill="1" applyBorder="1" applyAlignment="1">
      <alignment horizontal="center"/>
    </xf>
    <xf numFmtId="1" fontId="6" fillId="2" borderId="29" xfId="0" applyNumberFormat="1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1" fontId="6" fillId="2" borderId="23" xfId="0" applyNumberFormat="1" applyFont="1" applyFill="1" applyBorder="1" applyAlignment="1">
      <alignment horizontal="center"/>
    </xf>
    <xf numFmtId="1" fontId="6" fillId="2" borderId="32" xfId="0" applyNumberFormat="1" applyFont="1" applyFill="1" applyBorder="1" applyAlignment="1">
      <alignment horizontal="center"/>
    </xf>
    <xf numFmtId="1" fontId="6" fillId="2" borderId="30" xfId="0" applyNumberFormat="1" applyFont="1" applyFill="1" applyBorder="1" applyAlignment="1">
      <alignment horizontal="center"/>
    </xf>
    <xf numFmtId="1" fontId="3" fillId="2" borderId="11" xfId="0" applyNumberFormat="1" applyFont="1" applyFill="1" applyBorder="1" applyAlignment="1">
      <alignment horizontal="left"/>
    </xf>
    <xf numFmtId="1" fontId="3" fillId="2" borderId="6" xfId="0" applyNumberFormat="1" applyFont="1" applyFill="1" applyBorder="1" applyAlignment="1">
      <alignment horizontal="left"/>
    </xf>
    <xf numFmtId="1" fontId="3" fillId="2" borderId="16" xfId="0" applyNumberFormat="1" applyFont="1" applyFill="1" applyBorder="1" applyAlignment="1">
      <alignment horizontal="left"/>
    </xf>
    <xf numFmtId="1" fontId="3" fillId="2" borderId="14" xfId="0" applyNumberFormat="1" applyFont="1" applyFill="1" applyBorder="1" applyAlignment="1">
      <alignment horizontal="left"/>
    </xf>
    <xf numFmtId="1" fontId="3" fillId="2" borderId="22" xfId="0" applyNumberFormat="1" applyFont="1" applyFill="1" applyBorder="1" applyAlignment="1">
      <alignment horizontal="left"/>
    </xf>
    <xf numFmtId="1" fontId="6" fillId="0" borderId="20" xfId="0" applyNumberFormat="1" applyFont="1" applyBorder="1" applyAlignment="1">
      <alignment horizontal="left"/>
    </xf>
    <xf numFmtId="1" fontId="6" fillId="0" borderId="6" xfId="0" applyNumberFormat="1" applyFont="1" applyBorder="1" applyAlignment="1">
      <alignment horizontal="left"/>
    </xf>
    <xf numFmtId="1" fontId="6" fillId="0" borderId="6" xfId="0" applyNumberFormat="1" applyFont="1" applyFill="1" applyBorder="1" applyAlignment="1">
      <alignment horizontal="left"/>
    </xf>
    <xf numFmtId="1" fontId="6" fillId="0" borderId="22" xfId="0" applyNumberFormat="1" applyFont="1" applyFill="1" applyBorder="1" applyAlignment="1">
      <alignment horizontal="left"/>
    </xf>
    <xf numFmtId="1" fontId="6" fillId="0" borderId="18" xfId="0" applyNumberFormat="1" applyFont="1" applyFill="1" applyBorder="1" applyAlignment="1">
      <alignment horizontal="left"/>
    </xf>
    <xf numFmtId="1" fontId="6" fillId="0" borderId="16" xfId="0" applyNumberFormat="1" applyFont="1" applyBorder="1" applyAlignment="1">
      <alignment horizontal="left"/>
    </xf>
    <xf numFmtId="1" fontId="6" fillId="2" borderId="6" xfId="0" applyNumberFormat="1" applyFont="1" applyFill="1" applyBorder="1" applyAlignment="1"/>
    <xf numFmtId="1" fontId="6" fillId="2" borderId="22" xfId="0" applyNumberFormat="1" applyFont="1" applyFill="1" applyBorder="1" applyAlignment="1"/>
    <xf numFmtId="1" fontId="6" fillId="2" borderId="16" xfId="0" applyNumberFormat="1" applyFont="1" applyFill="1" applyBorder="1" applyAlignment="1"/>
    <xf numFmtId="0" fontId="6" fillId="0" borderId="35" xfId="0" applyFont="1" applyBorder="1" applyAlignment="1"/>
    <xf numFmtId="1" fontId="3" fillId="0" borderId="34" xfId="0" applyNumberFormat="1" applyFont="1" applyBorder="1" applyAlignment="1"/>
    <xf numFmtId="1" fontId="3" fillId="0" borderId="35" xfId="0" applyNumberFormat="1" applyFont="1" applyBorder="1" applyAlignment="1"/>
    <xf numFmtId="0" fontId="3" fillId="0" borderId="35" xfId="0" applyFont="1" applyBorder="1" applyAlignment="1"/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Fill="1"/>
    <xf numFmtId="0" fontId="0" fillId="0" borderId="5" xfId="0" quotePrefix="1" applyFont="1" applyBorder="1"/>
    <xf numFmtId="0" fontId="3" fillId="0" borderId="0" xfId="0" applyNumberFormat="1" applyFont="1" applyAlignment="1">
      <alignment horizontal="left"/>
    </xf>
    <xf numFmtId="0" fontId="0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" fontId="2" fillId="0" borderId="0" xfId="0" quotePrefix="1" applyNumberFormat="1" applyFont="1" applyBorder="1" applyAlignment="1"/>
    <xf numFmtId="1" fontId="2" fillId="0" borderId="0" xfId="0" quotePrefix="1" applyNumberFormat="1" applyFont="1" applyBorder="1"/>
    <xf numFmtId="1" fontId="2" fillId="0" borderId="0" xfId="0" quotePrefix="1" applyNumberFormat="1" applyFont="1" applyBorder="1" applyAlignment="1">
      <alignment horizontal="center"/>
    </xf>
    <xf numFmtId="1" fontId="6" fillId="2" borderId="11" xfId="0" applyNumberFormat="1" applyFont="1" applyFill="1" applyBorder="1" applyAlignment="1"/>
    <xf numFmtId="1" fontId="3" fillId="0" borderId="0" xfId="0" applyNumberFormat="1" applyFont="1" applyBorder="1" applyAlignment="1">
      <alignment horizontal="left"/>
    </xf>
    <xf numFmtId="1" fontId="3" fillId="2" borderId="41" xfId="0" applyNumberFormat="1" applyFont="1" applyFill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6" fillId="2" borderId="21" xfId="0" applyNumberFormat="1" applyFont="1" applyFill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1" fontId="6" fillId="0" borderId="44" xfId="0" applyNumberFormat="1" applyFont="1" applyBorder="1" applyAlignment="1">
      <alignment horizontal="center"/>
    </xf>
    <xf numFmtId="1" fontId="6" fillId="0" borderId="43" xfId="0" applyNumberFormat="1" applyFont="1" applyBorder="1" applyAlignment="1">
      <alignment horizontal="center"/>
    </xf>
    <xf numFmtId="0" fontId="6" fillId="0" borderId="5" xfId="0" applyFont="1" applyBorder="1"/>
    <xf numFmtId="1" fontId="3" fillId="2" borderId="34" xfId="0" applyNumberFormat="1" applyFont="1" applyFill="1" applyBorder="1" applyAlignment="1">
      <alignment horizontal="center"/>
    </xf>
    <xf numFmtId="165" fontId="3" fillId="2" borderId="12" xfId="0" applyNumberFormat="1" applyFont="1" applyFill="1" applyBorder="1" applyAlignment="1">
      <alignment horizontal="center"/>
    </xf>
    <xf numFmtId="165" fontId="3" fillId="2" borderId="12" xfId="0" applyNumberFormat="1" applyFont="1" applyFill="1" applyBorder="1" applyAlignment="1">
      <alignment horizontal="center" vertical="top" wrapText="1"/>
    </xf>
    <xf numFmtId="1" fontId="6" fillId="2" borderId="12" xfId="0" applyNumberFormat="1" applyFont="1" applyFill="1" applyBorder="1" applyAlignment="1">
      <alignment horizontal="left"/>
    </xf>
    <xf numFmtId="1" fontId="6" fillId="0" borderId="20" xfId="0" applyNumberFormat="1" applyFont="1" applyBorder="1" applyAlignment="1">
      <alignment horizontal="left"/>
    </xf>
    <xf numFmtId="1" fontId="6" fillId="0" borderId="20" xfId="0" applyNumberFormat="1" applyFont="1" applyFill="1" applyBorder="1" applyAlignment="1">
      <alignment horizontal="left"/>
    </xf>
    <xf numFmtId="1" fontId="6" fillId="0" borderId="22" xfId="0" applyNumberFormat="1" applyFont="1" applyFill="1" applyBorder="1" applyAlignment="1">
      <alignment horizontal="left"/>
    </xf>
    <xf numFmtId="1" fontId="6" fillId="0" borderId="18" xfId="0" applyNumberFormat="1" applyFont="1" applyFill="1" applyBorder="1" applyAlignment="1">
      <alignment horizontal="left"/>
    </xf>
    <xf numFmtId="1" fontId="3" fillId="2" borderId="38" xfId="0" applyNumberFormat="1" applyFont="1" applyFill="1" applyBorder="1" applyAlignment="1">
      <alignment horizontal="center"/>
    </xf>
    <xf numFmtId="165" fontId="3" fillId="2" borderId="34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/>
    <xf numFmtId="0" fontId="0" fillId="0" borderId="0" xfId="0" quotePrefix="1" applyFont="1" applyBorder="1"/>
    <xf numFmtId="1" fontId="6" fillId="2" borderId="6" xfId="1" applyNumberFormat="1" applyFont="1" applyFill="1" applyBorder="1" applyAlignment="1">
      <alignment horizontal="left"/>
    </xf>
    <xf numFmtId="0" fontId="3" fillId="0" borderId="17" xfId="0" applyFont="1" applyBorder="1" applyAlignment="1">
      <alignment horizontal="center" vertical="center" wrapText="1"/>
    </xf>
    <xf numFmtId="1" fontId="6" fillId="0" borderId="22" xfId="0" applyNumberFormat="1" applyFont="1" applyBorder="1" applyAlignment="1">
      <alignment horizontal="left"/>
    </xf>
    <xf numFmtId="1" fontId="6" fillId="2" borderId="20" xfId="1" applyNumberFormat="1" applyFont="1" applyFill="1" applyBorder="1" applyAlignment="1">
      <alignment horizontal="left"/>
    </xf>
    <xf numFmtId="1" fontId="6" fillId="0" borderId="47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left"/>
    </xf>
    <xf numFmtId="1" fontId="6" fillId="2" borderId="48" xfId="0" applyNumberFormat="1" applyFont="1" applyFill="1" applyBorder="1" applyAlignment="1">
      <alignment horizontal="center"/>
    </xf>
    <xf numFmtId="1" fontId="6" fillId="2" borderId="15" xfId="0" applyNumberFormat="1" applyFont="1" applyFill="1" applyBorder="1" applyAlignment="1">
      <alignment horizontal="center"/>
    </xf>
    <xf numFmtId="1" fontId="6" fillId="2" borderId="49" xfId="0" applyNumberFormat="1" applyFont="1" applyFill="1" applyBorder="1" applyAlignment="1">
      <alignment horizontal="center"/>
    </xf>
    <xf numFmtId="2" fontId="0" fillId="0" borderId="0" xfId="0" applyNumberFormat="1" applyFont="1"/>
    <xf numFmtId="1" fontId="6" fillId="2" borderId="5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right"/>
    </xf>
    <xf numFmtId="0" fontId="10" fillId="3" borderId="6" xfId="0" applyFont="1" applyFill="1" applyBorder="1" applyAlignment="1">
      <alignment horizontal="center" vertical="center" wrapText="1"/>
    </xf>
    <xf numFmtId="164" fontId="11" fillId="0" borderId="6" xfId="0" applyNumberFormat="1" applyFont="1" applyBorder="1" applyAlignment="1">
      <alignment vertical="top"/>
    </xf>
    <xf numFmtId="164" fontId="8" fillId="0" borderId="6" xfId="0" applyNumberFormat="1" applyFont="1" applyBorder="1" applyAlignment="1">
      <alignment vertical="top"/>
    </xf>
    <xf numFmtId="2" fontId="0" fillId="0" borderId="0" xfId="0" applyNumberFormat="1" applyFont="1" applyFill="1"/>
    <xf numFmtId="0" fontId="6" fillId="0" borderId="18" xfId="0" applyFont="1" applyBorder="1" applyAlignment="1"/>
    <xf numFmtId="0" fontId="6" fillId="0" borderId="42" xfId="0" applyFont="1" applyBorder="1" applyAlignment="1"/>
    <xf numFmtId="0" fontId="6" fillId="0" borderId="42" xfId="0" applyFont="1" applyBorder="1" applyAlignment="1"/>
    <xf numFmtId="0" fontId="6" fillId="0" borderId="18" xfId="0" applyFont="1" applyBorder="1" applyAlignment="1"/>
    <xf numFmtId="1" fontId="6" fillId="0" borderId="0" xfId="0" applyNumberFormat="1" applyFont="1" applyBorder="1" applyAlignment="1">
      <alignment horizontal="center"/>
    </xf>
    <xf numFmtId="1" fontId="6" fillId="0" borderId="39" xfId="0" applyNumberFormat="1" applyFont="1" applyBorder="1" applyAlignment="1">
      <alignment horizontal="center"/>
    </xf>
    <xf numFmtId="1" fontId="4" fillId="0" borderId="6" xfId="0" applyNumberFormat="1" applyFont="1" applyBorder="1" applyAlignment="1"/>
    <xf numFmtId="0" fontId="1" fillId="0" borderId="6" xfId="0" applyFont="1" applyBorder="1" applyAlignment="1"/>
    <xf numFmtId="1" fontId="6" fillId="0" borderId="7" xfId="0" applyNumberFormat="1" applyFont="1" applyBorder="1" applyAlignment="1"/>
    <xf numFmtId="1" fontId="6" fillId="0" borderId="42" xfId="0" applyNumberFormat="1" applyFont="1" applyBorder="1" applyAlignment="1"/>
    <xf numFmtId="1" fontId="6" fillId="0" borderId="9" xfId="0" applyNumberFormat="1" applyFont="1" applyBorder="1" applyAlignment="1"/>
    <xf numFmtId="1" fontId="4" fillId="0" borderId="21" xfId="0" applyNumberFormat="1" applyFont="1" applyBorder="1" applyAlignment="1"/>
    <xf numFmtId="1" fontId="4" fillId="0" borderId="28" xfId="0" applyNumberFormat="1" applyFont="1" applyBorder="1" applyAlignment="1"/>
    <xf numFmtId="1" fontId="6" fillId="0" borderId="2" xfId="0" applyNumberFormat="1" applyFont="1" applyBorder="1" applyAlignment="1"/>
    <xf numFmtId="1" fontId="6" fillId="0" borderId="3" xfId="0" applyNumberFormat="1" applyFont="1" applyBorder="1" applyAlignment="1"/>
    <xf numFmtId="1" fontId="3" fillId="0" borderId="42" xfId="0" applyNumberFormat="1" applyFont="1" applyFill="1" applyBorder="1" applyAlignment="1">
      <alignment horizontal="center"/>
    </xf>
    <xf numFmtId="0" fontId="6" fillId="0" borderId="42" xfId="0" applyFont="1" applyBorder="1" applyAlignment="1"/>
    <xf numFmtId="1" fontId="6" fillId="0" borderId="18" xfId="0" applyNumberFormat="1" applyFont="1" applyBorder="1" applyAlignment="1"/>
    <xf numFmtId="0" fontId="6" fillId="0" borderId="18" xfId="0" applyFont="1" applyBorder="1" applyAlignment="1"/>
    <xf numFmtId="0" fontId="6" fillId="0" borderId="36" xfId="0" applyFont="1" applyBorder="1" applyAlignment="1"/>
    <xf numFmtId="1" fontId="9" fillId="0" borderId="6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left"/>
    </xf>
    <xf numFmtId="1" fontId="3" fillId="2" borderId="4" xfId="0" applyNumberFormat="1" applyFont="1" applyFill="1" applyBorder="1" applyAlignment="1">
      <alignment horizontal="center" vertical="top" wrapText="1"/>
    </xf>
    <xf numFmtId="0" fontId="0" fillId="0" borderId="43" xfId="0" applyBorder="1" applyAlignment="1">
      <alignment vertical="top" wrapText="1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" fontId="3" fillId="0" borderId="4" xfId="0" applyNumberFormat="1" applyFont="1" applyBorder="1" applyAlignment="1">
      <alignment horizontal="center" vertical="center"/>
    </xf>
    <xf numFmtId="0" fontId="6" fillId="0" borderId="4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wrapText="1"/>
    </xf>
    <xf numFmtId="1" fontId="3" fillId="0" borderId="18" xfId="0" applyNumberFormat="1" applyFont="1" applyFill="1" applyBorder="1" applyAlignment="1">
      <alignment horizontal="center"/>
    </xf>
    <xf numFmtId="0" fontId="6" fillId="0" borderId="18" xfId="0" applyFont="1" applyFill="1" applyBorder="1" applyAlignment="1"/>
    <xf numFmtId="1" fontId="3" fillId="0" borderId="44" xfId="0" applyNumberFormat="1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/>
    </xf>
    <xf numFmtId="1" fontId="6" fillId="0" borderId="39" xfId="0" applyNumberFormat="1" applyFont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" fontId="3" fillId="0" borderId="18" xfId="0" applyNumberFormat="1" applyFont="1" applyFill="1" applyBorder="1" applyAlignment="1">
      <alignment horizontal="center" vertical="top" wrapText="1"/>
    </xf>
    <xf numFmtId="1" fontId="3" fillId="0" borderId="34" xfId="0" applyNumberFormat="1" applyFont="1" applyBorder="1" applyAlignment="1">
      <alignment horizontal="center" vertical="center"/>
    </xf>
    <xf numFmtId="1" fontId="3" fillId="0" borderId="35" xfId="0" applyNumberFormat="1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42" xfId="0" applyFont="1" applyFill="1" applyBorder="1" applyAlignment="1"/>
    <xf numFmtId="1" fontId="6" fillId="0" borderId="39" xfId="0" applyNumberFormat="1" applyFont="1" applyFill="1" applyBorder="1" applyAlignment="1">
      <alignment horizontal="center"/>
    </xf>
    <xf numFmtId="1" fontId="6" fillId="0" borderId="26" xfId="0" applyNumberFormat="1" applyFont="1" applyBorder="1" applyAlignment="1">
      <alignment horizontal="center"/>
    </xf>
    <xf numFmtId="1" fontId="6" fillId="0" borderId="40" xfId="0" applyNumberFormat="1" applyFont="1" applyBorder="1" applyAlignment="1">
      <alignment horizontal="center"/>
    </xf>
    <xf numFmtId="0" fontId="0" fillId="0" borderId="43" xfId="0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/>
    </xf>
    <xf numFmtId="1" fontId="3" fillId="0" borderId="44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2" fontId="6" fillId="2" borderId="35" xfId="0" applyNumberFormat="1" applyFont="1" applyFill="1" applyBorder="1" applyAlignment="1">
      <alignment horizontal="center"/>
    </xf>
    <xf numFmtId="2" fontId="6" fillId="2" borderId="24" xfId="0" applyNumberFormat="1" applyFont="1" applyFill="1" applyBorder="1" applyAlignment="1">
      <alignment horizontal="center"/>
    </xf>
    <xf numFmtId="2" fontId="6" fillId="2" borderId="12" xfId="0" applyNumberFormat="1" applyFont="1" applyFill="1" applyBorder="1" applyAlignment="1">
      <alignment horizontal="center"/>
    </xf>
    <xf numFmtId="2" fontId="6" fillId="0" borderId="27" xfId="0" applyNumberFormat="1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2" fontId="6" fillId="0" borderId="18" xfId="0" applyNumberFormat="1" applyFont="1" applyBorder="1" applyAlignment="1">
      <alignment horizontal="center"/>
    </xf>
    <xf numFmtId="2" fontId="6" fillId="0" borderId="45" xfId="0" applyNumberFormat="1" applyFont="1" applyBorder="1" applyAlignment="1">
      <alignment horizontal="center"/>
    </xf>
    <xf numFmtId="2" fontId="6" fillId="0" borderId="28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2" fontId="6" fillId="0" borderId="21" xfId="0" applyNumberFormat="1" applyFont="1" applyBorder="1" applyAlignment="1">
      <alignment horizontal="center"/>
    </xf>
    <xf numFmtId="2" fontId="6" fillId="0" borderId="29" xfId="0" applyNumberFormat="1" applyFont="1" applyBorder="1" applyAlignment="1">
      <alignment horizontal="center"/>
    </xf>
    <xf numFmtId="2" fontId="6" fillId="0" borderId="22" xfId="0" applyNumberFormat="1" applyFont="1" applyBorder="1" applyAlignment="1">
      <alignment horizontal="center"/>
    </xf>
    <xf numFmtId="2" fontId="6" fillId="0" borderId="22" xfId="0" quotePrefix="1" applyNumberFormat="1" applyFont="1" applyBorder="1" applyAlignment="1">
      <alignment horizontal="center"/>
    </xf>
    <xf numFmtId="2" fontId="6" fillId="0" borderId="23" xfId="0" applyNumberFormat="1" applyFont="1" applyBorder="1" applyAlignment="1">
      <alignment horizontal="center"/>
    </xf>
    <xf numFmtId="2" fontId="6" fillId="0" borderId="37" xfId="0" applyNumberFormat="1" applyFont="1" applyFill="1" applyBorder="1" applyAlignment="1">
      <alignment horizontal="center"/>
    </xf>
    <xf numFmtId="2" fontId="6" fillId="0" borderId="18" xfId="0" applyNumberFormat="1" applyFont="1" applyFill="1" applyBorder="1" applyAlignment="1">
      <alignment horizontal="center"/>
    </xf>
    <xf numFmtId="2" fontId="6" fillId="0" borderId="46" xfId="0" applyNumberFormat="1" applyFont="1" applyFill="1" applyBorder="1" applyAlignment="1">
      <alignment horizontal="center"/>
    </xf>
    <xf numFmtId="2" fontId="6" fillId="0" borderId="20" xfId="0" applyNumberFormat="1" applyFont="1" applyFill="1" applyBorder="1" applyAlignment="1">
      <alignment horizontal="center"/>
    </xf>
    <xf numFmtId="2" fontId="6" fillId="0" borderId="21" xfId="0" applyNumberFormat="1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6" fillId="0" borderId="45" xfId="0" applyNumberFormat="1" applyFont="1" applyFill="1" applyBorder="1" applyAlignment="1">
      <alignment horizontal="center"/>
    </xf>
    <xf numFmtId="2" fontId="6" fillId="0" borderId="23" xfId="0" applyNumberFormat="1" applyFont="1" applyFill="1" applyBorder="1" applyAlignment="1">
      <alignment horizontal="center"/>
    </xf>
    <xf numFmtId="2" fontId="6" fillId="0" borderId="6" xfId="0" applyNumberFormat="1" applyFont="1" applyFill="1" applyBorder="1" applyAlignment="1">
      <alignment horizontal="center"/>
    </xf>
    <xf numFmtId="2" fontId="6" fillId="0" borderId="37" xfId="0" applyNumberFormat="1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2" fontId="6" fillId="0" borderId="29" xfId="0" applyNumberFormat="1" applyFont="1" applyFill="1" applyBorder="1" applyAlignment="1">
      <alignment horizontal="center"/>
    </xf>
    <xf numFmtId="2" fontId="6" fillId="0" borderId="22" xfId="0" applyNumberFormat="1" applyFont="1" applyFill="1" applyBorder="1" applyAlignment="1">
      <alignment horizontal="center"/>
    </xf>
    <xf numFmtId="2" fontId="6" fillId="0" borderId="28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6" fillId="0" borderId="11" xfId="0" applyNumberFormat="1" applyFont="1" applyFill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2" fontId="6" fillId="0" borderId="16" xfId="0" applyNumberFormat="1" applyFont="1" applyBorder="1" applyAlignment="1">
      <alignment horizontal="center"/>
    </xf>
    <xf numFmtId="2" fontId="0" fillId="0" borderId="6" xfId="0" applyNumberFormat="1" applyFont="1" applyBorder="1"/>
    <xf numFmtId="2" fontId="6" fillId="0" borderId="30" xfId="0" applyNumberFormat="1" applyFont="1" applyBorder="1" applyAlignment="1">
      <alignment horizontal="center"/>
    </xf>
    <xf numFmtId="2" fontId="6" fillId="0" borderId="31" xfId="0" applyNumberFormat="1" applyFont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2" fontId="6" fillId="2" borderId="11" xfId="0" applyNumberFormat="1" applyFont="1" applyFill="1" applyBorder="1" applyAlignment="1">
      <alignment horizontal="center"/>
    </xf>
    <xf numFmtId="2" fontId="6" fillId="2" borderId="32" xfId="0" applyNumberFormat="1" applyFont="1" applyFill="1" applyBorder="1" applyAlignment="1">
      <alignment horizontal="center"/>
    </xf>
    <xf numFmtId="2" fontId="6" fillId="2" borderId="6" xfId="0" applyNumberFormat="1" applyFont="1" applyFill="1" applyBorder="1" applyAlignment="1">
      <alignment horizontal="center"/>
    </xf>
    <xf numFmtId="2" fontId="6" fillId="2" borderId="33" xfId="0" applyNumberFormat="1" applyFont="1" applyFill="1" applyBorder="1" applyAlignment="1">
      <alignment horizontal="center"/>
    </xf>
    <xf numFmtId="2" fontId="6" fillId="2" borderId="21" xfId="0" applyNumberFormat="1" applyFont="1" applyFill="1" applyBorder="1" applyAlignment="1">
      <alignment horizontal="center"/>
    </xf>
    <xf numFmtId="2" fontId="6" fillId="2" borderId="29" xfId="0" applyNumberFormat="1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23" xfId="0" applyNumberFormat="1" applyFont="1" applyFill="1" applyBorder="1" applyAlignment="1">
      <alignment horizontal="center"/>
    </xf>
    <xf numFmtId="2" fontId="6" fillId="2" borderId="28" xfId="0" applyNumberFormat="1" applyFont="1" applyFill="1" applyBorder="1" applyAlignment="1">
      <alignment horizontal="center"/>
    </xf>
    <xf numFmtId="2" fontId="6" fillId="2" borderId="30" xfId="0" applyNumberFormat="1" applyFont="1" applyFill="1" applyBorder="1" applyAlignment="1">
      <alignment horizontal="center"/>
    </xf>
  </cellXfs>
  <cellStyles count="2">
    <cellStyle name="Обычный" xfId="0" builtinId="0"/>
    <cellStyle name="Обычный 3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Z175"/>
  <sheetViews>
    <sheetView tabSelected="1" topLeftCell="C1" zoomScale="87" zoomScaleNormal="87" workbookViewId="0">
      <pane ySplit="3" topLeftCell="A31" activePane="bottomLeft" state="frozen"/>
      <selection pane="bottomLeft" activeCell="F54" sqref="F54"/>
    </sheetView>
  </sheetViews>
  <sheetFormatPr defaultRowHeight="12.75" x14ac:dyDescent="0.2"/>
  <cols>
    <col min="1" max="1" width="2" style="51" customWidth="1" collapsed="1"/>
    <col min="2" max="2" width="39.42578125" style="4" customWidth="1" collapsed="1"/>
    <col min="3" max="3" width="16" style="4" customWidth="1" collapsed="1"/>
    <col min="4" max="4" width="36" style="2" customWidth="1" collapsed="1"/>
    <col min="5" max="7" width="9.28515625" style="1" customWidth="1" collapsed="1"/>
    <col min="8" max="8" width="9.28515625" style="2" customWidth="1" collapsed="1"/>
    <col min="9" max="11" width="9.28515625" style="3" customWidth="1" collapsed="1"/>
    <col min="12" max="12" width="9.28515625" style="2" customWidth="1" collapsed="1"/>
    <col min="13" max="21" width="9.28515625" style="52" customWidth="1" collapsed="1"/>
    <col min="22" max="22" width="9.28515625" style="84" customWidth="1" collapsed="1"/>
    <col min="23" max="23" width="10" style="52" customWidth="1" collapsed="1"/>
    <col min="24" max="24" width="11.7109375" style="52" customWidth="1" collapsed="1"/>
    <col min="25" max="25" width="9.7109375" style="52" customWidth="1" collapsed="1"/>
    <col min="26" max="26" width="9.140625" style="84" customWidth="1" collapsed="1"/>
    <col min="27" max="16384" width="9.140625" style="52" collapsed="1"/>
  </cols>
  <sheetData>
    <row r="1" spans="1:26" ht="13.5" thickBot="1" x14ac:dyDescent="0.25">
      <c r="B1" s="48" t="s">
        <v>169</v>
      </c>
      <c r="C1" s="49"/>
      <c r="D1" s="49"/>
      <c r="E1" s="49"/>
      <c r="F1" s="49"/>
      <c r="G1" s="49"/>
      <c r="H1" s="49"/>
      <c r="I1" s="49"/>
      <c r="J1" s="47"/>
      <c r="K1" s="49"/>
      <c r="L1" s="50"/>
      <c r="M1" s="50"/>
      <c r="N1" s="19"/>
      <c r="O1" s="19"/>
      <c r="P1" s="19"/>
      <c r="Q1" s="19"/>
      <c r="R1" s="19"/>
      <c r="S1" s="19"/>
      <c r="T1" s="19"/>
      <c r="U1" s="19"/>
      <c r="V1" s="73"/>
      <c r="W1" s="19"/>
      <c r="X1" s="19"/>
      <c r="Y1" s="20"/>
    </row>
    <row r="2" spans="1:26" s="53" customFormat="1" ht="13.5" customHeight="1" thickBot="1" x14ac:dyDescent="0.25">
      <c r="A2" s="51"/>
      <c r="B2" s="130" t="s">
        <v>3</v>
      </c>
      <c r="C2" s="134" t="s">
        <v>40</v>
      </c>
      <c r="D2" s="130" t="s">
        <v>15</v>
      </c>
      <c r="E2" s="138" t="s">
        <v>26</v>
      </c>
      <c r="F2" s="158" t="s">
        <v>5</v>
      </c>
      <c r="G2" s="138" t="s">
        <v>27</v>
      </c>
      <c r="H2" s="148" t="s">
        <v>16</v>
      </c>
      <c r="I2" s="149"/>
      <c r="J2" s="150"/>
      <c r="K2" s="150"/>
      <c r="L2" s="150"/>
      <c r="M2" s="130" t="s">
        <v>12</v>
      </c>
      <c r="N2" s="130" t="s">
        <v>10</v>
      </c>
      <c r="O2" s="130" t="s">
        <v>11</v>
      </c>
      <c r="P2" s="130" t="s">
        <v>22</v>
      </c>
      <c r="Q2" s="138" t="s">
        <v>28</v>
      </c>
      <c r="R2" s="136" t="s">
        <v>29</v>
      </c>
      <c r="S2" s="134" t="s">
        <v>37</v>
      </c>
      <c r="T2" s="134" t="s">
        <v>38</v>
      </c>
      <c r="U2" s="132" t="s">
        <v>39</v>
      </c>
      <c r="V2" s="134" t="s">
        <v>119</v>
      </c>
      <c r="W2" s="127" t="s">
        <v>0</v>
      </c>
      <c r="X2" s="128"/>
      <c r="Y2" s="129"/>
    </row>
    <row r="3" spans="1:26" s="53" customFormat="1" ht="34.5" customHeight="1" thickBot="1" x14ac:dyDescent="0.25">
      <c r="A3" s="51"/>
      <c r="B3" s="142"/>
      <c r="C3" s="143"/>
      <c r="D3" s="156"/>
      <c r="E3" s="157"/>
      <c r="F3" s="159"/>
      <c r="G3" s="157"/>
      <c r="H3" s="67" t="s">
        <v>6</v>
      </c>
      <c r="I3" s="67" t="s">
        <v>7</v>
      </c>
      <c r="J3" s="67" t="s">
        <v>8</v>
      </c>
      <c r="K3" s="67" t="s">
        <v>9</v>
      </c>
      <c r="L3" s="68" t="s">
        <v>146</v>
      </c>
      <c r="M3" s="131"/>
      <c r="N3" s="131"/>
      <c r="O3" s="131"/>
      <c r="P3" s="131"/>
      <c r="Q3" s="139"/>
      <c r="R3" s="137"/>
      <c r="S3" s="135"/>
      <c r="T3" s="135"/>
      <c r="U3" s="133"/>
      <c r="V3" s="155"/>
      <c r="W3" s="88" t="s">
        <v>41</v>
      </c>
      <c r="X3" s="66" t="s">
        <v>25</v>
      </c>
      <c r="Y3" s="21" t="s">
        <v>23</v>
      </c>
      <c r="Z3" s="53" t="s">
        <v>121</v>
      </c>
    </row>
    <row r="4" spans="1:26" ht="13.5" thickBot="1" x14ac:dyDescent="0.25">
      <c r="B4" s="74" t="s">
        <v>149</v>
      </c>
      <c r="C4" s="75">
        <v>43894.333333333336</v>
      </c>
      <c r="D4" s="77"/>
      <c r="E4" s="160">
        <f>SUM(E5:E8)</f>
        <v>1601.2000122070312</v>
      </c>
      <c r="F4" s="161">
        <f>SUM(F5:F8)</f>
        <v>25.969297885894775</v>
      </c>
      <c r="G4" s="161">
        <f>SUM(G5:G8)</f>
        <v>1575.9109686613083</v>
      </c>
      <c r="H4" s="162">
        <f>SUM(H5:H8)</f>
        <v>98.946998596191406</v>
      </c>
      <c r="I4" s="162">
        <f t="shared" ref="I4:O4" si="0">SUM(I5:I7)</f>
        <v>0</v>
      </c>
      <c r="J4" s="162">
        <f t="shared" si="0"/>
        <v>0</v>
      </c>
      <c r="K4" s="162">
        <f t="shared" si="0"/>
        <v>98.946998596191406</v>
      </c>
      <c r="L4" s="160">
        <f t="shared" si="0"/>
        <v>0</v>
      </c>
      <c r="M4" s="162">
        <f t="shared" si="0"/>
        <v>0</v>
      </c>
      <c r="N4" s="162">
        <f t="shared" si="0"/>
        <v>0</v>
      </c>
      <c r="O4" s="162">
        <f t="shared" si="0"/>
        <v>0</v>
      </c>
      <c r="P4" s="162">
        <f>SUM(P5:P8)</f>
        <v>110</v>
      </c>
      <c r="Q4" s="162">
        <f>SUM(Q5:Q8)</f>
        <v>1366.9639835357666</v>
      </c>
      <c r="R4" s="162">
        <f>SUM(R5:R8)</f>
        <v>739.9278507232666</v>
      </c>
      <c r="S4" s="162">
        <f>SUM(S5:S7)</f>
        <v>109.18612670898437</v>
      </c>
      <c r="T4" s="161">
        <f>SUM(T5:T8)</f>
        <v>517.85000610351562</v>
      </c>
      <c r="U4" s="161" t="s">
        <v>24</v>
      </c>
      <c r="V4" s="162">
        <f>SUM(V5:V8)</f>
        <v>0.68025434017181396</v>
      </c>
      <c r="W4" s="23">
        <v>1410.0225830078125</v>
      </c>
      <c r="X4" s="16">
        <v>1442.22900390625</v>
      </c>
      <c r="Y4" s="17">
        <v>31574.383301734924</v>
      </c>
      <c r="Z4" s="96">
        <f>E4-F4-H4-M4-N4-O4-P4-Q4+V4</f>
        <v>-1.3470649719238281E-5</v>
      </c>
    </row>
    <row r="5" spans="1:26" x14ac:dyDescent="0.2">
      <c r="B5" s="111"/>
      <c r="C5" s="120"/>
      <c r="D5" s="78" t="s">
        <v>50</v>
      </c>
      <c r="E5" s="163">
        <v>445.20001220703125</v>
      </c>
      <c r="F5" s="164">
        <v>0</v>
      </c>
      <c r="G5" s="165">
        <f>SUM(E5)-SUM(F5)+V5</f>
        <v>445.20001220703125</v>
      </c>
      <c r="H5" s="164">
        <v>0</v>
      </c>
      <c r="I5" s="164">
        <v>0</v>
      </c>
      <c r="J5" s="164">
        <v>0</v>
      </c>
      <c r="K5" s="164">
        <v>0</v>
      </c>
      <c r="L5" s="164">
        <v>0</v>
      </c>
      <c r="M5" s="164">
        <v>0</v>
      </c>
      <c r="N5" s="164">
        <v>0</v>
      </c>
      <c r="O5" s="164">
        <v>0</v>
      </c>
      <c r="P5" s="164">
        <v>0</v>
      </c>
      <c r="Q5" s="164">
        <f>SUM(R5:T5)</f>
        <v>445.20001220703125</v>
      </c>
      <c r="R5" s="164">
        <v>179.76138305664062</v>
      </c>
      <c r="S5" s="164">
        <v>42.588623046875</v>
      </c>
      <c r="T5" s="164">
        <v>222.85000610351562</v>
      </c>
      <c r="U5" s="166" t="s">
        <v>24</v>
      </c>
      <c r="V5" s="164">
        <v>0</v>
      </c>
      <c r="W5" s="144"/>
      <c r="X5" s="144"/>
      <c r="Y5" s="145"/>
      <c r="Z5" s="96">
        <f>E5-F5-H5-M5-N5-O5-P5-Q5+V5</f>
        <v>0</v>
      </c>
    </row>
    <row r="6" spans="1:26" x14ac:dyDescent="0.2">
      <c r="B6" s="116"/>
      <c r="C6" s="121"/>
      <c r="D6" s="39" t="s">
        <v>51</v>
      </c>
      <c r="E6" s="167">
        <v>385</v>
      </c>
      <c r="F6" s="168">
        <v>15</v>
      </c>
      <c r="G6" s="168">
        <f>SUM(E6)-SUM(F6)+V6</f>
        <v>370</v>
      </c>
      <c r="H6" s="168">
        <v>0</v>
      </c>
      <c r="I6" s="168">
        <v>0</v>
      </c>
      <c r="J6" s="168">
        <v>0</v>
      </c>
      <c r="K6" s="168">
        <v>0</v>
      </c>
      <c r="L6" s="168">
        <v>0</v>
      </c>
      <c r="M6" s="168">
        <v>0</v>
      </c>
      <c r="N6" s="168">
        <v>0</v>
      </c>
      <c r="O6" s="168">
        <v>0</v>
      </c>
      <c r="P6" s="168">
        <v>110</v>
      </c>
      <c r="Q6" s="168">
        <f>SUM(R6:T6)</f>
        <v>260.00000381469727</v>
      </c>
      <c r="R6" s="168">
        <v>130.91426086425781</v>
      </c>
      <c r="S6" s="168">
        <v>19.085742950439453</v>
      </c>
      <c r="T6" s="168">
        <v>110</v>
      </c>
      <c r="U6" s="169" t="s">
        <v>24</v>
      </c>
      <c r="V6" s="168">
        <v>0</v>
      </c>
      <c r="W6" s="144"/>
      <c r="X6" s="144"/>
      <c r="Y6" s="145"/>
      <c r="Z6" s="96">
        <f>E6-F6-H6-M6-N6-O6-P6-Q6+V6</f>
        <v>-3.814697265625E-6</v>
      </c>
    </row>
    <row r="7" spans="1:26" x14ac:dyDescent="0.2">
      <c r="B7" s="116"/>
      <c r="C7" s="121"/>
      <c r="D7" s="39" t="s">
        <v>52</v>
      </c>
      <c r="E7" s="167">
        <v>735</v>
      </c>
      <c r="F7" s="168">
        <v>1.0529999732971191</v>
      </c>
      <c r="G7" s="168">
        <f>SUM(E7)-SUM(F7)+V7</f>
        <v>733.94700002670288</v>
      </c>
      <c r="H7" s="168">
        <v>98.946998596191406</v>
      </c>
      <c r="I7" s="168">
        <v>0</v>
      </c>
      <c r="J7" s="168">
        <v>0</v>
      </c>
      <c r="K7" s="168">
        <v>98.946998596191406</v>
      </c>
      <c r="L7" s="168">
        <v>0</v>
      </c>
      <c r="M7" s="168">
        <v>0</v>
      </c>
      <c r="N7" s="168">
        <v>0</v>
      </c>
      <c r="O7" s="168">
        <v>0</v>
      </c>
      <c r="P7" s="168">
        <v>0</v>
      </c>
      <c r="Q7" s="168">
        <f>SUM(R7:T7)</f>
        <v>635.0000114440918</v>
      </c>
      <c r="R7" s="168">
        <v>402.48825073242187</v>
      </c>
      <c r="S7" s="168">
        <v>47.511760711669922</v>
      </c>
      <c r="T7" s="168">
        <v>185</v>
      </c>
      <c r="U7" s="169" t="s">
        <v>24</v>
      </c>
      <c r="V7" s="168">
        <v>0</v>
      </c>
      <c r="W7" s="144"/>
      <c r="X7" s="144"/>
      <c r="Y7" s="145"/>
      <c r="Z7" s="96">
        <f>E7-F7-H7-M7-N7-O7-P7-Q7+V7</f>
        <v>-1.0013580322265625E-5</v>
      </c>
    </row>
    <row r="8" spans="1:26" ht="13.5" thickBot="1" x14ac:dyDescent="0.25">
      <c r="B8" s="113"/>
      <c r="C8" s="121"/>
      <c r="D8" s="89" t="s">
        <v>43</v>
      </c>
      <c r="E8" s="170">
        <v>36</v>
      </c>
      <c r="F8" s="171">
        <v>9.9162979125976562</v>
      </c>
      <c r="G8" s="165">
        <f>SUM(E8)-SUM(F8)+V8</f>
        <v>26.763956427574158</v>
      </c>
      <c r="H8" s="172" t="s">
        <v>24</v>
      </c>
      <c r="I8" s="172" t="s">
        <v>24</v>
      </c>
      <c r="J8" s="172" t="s">
        <v>24</v>
      </c>
      <c r="K8" s="172" t="s">
        <v>24</v>
      </c>
      <c r="L8" s="172" t="s">
        <v>24</v>
      </c>
      <c r="M8" s="172" t="s">
        <v>24</v>
      </c>
      <c r="N8" s="172" t="s">
        <v>24</v>
      </c>
      <c r="O8" s="172" t="s">
        <v>24</v>
      </c>
      <c r="P8" s="172" t="s">
        <v>24</v>
      </c>
      <c r="Q8" s="171">
        <f>SUM(R8,T8)</f>
        <v>26.763956069946289</v>
      </c>
      <c r="R8" s="171">
        <v>26.763956069946289</v>
      </c>
      <c r="S8" s="171" t="s">
        <v>24</v>
      </c>
      <c r="T8" s="171" t="s">
        <v>24</v>
      </c>
      <c r="U8" s="173" t="s">
        <v>24</v>
      </c>
      <c r="V8" s="171">
        <v>0.68025434017181396</v>
      </c>
      <c r="W8" s="144"/>
      <c r="X8" s="144"/>
      <c r="Y8" s="145"/>
      <c r="Z8" s="96" t="e">
        <f>E8-F8-H8-P8-Q8+V8</f>
        <v>#VALUE!</v>
      </c>
    </row>
    <row r="9" spans="1:26" ht="13.5" thickBot="1" x14ac:dyDescent="0.25">
      <c r="B9" s="74" t="s">
        <v>150</v>
      </c>
      <c r="C9" s="75">
        <v>43894.291666666664</v>
      </c>
      <c r="D9" s="77"/>
      <c r="E9" s="162">
        <f t="shared" ref="E9:R9" si="1">SUM(E11:E16)</f>
        <v>3012.5</v>
      </c>
      <c r="F9" s="162">
        <f t="shared" si="1"/>
        <v>340.94499999999999</v>
      </c>
      <c r="G9" s="162">
        <f t="shared" si="1"/>
        <v>2672.542578332424</v>
      </c>
      <c r="H9" s="162">
        <f t="shared" si="1"/>
        <v>0</v>
      </c>
      <c r="I9" s="162">
        <f t="shared" si="1"/>
        <v>0</v>
      </c>
      <c r="J9" s="162">
        <f t="shared" si="1"/>
        <v>0</v>
      </c>
      <c r="K9" s="162">
        <f t="shared" si="1"/>
        <v>0</v>
      </c>
      <c r="L9" s="162">
        <f t="shared" si="1"/>
        <v>0</v>
      </c>
      <c r="M9" s="162">
        <f t="shared" si="1"/>
        <v>0</v>
      </c>
      <c r="N9" s="162">
        <f t="shared" si="1"/>
        <v>0</v>
      </c>
      <c r="O9" s="162">
        <f t="shared" si="1"/>
        <v>0</v>
      </c>
      <c r="P9" s="162">
        <f t="shared" si="1"/>
        <v>118</v>
      </c>
      <c r="Q9" s="162">
        <f t="shared" si="1"/>
        <v>2554.5424016475677</v>
      </c>
      <c r="R9" s="162">
        <f t="shared" si="1"/>
        <v>1491.5474548339844</v>
      </c>
      <c r="S9" s="162">
        <f>SUM(S11:S15)</f>
        <v>141.39494681358337</v>
      </c>
      <c r="T9" s="162">
        <f>SUM(T11:T15)</f>
        <v>920.5</v>
      </c>
      <c r="U9" s="161">
        <f>SUM(U16)</f>
        <v>1.1000000000000001</v>
      </c>
      <c r="V9" s="162">
        <f>SUM(V11:V16)</f>
        <v>0.98757833242416382</v>
      </c>
      <c r="W9" s="23">
        <v>2317.076904296875</v>
      </c>
      <c r="X9" s="16">
        <v>2358.75537109375</v>
      </c>
      <c r="Y9" s="17">
        <v>50500.90087890625</v>
      </c>
      <c r="Z9" s="96">
        <f t="shared" ref="Z9:Z22" si="2">E9-F9-H9-M9-N9-O9-P9-Q9+V9</f>
        <v>1.7668485634203535E-4</v>
      </c>
    </row>
    <row r="10" spans="1:26" s="54" customFormat="1" x14ac:dyDescent="0.2">
      <c r="A10" s="51"/>
      <c r="B10" s="118"/>
      <c r="C10" s="140"/>
      <c r="D10" s="81" t="s">
        <v>32</v>
      </c>
      <c r="E10" s="174">
        <f>SUM(E11:E15)</f>
        <v>2522.5</v>
      </c>
      <c r="F10" s="175">
        <f>SUM(F11:F15)</f>
        <v>0</v>
      </c>
      <c r="G10" s="175">
        <f t="shared" ref="G10:G16" si="3">SUM(E10)-SUM(F10)+V10</f>
        <v>2523.4875783324242</v>
      </c>
      <c r="H10" s="175">
        <f t="shared" ref="H10:T10" si="4">SUM(H11:H15)</f>
        <v>0</v>
      </c>
      <c r="I10" s="175">
        <f t="shared" si="4"/>
        <v>0</v>
      </c>
      <c r="J10" s="175">
        <f t="shared" si="4"/>
        <v>0</v>
      </c>
      <c r="K10" s="175">
        <f t="shared" si="4"/>
        <v>0</v>
      </c>
      <c r="L10" s="175">
        <f t="shared" si="4"/>
        <v>0</v>
      </c>
      <c r="M10" s="175">
        <f t="shared" si="4"/>
        <v>0</v>
      </c>
      <c r="N10" s="175">
        <f t="shared" si="4"/>
        <v>0</v>
      </c>
      <c r="O10" s="175">
        <f t="shared" si="4"/>
        <v>0</v>
      </c>
      <c r="P10" s="175">
        <f t="shared" si="4"/>
        <v>118</v>
      </c>
      <c r="Q10" s="175">
        <f t="shared" si="4"/>
        <v>2405.4875676631927</v>
      </c>
      <c r="R10" s="175">
        <f t="shared" si="4"/>
        <v>1343.5926208496094</v>
      </c>
      <c r="S10" s="175">
        <f t="shared" si="4"/>
        <v>141.39494681358337</v>
      </c>
      <c r="T10" s="175">
        <f t="shared" si="4"/>
        <v>920.5</v>
      </c>
      <c r="U10" s="176" t="s">
        <v>24</v>
      </c>
      <c r="V10" s="177">
        <f>SUM(V11:V15)</f>
        <v>0.98757833242416382</v>
      </c>
      <c r="W10" s="146"/>
      <c r="X10" s="146"/>
      <c r="Y10" s="152"/>
      <c r="Z10" s="96">
        <f t="shared" si="2"/>
        <v>1.0669231414794922E-5</v>
      </c>
    </row>
    <row r="11" spans="1:26" x14ac:dyDescent="0.2">
      <c r="B11" s="151"/>
      <c r="C11" s="141"/>
      <c r="D11" s="40" t="s">
        <v>53</v>
      </c>
      <c r="E11" s="167">
        <v>345</v>
      </c>
      <c r="F11" s="168">
        <v>0</v>
      </c>
      <c r="G11" s="168">
        <f t="shared" si="3"/>
        <v>345</v>
      </c>
      <c r="H11" s="168">
        <v>0</v>
      </c>
      <c r="I11" s="168">
        <v>0</v>
      </c>
      <c r="J11" s="168">
        <v>0</v>
      </c>
      <c r="K11" s="168">
        <v>0</v>
      </c>
      <c r="L11" s="178">
        <v>0</v>
      </c>
      <c r="M11" s="168">
        <v>0</v>
      </c>
      <c r="N11" s="168">
        <v>0</v>
      </c>
      <c r="O11" s="168">
        <v>0</v>
      </c>
      <c r="P11" s="168">
        <v>0</v>
      </c>
      <c r="Q11" s="168">
        <f>SUM(R11:T11)</f>
        <v>344.9999942779541</v>
      </c>
      <c r="R11" s="168">
        <v>165.11143493652344</v>
      </c>
      <c r="S11" s="168">
        <v>14.888559341430664</v>
      </c>
      <c r="T11" s="168">
        <v>165</v>
      </c>
      <c r="U11" s="169" t="s">
        <v>24</v>
      </c>
      <c r="V11" s="168">
        <v>0</v>
      </c>
      <c r="W11" s="146"/>
      <c r="X11" s="146"/>
      <c r="Y11" s="152"/>
      <c r="Z11" s="96">
        <f t="shared" si="2"/>
        <v>5.7220458984375E-6</v>
      </c>
    </row>
    <row r="12" spans="1:26" x14ac:dyDescent="0.2">
      <c r="B12" s="151"/>
      <c r="C12" s="141"/>
      <c r="D12" s="40" t="s">
        <v>54</v>
      </c>
      <c r="E12" s="167">
        <v>496.5</v>
      </c>
      <c r="F12" s="168">
        <v>0</v>
      </c>
      <c r="G12" s="168">
        <f t="shared" si="3"/>
        <v>496.5</v>
      </c>
      <c r="H12" s="168">
        <v>0</v>
      </c>
      <c r="I12" s="168">
        <v>0</v>
      </c>
      <c r="J12" s="168">
        <v>0</v>
      </c>
      <c r="K12" s="168">
        <v>0</v>
      </c>
      <c r="L12" s="168">
        <v>0</v>
      </c>
      <c r="M12" s="168">
        <v>0</v>
      </c>
      <c r="N12" s="168">
        <v>0</v>
      </c>
      <c r="O12" s="168">
        <v>0</v>
      </c>
      <c r="P12" s="168">
        <v>25</v>
      </c>
      <c r="Q12" s="168">
        <f>SUM(R12:T12)</f>
        <v>471.50000190734863</v>
      </c>
      <c r="R12" s="168">
        <v>279.54177856445312</v>
      </c>
      <c r="S12" s="168">
        <v>30.458223342895508</v>
      </c>
      <c r="T12" s="168">
        <v>161.5</v>
      </c>
      <c r="U12" s="169" t="s">
        <v>24</v>
      </c>
      <c r="V12" s="168">
        <v>0</v>
      </c>
      <c r="W12" s="146"/>
      <c r="X12" s="146"/>
      <c r="Y12" s="152"/>
      <c r="Z12" s="96">
        <f t="shared" si="2"/>
        <v>-1.9073486328125E-6</v>
      </c>
    </row>
    <row r="13" spans="1:26" x14ac:dyDescent="0.2">
      <c r="B13" s="151"/>
      <c r="C13" s="141"/>
      <c r="D13" s="40" t="s">
        <v>55</v>
      </c>
      <c r="E13" s="167">
        <v>384</v>
      </c>
      <c r="F13" s="168">
        <v>0</v>
      </c>
      <c r="G13" s="168">
        <f t="shared" si="3"/>
        <v>384.98757833242416</v>
      </c>
      <c r="H13" s="168">
        <v>0</v>
      </c>
      <c r="I13" s="168">
        <v>0</v>
      </c>
      <c r="J13" s="168">
        <v>0</v>
      </c>
      <c r="K13" s="168">
        <v>0</v>
      </c>
      <c r="L13" s="178">
        <v>0</v>
      </c>
      <c r="M13" s="168">
        <v>0</v>
      </c>
      <c r="N13" s="168">
        <v>0</v>
      </c>
      <c r="O13" s="168">
        <v>0</v>
      </c>
      <c r="P13" s="168">
        <v>8</v>
      </c>
      <c r="Q13" s="168">
        <f>SUM(R13:T13)</f>
        <v>376.98758578300476</v>
      </c>
      <c r="R13" s="168">
        <v>229.63484191894531</v>
      </c>
      <c r="S13" s="168">
        <v>3.3527438640594482</v>
      </c>
      <c r="T13" s="168">
        <v>144</v>
      </c>
      <c r="U13" s="169" t="s">
        <v>24</v>
      </c>
      <c r="V13" s="168">
        <v>0.98757833242416382</v>
      </c>
      <c r="W13" s="146"/>
      <c r="X13" s="146"/>
      <c r="Y13" s="152"/>
      <c r="Z13" s="96">
        <f t="shared" si="2"/>
        <v>-7.4505805969238281E-6</v>
      </c>
    </row>
    <row r="14" spans="1:26" x14ac:dyDescent="0.2">
      <c r="B14" s="151"/>
      <c r="C14" s="141"/>
      <c r="D14" s="40" t="s">
        <v>56</v>
      </c>
      <c r="E14" s="167">
        <v>1200</v>
      </c>
      <c r="F14" s="168">
        <v>0</v>
      </c>
      <c r="G14" s="168">
        <f t="shared" si="3"/>
        <v>1200</v>
      </c>
      <c r="H14" s="168">
        <v>0</v>
      </c>
      <c r="I14" s="168">
        <v>0</v>
      </c>
      <c r="J14" s="168">
        <v>0</v>
      </c>
      <c r="K14" s="168">
        <v>0</v>
      </c>
      <c r="L14" s="168">
        <v>0</v>
      </c>
      <c r="M14" s="168">
        <v>0</v>
      </c>
      <c r="N14" s="168">
        <v>0</v>
      </c>
      <c r="O14" s="168">
        <v>0</v>
      </c>
      <c r="P14" s="168">
        <v>85</v>
      </c>
      <c r="Q14" s="168">
        <f>SUM(R14:T14)</f>
        <v>1114.9999847412109</v>
      </c>
      <c r="R14" s="168">
        <v>638.0860595703125</v>
      </c>
      <c r="S14" s="168">
        <v>76.913925170898438</v>
      </c>
      <c r="T14" s="168">
        <v>400</v>
      </c>
      <c r="U14" s="169" t="s">
        <v>24</v>
      </c>
      <c r="V14" s="168">
        <v>0</v>
      </c>
      <c r="W14" s="146"/>
      <c r="X14" s="146"/>
      <c r="Y14" s="152"/>
      <c r="Z14" s="96">
        <f t="shared" si="2"/>
        <v>1.52587890625E-5</v>
      </c>
    </row>
    <row r="15" spans="1:26" x14ac:dyDescent="0.2">
      <c r="B15" s="151"/>
      <c r="C15" s="141"/>
      <c r="D15" s="40" t="s">
        <v>57</v>
      </c>
      <c r="E15" s="167">
        <v>97</v>
      </c>
      <c r="F15" s="168">
        <v>0</v>
      </c>
      <c r="G15" s="168">
        <f t="shared" si="3"/>
        <v>97</v>
      </c>
      <c r="H15" s="168">
        <v>0</v>
      </c>
      <c r="I15" s="168">
        <v>0</v>
      </c>
      <c r="J15" s="168">
        <v>0</v>
      </c>
      <c r="K15" s="168">
        <v>0</v>
      </c>
      <c r="L15" s="178">
        <v>0</v>
      </c>
      <c r="M15" s="168">
        <v>0</v>
      </c>
      <c r="N15" s="168">
        <v>0</v>
      </c>
      <c r="O15" s="168">
        <v>0</v>
      </c>
      <c r="P15" s="168">
        <v>0</v>
      </c>
      <c r="Q15" s="168">
        <f>SUM(R15:T15)</f>
        <v>97.000000953674316</v>
      </c>
      <c r="R15" s="168">
        <v>31.218505859375</v>
      </c>
      <c r="S15" s="168">
        <v>15.781495094299316</v>
      </c>
      <c r="T15" s="168">
        <v>50</v>
      </c>
      <c r="U15" s="169" t="s">
        <v>24</v>
      </c>
      <c r="V15" s="168">
        <v>0</v>
      </c>
      <c r="W15" s="146"/>
      <c r="X15" s="146"/>
      <c r="Y15" s="152"/>
      <c r="Z15" s="96">
        <f t="shared" si="2"/>
        <v>-9.5367431640625E-7</v>
      </c>
    </row>
    <row r="16" spans="1:26" ht="13.5" thickBot="1" x14ac:dyDescent="0.25">
      <c r="B16" s="151"/>
      <c r="C16" s="141"/>
      <c r="D16" s="81" t="s">
        <v>58</v>
      </c>
      <c r="E16" s="170">
        <v>490</v>
      </c>
      <c r="F16" s="170">
        <f>0+340.945</f>
        <v>340.94499999999999</v>
      </c>
      <c r="G16" s="171">
        <f t="shared" si="3"/>
        <v>149.05500000000001</v>
      </c>
      <c r="H16" s="171">
        <f>I16+K16+L16</f>
        <v>0</v>
      </c>
      <c r="I16" s="171">
        <v>0</v>
      </c>
      <c r="J16" s="171"/>
      <c r="K16" s="171">
        <v>0</v>
      </c>
      <c r="L16" s="171">
        <v>0</v>
      </c>
      <c r="M16" s="171">
        <v>0</v>
      </c>
      <c r="N16" s="171">
        <v>0</v>
      </c>
      <c r="O16" s="171">
        <v>0</v>
      </c>
      <c r="P16" s="171">
        <v>0</v>
      </c>
      <c r="Q16" s="171">
        <f>SUM(U16,R16)</f>
        <v>149.05483398437499</v>
      </c>
      <c r="R16" s="171">
        <v>147.954833984375</v>
      </c>
      <c r="S16" s="179" t="s">
        <v>24</v>
      </c>
      <c r="T16" s="171" t="s">
        <v>24</v>
      </c>
      <c r="U16" s="173">
        <v>1.1000000000000001</v>
      </c>
      <c r="V16" s="171">
        <v>0</v>
      </c>
      <c r="W16" s="146"/>
      <c r="X16" s="146"/>
      <c r="Y16" s="152"/>
      <c r="Z16" s="96">
        <f t="shared" si="2"/>
        <v>1.6601562501250555E-4</v>
      </c>
    </row>
    <row r="17" spans="1:26" ht="13.5" thickBot="1" x14ac:dyDescent="0.25">
      <c r="B17" s="74" t="s">
        <v>151</v>
      </c>
      <c r="C17" s="75">
        <v>43894.25</v>
      </c>
      <c r="D17" s="77"/>
      <c r="E17" s="162">
        <f t="shared" ref="E17:T17" si="5">SUM(E18:E32)</f>
        <v>1692.5090274810791</v>
      </c>
      <c r="F17" s="162">
        <f t="shared" si="5"/>
        <v>151.17390121240169</v>
      </c>
      <c r="G17" s="162">
        <f t="shared" si="5"/>
        <v>1541.3351262686774</v>
      </c>
      <c r="H17" s="162">
        <f t="shared" si="5"/>
        <v>129</v>
      </c>
      <c r="I17" s="162">
        <f t="shared" si="5"/>
        <v>60</v>
      </c>
      <c r="J17" s="162">
        <f t="shared" si="5"/>
        <v>0</v>
      </c>
      <c r="K17" s="162">
        <f t="shared" si="5"/>
        <v>69</v>
      </c>
      <c r="L17" s="162">
        <f t="shared" si="5"/>
        <v>0</v>
      </c>
      <c r="M17" s="162">
        <f t="shared" si="5"/>
        <v>0</v>
      </c>
      <c r="N17" s="162">
        <f t="shared" si="5"/>
        <v>0</v>
      </c>
      <c r="O17" s="162">
        <f t="shared" si="5"/>
        <v>0</v>
      </c>
      <c r="P17" s="162">
        <f t="shared" si="5"/>
        <v>15.014129638671875</v>
      </c>
      <c r="Q17" s="162">
        <f t="shared" si="5"/>
        <v>1397.3209590315819</v>
      </c>
      <c r="R17" s="162">
        <f t="shared" si="5"/>
        <v>790.88935083150864</v>
      </c>
      <c r="S17" s="162">
        <f t="shared" si="5"/>
        <v>141.53161430358887</v>
      </c>
      <c r="T17" s="162">
        <f t="shared" si="5"/>
        <v>464.89999389648437</v>
      </c>
      <c r="U17" s="161" t="s">
        <v>24</v>
      </c>
      <c r="V17" s="162">
        <f>SUM(V18:V32)</f>
        <v>0</v>
      </c>
      <c r="W17" s="23">
        <v>1539.444091796875</v>
      </c>
      <c r="X17" s="16">
        <v>1539.444091796875</v>
      </c>
      <c r="Y17" s="17">
        <v>31759.709503173828</v>
      </c>
      <c r="Z17" s="96">
        <f t="shared" si="2"/>
        <v>3.7598423659801483E-5</v>
      </c>
    </row>
    <row r="18" spans="1:26" x14ac:dyDescent="0.2">
      <c r="B18" s="111"/>
      <c r="C18" s="121"/>
      <c r="D18" s="79" t="s">
        <v>59</v>
      </c>
      <c r="E18" s="163">
        <v>300.50900268554687</v>
      </c>
      <c r="F18" s="164">
        <v>0.50900000333786011</v>
      </c>
      <c r="G18" s="164">
        <f t="shared" ref="G18:G33" si="6">SUM(E18)-SUM(F18)+V18</f>
        <v>300.00000268220901</v>
      </c>
      <c r="H18" s="164">
        <v>0</v>
      </c>
      <c r="I18" s="164">
        <v>0</v>
      </c>
      <c r="J18" s="164">
        <v>0</v>
      </c>
      <c r="K18" s="164">
        <v>0</v>
      </c>
      <c r="L18" s="180">
        <v>0</v>
      </c>
      <c r="M18" s="164">
        <v>0</v>
      </c>
      <c r="N18" s="164">
        <v>0</v>
      </c>
      <c r="O18" s="164">
        <v>0</v>
      </c>
      <c r="P18" s="164">
        <v>0</v>
      </c>
      <c r="Q18" s="164">
        <f t="shared" ref="Q18:Q24" si="7">SUM(R18:T18)</f>
        <v>300.0000057220459</v>
      </c>
      <c r="R18" s="164">
        <v>157.15101623535156</v>
      </c>
      <c r="S18" s="164">
        <v>8.8489894866943359</v>
      </c>
      <c r="T18" s="164">
        <v>134</v>
      </c>
      <c r="U18" s="166" t="s">
        <v>24</v>
      </c>
      <c r="V18" s="164">
        <v>0</v>
      </c>
      <c r="W18" s="144"/>
      <c r="X18" s="144"/>
      <c r="Y18" s="145"/>
      <c r="Z18" s="96">
        <f t="shared" si="2"/>
        <v>-3.0398368835449219E-6</v>
      </c>
    </row>
    <row r="19" spans="1:26" x14ac:dyDescent="0.2">
      <c r="B19" s="116"/>
      <c r="C19" s="121"/>
      <c r="D19" s="40" t="s">
        <v>60</v>
      </c>
      <c r="E19" s="167">
        <v>445</v>
      </c>
      <c r="F19" s="168">
        <v>0</v>
      </c>
      <c r="G19" s="168">
        <f t="shared" si="6"/>
        <v>445</v>
      </c>
      <c r="H19" s="168">
        <v>0</v>
      </c>
      <c r="I19" s="168">
        <v>0</v>
      </c>
      <c r="J19" s="168">
        <v>0</v>
      </c>
      <c r="K19" s="168">
        <v>0</v>
      </c>
      <c r="L19" s="178">
        <v>0</v>
      </c>
      <c r="M19" s="168">
        <v>0</v>
      </c>
      <c r="N19" s="168">
        <v>0</v>
      </c>
      <c r="O19" s="168">
        <v>0</v>
      </c>
      <c r="P19" s="168">
        <v>0</v>
      </c>
      <c r="Q19" s="168">
        <f t="shared" si="7"/>
        <v>444.99999237060547</v>
      </c>
      <c r="R19" s="168">
        <v>278.89089965820312</v>
      </c>
      <c r="S19" s="168">
        <v>77.109092712402344</v>
      </c>
      <c r="T19" s="168">
        <v>89</v>
      </c>
      <c r="U19" s="169" t="s">
        <v>24</v>
      </c>
      <c r="V19" s="164">
        <v>0</v>
      </c>
      <c r="W19" s="144"/>
      <c r="X19" s="144"/>
      <c r="Y19" s="145"/>
      <c r="Z19" s="96">
        <f t="shared" si="2"/>
        <v>7.62939453125E-6</v>
      </c>
    </row>
    <row r="20" spans="1:26" x14ac:dyDescent="0.2">
      <c r="B20" s="116"/>
      <c r="C20" s="121"/>
      <c r="D20" s="40" t="s">
        <v>61</v>
      </c>
      <c r="E20" s="167">
        <v>36</v>
      </c>
      <c r="F20" s="168">
        <v>0</v>
      </c>
      <c r="G20" s="168">
        <f t="shared" si="6"/>
        <v>36</v>
      </c>
      <c r="H20" s="168">
        <v>9</v>
      </c>
      <c r="I20" s="168">
        <v>0</v>
      </c>
      <c r="J20" s="168">
        <v>0</v>
      </c>
      <c r="K20" s="168">
        <v>9</v>
      </c>
      <c r="L20" s="178">
        <v>0</v>
      </c>
      <c r="M20" s="168">
        <v>0</v>
      </c>
      <c r="N20" s="168">
        <v>0</v>
      </c>
      <c r="O20" s="168">
        <v>0</v>
      </c>
      <c r="P20" s="168">
        <v>0</v>
      </c>
      <c r="Q20" s="168">
        <f t="shared" si="7"/>
        <v>27</v>
      </c>
      <c r="R20" s="168">
        <v>0</v>
      </c>
      <c r="S20" s="168">
        <v>0</v>
      </c>
      <c r="T20" s="168">
        <v>27</v>
      </c>
      <c r="U20" s="169" t="s">
        <v>24</v>
      </c>
      <c r="V20" s="164">
        <v>0</v>
      </c>
      <c r="W20" s="144"/>
      <c r="X20" s="144"/>
      <c r="Y20" s="145"/>
      <c r="Z20" s="96">
        <f t="shared" si="2"/>
        <v>0</v>
      </c>
    </row>
    <row r="21" spans="1:26" x14ac:dyDescent="0.2">
      <c r="B21" s="116"/>
      <c r="C21" s="121"/>
      <c r="D21" s="40" t="s">
        <v>144</v>
      </c>
      <c r="E21" s="167">
        <v>519.9000244140625</v>
      </c>
      <c r="F21" s="168">
        <v>0</v>
      </c>
      <c r="G21" s="168">
        <f t="shared" si="6"/>
        <v>519.9000244140625</v>
      </c>
      <c r="H21" s="168">
        <v>0</v>
      </c>
      <c r="I21" s="168">
        <v>0</v>
      </c>
      <c r="J21" s="168">
        <v>0</v>
      </c>
      <c r="K21" s="168">
        <v>0</v>
      </c>
      <c r="L21" s="178">
        <v>0</v>
      </c>
      <c r="M21" s="168">
        <v>0</v>
      </c>
      <c r="N21" s="168">
        <v>0</v>
      </c>
      <c r="O21" s="168">
        <v>0</v>
      </c>
      <c r="P21" s="168">
        <v>0</v>
      </c>
      <c r="Q21" s="168">
        <f t="shared" si="7"/>
        <v>519.89999389648437</v>
      </c>
      <c r="R21" s="168">
        <v>249.42646789550781</v>
      </c>
      <c r="S21" s="168">
        <v>55.573532104492188</v>
      </c>
      <c r="T21" s="168">
        <v>214.89999389648437</v>
      </c>
      <c r="U21" s="169" t="s">
        <v>24</v>
      </c>
      <c r="V21" s="164">
        <v>0</v>
      </c>
      <c r="W21" s="144"/>
      <c r="X21" s="144"/>
      <c r="Y21" s="145"/>
      <c r="Z21" s="96">
        <f t="shared" si="2"/>
        <v>3.0517578125E-5</v>
      </c>
    </row>
    <row r="22" spans="1:26" x14ac:dyDescent="0.2">
      <c r="B22" s="113"/>
      <c r="C22" s="121"/>
      <c r="D22" s="41" t="s">
        <v>62</v>
      </c>
      <c r="E22" s="170">
        <v>15.600000381469727</v>
      </c>
      <c r="F22" s="170">
        <v>7.6991662979125977</v>
      </c>
      <c r="G22" s="170">
        <f t="shared" si="6"/>
        <v>7.9008340835571289</v>
      </c>
      <c r="H22" s="170">
        <v>0</v>
      </c>
      <c r="I22" s="178">
        <v>0</v>
      </c>
      <c r="J22" s="178">
        <v>0</v>
      </c>
      <c r="K22" s="178">
        <v>0</v>
      </c>
      <c r="L22" s="178">
        <v>0</v>
      </c>
      <c r="M22" s="168">
        <v>0</v>
      </c>
      <c r="N22" s="171">
        <v>0</v>
      </c>
      <c r="O22" s="170">
        <v>0</v>
      </c>
      <c r="P22" s="170">
        <v>0</v>
      </c>
      <c r="Q22" s="171">
        <f t="shared" si="7"/>
        <v>7.9008336067199707</v>
      </c>
      <c r="R22" s="170">
        <v>7.9008336067199707</v>
      </c>
      <c r="S22" s="170">
        <v>0</v>
      </c>
      <c r="T22" s="170">
        <v>0</v>
      </c>
      <c r="U22" s="169" t="s">
        <v>24</v>
      </c>
      <c r="V22" s="164">
        <v>0</v>
      </c>
      <c r="W22" s="144"/>
      <c r="X22" s="144"/>
      <c r="Y22" s="145"/>
      <c r="Z22" s="96">
        <f t="shared" si="2"/>
        <v>4.76837158203125E-7</v>
      </c>
    </row>
    <row r="23" spans="1:26" s="84" customFormat="1" x14ac:dyDescent="0.2">
      <c r="A23" s="51"/>
      <c r="B23" s="113"/>
      <c r="C23" s="121"/>
      <c r="D23" s="80" t="s">
        <v>168</v>
      </c>
      <c r="E23" s="170">
        <v>6</v>
      </c>
      <c r="F23" s="170">
        <v>6.9357873871922493E-3</v>
      </c>
      <c r="G23" s="170">
        <f t="shared" si="6"/>
        <v>5.9930642126128078</v>
      </c>
      <c r="H23" s="170" t="s">
        <v>24</v>
      </c>
      <c r="I23" s="170" t="s">
        <v>24</v>
      </c>
      <c r="J23" s="170" t="s">
        <v>24</v>
      </c>
      <c r="K23" s="170" t="s">
        <v>24</v>
      </c>
      <c r="L23" s="170" t="s">
        <v>24</v>
      </c>
      <c r="M23" s="170" t="s">
        <v>24</v>
      </c>
      <c r="N23" s="170" t="s">
        <v>24</v>
      </c>
      <c r="O23" s="170" t="s">
        <v>24</v>
      </c>
      <c r="P23" s="170" t="s">
        <v>24</v>
      </c>
      <c r="Q23" s="171">
        <f t="shared" si="7"/>
        <v>5.9930644035339355</v>
      </c>
      <c r="R23" s="170">
        <v>5.9930644035339355</v>
      </c>
      <c r="S23" s="170" t="s">
        <v>24</v>
      </c>
      <c r="T23" s="170" t="s">
        <v>24</v>
      </c>
      <c r="U23" s="169" t="s">
        <v>24</v>
      </c>
      <c r="V23" s="164">
        <v>0</v>
      </c>
      <c r="W23" s="144"/>
      <c r="X23" s="144"/>
      <c r="Y23" s="145"/>
      <c r="Z23" s="96"/>
    </row>
    <row r="24" spans="1:26" s="84" customFormat="1" x14ac:dyDescent="0.2">
      <c r="A24" s="51"/>
      <c r="B24" s="113"/>
      <c r="C24" s="121"/>
      <c r="D24" s="80" t="s">
        <v>145</v>
      </c>
      <c r="E24" s="170">
        <v>25</v>
      </c>
      <c r="F24" s="170">
        <v>24.45457649230957</v>
      </c>
      <c r="G24" s="170">
        <f t="shared" si="6"/>
        <v>0.54542350769042969</v>
      </c>
      <c r="H24" s="170">
        <v>0</v>
      </c>
      <c r="I24" s="178"/>
      <c r="J24" s="178"/>
      <c r="K24" s="178"/>
      <c r="L24" s="178"/>
      <c r="M24" s="168"/>
      <c r="N24" s="171"/>
      <c r="O24" s="170"/>
      <c r="P24" s="170"/>
      <c r="Q24" s="171">
        <f t="shared" si="7"/>
        <v>0.54542309045791626</v>
      </c>
      <c r="R24" s="170">
        <v>0.54542309045791626</v>
      </c>
      <c r="S24" s="170"/>
      <c r="T24" s="170"/>
      <c r="U24" s="169" t="s">
        <v>24</v>
      </c>
      <c r="V24" s="164">
        <v>0</v>
      </c>
      <c r="W24" s="144"/>
      <c r="X24" s="144"/>
      <c r="Y24" s="145"/>
      <c r="Z24" s="96"/>
    </row>
    <row r="25" spans="1:26" s="84" customFormat="1" x14ac:dyDescent="0.2">
      <c r="A25" s="51"/>
      <c r="B25" s="113"/>
      <c r="C25" s="121"/>
      <c r="D25" s="80" t="s">
        <v>122</v>
      </c>
      <c r="E25" s="170">
        <v>5</v>
      </c>
      <c r="F25" s="170">
        <v>3.7763216495513916</v>
      </c>
      <c r="G25" s="170">
        <f t="shared" si="6"/>
        <v>1.2236783504486084</v>
      </c>
      <c r="H25" s="170">
        <v>0</v>
      </c>
      <c r="I25" s="178"/>
      <c r="J25" s="178"/>
      <c r="K25" s="178"/>
      <c r="L25" s="178"/>
      <c r="M25" s="168"/>
      <c r="N25" s="171"/>
      <c r="O25" s="170"/>
      <c r="P25" s="170"/>
      <c r="Q25" s="171">
        <f t="shared" ref="Q25:Q31" si="8">SUM(R25)</f>
        <v>1.2236783504486084</v>
      </c>
      <c r="R25" s="170">
        <v>1.2236783504486084</v>
      </c>
      <c r="S25" s="170"/>
      <c r="T25" s="170"/>
      <c r="U25" s="169" t="s">
        <v>24</v>
      </c>
      <c r="V25" s="164">
        <v>0</v>
      </c>
      <c r="W25" s="144"/>
      <c r="X25" s="144"/>
      <c r="Y25" s="145"/>
      <c r="Z25" s="96">
        <f>E25-F25-H25-M25-N25-O25-P25-Q25+V25</f>
        <v>0</v>
      </c>
    </row>
    <row r="26" spans="1:26" s="84" customFormat="1" x14ac:dyDescent="0.2">
      <c r="A26" s="51"/>
      <c r="B26" s="113"/>
      <c r="C26" s="121"/>
      <c r="D26" s="80" t="s">
        <v>131</v>
      </c>
      <c r="E26" s="170">
        <v>5</v>
      </c>
      <c r="F26" s="170">
        <v>3.8646330833435059</v>
      </c>
      <c r="G26" s="170">
        <f t="shared" si="6"/>
        <v>1.1353669166564941</v>
      </c>
      <c r="H26" s="170">
        <v>0</v>
      </c>
      <c r="I26" s="178"/>
      <c r="J26" s="178"/>
      <c r="K26" s="178"/>
      <c r="L26" s="178"/>
      <c r="M26" s="168"/>
      <c r="N26" s="171"/>
      <c r="O26" s="170"/>
      <c r="P26" s="170"/>
      <c r="Q26" s="171">
        <f t="shared" si="8"/>
        <v>1.1353669166564941</v>
      </c>
      <c r="R26" s="170">
        <v>1.1353669166564941</v>
      </c>
      <c r="S26" s="170"/>
      <c r="T26" s="170"/>
      <c r="U26" s="169" t="s">
        <v>24</v>
      </c>
      <c r="V26" s="164">
        <v>0</v>
      </c>
      <c r="W26" s="144"/>
      <c r="X26" s="144"/>
      <c r="Y26" s="145"/>
      <c r="Z26" s="96">
        <f>E26-F26-H26-M26-N26-O26-P26-Q26+V26</f>
        <v>0</v>
      </c>
    </row>
    <row r="27" spans="1:26" s="84" customFormat="1" x14ac:dyDescent="0.2">
      <c r="A27" s="51"/>
      <c r="B27" s="113"/>
      <c r="C27" s="121"/>
      <c r="D27" s="80" t="s">
        <v>141</v>
      </c>
      <c r="E27" s="170">
        <v>5</v>
      </c>
      <c r="F27" s="170">
        <v>4.9175658226013184</v>
      </c>
      <c r="G27" s="170">
        <f t="shared" si="6"/>
        <v>8.2434177398681641E-2</v>
      </c>
      <c r="H27" s="170">
        <v>0</v>
      </c>
      <c r="I27" s="178"/>
      <c r="J27" s="178"/>
      <c r="K27" s="178"/>
      <c r="L27" s="178"/>
      <c r="M27" s="168"/>
      <c r="N27" s="171"/>
      <c r="O27" s="170"/>
      <c r="P27" s="170"/>
      <c r="Q27" s="171">
        <f t="shared" si="8"/>
        <v>8.2434117794036865E-2</v>
      </c>
      <c r="R27" s="170">
        <v>8.2434117794036865E-2</v>
      </c>
      <c r="S27" s="170"/>
      <c r="T27" s="170"/>
      <c r="U27" s="169" t="s">
        <v>24</v>
      </c>
      <c r="V27" s="164">
        <v>0</v>
      </c>
      <c r="W27" s="144"/>
      <c r="X27" s="144"/>
      <c r="Y27" s="145"/>
      <c r="Z27" s="96">
        <f>E27-F27-H27-M27-N27-O27-P27-Q27+V27</f>
        <v>5.9604644775390625E-8</v>
      </c>
    </row>
    <row r="28" spans="1:26" s="84" customFormat="1" x14ac:dyDescent="0.2">
      <c r="A28" s="51"/>
      <c r="B28" s="113"/>
      <c r="C28" s="121"/>
      <c r="D28" s="80" t="s">
        <v>142</v>
      </c>
      <c r="E28" s="170">
        <v>25</v>
      </c>
      <c r="F28" s="170">
        <v>23.310329437255859</v>
      </c>
      <c r="G28" s="170">
        <f t="shared" si="6"/>
        <v>1.6896705627441406</v>
      </c>
      <c r="H28" s="170">
        <v>0</v>
      </c>
      <c r="I28" s="178"/>
      <c r="J28" s="178"/>
      <c r="K28" s="178"/>
      <c r="L28" s="178"/>
      <c r="M28" s="168"/>
      <c r="N28" s="171"/>
      <c r="O28" s="170"/>
      <c r="P28" s="170"/>
      <c r="Q28" s="171">
        <f t="shared" si="8"/>
        <v>1.6896706819534302</v>
      </c>
      <c r="R28" s="170">
        <v>1.6896706819534302</v>
      </c>
      <c r="S28" s="170"/>
      <c r="T28" s="170"/>
      <c r="U28" s="169" t="s">
        <v>24</v>
      </c>
      <c r="V28" s="164">
        <v>0</v>
      </c>
      <c r="W28" s="144"/>
      <c r="X28" s="144"/>
      <c r="Y28" s="145"/>
      <c r="Z28" s="96">
        <f>E28-F28-H28-M28-N28-O28-P28-Q28+V28</f>
        <v>-1.1920928955078125E-7</v>
      </c>
    </row>
    <row r="29" spans="1:26" s="84" customFormat="1" x14ac:dyDescent="0.2">
      <c r="A29" s="51"/>
      <c r="B29" s="113"/>
      <c r="C29" s="121"/>
      <c r="D29" s="80" t="s">
        <v>139</v>
      </c>
      <c r="E29" s="170">
        <v>5</v>
      </c>
      <c r="F29" s="170">
        <v>4.1982569694519043</v>
      </c>
      <c r="G29" s="170">
        <f t="shared" si="6"/>
        <v>0.8017430305480957</v>
      </c>
      <c r="H29" s="170">
        <v>0</v>
      </c>
      <c r="I29" s="178"/>
      <c r="J29" s="178"/>
      <c r="K29" s="178"/>
      <c r="L29" s="178"/>
      <c r="M29" s="168"/>
      <c r="N29" s="171"/>
      <c r="O29" s="170"/>
      <c r="P29" s="170"/>
      <c r="Q29" s="171">
        <f t="shared" si="8"/>
        <v>0.80174314975738525</v>
      </c>
      <c r="R29" s="170">
        <v>0.80174314975738525</v>
      </c>
      <c r="S29" s="170"/>
      <c r="T29" s="170"/>
      <c r="U29" s="173" t="s">
        <v>24</v>
      </c>
      <c r="V29" s="164">
        <v>0</v>
      </c>
      <c r="W29" s="144"/>
      <c r="X29" s="144"/>
      <c r="Y29" s="145"/>
      <c r="Z29" s="96">
        <f>E29-F29-H29-M29-N29-O29-P29-Q29+V29</f>
        <v>-1.1920928955078125E-7</v>
      </c>
    </row>
    <row r="30" spans="1:26" s="84" customFormat="1" x14ac:dyDescent="0.2">
      <c r="A30" s="51"/>
      <c r="B30" s="113"/>
      <c r="C30" s="121"/>
      <c r="D30" s="80" t="s">
        <v>160</v>
      </c>
      <c r="E30" s="170">
        <v>40</v>
      </c>
      <c r="F30" s="170">
        <v>38.37994384765625</v>
      </c>
      <c r="G30" s="170">
        <f t="shared" si="6"/>
        <v>1.62005615234375</v>
      </c>
      <c r="H30" s="170">
        <v>0</v>
      </c>
      <c r="I30" s="178"/>
      <c r="J30" s="178"/>
      <c r="K30" s="178"/>
      <c r="L30" s="178"/>
      <c r="M30" s="168"/>
      <c r="N30" s="171"/>
      <c r="O30" s="170"/>
      <c r="P30" s="170"/>
      <c r="Q30" s="171">
        <f t="shared" si="8"/>
        <v>1.6200577020645142</v>
      </c>
      <c r="R30" s="170">
        <v>1.6200577020645142</v>
      </c>
      <c r="S30" s="170"/>
      <c r="T30" s="170"/>
      <c r="U30" s="173" t="s">
        <v>24</v>
      </c>
      <c r="V30" s="164">
        <v>0</v>
      </c>
      <c r="W30" s="144"/>
      <c r="X30" s="144"/>
      <c r="Y30" s="145"/>
      <c r="Z30" s="96"/>
    </row>
    <row r="31" spans="1:26" s="84" customFormat="1" x14ac:dyDescent="0.2">
      <c r="A31" s="51"/>
      <c r="B31" s="113"/>
      <c r="C31" s="121"/>
      <c r="D31" s="80" t="s">
        <v>161</v>
      </c>
      <c r="E31" s="170">
        <v>10</v>
      </c>
      <c r="F31" s="170">
        <v>9.2571725845336914</v>
      </c>
      <c r="G31" s="170">
        <f t="shared" si="6"/>
        <v>0.74282741546630859</v>
      </c>
      <c r="H31" s="170">
        <v>0</v>
      </c>
      <c r="I31" s="178"/>
      <c r="J31" s="178"/>
      <c r="K31" s="178"/>
      <c r="L31" s="178"/>
      <c r="M31" s="168"/>
      <c r="N31" s="171"/>
      <c r="O31" s="170"/>
      <c r="P31" s="170"/>
      <c r="Q31" s="171">
        <f t="shared" si="8"/>
        <v>0.74282771348953247</v>
      </c>
      <c r="R31" s="170">
        <v>0.74282771348953247</v>
      </c>
      <c r="S31" s="170"/>
      <c r="T31" s="170"/>
      <c r="U31" s="173" t="s">
        <v>24</v>
      </c>
      <c r="V31" s="164">
        <v>0</v>
      </c>
      <c r="W31" s="144"/>
      <c r="X31" s="144"/>
      <c r="Y31" s="145"/>
      <c r="Z31" s="96"/>
    </row>
    <row r="32" spans="1:26" x14ac:dyDescent="0.2">
      <c r="B32" s="113"/>
      <c r="C32" s="121"/>
      <c r="D32" s="41" t="s">
        <v>44</v>
      </c>
      <c r="E32" s="170">
        <v>249.5</v>
      </c>
      <c r="F32" s="171">
        <v>30.799999237060547</v>
      </c>
      <c r="G32" s="171">
        <f t="shared" si="6"/>
        <v>218.70000076293945</v>
      </c>
      <c r="H32" s="171">
        <v>120</v>
      </c>
      <c r="I32" s="168">
        <v>60</v>
      </c>
      <c r="J32" s="168">
        <v>0</v>
      </c>
      <c r="K32" s="168">
        <v>60</v>
      </c>
      <c r="L32" s="178">
        <v>0</v>
      </c>
      <c r="M32" s="168">
        <v>0</v>
      </c>
      <c r="N32" s="168">
        <v>0</v>
      </c>
      <c r="O32" s="171">
        <v>0</v>
      </c>
      <c r="P32" s="171">
        <v>15.014129638671875</v>
      </c>
      <c r="Q32" s="171">
        <f>SUM(R32:T32)</f>
        <v>83.685867309570313</v>
      </c>
      <c r="R32" s="171">
        <v>83.685867309570313</v>
      </c>
      <c r="S32" s="171">
        <v>0</v>
      </c>
      <c r="T32" s="171">
        <v>0</v>
      </c>
      <c r="U32" s="173" t="s">
        <v>24</v>
      </c>
      <c r="V32" s="164">
        <v>0</v>
      </c>
      <c r="W32" s="144"/>
      <c r="X32" s="144"/>
      <c r="Y32" s="145"/>
      <c r="Z32" s="96">
        <f t="shared" ref="Z32:Z47" si="9">E32-F32-H32-M32-N32-O32-P32-Q32+V32</f>
        <v>3.814697265625E-6</v>
      </c>
    </row>
    <row r="33" spans="1:26" ht="13.5" thickBot="1" x14ac:dyDescent="0.25">
      <c r="B33" s="113"/>
      <c r="C33" s="121"/>
      <c r="D33" s="80" t="s">
        <v>63</v>
      </c>
      <c r="E33" s="170">
        <v>200</v>
      </c>
      <c r="F33" s="171">
        <v>0</v>
      </c>
      <c r="G33" s="171">
        <f t="shared" si="6"/>
        <v>200</v>
      </c>
      <c r="H33" s="171">
        <v>120</v>
      </c>
      <c r="I33" s="171">
        <v>60</v>
      </c>
      <c r="J33" s="171">
        <v>0</v>
      </c>
      <c r="K33" s="171">
        <v>60</v>
      </c>
      <c r="L33" s="181">
        <v>0</v>
      </c>
      <c r="M33" s="171">
        <v>0</v>
      </c>
      <c r="N33" s="171">
        <v>0</v>
      </c>
      <c r="O33" s="171">
        <v>0</v>
      </c>
      <c r="P33" s="171">
        <v>15.014129638671875</v>
      </c>
      <c r="Q33" s="171">
        <f>SUM(R33:T33)</f>
        <v>64.985870361328125</v>
      </c>
      <c r="R33" s="171">
        <v>64.985870361328125</v>
      </c>
      <c r="S33" s="171">
        <v>0</v>
      </c>
      <c r="T33" s="171">
        <v>0</v>
      </c>
      <c r="U33" s="173" t="s">
        <v>24</v>
      </c>
      <c r="V33" s="164">
        <v>0</v>
      </c>
      <c r="W33" s="144"/>
      <c r="X33" s="144"/>
      <c r="Y33" s="145"/>
      <c r="Z33" s="96">
        <f t="shared" si="9"/>
        <v>0</v>
      </c>
    </row>
    <row r="34" spans="1:26" ht="13.5" thickBot="1" x14ac:dyDescent="0.25">
      <c r="B34" s="74" t="s">
        <v>152</v>
      </c>
      <c r="C34" s="75">
        <v>43894.458333333336</v>
      </c>
      <c r="D34" s="77"/>
      <c r="E34" s="160">
        <f t="shared" ref="E34:T34" si="10">SUM(E35:E44)</f>
        <v>5525.3400268554687</v>
      </c>
      <c r="F34" s="161">
        <f t="shared" si="10"/>
        <v>481.35320215225221</v>
      </c>
      <c r="G34" s="161">
        <f t="shared" si="10"/>
        <v>5054.5739417493342</v>
      </c>
      <c r="H34" s="162">
        <f t="shared" si="10"/>
        <v>335</v>
      </c>
      <c r="I34" s="162">
        <f t="shared" si="10"/>
        <v>0</v>
      </c>
      <c r="J34" s="162">
        <f t="shared" si="10"/>
        <v>0</v>
      </c>
      <c r="K34" s="162">
        <f t="shared" si="10"/>
        <v>310</v>
      </c>
      <c r="L34" s="161">
        <f t="shared" si="10"/>
        <v>25</v>
      </c>
      <c r="M34" s="162">
        <f t="shared" si="10"/>
        <v>0</v>
      </c>
      <c r="N34" s="162">
        <f t="shared" si="10"/>
        <v>0</v>
      </c>
      <c r="O34" s="162">
        <f t="shared" si="10"/>
        <v>0</v>
      </c>
      <c r="P34" s="162">
        <f t="shared" si="10"/>
        <v>177.5</v>
      </c>
      <c r="Q34" s="162">
        <f t="shared" si="10"/>
        <v>4542.0674374401569</v>
      </c>
      <c r="R34" s="162">
        <f t="shared" si="10"/>
        <v>3251.4729175567627</v>
      </c>
      <c r="S34" s="162">
        <f t="shared" si="10"/>
        <v>157.59396293759346</v>
      </c>
      <c r="T34" s="162">
        <f t="shared" si="10"/>
        <v>1133.0005569458008</v>
      </c>
      <c r="U34" s="161" t="s">
        <v>24</v>
      </c>
      <c r="V34" s="162">
        <f>SUM(V35:V44)</f>
        <v>10.587117046117783</v>
      </c>
      <c r="W34" s="23">
        <v>3915.242431640625</v>
      </c>
      <c r="X34" s="16">
        <v>3945.949951171875</v>
      </c>
      <c r="Y34" s="17">
        <v>90823.706176757813</v>
      </c>
      <c r="Z34" s="96">
        <f t="shared" si="9"/>
        <v>6.5043091772167827E-3</v>
      </c>
    </row>
    <row r="35" spans="1:26" x14ac:dyDescent="0.2">
      <c r="B35" s="111"/>
      <c r="C35" s="120"/>
      <c r="D35" s="79" t="s">
        <v>64</v>
      </c>
      <c r="E35" s="163">
        <v>1345.4000244140625</v>
      </c>
      <c r="F35" s="164">
        <v>5.4000000953674316</v>
      </c>
      <c r="G35" s="164">
        <f t="shared" ref="G35:G48" si="11">SUM(E35)-SUM(F35)+V35</f>
        <v>1340.3321753442287</v>
      </c>
      <c r="H35" s="164">
        <v>60</v>
      </c>
      <c r="I35" s="164">
        <v>0</v>
      </c>
      <c r="J35" s="164">
        <v>0</v>
      </c>
      <c r="K35" s="164">
        <v>60</v>
      </c>
      <c r="L35" s="177">
        <v>0</v>
      </c>
      <c r="M35" s="164">
        <v>0</v>
      </c>
      <c r="N35" s="164">
        <v>0</v>
      </c>
      <c r="O35" s="164">
        <v>0</v>
      </c>
      <c r="P35" s="164">
        <v>0</v>
      </c>
      <c r="Q35" s="164">
        <f t="shared" ref="Q35:Q48" si="12">SUM(R35:T35)</f>
        <v>1280.3321723937988</v>
      </c>
      <c r="R35" s="164">
        <v>945.30419921875</v>
      </c>
      <c r="S35" s="164">
        <v>55.027973175048828</v>
      </c>
      <c r="T35" s="164">
        <v>280</v>
      </c>
      <c r="U35" s="166" t="s">
        <v>24</v>
      </c>
      <c r="V35" s="164">
        <v>0.33215102553367615</v>
      </c>
      <c r="W35" s="144"/>
      <c r="X35" s="144"/>
      <c r="Y35" s="145"/>
      <c r="Z35" s="96">
        <f t="shared" si="9"/>
        <v>2.9504299163818359E-6</v>
      </c>
    </row>
    <row r="36" spans="1:26" x14ac:dyDescent="0.2">
      <c r="B36" s="116"/>
      <c r="C36" s="121"/>
      <c r="D36" s="40" t="s">
        <v>65</v>
      </c>
      <c r="E36" s="167">
        <v>1260</v>
      </c>
      <c r="F36" s="168">
        <v>0</v>
      </c>
      <c r="G36" s="168">
        <f t="shared" si="11"/>
        <v>1260</v>
      </c>
      <c r="H36" s="168">
        <v>200</v>
      </c>
      <c r="I36" s="168">
        <v>0</v>
      </c>
      <c r="J36" s="168">
        <v>0</v>
      </c>
      <c r="K36" s="168">
        <v>200</v>
      </c>
      <c r="L36" s="168">
        <v>0</v>
      </c>
      <c r="M36" s="168">
        <v>0</v>
      </c>
      <c r="N36" s="168">
        <v>0</v>
      </c>
      <c r="O36" s="168">
        <v>0</v>
      </c>
      <c r="P36" s="168">
        <v>0</v>
      </c>
      <c r="Q36" s="168">
        <f t="shared" si="12"/>
        <v>1059.9999904632568</v>
      </c>
      <c r="R36" s="168">
        <v>845.078857421875</v>
      </c>
      <c r="S36" s="168">
        <v>14.921133041381836</v>
      </c>
      <c r="T36" s="168">
        <v>200</v>
      </c>
      <c r="U36" s="169" t="s">
        <v>24</v>
      </c>
      <c r="V36" s="168">
        <v>0</v>
      </c>
      <c r="W36" s="144"/>
      <c r="X36" s="144"/>
      <c r="Y36" s="145"/>
      <c r="Z36" s="96">
        <f t="shared" si="9"/>
        <v>9.5367431640625E-6</v>
      </c>
    </row>
    <row r="37" spans="1:26" x14ac:dyDescent="0.2">
      <c r="B37" s="116"/>
      <c r="C37" s="121"/>
      <c r="D37" s="40" t="s">
        <v>66</v>
      </c>
      <c r="E37" s="167">
        <v>554</v>
      </c>
      <c r="F37" s="168">
        <v>22.5</v>
      </c>
      <c r="G37" s="168">
        <f t="shared" si="11"/>
        <v>531.5</v>
      </c>
      <c r="H37" s="168">
        <v>0</v>
      </c>
      <c r="I37" s="168">
        <v>0</v>
      </c>
      <c r="J37" s="168">
        <v>0</v>
      </c>
      <c r="K37" s="168">
        <v>0</v>
      </c>
      <c r="L37" s="182">
        <v>0</v>
      </c>
      <c r="M37" s="168">
        <v>0</v>
      </c>
      <c r="N37" s="168">
        <v>0</v>
      </c>
      <c r="O37" s="168">
        <v>0</v>
      </c>
      <c r="P37" s="168">
        <v>177.5</v>
      </c>
      <c r="Q37" s="168">
        <f t="shared" si="12"/>
        <v>354.00000381469727</v>
      </c>
      <c r="R37" s="168">
        <v>201.92112731933594</v>
      </c>
      <c r="S37" s="168">
        <v>45.078876495361328</v>
      </c>
      <c r="T37" s="168">
        <v>107</v>
      </c>
      <c r="U37" s="169" t="s">
        <v>24</v>
      </c>
      <c r="V37" s="168">
        <v>0</v>
      </c>
      <c r="W37" s="144"/>
      <c r="X37" s="144"/>
      <c r="Y37" s="145"/>
      <c r="Z37" s="96">
        <f t="shared" si="9"/>
        <v>-3.814697265625E-6</v>
      </c>
    </row>
    <row r="38" spans="1:26" x14ac:dyDescent="0.2">
      <c r="B38" s="116"/>
      <c r="C38" s="121"/>
      <c r="D38" s="40" t="s">
        <v>67</v>
      </c>
      <c r="E38" s="167">
        <v>485</v>
      </c>
      <c r="F38" s="168">
        <v>6.5</v>
      </c>
      <c r="G38" s="168">
        <f t="shared" si="11"/>
        <v>479.14999771118164</v>
      </c>
      <c r="H38" s="168">
        <v>0</v>
      </c>
      <c r="I38" s="168">
        <v>0</v>
      </c>
      <c r="J38" s="168">
        <v>0</v>
      </c>
      <c r="K38" s="168">
        <v>0</v>
      </c>
      <c r="L38" s="182">
        <v>0</v>
      </c>
      <c r="M38" s="168">
        <v>0</v>
      </c>
      <c r="N38" s="168">
        <v>0</v>
      </c>
      <c r="O38" s="168">
        <v>0</v>
      </c>
      <c r="P38" s="168">
        <v>0</v>
      </c>
      <c r="Q38" s="168">
        <f t="shared" si="12"/>
        <v>479.14999198913574</v>
      </c>
      <c r="R38" s="168">
        <v>295.0301513671875</v>
      </c>
      <c r="S38" s="168">
        <v>29.119840621948242</v>
      </c>
      <c r="T38" s="168">
        <v>155</v>
      </c>
      <c r="U38" s="169" t="s">
        <v>24</v>
      </c>
      <c r="V38" s="168">
        <v>0.64999771118164063</v>
      </c>
      <c r="W38" s="144"/>
      <c r="X38" s="144"/>
      <c r="Y38" s="145"/>
      <c r="Z38" s="96">
        <f t="shared" si="9"/>
        <v>5.7220458984375E-6</v>
      </c>
    </row>
    <row r="39" spans="1:26" x14ac:dyDescent="0.2">
      <c r="B39" s="116"/>
      <c r="C39" s="121"/>
      <c r="D39" s="40" t="s">
        <v>68</v>
      </c>
      <c r="E39" s="167">
        <v>600</v>
      </c>
      <c r="F39" s="168">
        <v>123.37934875488281</v>
      </c>
      <c r="G39" s="168">
        <f t="shared" si="11"/>
        <v>483.36578464508057</v>
      </c>
      <c r="H39" s="168">
        <v>0</v>
      </c>
      <c r="I39" s="168">
        <v>0</v>
      </c>
      <c r="J39" s="168">
        <v>0</v>
      </c>
      <c r="K39" s="168">
        <v>0</v>
      </c>
      <c r="L39" s="182">
        <v>0</v>
      </c>
      <c r="M39" s="168">
        <v>0</v>
      </c>
      <c r="N39" s="168">
        <v>0</v>
      </c>
      <c r="O39" s="168">
        <v>0</v>
      </c>
      <c r="P39" s="168">
        <v>0</v>
      </c>
      <c r="Q39" s="168">
        <f t="shared" si="12"/>
        <v>483.36578369140625</v>
      </c>
      <c r="R39" s="168">
        <v>483.36578369140625</v>
      </c>
      <c r="S39" s="168">
        <v>0</v>
      </c>
      <c r="T39" s="168">
        <v>0</v>
      </c>
      <c r="U39" s="169" t="s">
        <v>24</v>
      </c>
      <c r="V39" s="168">
        <v>6.7451333999633789</v>
      </c>
      <c r="W39" s="144"/>
      <c r="X39" s="144"/>
      <c r="Y39" s="145"/>
      <c r="Z39" s="96">
        <f t="shared" si="9"/>
        <v>9.5367431640625E-7</v>
      </c>
    </row>
    <row r="40" spans="1:26" x14ac:dyDescent="0.2">
      <c r="B40" s="116"/>
      <c r="C40" s="121"/>
      <c r="D40" s="40" t="s">
        <v>69</v>
      </c>
      <c r="E40" s="167">
        <v>80</v>
      </c>
      <c r="F40" s="168">
        <v>52</v>
      </c>
      <c r="G40" s="168">
        <f t="shared" si="11"/>
        <v>28</v>
      </c>
      <c r="H40" s="168">
        <v>0</v>
      </c>
      <c r="I40" s="168">
        <v>0</v>
      </c>
      <c r="J40" s="168">
        <v>0</v>
      </c>
      <c r="K40" s="168">
        <v>0</v>
      </c>
      <c r="L40" s="182">
        <v>0</v>
      </c>
      <c r="M40" s="168">
        <v>0</v>
      </c>
      <c r="N40" s="168">
        <v>0</v>
      </c>
      <c r="O40" s="168">
        <v>0</v>
      </c>
      <c r="P40" s="168">
        <v>0</v>
      </c>
      <c r="Q40" s="168">
        <f t="shared" si="12"/>
        <v>27.999999791383743</v>
      </c>
      <c r="R40" s="168">
        <v>27.929834365844727</v>
      </c>
      <c r="S40" s="168">
        <v>7.0165425539016724E-2</v>
      </c>
      <c r="T40" s="168">
        <v>0</v>
      </c>
      <c r="U40" s="169" t="s">
        <v>24</v>
      </c>
      <c r="V40" s="168">
        <v>0</v>
      </c>
      <c r="W40" s="144"/>
      <c r="X40" s="144"/>
      <c r="Y40" s="145"/>
      <c r="Z40" s="96">
        <f t="shared" si="9"/>
        <v>2.0861625671386719E-7</v>
      </c>
    </row>
    <row r="41" spans="1:26" x14ac:dyDescent="0.2">
      <c r="B41" s="116"/>
      <c r="C41" s="121"/>
      <c r="D41" s="40" t="s">
        <v>70</v>
      </c>
      <c r="E41" s="167">
        <v>580</v>
      </c>
      <c r="F41" s="168">
        <v>167</v>
      </c>
      <c r="G41" s="168">
        <f t="shared" si="11"/>
        <v>413</v>
      </c>
      <c r="H41" s="168">
        <v>50</v>
      </c>
      <c r="I41" s="168">
        <v>0</v>
      </c>
      <c r="J41" s="168">
        <v>0</v>
      </c>
      <c r="K41" s="168">
        <v>50</v>
      </c>
      <c r="L41" s="182">
        <v>0</v>
      </c>
      <c r="M41" s="168">
        <v>0</v>
      </c>
      <c r="N41" s="168">
        <v>0</v>
      </c>
      <c r="O41" s="168">
        <v>0</v>
      </c>
      <c r="P41" s="168">
        <v>0</v>
      </c>
      <c r="Q41" s="168">
        <f t="shared" si="12"/>
        <v>362.99999618530273</v>
      </c>
      <c r="R41" s="168">
        <v>269.70196533203125</v>
      </c>
      <c r="S41" s="168">
        <v>10.737476348876953</v>
      </c>
      <c r="T41" s="168">
        <v>82.560554504394531</v>
      </c>
      <c r="U41" s="169" t="s">
        <v>24</v>
      </c>
      <c r="V41" s="168">
        <v>0</v>
      </c>
      <c r="W41" s="144"/>
      <c r="X41" s="144"/>
      <c r="Y41" s="145"/>
      <c r="Z41" s="96">
        <f t="shared" si="9"/>
        <v>3.814697265625E-6</v>
      </c>
    </row>
    <row r="42" spans="1:26" x14ac:dyDescent="0.2">
      <c r="B42" s="116"/>
      <c r="C42" s="121"/>
      <c r="D42" s="40" t="s">
        <v>71</v>
      </c>
      <c r="E42" s="167">
        <v>108</v>
      </c>
      <c r="F42" s="168">
        <v>0</v>
      </c>
      <c r="G42" s="168">
        <f t="shared" si="11"/>
        <v>110.85983490943909</v>
      </c>
      <c r="H42" s="168">
        <v>0</v>
      </c>
      <c r="I42" s="168">
        <v>0</v>
      </c>
      <c r="J42" s="168">
        <v>0</v>
      </c>
      <c r="K42" s="168">
        <v>0</v>
      </c>
      <c r="L42" s="182">
        <v>0</v>
      </c>
      <c r="M42" s="168">
        <v>0</v>
      </c>
      <c r="N42" s="168">
        <v>0</v>
      </c>
      <c r="O42" s="168">
        <v>0</v>
      </c>
      <c r="P42" s="168">
        <v>0</v>
      </c>
      <c r="Q42" s="168">
        <f t="shared" si="12"/>
        <v>110.85983419418335</v>
      </c>
      <c r="R42" s="168">
        <v>97.221336364746094</v>
      </c>
      <c r="S42" s="168">
        <v>2.6384978294372559</v>
      </c>
      <c r="T42" s="168">
        <v>11</v>
      </c>
      <c r="U42" s="169" t="s">
        <v>24</v>
      </c>
      <c r="V42" s="168">
        <v>2.8598349094390869</v>
      </c>
      <c r="W42" s="144"/>
      <c r="X42" s="144"/>
      <c r="Y42" s="145"/>
      <c r="Z42" s="96">
        <f t="shared" si="9"/>
        <v>7.152557373046875E-7</v>
      </c>
    </row>
    <row r="43" spans="1:26" x14ac:dyDescent="0.2">
      <c r="B43" s="116"/>
      <c r="C43" s="121"/>
      <c r="D43" s="41" t="s">
        <v>115</v>
      </c>
      <c r="E43" s="167">
        <v>297.44000244140625</v>
      </c>
      <c r="F43" s="168">
        <v>0</v>
      </c>
      <c r="G43" s="168">
        <f t="shared" si="11"/>
        <v>297.44000244140625</v>
      </c>
      <c r="H43" s="168">
        <v>0</v>
      </c>
      <c r="I43" s="168">
        <v>0</v>
      </c>
      <c r="J43" s="168">
        <v>0</v>
      </c>
      <c r="K43" s="168">
        <v>0</v>
      </c>
      <c r="L43" s="182">
        <v>0</v>
      </c>
      <c r="M43" s="168">
        <v>0</v>
      </c>
      <c r="N43" s="168">
        <v>0</v>
      </c>
      <c r="O43" s="168">
        <v>0</v>
      </c>
      <c r="P43" s="168">
        <v>0</v>
      </c>
      <c r="Q43" s="168">
        <f t="shared" si="12"/>
        <v>297.44000244140625</v>
      </c>
      <c r="R43" s="168">
        <v>0</v>
      </c>
      <c r="S43" s="168">
        <v>0</v>
      </c>
      <c r="T43" s="168">
        <v>297.44000244140625</v>
      </c>
      <c r="U43" s="169"/>
      <c r="V43" s="168">
        <v>0</v>
      </c>
      <c r="W43" s="144"/>
      <c r="X43" s="144"/>
      <c r="Y43" s="145"/>
      <c r="Z43" s="96">
        <f t="shared" si="9"/>
        <v>0</v>
      </c>
    </row>
    <row r="44" spans="1:26" x14ac:dyDescent="0.2">
      <c r="B44" s="116"/>
      <c r="C44" s="121"/>
      <c r="D44" s="41" t="s">
        <v>44</v>
      </c>
      <c r="E44" s="167">
        <v>215.5</v>
      </c>
      <c r="F44" s="168">
        <f>SUM(F45:F48)</f>
        <v>104.57385330200195</v>
      </c>
      <c r="G44" s="168">
        <f t="shared" si="11"/>
        <v>110.92614669799805</v>
      </c>
      <c r="H44" s="168">
        <v>25</v>
      </c>
      <c r="I44" s="168">
        <v>0</v>
      </c>
      <c r="J44" s="168">
        <v>0</v>
      </c>
      <c r="K44" s="168">
        <v>0</v>
      </c>
      <c r="L44" s="168">
        <v>25</v>
      </c>
      <c r="M44" s="168">
        <v>0</v>
      </c>
      <c r="N44" s="168">
        <v>0</v>
      </c>
      <c r="O44" s="168">
        <v>0</v>
      </c>
      <c r="P44" s="168">
        <v>0</v>
      </c>
      <c r="Q44" s="168">
        <f t="shared" si="12"/>
        <v>85.919662475585938</v>
      </c>
      <c r="R44" s="168">
        <v>85.919662475585938</v>
      </c>
      <c r="S44" s="168">
        <v>0</v>
      </c>
      <c r="T44" s="168">
        <v>0</v>
      </c>
      <c r="U44" s="169" t="s">
        <v>24</v>
      </c>
      <c r="V44" s="168">
        <v>0</v>
      </c>
      <c r="W44" s="144"/>
      <c r="X44" s="144"/>
      <c r="Y44" s="145"/>
      <c r="Z44" s="96">
        <f t="shared" si="9"/>
        <v>6.4842224121122172E-3</v>
      </c>
    </row>
    <row r="45" spans="1:26" x14ac:dyDescent="0.2">
      <c r="B45" s="116"/>
      <c r="C45" s="121"/>
      <c r="D45" s="40" t="s">
        <v>72</v>
      </c>
      <c r="E45" s="167">
        <v>97</v>
      </c>
      <c r="F45" s="168">
        <v>56.620853424072266</v>
      </c>
      <c r="G45" s="168">
        <f t="shared" si="11"/>
        <v>40.379146575927734</v>
      </c>
      <c r="H45" s="168">
        <v>0</v>
      </c>
      <c r="I45" s="168">
        <v>0</v>
      </c>
      <c r="J45" s="168">
        <v>0</v>
      </c>
      <c r="K45" s="168">
        <v>0</v>
      </c>
      <c r="L45" s="168">
        <v>0</v>
      </c>
      <c r="M45" s="168">
        <v>0</v>
      </c>
      <c r="N45" s="168">
        <v>0</v>
      </c>
      <c r="O45" s="168">
        <v>0</v>
      </c>
      <c r="P45" s="168">
        <v>0</v>
      </c>
      <c r="Q45" s="168">
        <f t="shared" si="12"/>
        <v>40.379146575927734</v>
      </c>
      <c r="R45" s="168">
        <v>40.379146575927734</v>
      </c>
      <c r="S45" s="168">
        <v>0</v>
      </c>
      <c r="T45" s="168">
        <v>0</v>
      </c>
      <c r="U45" s="169" t="s">
        <v>24</v>
      </c>
      <c r="V45" s="168">
        <v>0</v>
      </c>
      <c r="W45" s="144"/>
      <c r="X45" s="144"/>
      <c r="Y45" s="145"/>
      <c r="Z45" s="96">
        <f t="shared" si="9"/>
        <v>0</v>
      </c>
    </row>
    <row r="46" spans="1:26" x14ac:dyDescent="0.2">
      <c r="B46" s="113"/>
      <c r="C46" s="121"/>
      <c r="D46" s="41" t="s">
        <v>17</v>
      </c>
      <c r="E46" s="167">
        <v>9.5</v>
      </c>
      <c r="F46" s="168">
        <v>4.4029998779296875</v>
      </c>
      <c r="G46" s="168">
        <f t="shared" si="11"/>
        <v>5.0970001220703125</v>
      </c>
      <c r="H46" s="168">
        <v>0</v>
      </c>
      <c r="I46" s="168">
        <v>0</v>
      </c>
      <c r="J46" s="168">
        <v>0</v>
      </c>
      <c r="K46" s="168">
        <v>0</v>
      </c>
      <c r="L46" s="168">
        <v>0</v>
      </c>
      <c r="M46" s="168">
        <v>0</v>
      </c>
      <c r="N46" s="168" t="s">
        <v>24</v>
      </c>
      <c r="O46" s="168">
        <v>0</v>
      </c>
      <c r="P46" s="168">
        <v>0</v>
      </c>
      <c r="Q46" s="168">
        <f t="shared" si="12"/>
        <v>5.0970001220703125</v>
      </c>
      <c r="R46" s="168">
        <v>5.0970001220703125</v>
      </c>
      <c r="S46" s="168">
        <v>0</v>
      </c>
      <c r="T46" s="168">
        <v>0</v>
      </c>
      <c r="U46" s="169" t="s">
        <v>24</v>
      </c>
      <c r="V46" s="168">
        <v>0</v>
      </c>
      <c r="W46" s="144"/>
      <c r="X46" s="144"/>
      <c r="Y46" s="145"/>
      <c r="Z46" s="96" t="e">
        <f t="shared" si="9"/>
        <v>#VALUE!</v>
      </c>
    </row>
    <row r="47" spans="1:26" s="84" customFormat="1" x14ac:dyDescent="0.2">
      <c r="A47" s="51"/>
      <c r="B47" s="113"/>
      <c r="C47" s="121"/>
      <c r="D47" s="80" t="s">
        <v>73</v>
      </c>
      <c r="E47" s="170">
        <v>85</v>
      </c>
      <c r="F47" s="171">
        <v>42.63</v>
      </c>
      <c r="G47" s="171">
        <f t="shared" si="11"/>
        <v>42.37</v>
      </c>
      <c r="H47" s="171">
        <v>25</v>
      </c>
      <c r="I47" s="171">
        <v>0</v>
      </c>
      <c r="J47" s="171">
        <v>0</v>
      </c>
      <c r="K47" s="171">
        <v>0</v>
      </c>
      <c r="L47" s="171">
        <v>25</v>
      </c>
      <c r="M47" s="171">
        <v>0</v>
      </c>
      <c r="N47" s="171">
        <v>0</v>
      </c>
      <c r="O47" s="171">
        <v>0</v>
      </c>
      <c r="P47" s="171">
        <v>0</v>
      </c>
      <c r="Q47" s="171">
        <f t="shared" si="12"/>
        <v>17.3714599609375</v>
      </c>
      <c r="R47" s="171">
        <v>17.3714599609375</v>
      </c>
      <c r="S47" s="171">
        <v>0</v>
      </c>
      <c r="T47" s="171">
        <v>0</v>
      </c>
      <c r="U47" s="173" t="s">
        <v>24</v>
      </c>
      <c r="V47" s="171">
        <v>0</v>
      </c>
      <c r="W47" s="144"/>
      <c r="X47" s="144"/>
      <c r="Y47" s="145"/>
      <c r="Z47" s="96">
        <f t="shared" si="9"/>
        <v>-1.459960937502558E-3</v>
      </c>
    </row>
    <row r="48" spans="1:26" ht="13.5" thickBot="1" x14ac:dyDescent="0.25">
      <c r="B48" s="113"/>
      <c r="C48" s="121"/>
      <c r="D48" s="80" t="s">
        <v>140</v>
      </c>
      <c r="E48" s="170">
        <v>24</v>
      </c>
      <c r="F48" s="171">
        <v>0.92</v>
      </c>
      <c r="G48" s="171">
        <f t="shared" si="11"/>
        <v>23.08</v>
      </c>
      <c r="H48" s="171"/>
      <c r="I48" s="171"/>
      <c r="J48" s="171"/>
      <c r="K48" s="171"/>
      <c r="L48" s="171"/>
      <c r="M48" s="171"/>
      <c r="N48" s="171"/>
      <c r="O48" s="171"/>
      <c r="P48" s="171"/>
      <c r="Q48" s="171">
        <f t="shared" si="12"/>
        <v>23.072057723999023</v>
      </c>
      <c r="R48" s="171">
        <v>23.072057723999023</v>
      </c>
      <c r="S48" s="171"/>
      <c r="T48" s="171"/>
      <c r="U48" s="173" t="s">
        <v>24</v>
      </c>
      <c r="V48" s="171">
        <v>0</v>
      </c>
      <c r="W48" s="144"/>
      <c r="X48" s="144"/>
      <c r="Y48" s="145"/>
      <c r="Z48" s="96">
        <f>E48-F48-R48+V48</f>
        <v>7.9422760009748572E-3</v>
      </c>
    </row>
    <row r="49" spans="1:26" ht="13.5" thickBot="1" x14ac:dyDescent="0.25">
      <c r="B49" s="74" t="s">
        <v>153</v>
      </c>
      <c r="C49" s="75">
        <v>43894.291666666664</v>
      </c>
      <c r="D49" s="77"/>
      <c r="E49" s="162">
        <f t="shared" ref="E49:T49" si="13">SUM(E50:E53)</f>
        <v>1036.4000120162964</v>
      </c>
      <c r="F49" s="162">
        <f t="shared" si="13"/>
        <v>83.785998077392492</v>
      </c>
      <c r="G49" s="162">
        <f t="shared" si="13"/>
        <v>952.73951688941577</v>
      </c>
      <c r="H49" s="162">
        <f t="shared" si="13"/>
        <v>5.8499999046325684</v>
      </c>
      <c r="I49" s="162">
        <f t="shared" si="13"/>
        <v>0</v>
      </c>
      <c r="J49" s="162">
        <f t="shared" si="13"/>
        <v>0</v>
      </c>
      <c r="K49" s="162">
        <f t="shared" si="13"/>
        <v>5.8499999046325684</v>
      </c>
      <c r="L49" s="162">
        <f t="shared" si="13"/>
        <v>0</v>
      </c>
      <c r="M49" s="162">
        <f t="shared" si="13"/>
        <v>0</v>
      </c>
      <c r="N49" s="162">
        <f t="shared" si="13"/>
        <v>0</v>
      </c>
      <c r="O49" s="162">
        <f t="shared" si="13"/>
        <v>0</v>
      </c>
      <c r="P49" s="162">
        <f t="shared" si="13"/>
        <v>0</v>
      </c>
      <c r="Q49" s="162">
        <f t="shared" si="13"/>
        <v>946.89084002189338</v>
      </c>
      <c r="R49" s="162">
        <f t="shared" si="13"/>
        <v>486.04423522949219</v>
      </c>
      <c r="S49" s="162">
        <f t="shared" si="13"/>
        <v>5.5625900905579329</v>
      </c>
      <c r="T49" s="162">
        <f t="shared" si="13"/>
        <v>455.28401470184326</v>
      </c>
      <c r="U49" s="161" t="s">
        <v>24</v>
      </c>
      <c r="V49" s="162">
        <f>SUM(V50:V53)</f>
        <v>0.12550295051187277</v>
      </c>
      <c r="W49" s="23">
        <v>1096.8966064453125</v>
      </c>
      <c r="X49" s="16">
        <v>1103.6640625</v>
      </c>
      <c r="Y49" s="17">
        <v>24542.503021240234</v>
      </c>
      <c r="Z49" s="96">
        <f t="shared" ref="Z49:Z80" si="14">E49-F49-H49-M49-N49-O49-P49-Q49+V49</f>
        <v>-1.3230371101826677E-3</v>
      </c>
    </row>
    <row r="50" spans="1:26" x14ac:dyDescent="0.2">
      <c r="B50" s="111"/>
      <c r="C50" s="120"/>
      <c r="D50" s="79" t="s">
        <v>74</v>
      </c>
      <c r="E50" s="163">
        <v>331</v>
      </c>
      <c r="F50" s="164">
        <v>0</v>
      </c>
      <c r="G50" s="164">
        <f>SUM(E50)-SUM(F50)+V50</f>
        <v>331.11019922792912</v>
      </c>
      <c r="H50" s="164">
        <v>0</v>
      </c>
      <c r="I50" s="164">
        <v>0</v>
      </c>
      <c r="J50" s="164">
        <v>0</v>
      </c>
      <c r="K50" s="164">
        <v>0</v>
      </c>
      <c r="L50" s="177">
        <v>0</v>
      </c>
      <c r="M50" s="164">
        <v>0</v>
      </c>
      <c r="N50" s="164">
        <v>0</v>
      </c>
      <c r="O50" s="164">
        <v>0</v>
      </c>
      <c r="P50" s="164">
        <v>0</v>
      </c>
      <c r="Q50" s="164">
        <f>SUM(R50:T50)</f>
        <v>331.11019706726074</v>
      </c>
      <c r="R50" s="164">
        <v>161.06031799316406</v>
      </c>
      <c r="S50" s="164">
        <v>1.0498790740966797</v>
      </c>
      <c r="T50" s="164">
        <v>169</v>
      </c>
      <c r="U50" s="166" t="s">
        <v>24</v>
      </c>
      <c r="V50" s="164">
        <v>0.1101992279291153</v>
      </c>
      <c r="W50" s="144"/>
      <c r="X50" s="144"/>
      <c r="Y50" s="145"/>
      <c r="Z50" s="96">
        <f t="shared" si="14"/>
        <v>2.1606683731079102E-6</v>
      </c>
    </row>
    <row r="51" spans="1:26" x14ac:dyDescent="0.2">
      <c r="B51" s="116"/>
      <c r="C51" s="121"/>
      <c r="D51" s="40" t="s">
        <v>75</v>
      </c>
      <c r="E51" s="167">
        <v>140</v>
      </c>
      <c r="F51" s="168">
        <v>0</v>
      </c>
      <c r="G51" s="168">
        <f>SUM(E51)-SUM(F51)+V51</f>
        <v>140</v>
      </c>
      <c r="H51" s="168">
        <v>0</v>
      </c>
      <c r="I51" s="168">
        <v>0</v>
      </c>
      <c r="J51" s="168">
        <v>0</v>
      </c>
      <c r="K51" s="168">
        <v>0</v>
      </c>
      <c r="L51" s="182">
        <v>0</v>
      </c>
      <c r="M51" s="168">
        <v>0</v>
      </c>
      <c r="N51" s="168">
        <v>0</v>
      </c>
      <c r="O51" s="168">
        <v>0</v>
      </c>
      <c r="P51" s="168">
        <v>0</v>
      </c>
      <c r="Q51" s="168">
        <f>SUM(R51:T51)</f>
        <v>139.99999949149787</v>
      </c>
      <c r="R51" s="168">
        <v>139.9881591796875</v>
      </c>
      <c r="S51" s="168">
        <v>1.184031181037426E-2</v>
      </c>
      <c r="T51" s="168">
        <v>0</v>
      </c>
      <c r="U51" s="169" t="s">
        <v>24</v>
      </c>
      <c r="V51" s="168">
        <v>0</v>
      </c>
      <c r="W51" s="144"/>
      <c r="X51" s="144"/>
      <c r="Y51" s="145"/>
      <c r="Z51" s="96">
        <f t="shared" si="14"/>
        <v>5.0850212574005127E-7</v>
      </c>
    </row>
    <row r="52" spans="1:26" x14ac:dyDescent="0.2">
      <c r="B52" s="113"/>
      <c r="C52" s="121"/>
      <c r="D52" s="41" t="s">
        <v>132</v>
      </c>
      <c r="E52" s="167">
        <v>14.699999809265137</v>
      </c>
      <c r="F52" s="168">
        <v>0</v>
      </c>
      <c r="G52" s="168">
        <f>SUM(E52)-SUM(F52)+V52</f>
        <v>14.699999809265137</v>
      </c>
      <c r="H52" s="168">
        <v>0</v>
      </c>
      <c r="I52" s="168">
        <v>0</v>
      </c>
      <c r="J52" s="168">
        <v>0</v>
      </c>
      <c r="K52" s="168">
        <v>0</v>
      </c>
      <c r="L52" s="182">
        <v>0</v>
      </c>
      <c r="M52" s="168">
        <v>0</v>
      </c>
      <c r="N52" s="168">
        <v>0</v>
      </c>
      <c r="O52" s="168">
        <v>0</v>
      </c>
      <c r="P52" s="168">
        <v>0</v>
      </c>
      <c r="Q52" s="168">
        <f>SUM(R52:T52)</f>
        <v>14.699999809265137</v>
      </c>
      <c r="R52" s="168">
        <v>0</v>
      </c>
      <c r="S52" s="168">
        <v>0</v>
      </c>
      <c r="T52" s="168">
        <v>14.699999809265137</v>
      </c>
      <c r="U52" s="169" t="s">
        <v>24</v>
      </c>
      <c r="V52" s="168">
        <v>0</v>
      </c>
      <c r="W52" s="144"/>
      <c r="X52" s="144"/>
      <c r="Y52" s="145"/>
      <c r="Z52" s="96">
        <f t="shared" si="14"/>
        <v>0</v>
      </c>
    </row>
    <row r="53" spans="1:26" x14ac:dyDescent="0.2">
      <c r="B53" s="113"/>
      <c r="C53" s="121"/>
      <c r="D53" s="41" t="s">
        <v>44</v>
      </c>
      <c r="E53" s="168">
        <v>550.70001220703125</v>
      </c>
      <c r="F53" s="168">
        <f>47.3159980773925+36.47</f>
        <v>83.785998077392492</v>
      </c>
      <c r="G53" s="168">
        <f>SUM(E53)-SUM(F53)+V53</f>
        <v>466.92931785222152</v>
      </c>
      <c r="H53" s="168">
        <v>5.8499999046325684</v>
      </c>
      <c r="I53" s="168">
        <v>0</v>
      </c>
      <c r="J53" s="168">
        <v>0</v>
      </c>
      <c r="K53" s="168">
        <v>5.8499999046325684</v>
      </c>
      <c r="L53" s="168">
        <v>0</v>
      </c>
      <c r="M53" s="168">
        <v>0</v>
      </c>
      <c r="N53" s="168">
        <v>0</v>
      </c>
      <c r="O53" s="168">
        <v>0</v>
      </c>
      <c r="P53" s="168">
        <v>0</v>
      </c>
      <c r="Q53" s="168">
        <f>SUM(R53:T53)</f>
        <v>461.08064365386963</v>
      </c>
      <c r="R53" s="168">
        <v>184.99575805664062</v>
      </c>
      <c r="S53" s="168">
        <v>4.5008707046508789</v>
      </c>
      <c r="T53" s="168">
        <v>271.58401489257812</v>
      </c>
      <c r="U53" s="169" t="s">
        <v>24</v>
      </c>
      <c r="V53" s="168">
        <v>1.5303722582757473E-2</v>
      </c>
      <c r="W53" s="144"/>
      <c r="X53" s="144"/>
      <c r="Y53" s="145"/>
      <c r="Z53" s="96">
        <f t="shared" si="14"/>
        <v>-1.3257062806815156E-3</v>
      </c>
    </row>
    <row r="54" spans="1:26" ht="13.5" thickBot="1" x14ac:dyDescent="0.25">
      <c r="B54" s="113"/>
      <c r="C54" s="121"/>
      <c r="D54" s="80" t="s">
        <v>4</v>
      </c>
      <c r="E54" s="183">
        <v>449</v>
      </c>
      <c r="F54" s="165">
        <v>41.416000366210937</v>
      </c>
      <c r="G54" s="165">
        <f>SUM(E54)-SUM(F54)+V54</f>
        <v>407.58399963378906</v>
      </c>
      <c r="H54" s="165">
        <v>0</v>
      </c>
      <c r="I54" s="165">
        <v>0</v>
      </c>
      <c r="J54" s="165">
        <v>0</v>
      </c>
      <c r="K54" s="165">
        <v>0</v>
      </c>
      <c r="L54" s="175">
        <v>0</v>
      </c>
      <c r="M54" s="165">
        <v>0</v>
      </c>
      <c r="N54" s="165">
        <v>0</v>
      </c>
      <c r="O54" s="165">
        <v>0</v>
      </c>
      <c r="P54" s="165">
        <v>0</v>
      </c>
      <c r="Q54" s="165">
        <f>SUM(R54:T54)</f>
        <v>407.58401584625244</v>
      </c>
      <c r="R54" s="165">
        <v>131.49913024902344</v>
      </c>
      <c r="S54" s="171">
        <v>4.5008707046508789</v>
      </c>
      <c r="T54" s="165">
        <v>271.58401489257812</v>
      </c>
      <c r="U54" s="184" t="s">
        <v>24</v>
      </c>
      <c r="V54" s="171">
        <v>0</v>
      </c>
      <c r="W54" s="144"/>
      <c r="X54" s="144"/>
      <c r="Y54" s="145"/>
      <c r="Z54" s="96">
        <f t="shared" si="14"/>
        <v>-1.621246337890625E-5</v>
      </c>
    </row>
    <row r="55" spans="1:26" ht="13.5" thickBot="1" x14ac:dyDescent="0.25">
      <c r="B55" s="82" t="s">
        <v>154</v>
      </c>
      <c r="C55" s="83">
        <v>43894.25</v>
      </c>
      <c r="D55" s="77"/>
      <c r="E55" s="160">
        <f>SUM(E56:E59)</f>
        <v>7157.1979999542236</v>
      </c>
      <c r="F55" s="161">
        <f>SUM(F56:F59)</f>
        <v>3548.3268251037598</v>
      </c>
      <c r="G55" s="161">
        <f>SUM(G56:G59)</f>
        <v>3608.9125248984992</v>
      </c>
      <c r="H55" s="162">
        <f>SUM(H56:H59)</f>
        <v>0</v>
      </c>
      <c r="I55" s="162">
        <f>SUM(I56,I59)</f>
        <v>0</v>
      </c>
      <c r="J55" s="162">
        <f>SUM(J56)</f>
        <v>0</v>
      </c>
      <c r="K55" s="162">
        <f t="shared" ref="K55:R55" si="15">SUM(K56:K59)</f>
        <v>0</v>
      </c>
      <c r="L55" s="161">
        <f t="shared" si="15"/>
        <v>0</v>
      </c>
      <c r="M55" s="162">
        <f t="shared" si="15"/>
        <v>0</v>
      </c>
      <c r="N55" s="162">
        <f t="shared" si="15"/>
        <v>0</v>
      </c>
      <c r="O55" s="162">
        <f t="shared" si="15"/>
        <v>0</v>
      </c>
      <c r="P55" s="162">
        <f t="shared" si="15"/>
        <v>20.840000152587891</v>
      </c>
      <c r="Q55" s="162">
        <f t="shared" si="15"/>
        <v>3588.0750358551832</v>
      </c>
      <c r="R55" s="162">
        <f t="shared" si="15"/>
        <v>3495.4696942109149</v>
      </c>
      <c r="S55" s="162">
        <f>SUM(S56:S58)</f>
        <v>13.228420257568359</v>
      </c>
      <c r="T55" s="162">
        <f>SUM(T56:T58)</f>
        <v>0</v>
      </c>
      <c r="U55" s="161">
        <f>SUM(U59)</f>
        <v>79.376921386699991</v>
      </c>
      <c r="V55" s="162">
        <f>SUM(V56:V59)</f>
        <v>4.1350048035383224E-2</v>
      </c>
      <c r="W55" s="23">
        <v>2023.82470703125</v>
      </c>
      <c r="X55" s="16">
        <v>2023.82470703125</v>
      </c>
      <c r="Y55" s="17">
        <v>47311.5400390625</v>
      </c>
      <c r="Z55" s="96">
        <f t="shared" si="14"/>
        <v>-2.511109271836176E-3</v>
      </c>
    </row>
    <row r="56" spans="1:26" x14ac:dyDescent="0.2">
      <c r="B56" s="111"/>
      <c r="C56" s="120"/>
      <c r="D56" s="78" t="s">
        <v>76</v>
      </c>
      <c r="E56" s="163">
        <v>406</v>
      </c>
      <c r="F56" s="164">
        <v>0</v>
      </c>
      <c r="G56" s="164">
        <f t="shared" ref="G56:G61" si="16">SUM(E56)-SUM(F56)+V56</f>
        <v>406.04135004803538</v>
      </c>
      <c r="H56" s="164">
        <v>0</v>
      </c>
      <c r="I56" s="164">
        <v>0</v>
      </c>
      <c r="J56" s="164">
        <v>0</v>
      </c>
      <c r="K56" s="164">
        <v>0</v>
      </c>
      <c r="L56" s="164">
        <v>0</v>
      </c>
      <c r="M56" s="164">
        <v>0</v>
      </c>
      <c r="N56" s="164">
        <v>0</v>
      </c>
      <c r="O56" s="164">
        <v>0</v>
      </c>
      <c r="P56" s="164">
        <v>20.840000152587891</v>
      </c>
      <c r="Q56" s="164">
        <f>SUM(R56:T56)</f>
        <v>385.20428085327148</v>
      </c>
      <c r="R56" s="164">
        <v>371.97586059570312</v>
      </c>
      <c r="S56" s="164">
        <v>13.228420257568359</v>
      </c>
      <c r="T56" s="164">
        <v>0</v>
      </c>
      <c r="U56" s="166" t="s">
        <v>24</v>
      </c>
      <c r="V56" s="164">
        <v>4.1350048035383224E-2</v>
      </c>
      <c r="W56" s="144"/>
      <c r="X56" s="144"/>
      <c r="Y56" s="145"/>
      <c r="Z56" s="96">
        <f t="shared" si="14"/>
        <v>-2.9309578239917755E-3</v>
      </c>
    </row>
    <row r="57" spans="1:26" s="84" customFormat="1" x14ac:dyDescent="0.2">
      <c r="A57" s="51"/>
      <c r="B57" s="112"/>
      <c r="C57" s="120"/>
      <c r="D57" s="78" t="s">
        <v>130</v>
      </c>
      <c r="E57" s="183">
        <v>5.1979999542236328</v>
      </c>
      <c r="F57" s="165">
        <v>5.1968250274658203</v>
      </c>
      <c r="G57" s="164">
        <f t="shared" si="16"/>
        <v>1.1749267578125E-3</v>
      </c>
      <c r="H57" s="165"/>
      <c r="I57" s="165"/>
      <c r="J57" s="165"/>
      <c r="K57" s="165"/>
      <c r="L57" s="165"/>
      <c r="M57" s="165"/>
      <c r="N57" s="165"/>
      <c r="O57" s="165"/>
      <c r="P57" s="165"/>
      <c r="Q57" s="171">
        <f>SUM(R57)</f>
        <v>1.175000099465251E-3</v>
      </c>
      <c r="R57" s="165">
        <v>1.175000099465251E-3</v>
      </c>
      <c r="S57" s="165"/>
      <c r="T57" s="165"/>
      <c r="U57" s="184" t="s">
        <v>24</v>
      </c>
      <c r="V57" s="164">
        <v>0</v>
      </c>
      <c r="W57" s="144"/>
      <c r="X57" s="144"/>
      <c r="Y57" s="145"/>
      <c r="Z57" s="96">
        <f t="shared" si="14"/>
        <v>-7.3341652750968933E-8</v>
      </c>
    </row>
    <row r="58" spans="1:26" s="55" customFormat="1" x14ac:dyDescent="0.2">
      <c r="A58" s="98"/>
      <c r="B58" s="112"/>
      <c r="C58" s="121"/>
      <c r="D58" s="40" t="s">
        <v>43</v>
      </c>
      <c r="E58" s="185">
        <v>25</v>
      </c>
      <c r="F58" s="186">
        <v>20.670000076293945</v>
      </c>
      <c r="G58" s="186">
        <f t="shared" si="16"/>
        <v>4.3299999237060547</v>
      </c>
      <c r="H58" s="186"/>
      <c r="I58" s="186"/>
      <c r="J58" s="186"/>
      <c r="K58" s="186"/>
      <c r="L58" s="186"/>
      <c r="M58" s="186"/>
      <c r="N58" s="186"/>
      <c r="O58" s="186"/>
      <c r="P58" s="186"/>
      <c r="Q58" s="186">
        <f>SUM(R58:T58)</f>
        <v>4.3299999237060547</v>
      </c>
      <c r="R58" s="186">
        <v>4.3299999237060547</v>
      </c>
      <c r="S58" s="186"/>
      <c r="T58" s="186"/>
      <c r="U58" s="181" t="s">
        <v>24</v>
      </c>
      <c r="V58" s="182">
        <v>0</v>
      </c>
      <c r="W58" s="144"/>
      <c r="X58" s="144"/>
      <c r="Y58" s="145"/>
      <c r="Z58" s="102">
        <f t="shared" si="14"/>
        <v>0</v>
      </c>
    </row>
    <row r="59" spans="1:26" x14ac:dyDescent="0.2">
      <c r="B59" s="112"/>
      <c r="C59" s="121"/>
      <c r="D59" s="38" t="s">
        <v>18</v>
      </c>
      <c r="E59" s="168">
        <f>SUM(E60:E61)</f>
        <v>6721</v>
      </c>
      <c r="F59" s="168">
        <f>SUM(F60:F61)</f>
        <v>3522.46</v>
      </c>
      <c r="G59" s="168">
        <f t="shared" si="16"/>
        <v>3198.54</v>
      </c>
      <c r="H59" s="168">
        <f>SUM(H60:H61)</f>
        <v>0</v>
      </c>
      <c r="I59" s="168">
        <f>SUM(I60:I61)</f>
        <v>0</v>
      </c>
      <c r="J59" s="168"/>
      <c r="K59" s="168">
        <f t="shared" ref="K59:P59" si="17">SUM(K60:K61)</f>
        <v>0</v>
      </c>
      <c r="L59" s="168">
        <f t="shared" si="17"/>
        <v>0</v>
      </c>
      <c r="M59" s="168">
        <f t="shared" si="17"/>
        <v>0</v>
      </c>
      <c r="N59" s="168">
        <f t="shared" si="17"/>
        <v>0</v>
      </c>
      <c r="O59" s="168">
        <f t="shared" si="17"/>
        <v>0</v>
      </c>
      <c r="P59" s="168">
        <f t="shared" si="17"/>
        <v>0</v>
      </c>
      <c r="Q59" s="168">
        <f>SUM(R59:U59)</f>
        <v>3198.5395800781062</v>
      </c>
      <c r="R59" s="168">
        <f>SUM(R60:R61)</f>
        <v>3119.1626586914062</v>
      </c>
      <c r="S59" s="168" t="s">
        <v>24</v>
      </c>
      <c r="T59" s="168" t="s">
        <v>24</v>
      </c>
      <c r="U59" s="169">
        <f>SUM(U60:U61)</f>
        <v>79.376921386699991</v>
      </c>
      <c r="V59" s="168">
        <f>SUM(V60:V61)</f>
        <v>0</v>
      </c>
      <c r="W59" s="144"/>
      <c r="X59" s="144"/>
      <c r="Y59" s="145"/>
      <c r="Z59" s="96">
        <f t="shared" si="14"/>
        <v>4.1992189380835043E-4</v>
      </c>
    </row>
    <row r="60" spans="1:26" x14ac:dyDescent="0.2">
      <c r="B60" s="112"/>
      <c r="C60" s="121"/>
      <c r="D60" s="39" t="s">
        <v>77</v>
      </c>
      <c r="E60" s="163">
        <v>6400</v>
      </c>
      <c r="F60" s="170">
        <f>1150+2276.46</f>
        <v>3426.46</v>
      </c>
      <c r="G60" s="164">
        <f t="shared" si="16"/>
        <v>2973.54</v>
      </c>
      <c r="H60" s="164">
        <f>I60+K60+L60</f>
        <v>0</v>
      </c>
      <c r="I60" s="164">
        <v>0</v>
      </c>
      <c r="J60" s="164"/>
      <c r="K60" s="164">
        <v>0</v>
      </c>
      <c r="L60" s="164">
        <v>0</v>
      </c>
      <c r="M60" s="164">
        <v>0</v>
      </c>
      <c r="N60" s="164">
        <v>0</v>
      </c>
      <c r="O60" s="164">
        <v>0</v>
      </c>
      <c r="P60" s="164">
        <v>0</v>
      </c>
      <c r="Q60" s="164">
        <f>SUM(R60:U60)</f>
        <v>2973.5395800781248</v>
      </c>
      <c r="R60" s="164">
        <v>2944.569580078125</v>
      </c>
      <c r="S60" s="164" t="s">
        <v>24</v>
      </c>
      <c r="T60" s="164" t="s">
        <v>24</v>
      </c>
      <c r="U60" s="166">
        <v>28.97</v>
      </c>
      <c r="V60" s="168">
        <v>0</v>
      </c>
      <c r="W60" s="144"/>
      <c r="X60" s="144"/>
      <c r="Y60" s="145"/>
      <c r="Z60" s="96">
        <f t="shared" si="14"/>
        <v>4.1992187516370905E-4</v>
      </c>
    </row>
    <row r="61" spans="1:26" ht="13.5" thickBot="1" x14ac:dyDescent="0.25">
      <c r="B61" s="113"/>
      <c r="C61" s="121"/>
      <c r="D61" s="80" t="s">
        <v>78</v>
      </c>
      <c r="E61" s="170">
        <v>321</v>
      </c>
      <c r="F61" s="170">
        <f>96+0</f>
        <v>96</v>
      </c>
      <c r="G61" s="171">
        <f t="shared" si="16"/>
        <v>225</v>
      </c>
      <c r="H61" s="171">
        <f>I61+K61+L61</f>
        <v>0</v>
      </c>
      <c r="I61" s="171">
        <v>0</v>
      </c>
      <c r="J61" s="171"/>
      <c r="K61" s="171">
        <v>0</v>
      </c>
      <c r="L61" s="171">
        <v>0</v>
      </c>
      <c r="M61" s="171">
        <v>0</v>
      </c>
      <c r="N61" s="171">
        <v>0</v>
      </c>
      <c r="O61" s="171">
        <v>0</v>
      </c>
      <c r="P61" s="171">
        <v>0</v>
      </c>
      <c r="Q61" s="171">
        <f>SUM(R61:U61)</f>
        <v>224.99999999998124</v>
      </c>
      <c r="R61" s="171">
        <v>174.59307861328125</v>
      </c>
      <c r="S61" s="179" t="s">
        <v>24</v>
      </c>
      <c r="T61" s="171" t="s">
        <v>24</v>
      </c>
      <c r="U61" s="173">
        <v>50.406921386699999</v>
      </c>
      <c r="V61" s="171">
        <v>0</v>
      </c>
      <c r="W61" s="144"/>
      <c r="X61" s="144"/>
      <c r="Y61" s="145"/>
      <c r="Z61" s="96">
        <f t="shared" si="14"/>
        <v>1.8758328224066645E-11</v>
      </c>
    </row>
    <row r="62" spans="1:26" ht="13.5" customHeight="1" thickBot="1" x14ac:dyDescent="0.25">
      <c r="B62" s="125" t="s">
        <v>155</v>
      </c>
      <c r="C62" s="76">
        <v>43894.666666666664</v>
      </c>
      <c r="D62" s="77"/>
      <c r="E62" s="160">
        <f>SUM(E66:E74,E81)</f>
        <v>15880.979998588562</v>
      </c>
      <c r="F62" s="161">
        <f>SUM(F66:F74,F81)</f>
        <v>4484.7230773391721</v>
      </c>
      <c r="G62" s="161">
        <f>SUM(G66:G74,G81)</f>
        <v>11420.180704372884</v>
      </c>
      <c r="H62" s="162">
        <f>SUM(H66:H74,H81)</f>
        <v>1286.5789947509766</v>
      </c>
      <c r="I62" s="162">
        <f>SUM(I66:I74,I81)</f>
        <v>0</v>
      </c>
      <c r="J62" s="162">
        <f>SUM(J66:J74)</f>
        <v>164</v>
      </c>
      <c r="K62" s="162">
        <f t="shared" ref="K62:R62" si="18">SUM(K66:K74,K81)</f>
        <v>322.57899475097656</v>
      </c>
      <c r="L62" s="161">
        <f t="shared" si="18"/>
        <v>800</v>
      </c>
      <c r="M62" s="162">
        <f t="shared" si="18"/>
        <v>0</v>
      </c>
      <c r="N62" s="162">
        <f t="shared" si="18"/>
        <v>73.111000061035156</v>
      </c>
      <c r="O62" s="162">
        <f t="shared" si="18"/>
        <v>0</v>
      </c>
      <c r="P62" s="162">
        <f t="shared" si="18"/>
        <v>138.14871597290039</v>
      </c>
      <c r="Q62" s="162">
        <f t="shared" si="18"/>
        <v>9922.3492445516586</v>
      </c>
      <c r="R62" s="162">
        <f t="shared" si="18"/>
        <v>7365.4845126867294</v>
      </c>
      <c r="S62" s="162">
        <f>SUM(S66:S74)</f>
        <v>220.46005535125732</v>
      </c>
      <c r="T62" s="162">
        <f>SUM(T66:T74)</f>
        <v>2308.0746765136719</v>
      </c>
      <c r="U62" s="161">
        <f>SUM(U81)</f>
        <v>28.33</v>
      </c>
      <c r="V62" s="162">
        <f>SUM(V66:V74,V81)</f>
        <v>23.923783123493195</v>
      </c>
      <c r="W62" s="23">
        <v>5896.05322265625</v>
      </c>
      <c r="X62" s="16">
        <v>5939.533203125</v>
      </c>
      <c r="Y62" s="17">
        <v>137432.50854492188</v>
      </c>
      <c r="Z62" s="96">
        <f t="shared" si="14"/>
        <v>-7.2509636866016081E-3</v>
      </c>
    </row>
    <row r="63" spans="1:26" ht="13.5" customHeight="1" thickBot="1" x14ac:dyDescent="0.25">
      <c r="B63" s="126"/>
      <c r="C63" s="147"/>
      <c r="D63" s="90" t="s">
        <v>117</v>
      </c>
      <c r="E63" s="160">
        <f>E66+E68+E69+E70+E71+E72+E75+E76+E78+E79+E80+E84+E82</f>
        <v>11589.979989051819</v>
      </c>
      <c r="F63" s="161">
        <f>F66+F68+F69+F70+F71+F72+F75+F76+F78+F79+F80+F84+F82</f>
        <v>3747.4350007286071</v>
      </c>
      <c r="G63" s="161">
        <f t="shared" ref="G63:G84" si="19">SUM(E63)-SUM(F63)+V63</f>
        <v>7866.148771453858</v>
      </c>
      <c r="H63" s="162">
        <f>H66+H68+H69+H70+H71+H72+H75+H76+H78+H79+H80+H84+H82</f>
        <v>1122.5789947509766</v>
      </c>
      <c r="I63" s="162">
        <f>I66+I68+I69+I70+I71+I72+I75+I80+I82</f>
        <v>0</v>
      </c>
      <c r="J63" s="162">
        <f>J66+J68+J69+J70+J71+J72+J75+J80</f>
        <v>0</v>
      </c>
      <c r="K63" s="162">
        <f>K66+K68+K69+K70+K71+K72+K75+K80+K82</f>
        <v>322.57899475097656</v>
      </c>
      <c r="L63" s="161">
        <f>L66+L68+L69+L70+L71+L72+L75+L80+L82</f>
        <v>800</v>
      </c>
      <c r="M63" s="162">
        <f>M66+M68+M69+M70+M71+M72+M75+M80+M82</f>
        <v>0</v>
      </c>
      <c r="N63" s="162">
        <f>N66+N68+N69+N70+N71+N72+N75+N80+N82</f>
        <v>73.111000061035156</v>
      </c>
      <c r="O63" s="162">
        <f>O66+O68+O69+O70+O71+O72+O75+O76+O78+O79+O80+O84+O82</f>
        <v>0</v>
      </c>
      <c r="P63" s="162">
        <f>P66+P68+P69+P70+P71+P72+P75+P76+P78+P79+P80+P84+P82</f>
        <v>138.14871597290039</v>
      </c>
      <c r="Q63" s="162">
        <f>Q66+Q68+Q69+Q70+Q71+Q72+Q75+Q76+Q78+Q79+Q80+Q84+Q82</f>
        <v>6532.3141928091045</v>
      </c>
      <c r="R63" s="162">
        <f>R66+R68+R69+R70+R71+R72+R75+R76+R78+R79+R80+R84+R82</f>
        <v>4825.4828967657086</v>
      </c>
      <c r="S63" s="162">
        <f>S66+S68+S69+S70+S71+S72+S80</f>
        <v>180.42661952972412</v>
      </c>
      <c r="T63" s="162">
        <f>T66+T68+T69+T70+T71+T72+T80</f>
        <v>1498.0746765136719</v>
      </c>
      <c r="U63" s="161">
        <f>U82</f>
        <v>28.33</v>
      </c>
      <c r="V63" s="162">
        <f>V66+V68+V69+V70+V71+V72+V75+V76+V78+V79+V80+V84+V82</f>
        <v>23.603783130645752</v>
      </c>
      <c r="W63" s="23">
        <f>W62-W64</f>
        <v>4972.2120971679687</v>
      </c>
      <c r="X63" s="16"/>
      <c r="Y63" s="91" t="s">
        <v>24</v>
      </c>
      <c r="Z63" s="96">
        <f t="shared" si="14"/>
        <v>-4.1321401586174034E-3</v>
      </c>
    </row>
    <row r="64" spans="1:26" ht="13.5" customHeight="1" thickBot="1" x14ac:dyDescent="0.25">
      <c r="B64" s="104"/>
      <c r="C64" s="121"/>
      <c r="D64" s="87" t="s">
        <v>118</v>
      </c>
      <c r="E64" s="160">
        <f>E67+E73+E83+E77</f>
        <v>4291</v>
      </c>
      <c r="F64" s="160">
        <f>F67+F73+F83+F77</f>
        <v>737.28850711441044</v>
      </c>
      <c r="G64" s="161">
        <f t="shared" si="19"/>
        <v>3554.0314928784369</v>
      </c>
      <c r="H64" s="162">
        <f>H67+H73+H83+H77</f>
        <v>164</v>
      </c>
      <c r="I64" s="162">
        <f>I67+I73+I83</f>
        <v>0</v>
      </c>
      <c r="J64" s="162">
        <f>J67+J73</f>
        <v>164</v>
      </c>
      <c r="K64" s="162">
        <f>K67+K73+K83</f>
        <v>0</v>
      </c>
      <c r="L64" s="161">
        <f>L67+L73+L83</f>
        <v>0</v>
      </c>
      <c r="M64" s="162">
        <f>M67+M73+M83</f>
        <v>0</v>
      </c>
      <c r="N64" s="162">
        <f>N67+N73+N83</f>
        <v>0</v>
      </c>
      <c r="O64" s="162">
        <f>O67+O73+O83+O77</f>
        <v>0</v>
      </c>
      <c r="P64" s="162">
        <f>P67+P73+P83+P77</f>
        <v>0</v>
      </c>
      <c r="Q64" s="162">
        <f>Q67+Q73+Q83+Q77</f>
        <v>3390.0346422195435</v>
      </c>
      <c r="R64" s="162">
        <f>R67+R73+R83+R77</f>
        <v>2540.0012063980103</v>
      </c>
      <c r="S64" s="162">
        <f>S67+S73</f>
        <v>40.033435821533203</v>
      </c>
      <c r="T64" s="162">
        <f>T67+T73</f>
        <v>810</v>
      </c>
      <c r="U64" s="161">
        <f>U83</f>
        <v>0</v>
      </c>
      <c r="V64" s="162">
        <f>V67+V73+V83+V77</f>
        <v>0.31999999284744263</v>
      </c>
      <c r="W64" s="23">
        <v>923.84112548828125</v>
      </c>
      <c r="X64" s="16"/>
      <c r="Y64" s="18" t="s">
        <v>24</v>
      </c>
      <c r="Z64" s="96">
        <f t="shared" si="14"/>
        <v>-3.1493411065639521E-3</v>
      </c>
    </row>
    <row r="65" spans="1:26" ht="13.5" customHeight="1" x14ac:dyDescent="0.2">
      <c r="B65" s="104"/>
      <c r="C65" s="121"/>
      <c r="D65" s="40" t="s">
        <v>32</v>
      </c>
      <c r="E65" s="178">
        <f>SUM(E66:E73)</f>
        <v>6267.8999938964844</v>
      </c>
      <c r="F65" s="182">
        <f>SUM(F66:F73)</f>
        <v>86.998507022857666</v>
      </c>
      <c r="G65" s="187">
        <f t="shared" si="19"/>
        <v>6193.7986149787903</v>
      </c>
      <c r="H65" s="182">
        <f t="shared" ref="H65:T65" si="20">SUM(H66:H73)</f>
        <v>1236.5789947509766</v>
      </c>
      <c r="I65" s="182">
        <f t="shared" si="20"/>
        <v>0</v>
      </c>
      <c r="J65" s="182">
        <f t="shared" si="20"/>
        <v>164</v>
      </c>
      <c r="K65" s="182">
        <f t="shared" si="20"/>
        <v>272.57899475097656</v>
      </c>
      <c r="L65" s="182">
        <f t="shared" si="20"/>
        <v>800</v>
      </c>
      <c r="M65" s="182">
        <f t="shared" si="20"/>
        <v>0</v>
      </c>
      <c r="N65" s="182">
        <f t="shared" si="20"/>
        <v>73.111000061035156</v>
      </c>
      <c r="O65" s="182">
        <f t="shared" si="20"/>
        <v>0</v>
      </c>
      <c r="P65" s="182">
        <f t="shared" si="20"/>
        <v>103.14871597290039</v>
      </c>
      <c r="Q65" s="182">
        <f t="shared" si="20"/>
        <v>4780.9674024581909</v>
      </c>
      <c r="R65" s="182">
        <f t="shared" si="20"/>
        <v>2252.4326705932617</v>
      </c>
      <c r="S65" s="182">
        <f t="shared" si="20"/>
        <v>220.46005535125732</v>
      </c>
      <c r="T65" s="182">
        <f t="shared" si="20"/>
        <v>2308.0746765136719</v>
      </c>
      <c r="U65" s="178"/>
      <c r="V65" s="182">
        <v>12.897128105163574</v>
      </c>
      <c r="W65" s="146"/>
      <c r="X65" s="144"/>
      <c r="Y65" s="145"/>
      <c r="Z65" s="96">
        <f t="shared" si="14"/>
        <v>-7.4982643127441406E-3</v>
      </c>
    </row>
    <row r="66" spans="1:26" x14ac:dyDescent="0.2">
      <c r="B66" s="104"/>
      <c r="C66" s="121"/>
      <c r="D66" s="39" t="s">
        <v>79</v>
      </c>
      <c r="E66" s="163">
        <v>2400</v>
      </c>
      <c r="F66" s="164">
        <v>0</v>
      </c>
      <c r="G66" s="164">
        <f t="shared" si="19"/>
        <v>2400</v>
      </c>
      <c r="H66" s="164">
        <v>800</v>
      </c>
      <c r="I66" s="164">
        <v>0</v>
      </c>
      <c r="J66" s="164">
        <v>0</v>
      </c>
      <c r="K66" s="164">
        <v>0</v>
      </c>
      <c r="L66" s="164">
        <v>800</v>
      </c>
      <c r="M66" s="164">
        <v>0</v>
      </c>
      <c r="N66" s="164">
        <v>0</v>
      </c>
      <c r="O66" s="164">
        <v>0</v>
      </c>
      <c r="P66" s="164">
        <v>0</v>
      </c>
      <c r="Q66" s="164">
        <f t="shared" ref="Q66:Q74" si="21">SUM(R66:T66)</f>
        <v>1599.9999732971191</v>
      </c>
      <c r="R66" s="164">
        <v>759.19073486328125</v>
      </c>
      <c r="S66" s="164">
        <v>40.809238433837891</v>
      </c>
      <c r="T66" s="164">
        <v>800</v>
      </c>
      <c r="U66" s="166" t="s">
        <v>24</v>
      </c>
      <c r="V66" s="168">
        <v>0</v>
      </c>
      <c r="W66" s="144"/>
      <c r="X66" s="144"/>
      <c r="Y66" s="145"/>
      <c r="Z66" s="96">
        <f t="shared" si="14"/>
        <v>2.6702880859375E-5</v>
      </c>
    </row>
    <row r="67" spans="1:26" x14ac:dyDescent="0.2">
      <c r="B67" s="104"/>
      <c r="C67" s="121"/>
      <c r="D67" s="40" t="s">
        <v>80</v>
      </c>
      <c r="E67" s="167">
        <v>1260</v>
      </c>
      <c r="F67" s="168">
        <v>0</v>
      </c>
      <c r="G67" s="168">
        <f t="shared" si="19"/>
        <v>1260.3199999928474</v>
      </c>
      <c r="H67" s="168">
        <v>164</v>
      </c>
      <c r="I67" s="168">
        <v>0</v>
      </c>
      <c r="J67" s="168">
        <v>164</v>
      </c>
      <c r="K67" s="168">
        <v>0</v>
      </c>
      <c r="L67" s="178">
        <v>0</v>
      </c>
      <c r="M67" s="168">
        <v>0</v>
      </c>
      <c r="N67" s="168">
        <v>0</v>
      </c>
      <c r="O67" s="168">
        <v>0</v>
      </c>
      <c r="P67" s="168">
        <v>0</v>
      </c>
      <c r="Q67" s="168">
        <f t="shared" si="21"/>
        <v>1096.323429107666</v>
      </c>
      <c r="R67" s="168">
        <v>246.28999328613281</v>
      </c>
      <c r="S67" s="168">
        <v>40.033435821533203</v>
      </c>
      <c r="T67" s="168">
        <v>810</v>
      </c>
      <c r="U67" s="169" t="s">
        <v>24</v>
      </c>
      <c r="V67" s="168">
        <v>0.31999999284744263</v>
      </c>
      <c r="W67" s="144"/>
      <c r="X67" s="144"/>
      <c r="Y67" s="145"/>
      <c r="Z67" s="96">
        <f t="shared" si="14"/>
        <v>-3.429114818572998E-3</v>
      </c>
    </row>
    <row r="68" spans="1:26" x14ac:dyDescent="0.2">
      <c r="B68" s="104"/>
      <c r="C68" s="121"/>
      <c r="D68" s="40" t="s">
        <v>81</v>
      </c>
      <c r="E68" s="167">
        <v>1340</v>
      </c>
      <c r="F68" s="168">
        <v>3.310999870300293</v>
      </c>
      <c r="G68" s="168">
        <f t="shared" si="19"/>
        <v>1336.6890001296997</v>
      </c>
      <c r="H68" s="168">
        <v>247.57899475097656</v>
      </c>
      <c r="I68" s="168">
        <v>0</v>
      </c>
      <c r="J68" s="168">
        <v>0</v>
      </c>
      <c r="K68" s="168">
        <v>247.57899475097656</v>
      </c>
      <c r="L68" s="182">
        <v>0</v>
      </c>
      <c r="M68" s="168">
        <v>0</v>
      </c>
      <c r="N68" s="168">
        <v>73.111000061035156</v>
      </c>
      <c r="O68" s="168">
        <v>0</v>
      </c>
      <c r="P68" s="168">
        <v>83.470146179199219</v>
      </c>
      <c r="Q68" s="168">
        <f t="shared" si="21"/>
        <v>932.52886199951172</v>
      </c>
      <c r="R68" s="168">
        <v>328.698974609375</v>
      </c>
      <c r="S68" s="168">
        <v>27.750907897949219</v>
      </c>
      <c r="T68" s="168">
        <v>576.0789794921875</v>
      </c>
      <c r="U68" s="169" t="s">
        <v>24</v>
      </c>
      <c r="V68" s="168">
        <v>0</v>
      </c>
      <c r="W68" s="144"/>
      <c r="X68" s="144"/>
      <c r="Y68" s="145"/>
      <c r="Z68" s="96">
        <f t="shared" si="14"/>
        <v>-2.86102294921875E-6</v>
      </c>
    </row>
    <row r="69" spans="1:26" x14ac:dyDescent="0.2">
      <c r="B69" s="104"/>
      <c r="C69" s="121"/>
      <c r="D69" s="40" t="s">
        <v>82</v>
      </c>
      <c r="E69" s="167">
        <v>485.89999389648437</v>
      </c>
      <c r="F69" s="168">
        <v>79</v>
      </c>
      <c r="G69" s="168">
        <f t="shared" si="19"/>
        <v>415.52999401092529</v>
      </c>
      <c r="H69" s="168">
        <v>25</v>
      </c>
      <c r="I69" s="168">
        <v>0</v>
      </c>
      <c r="J69" s="168">
        <v>0</v>
      </c>
      <c r="K69" s="168">
        <v>25</v>
      </c>
      <c r="L69" s="182">
        <v>0</v>
      </c>
      <c r="M69" s="168">
        <v>0</v>
      </c>
      <c r="N69" s="168">
        <v>0</v>
      </c>
      <c r="O69" s="168">
        <v>0</v>
      </c>
      <c r="P69" s="168">
        <v>0</v>
      </c>
      <c r="Q69" s="168">
        <f t="shared" si="21"/>
        <v>390.53429317474365</v>
      </c>
      <c r="R69" s="168">
        <v>257.28799438476562</v>
      </c>
      <c r="S69" s="168">
        <v>11.250601768493652</v>
      </c>
      <c r="T69" s="168">
        <v>121.99569702148437</v>
      </c>
      <c r="U69" s="169" t="s">
        <v>24</v>
      </c>
      <c r="V69" s="168">
        <v>8.630000114440918</v>
      </c>
      <c r="W69" s="144"/>
      <c r="X69" s="144"/>
      <c r="Y69" s="145"/>
      <c r="Z69" s="96">
        <f t="shared" si="14"/>
        <v>-4.299163818359375E-3</v>
      </c>
    </row>
    <row r="70" spans="1:26" x14ac:dyDescent="0.2">
      <c r="B70" s="104"/>
      <c r="C70" s="121"/>
      <c r="D70" s="40" t="s">
        <v>83</v>
      </c>
      <c r="E70" s="167">
        <v>465</v>
      </c>
      <c r="F70" s="168">
        <v>0</v>
      </c>
      <c r="G70" s="168">
        <f t="shared" si="19"/>
        <v>468.94712781906128</v>
      </c>
      <c r="H70" s="168">
        <v>0</v>
      </c>
      <c r="I70" s="168">
        <v>0</v>
      </c>
      <c r="J70" s="168">
        <v>0</v>
      </c>
      <c r="K70" s="168">
        <v>0</v>
      </c>
      <c r="L70" s="182">
        <v>0</v>
      </c>
      <c r="M70" s="168">
        <v>0</v>
      </c>
      <c r="N70" s="168">
        <v>0</v>
      </c>
      <c r="O70" s="168">
        <v>0</v>
      </c>
      <c r="P70" s="168">
        <v>14.678569793701172</v>
      </c>
      <c r="Q70" s="168">
        <f t="shared" si="21"/>
        <v>454.26836395263672</v>
      </c>
      <c r="R70" s="168">
        <v>406.70999145507812</v>
      </c>
      <c r="S70" s="168">
        <v>47.558372497558594</v>
      </c>
      <c r="T70" s="168">
        <v>0</v>
      </c>
      <c r="U70" s="169" t="s">
        <v>24</v>
      </c>
      <c r="V70" s="168">
        <v>3.9471278190612793</v>
      </c>
      <c r="W70" s="144"/>
      <c r="X70" s="144"/>
      <c r="Y70" s="145"/>
      <c r="Z70" s="96">
        <f t="shared" si="14"/>
        <v>1.9407272338867188E-4</v>
      </c>
    </row>
    <row r="71" spans="1:26" x14ac:dyDescent="0.2">
      <c r="B71" s="104"/>
      <c r="C71" s="121"/>
      <c r="D71" s="40" t="s">
        <v>84</v>
      </c>
      <c r="E71" s="167">
        <v>208</v>
      </c>
      <c r="F71" s="168">
        <v>0</v>
      </c>
      <c r="G71" s="168">
        <f t="shared" si="19"/>
        <v>208</v>
      </c>
      <c r="H71" s="168">
        <v>0</v>
      </c>
      <c r="I71" s="168">
        <v>0</v>
      </c>
      <c r="J71" s="168">
        <v>0</v>
      </c>
      <c r="K71" s="168">
        <v>0</v>
      </c>
      <c r="L71" s="182">
        <v>0</v>
      </c>
      <c r="M71" s="168">
        <v>0</v>
      </c>
      <c r="N71" s="168">
        <v>0</v>
      </c>
      <c r="O71" s="168">
        <v>0</v>
      </c>
      <c r="P71" s="168">
        <v>5</v>
      </c>
      <c r="Q71" s="168">
        <f t="shared" si="21"/>
        <v>202.99999237060547</v>
      </c>
      <c r="R71" s="168">
        <v>170.06149291992187</v>
      </c>
      <c r="S71" s="168">
        <v>32.938499450683594</v>
      </c>
      <c r="T71" s="168">
        <v>0</v>
      </c>
      <c r="U71" s="169" t="s">
        <v>24</v>
      </c>
      <c r="V71" s="168">
        <v>0</v>
      </c>
      <c r="W71" s="144"/>
      <c r="X71" s="144"/>
      <c r="Y71" s="145"/>
      <c r="Z71" s="96">
        <f t="shared" si="14"/>
        <v>7.62939453125E-6</v>
      </c>
    </row>
    <row r="72" spans="1:26" x14ac:dyDescent="0.2">
      <c r="B72" s="104"/>
      <c r="C72" s="121"/>
      <c r="D72" s="40" t="s">
        <v>85</v>
      </c>
      <c r="E72" s="167">
        <v>85</v>
      </c>
      <c r="F72" s="168">
        <v>0</v>
      </c>
      <c r="G72" s="168">
        <f t="shared" si="19"/>
        <v>85</v>
      </c>
      <c r="H72" s="168">
        <v>0</v>
      </c>
      <c r="I72" s="168">
        <v>0</v>
      </c>
      <c r="J72" s="168">
        <v>0</v>
      </c>
      <c r="K72" s="168">
        <v>0</v>
      </c>
      <c r="L72" s="182">
        <v>0</v>
      </c>
      <c r="M72" s="168">
        <v>0</v>
      </c>
      <c r="N72" s="168">
        <v>0</v>
      </c>
      <c r="O72" s="168">
        <v>0</v>
      </c>
      <c r="P72" s="168">
        <v>0</v>
      </c>
      <c r="Q72" s="168">
        <f t="shared" si="21"/>
        <v>84.999996185302734</v>
      </c>
      <c r="R72" s="168">
        <v>64.880996704101563</v>
      </c>
      <c r="S72" s="168">
        <v>20.118999481201172</v>
      </c>
      <c r="T72" s="168">
        <v>0</v>
      </c>
      <c r="U72" s="169" t="s">
        <v>24</v>
      </c>
      <c r="V72" s="168">
        <v>0</v>
      </c>
      <c r="W72" s="144"/>
      <c r="X72" s="144"/>
      <c r="Y72" s="145"/>
      <c r="Z72" s="96">
        <f t="shared" si="14"/>
        <v>3.814697265625E-6</v>
      </c>
    </row>
    <row r="73" spans="1:26" x14ac:dyDescent="0.2">
      <c r="B73" s="104"/>
      <c r="C73" s="121"/>
      <c r="D73" s="40" t="s">
        <v>1</v>
      </c>
      <c r="E73" s="167">
        <v>24</v>
      </c>
      <c r="F73" s="168">
        <v>4.687507152557373</v>
      </c>
      <c r="G73" s="168">
        <f t="shared" si="19"/>
        <v>19.312492847442627</v>
      </c>
      <c r="H73" s="168">
        <v>0</v>
      </c>
      <c r="I73" s="168">
        <v>0</v>
      </c>
      <c r="J73" s="168">
        <v>0</v>
      </c>
      <c r="K73" s="168">
        <v>0</v>
      </c>
      <c r="L73" s="182">
        <v>0</v>
      </c>
      <c r="M73" s="168">
        <v>0</v>
      </c>
      <c r="N73" s="168">
        <v>0</v>
      </c>
      <c r="O73" s="168">
        <v>0</v>
      </c>
      <c r="P73" s="168">
        <v>0</v>
      </c>
      <c r="Q73" s="168">
        <f t="shared" si="21"/>
        <v>19.312492370605469</v>
      </c>
      <c r="R73" s="168">
        <v>19.312492370605469</v>
      </c>
      <c r="S73" s="168">
        <v>0</v>
      </c>
      <c r="T73" s="168">
        <v>0</v>
      </c>
      <c r="U73" s="169" t="s">
        <v>24</v>
      </c>
      <c r="V73" s="168">
        <v>0</v>
      </c>
      <c r="W73" s="144"/>
      <c r="X73" s="144"/>
      <c r="Y73" s="145"/>
      <c r="Z73" s="96">
        <f t="shared" si="14"/>
        <v>4.76837158203125E-7</v>
      </c>
    </row>
    <row r="74" spans="1:26" s="55" customFormat="1" x14ac:dyDescent="0.2">
      <c r="A74" s="98"/>
      <c r="B74" s="104"/>
      <c r="C74" s="121"/>
      <c r="D74" s="80" t="s">
        <v>114</v>
      </c>
      <c r="E74" s="185">
        <v>610.8800048828125</v>
      </c>
      <c r="F74" s="186">
        <v>77.100570678710937</v>
      </c>
      <c r="G74" s="186">
        <f t="shared" si="19"/>
        <v>544.80608940124512</v>
      </c>
      <c r="H74" s="186">
        <v>50</v>
      </c>
      <c r="I74" s="182">
        <v>0</v>
      </c>
      <c r="J74" s="182">
        <v>0</v>
      </c>
      <c r="K74" s="182">
        <v>50</v>
      </c>
      <c r="L74" s="186">
        <v>0</v>
      </c>
      <c r="M74" s="186">
        <v>0</v>
      </c>
      <c r="N74" s="186">
        <v>0</v>
      </c>
      <c r="O74" s="186">
        <v>0</v>
      </c>
      <c r="P74" s="185">
        <v>35</v>
      </c>
      <c r="Q74" s="182">
        <f t="shared" si="21"/>
        <v>459.80606079101562</v>
      </c>
      <c r="R74" s="185">
        <v>459.80606079101562</v>
      </c>
      <c r="S74" s="186">
        <v>0</v>
      </c>
      <c r="T74" s="182">
        <v>0</v>
      </c>
      <c r="U74" s="178" t="s">
        <v>24</v>
      </c>
      <c r="V74" s="182">
        <v>11.026655197143555</v>
      </c>
      <c r="W74" s="144"/>
      <c r="X74" s="144"/>
      <c r="Y74" s="145"/>
      <c r="Z74" s="96">
        <f t="shared" si="14"/>
        <v>2.86102294921875E-5</v>
      </c>
    </row>
    <row r="75" spans="1:26" x14ac:dyDescent="0.2">
      <c r="B75" s="104"/>
      <c r="C75" s="121"/>
      <c r="D75" s="80" t="s">
        <v>19</v>
      </c>
      <c r="E75" s="170">
        <v>320</v>
      </c>
      <c r="F75" s="171">
        <v>15</v>
      </c>
      <c r="G75" s="168">
        <f t="shared" si="19"/>
        <v>305</v>
      </c>
      <c r="H75" s="168">
        <v>50</v>
      </c>
      <c r="I75" s="168">
        <v>0</v>
      </c>
      <c r="J75" s="168">
        <v>0</v>
      </c>
      <c r="K75" s="168">
        <v>50</v>
      </c>
      <c r="L75" s="168">
        <v>0</v>
      </c>
      <c r="M75" s="171">
        <v>0</v>
      </c>
      <c r="N75" s="171">
        <v>0</v>
      </c>
      <c r="O75" s="171">
        <v>0</v>
      </c>
      <c r="P75" s="171">
        <v>35</v>
      </c>
      <c r="Q75" s="170">
        <f>R75</f>
        <v>220</v>
      </c>
      <c r="R75" s="171">
        <v>220</v>
      </c>
      <c r="S75" s="171" t="s">
        <v>24</v>
      </c>
      <c r="T75" s="168" t="s">
        <v>24</v>
      </c>
      <c r="U75" s="169" t="s">
        <v>24</v>
      </c>
      <c r="V75" s="168">
        <v>0</v>
      </c>
      <c r="W75" s="144"/>
      <c r="X75" s="144"/>
      <c r="Y75" s="145"/>
      <c r="Z75" s="96">
        <f t="shared" si="14"/>
        <v>0</v>
      </c>
    </row>
    <row r="76" spans="1:26" x14ac:dyDescent="0.2">
      <c r="B76" s="104"/>
      <c r="C76" s="121"/>
      <c r="D76" s="80" t="s">
        <v>86</v>
      </c>
      <c r="E76" s="170">
        <v>12</v>
      </c>
      <c r="F76" s="170">
        <v>5.7399997711181641</v>
      </c>
      <c r="G76" s="171">
        <f t="shared" si="19"/>
        <v>6.2600002288818359</v>
      </c>
      <c r="H76" s="171">
        <v>0</v>
      </c>
      <c r="I76" s="171" t="s">
        <v>24</v>
      </c>
      <c r="J76" s="171" t="s">
        <v>24</v>
      </c>
      <c r="K76" s="171" t="s">
        <v>24</v>
      </c>
      <c r="L76" s="186" t="s">
        <v>24</v>
      </c>
      <c r="M76" s="171" t="s">
        <v>24</v>
      </c>
      <c r="N76" s="171" t="s">
        <v>24</v>
      </c>
      <c r="O76" s="171">
        <v>0</v>
      </c>
      <c r="P76" s="171">
        <v>0</v>
      </c>
      <c r="Q76" s="170">
        <f>R76</f>
        <v>6.2600002288818359</v>
      </c>
      <c r="R76" s="171">
        <v>6.2600002288818359</v>
      </c>
      <c r="S76" s="171" t="s">
        <v>24</v>
      </c>
      <c r="T76" s="168" t="s">
        <v>24</v>
      </c>
      <c r="U76" s="169" t="s">
        <v>24</v>
      </c>
      <c r="V76" s="168">
        <v>0</v>
      </c>
      <c r="W76" s="144"/>
      <c r="X76" s="144"/>
      <c r="Y76" s="145"/>
      <c r="Z76" s="96" t="e">
        <f t="shared" si="14"/>
        <v>#VALUE!</v>
      </c>
    </row>
    <row r="77" spans="1:26" x14ac:dyDescent="0.2">
      <c r="B77" s="104"/>
      <c r="C77" s="121"/>
      <c r="D77" s="80" t="s">
        <v>48</v>
      </c>
      <c r="E77" s="170">
        <v>10</v>
      </c>
      <c r="F77" s="171">
        <v>8.5399999618530273</v>
      </c>
      <c r="G77" s="171">
        <f t="shared" si="19"/>
        <v>1.4600000381469727</v>
      </c>
      <c r="H77" s="172">
        <v>0</v>
      </c>
      <c r="I77" s="171" t="s">
        <v>24</v>
      </c>
      <c r="J77" s="171" t="s">
        <v>24</v>
      </c>
      <c r="K77" s="171" t="s">
        <v>24</v>
      </c>
      <c r="L77" s="186" t="s">
        <v>24</v>
      </c>
      <c r="M77" s="171" t="s">
        <v>24</v>
      </c>
      <c r="N77" s="171" t="s">
        <v>24</v>
      </c>
      <c r="O77" s="171">
        <v>0</v>
      </c>
      <c r="P77" s="171">
        <v>0</v>
      </c>
      <c r="Q77" s="170">
        <f>R77</f>
        <v>1.4600000381469727</v>
      </c>
      <c r="R77" s="171">
        <v>1.4600000381469727</v>
      </c>
      <c r="S77" s="171" t="s">
        <v>24</v>
      </c>
      <c r="T77" s="168" t="s">
        <v>24</v>
      </c>
      <c r="U77" s="169" t="s">
        <v>24</v>
      </c>
      <c r="V77" s="168">
        <v>0</v>
      </c>
      <c r="W77" s="144"/>
      <c r="X77" s="144"/>
      <c r="Y77" s="145"/>
      <c r="Z77" s="96" t="e">
        <f t="shared" si="14"/>
        <v>#VALUE!</v>
      </c>
    </row>
    <row r="78" spans="1:26" x14ac:dyDescent="0.2">
      <c r="B78" s="104"/>
      <c r="C78" s="121"/>
      <c r="D78" s="80" t="s">
        <v>87</v>
      </c>
      <c r="E78" s="170">
        <f>18+24</f>
        <v>42</v>
      </c>
      <c r="F78" s="170">
        <f>3.341+24</f>
        <v>27.341000000000001</v>
      </c>
      <c r="G78" s="171">
        <f t="shared" si="19"/>
        <v>14.658999999999999</v>
      </c>
      <c r="H78" s="170">
        <f>0+0</f>
        <v>0</v>
      </c>
      <c r="I78" s="171" t="s">
        <v>24</v>
      </c>
      <c r="J78" s="171" t="s">
        <v>24</v>
      </c>
      <c r="K78" s="171" t="s">
        <v>24</v>
      </c>
      <c r="L78" s="186" t="s">
        <v>24</v>
      </c>
      <c r="M78" s="171" t="s">
        <v>24</v>
      </c>
      <c r="N78" s="171" t="s">
        <v>24</v>
      </c>
      <c r="O78" s="170">
        <f>0+0</f>
        <v>0</v>
      </c>
      <c r="P78" s="170">
        <f>0+0</f>
        <v>0</v>
      </c>
      <c r="Q78" s="170">
        <f>R78</f>
        <v>14.659000000000001</v>
      </c>
      <c r="R78" s="170">
        <f>14.659+0</f>
        <v>14.659000000000001</v>
      </c>
      <c r="S78" s="171" t="s">
        <v>24</v>
      </c>
      <c r="T78" s="168" t="s">
        <v>24</v>
      </c>
      <c r="U78" s="169" t="s">
        <v>24</v>
      </c>
      <c r="V78" s="168">
        <f>0+0</f>
        <v>0</v>
      </c>
      <c r="W78" s="144"/>
      <c r="X78" s="144"/>
      <c r="Y78" s="145"/>
      <c r="Z78" s="96" t="e">
        <f t="shared" si="14"/>
        <v>#VALUE!</v>
      </c>
    </row>
    <row r="79" spans="1:26" x14ac:dyDescent="0.2">
      <c r="B79" s="104"/>
      <c r="C79" s="121"/>
      <c r="D79" s="80" t="s">
        <v>49</v>
      </c>
      <c r="E79" s="170">
        <v>20.480001449584961</v>
      </c>
      <c r="F79" s="170">
        <v>20.480001449584961</v>
      </c>
      <c r="G79" s="171">
        <f t="shared" si="19"/>
        <v>0</v>
      </c>
      <c r="H79" s="170">
        <v>0</v>
      </c>
      <c r="I79" s="171" t="s">
        <v>24</v>
      </c>
      <c r="J79" s="171" t="s">
        <v>24</v>
      </c>
      <c r="K79" s="171" t="s">
        <v>24</v>
      </c>
      <c r="L79" s="186" t="s">
        <v>24</v>
      </c>
      <c r="M79" s="171" t="s">
        <v>24</v>
      </c>
      <c r="N79" s="171" t="s">
        <v>24</v>
      </c>
      <c r="O79" s="170">
        <v>0</v>
      </c>
      <c r="P79" s="170">
        <v>0</v>
      </c>
      <c r="Q79" s="170">
        <f>R79</f>
        <v>0</v>
      </c>
      <c r="R79" s="170">
        <v>0</v>
      </c>
      <c r="S79" s="171" t="s">
        <v>24</v>
      </c>
      <c r="T79" s="171" t="s">
        <v>24</v>
      </c>
      <c r="U79" s="173" t="s">
        <v>24</v>
      </c>
      <c r="V79" s="168">
        <v>0</v>
      </c>
      <c r="W79" s="144"/>
      <c r="X79" s="144"/>
      <c r="Y79" s="145"/>
      <c r="Z79" s="96" t="e">
        <f t="shared" si="14"/>
        <v>#VALUE!</v>
      </c>
    </row>
    <row r="80" spans="1:26" x14ac:dyDescent="0.2">
      <c r="B80" s="104"/>
      <c r="C80" s="121"/>
      <c r="D80" s="40" t="s">
        <v>116</v>
      </c>
      <c r="E80" s="167">
        <v>206.39999389648437</v>
      </c>
      <c r="F80" s="167">
        <v>0</v>
      </c>
      <c r="G80" s="168">
        <f t="shared" si="19"/>
        <v>217.42664909362793</v>
      </c>
      <c r="H80" s="167">
        <v>0</v>
      </c>
      <c r="I80" s="168">
        <v>0</v>
      </c>
      <c r="J80" s="168">
        <v>0</v>
      </c>
      <c r="K80" s="168">
        <v>0</v>
      </c>
      <c r="L80" s="182">
        <v>0</v>
      </c>
      <c r="M80" s="168">
        <v>0</v>
      </c>
      <c r="N80" s="168">
        <v>0</v>
      </c>
      <c r="O80" s="167">
        <v>0</v>
      </c>
      <c r="P80" s="167">
        <v>0</v>
      </c>
      <c r="Q80" s="167">
        <f>R80+S80+T80</f>
        <v>217.42665100097656</v>
      </c>
      <c r="R80" s="167">
        <v>217.42665100097656</v>
      </c>
      <c r="S80" s="168">
        <v>0</v>
      </c>
      <c r="T80" s="168">
        <v>0</v>
      </c>
      <c r="U80" s="169" t="s">
        <v>24</v>
      </c>
      <c r="V80" s="168">
        <v>11.026655197143555</v>
      </c>
      <c r="W80" s="144"/>
      <c r="X80" s="144"/>
      <c r="Y80" s="145"/>
      <c r="Z80" s="96">
        <f t="shared" si="14"/>
        <v>-1.9073486328125E-6</v>
      </c>
    </row>
    <row r="81" spans="1:26" x14ac:dyDescent="0.2">
      <c r="B81" s="104"/>
      <c r="C81" s="121"/>
      <c r="D81" s="79" t="s">
        <v>18</v>
      </c>
      <c r="E81" s="163">
        <f>SUM(E82:E84)</f>
        <v>9002.1999998092651</v>
      </c>
      <c r="F81" s="163">
        <f>SUM(F82:F84)</f>
        <v>4320.6239996376034</v>
      </c>
      <c r="G81" s="164">
        <f t="shared" si="19"/>
        <v>4681.5760001716617</v>
      </c>
      <c r="H81" s="164">
        <f>SUM(H82:H84)</f>
        <v>0</v>
      </c>
      <c r="I81" s="164">
        <f>SUM(I82:I83)</f>
        <v>0</v>
      </c>
      <c r="J81" s="164" t="s">
        <v>24</v>
      </c>
      <c r="K81" s="164">
        <f>SUM(K82:K83)</f>
        <v>0</v>
      </c>
      <c r="L81" s="177">
        <f>SUM(L82:L83)</f>
        <v>0</v>
      </c>
      <c r="M81" s="164">
        <f>SUM(M82:M83)</f>
        <v>0</v>
      </c>
      <c r="N81" s="164">
        <f>SUM(N82:N83)</f>
        <v>0</v>
      </c>
      <c r="O81" s="164">
        <f>SUM(O82:O84)</f>
        <v>0</v>
      </c>
      <c r="P81" s="164">
        <f>SUM(P82:P84)</f>
        <v>0</v>
      </c>
      <c r="Q81" s="164">
        <f>SUM(Q82:Q84)</f>
        <v>4681.575781302452</v>
      </c>
      <c r="R81" s="164">
        <f>SUM(R82:R84)</f>
        <v>4653.2457813024521</v>
      </c>
      <c r="S81" s="177" t="s">
        <v>24</v>
      </c>
      <c r="T81" s="177" t="s">
        <v>24</v>
      </c>
      <c r="U81" s="166">
        <f>SUM(U82:U83)</f>
        <v>28.33</v>
      </c>
      <c r="V81" s="164">
        <v>0</v>
      </c>
      <c r="W81" s="144"/>
      <c r="X81" s="144"/>
      <c r="Y81" s="145"/>
      <c r="Z81" s="96">
        <f t="shared" ref="Z81:Z112" si="22">E81-F81-H81-M81-N81-O81-P81-Q81+V81</f>
        <v>2.1886920967517653E-4</v>
      </c>
    </row>
    <row r="82" spans="1:26" x14ac:dyDescent="0.2">
      <c r="B82" s="104"/>
      <c r="C82" s="121"/>
      <c r="D82" s="79" t="s">
        <v>88</v>
      </c>
      <c r="E82" s="163">
        <v>6000</v>
      </c>
      <c r="F82" s="164">
        <f>600+2992.433</f>
        <v>3592.433</v>
      </c>
      <c r="G82" s="164">
        <f t="shared" si="19"/>
        <v>2407.567</v>
      </c>
      <c r="H82" s="164">
        <f>I82+K82+L82</f>
        <v>0</v>
      </c>
      <c r="I82" s="164">
        <v>0</v>
      </c>
      <c r="J82" s="164" t="s">
        <v>24</v>
      </c>
      <c r="K82" s="164">
        <v>0</v>
      </c>
      <c r="L82" s="164">
        <v>0</v>
      </c>
      <c r="M82" s="164">
        <v>0</v>
      </c>
      <c r="N82" s="164">
        <v>0</v>
      </c>
      <c r="O82" s="164">
        <v>0</v>
      </c>
      <c r="P82" s="164">
        <v>0</v>
      </c>
      <c r="Q82" s="164">
        <f>SUM(R82:U82)</f>
        <v>2407.5670605468749</v>
      </c>
      <c r="R82" s="164">
        <v>2379.237060546875</v>
      </c>
      <c r="S82" s="177" t="s">
        <v>24</v>
      </c>
      <c r="T82" s="177" t="s">
        <v>24</v>
      </c>
      <c r="U82" s="166">
        <v>28.33</v>
      </c>
      <c r="V82" s="168">
        <v>0</v>
      </c>
      <c r="W82" s="144"/>
      <c r="X82" s="144"/>
      <c r="Y82" s="145"/>
      <c r="Z82" s="96">
        <f t="shared" si="22"/>
        <v>-6.0546874919964466E-5</v>
      </c>
    </row>
    <row r="83" spans="1:26" s="84" customFormat="1" x14ac:dyDescent="0.2">
      <c r="A83" s="51"/>
      <c r="B83" s="104"/>
      <c r="C83" s="121"/>
      <c r="D83" s="81" t="s">
        <v>45</v>
      </c>
      <c r="E83" s="170">
        <v>2997</v>
      </c>
      <c r="F83" s="171">
        <f>0+724.061</f>
        <v>724.06100000000004</v>
      </c>
      <c r="G83" s="171">
        <f t="shared" si="19"/>
        <v>2272.9389999999999</v>
      </c>
      <c r="H83" s="171">
        <f>I83+K83+L83</f>
        <v>0</v>
      </c>
      <c r="I83" s="171">
        <v>0</v>
      </c>
      <c r="J83" s="171" t="s">
        <v>24</v>
      </c>
      <c r="K83" s="171">
        <v>0</v>
      </c>
      <c r="L83" s="186">
        <v>0</v>
      </c>
      <c r="M83" s="171">
        <v>0</v>
      </c>
      <c r="N83" s="171">
        <v>0</v>
      </c>
      <c r="O83" s="171">
        <v>0</v>
      </c>
      <c r="P83" s="171">
        <v>0</v>
      </c>
      <c r="Q83" s="165">
        <f>SUM(R83:U83)</f>
        <v>2272.938720703125</v>
      </c>
      <c r="R83" s="171">
        <v>2272.938720703125</v>
      </c>
      <c r="S83" s="175" t="s">
        <v>24</v>
      </c>
      <c r="T83" s="175" t="s">
        <v>24</v>
      </c>
      <c r="U83" s="184">
        <v>0</v>
      </c>
      <c r="V83" s="171">
        <v>0</v>
      </c>
      <c r="W83" s="144"/>
      <c r="X83" s="144"/>
      <c r="Y83" s="145"/>
      <c r="Z83" s="96">
        <f t="shared" si="22"/>
        <v>2.7929687485084287E-4</v>
      </c>
    </row>
    <row r="84" spans="1:26" ht="13.5" thickBot="1" x14ac:dyDescent="0.25">
      <c r="B84" s="104"/>
      <c r="C84" s="121"/>
      <c r="D84" s="40" t="s">
        <v>33</v>
      </c>
      <c r="E84" s="168">
        <v>5.1999998092651367</v>
      </c>
      <c r="F84" s="168">
        <v>4.1299996376037598</v>
      </c>
      <c r="G84" s="168">
        <f t="shared" si="19"/>
        <v>1.070000171661377</v>
      </c>
      <c r="H84" s="168">
        <v>0</v>
      </c>
      <c r="I84" s="168" t="s">
        <v>24</v>
      </c>
      <c r="J84" s="168" t="s">
        <v>24</v>
      </c>
      <c r="K84" s="168" t="s">
        <v>24</v>
      </c>
      <c r="L84" s="168" t="s">
        <v>24</v>
      </c>
      <c r="M84" s="168" t="s">
        <v>24</v>
      </c>
      <c r="N84" s="168" t="s">
        <v>24</v>
      </c>
      <c r="O84" s="168">
        <v>0</v>
      </c>
      <c r="P84" s="168">
        <v>0</v>
      </c>
      <c r="Q84" s="168">
        <f>SUM(R84:U84)</f>
        <v>1.0700000524520874</v>
      </c>
      <c r="R84" s="168">
        <v>1.0700000524520874</v>
      </c>
      <c r="S84" s="168" t="s">
        <v>24</v>
      </c>
      <c r="T84" s="168" t="s">
        <v>24</v>
      </c>
      <c r="U84" s="169" t="s">
        <v>24</v>
      </c>
      <c r="V84" s="168">
        <v>0</v>
      </c>
      <c r="W84" s="144"/>
      <c r="X84" s="144"/>
      <c r="Y84" s="145"/>
      <c r="Z84" s="96" t="e">
        <f t="shared" si="22"/>
        <v>#VALUE!</v>
      </c>
    </row>
    <row r="85" spans="1:26" ht="13.5" thickBot="1" x14ac:dyDescent="0.25">
      <c r="B85" s="125" t="s">
        <v>156</v>
      </c>
      <c r="C85" s="75">
        <v>43894.625</v>
      </c>
      <c r="D85" s="77"/>
      <c r="E85" s="160">
        <f t="shared" ref="E85:T85" si="23">E86</f>
        <v>17</v>
      </c>
      <c r="F85" s="161">
        <f t="shared" si="23"/>
        <v>12.119999885559082</v>
      </c>
      <c r="G85" s="161">
        <f t="shared" si="23"/>
        <v>4.880000114440918</v>
      </c>
      <c r="H85" s="162">
        <f t="shared" si="23"/>
        <v>0</v>
      </c>
      <c r="I85" s="162">
        <f t="shared" si="23"/>
        <v>0</v>
      </c>
      <c r="J85" s="162">
        <f t="shared" si="23"/>
        <v>0</v>
      </c>
      <c r="K85" s="162">
        <f t="shared" si="23"/>
        <v>0</v>
      </c>
      <c r="L85" s="161">
        <f t="shared" si="23"/>
        <v>0</v>
      </c>
      <c r="M85" s="162">
        <f t="shared" si="23"/>
        <v>0</v>
      </c>
      <c r="N85" s="162">
        <f t="shared" si="23"/>
        <v>0</v>
      </c>
      <c r="O85" s="162">
        <f t="shared" si="23"/>
        <v>0</v>
      </c>
      <c r="P85" s="162">
        <f t="shared" si="23"/>
        <v>0</v>
      </c>
      <c r="Q85" s="162">
        <f t="shared" si="23"/>
        <v>4.880000114440918</v>
      </c>
      <c r="R85" s="162">
        <f t="shared" si="23"/>
        <v>4.880000114440918</v>
      </c>
      <c r="S85" s="162">
        <f t="shared" si="23"/>
        <v>0</v>
      </c>
      <c r="T85" s="162">
        <f t="shared" si="23"/>
        <v>0</v>
      </c>
      <c r="U85" s="161" t="s">
        <v>24</v>
      </c>
      <c r="V85" s="162">
        <f>V86</f>
        <v>0</v>
      </c>
      <c r="W85" s="23">
        <v>123.19149017333984</v>
      </c>
      <c r="X85" s="16">
        <v>135.29904174804687</v>
      </c>
      <c r="Y85" s="17">
        <v>2784.5871315002441</v>
      </c>
      <c r="Z85" s="96">
        <f t="shared" si="22"/>
        <v>0</v>
      </c>
    </row>
    <row r="86" spans="1:26" ht="13.5" thickBot="1" x14ac:dyDescent="0.25">
      <c r="B86" s="126"/>
      <c r="C86" s="103"/>
      <c r="D86" s="79" t="s">
        <v>89</v>
      </c>
      <c r="E86" s="163">
        <v>17</v>
      </c>
      <c r="F86" s="164">
        <v>12.119999885559082</v>
      </c>
      <c r="G86" s="164">
        <f>SUM(E86)-SUM(F86)+V86</f>
        <v>4.880000114440918</v>
      </c>
      <c r="H86" s="164">
        <v>0</v>
      </c>
      <c r="I86" s="164">
        <v>0</v>
      </c>
      <c r="J86" s="164">
        <v>0</v>
      </c>
      <c r="K86" s="164">
        <v>0</v>
      </c>
      <c r="L86" s="177">
        <v>0</v>
      </c>
      <c r="M86" s="164">
        <v>0</v>
      </c>
      <c r="N86" s="164">
        <v>0</v>
      </c>
      <c r="O86" s="164">
        <v>0</v>
      </c>
      <c r="P86" s="164">
        <v>0</v>
      </c>
      <c r="Q86" s="164">
        <f>SUM(R86:T86)</f>
        <v>4.880000114440918</v>
      </c>
      <c r="R86" s="164">
        <v>4.880000114440918</v>
      </c>
      <c r="S86" s="164">
        <v>0</v>
      </c>
      <c r="T86" s="164">
        <v>0</v>
      </c>
      <c r="U86" s="166" t="s">
        <v>24</v>
      </c>
      <c r="V86" s="164">
        <v>0</v>
      </c>
      <c r="W86" s="144"/>
      <c r="X86" s="144"/>
      <c r="Y86" s="145"/>
      <c r="Z86" s="96">
        <f t="shared" si="22"/>
        <v>0</v>
      </c>
    </row>
    <row r="87" spans="1:26" ht="13.5" thickBot="1" x14ac:dyDescent="0.25">
      <c r="B87" s="74" t="s">
        <v>157</v>
      </c>
      <c r="C87" s="75">
        <v>43894.166666666664</v>
      </c>
      <c r="D87" s="77"/>
      <c r="E87" s="160">
        <f>SUM(E89:E103)</f>
        <v>13132.100006103516</v>
      </c>
      <c r="F87" s="161">
        <f>SUM(F89:F103)</f>
        <v>1883.0704009475708</v>
      </c>
      <c r="G87" s="161">
        <f>SUM(G89:G103)</f>
        <v>11265.198054557801</v>
      </c>
      <c r="H87" s="162">
        <f>SUM(H89:H103)</f>
        <v>1083.7</v>
      </c>
      <c r="I87" s="162">
        <f>SUM(I89:I103)</f>
        <v>458.6</v>
      </c>
      <c r="J87" s="162">
        <f>SUM(J89:J102)</f>
        <v>0</v>
      </c>
      <c r="K87" s="162">
        <f t="shared" ref="K87:S87" si="24">SUM(K89:K103)</f>
        <v>625.1</v>
      </c>
      <c r="L87" s="161">
        <f t="shared" si="24"/>
        <v>0</v>
      </c>
      <c r="M87" s="162">
        <f t="shared" si="24"/>
        <v>45</v>
      </c>
      <c r="N87" s="162">
        <f t="shared" si="24"/>
        <v>0</v>
      </c>
      <c r="O87" s="162">
        <f t="shared" si="24"/>
        <v>0</v>
      </c>
      <c r="P87" s="162">
        <f t="shared" si="24"/>
        <v>120</v>
      </c>
      <c r="Q87" s="162">
        <f t="shared" si="24"/>
        <v>10016.497446028485</v>
      </c>
      <c r="R87" s="162">
        <f t="shared" si="24"/>
        <v>8133.2036218643188</v>
      </c>
      <c r="S87" s="162">
        <f t="shared" si="24"/>
        <v>430.61843824386597</v>
      </c>
      <c r="T87" s="162">
        <f>SUM(T89:T102)</f>
        <v>418</v>
      </c>
      <c r="U87" s="161">
        <f>SUM(U103)</f>
        <v>1034.6753859203</v>
      </c>
      <c r="V87" s="162">
        <f>SUM(V89:V103)</f>
        <v>16.168449401855469</v>
      </c>
      <c r="W87" s="16">
        <v>7252.38525390625</v>
      </c>
      <c r="X87" s="16">
        <v>7309.353515625</v>
      </c>
      <c r="Y87" s="17">
        <v>169881.90966796875</v>
      </c>
      <c r="Z87" s="96">
        <f t="shared" si="22"/>
        <v>6.0852931528643239E-4</v>
      </c>
    </row>
    <row r="88" spans="1:26" s="55" customFormat="1" x14ac:dyDescent="0.2">
      <c r="A88" s="51"/>
      <c r="B88" s="118"/>
      <c r="C88" s="140"/>
      <c r="D88" s="81" t="s">
        <v>32</v>
      </c>
      <c r="E88" s="188">
        <f>SUM(E89:E102)</f>
        <v>4043.6999816894531</v>
      </c>
      <c r="F88" s="176">
        <f>SUM(F89:F102)</f>
        <v>219.3764009475708</v>
      </c>
      <c r="G88" s="176">
        <f t="shared" ref="G88:G107" si="25">SUM(E88)-SUM(F88)+V88</f>
        <v>3840.4920301437378</v>
      </c>
      <c r="H88" s="175">
        <f t="shared" ref="H88:T88" si="26">SUM(H89:H102)</f>
        <v>380</v>
      </c>
      <c r="I88" s="175">
        <f t="shared" si="26"/>
        <v>0</v>
      </c>
      <c r="J88" s="175">
        <f t="shared" si="26"/>
        <v>0</v>
      </c>
      <c r="K88" s="175">
        <f t="shared" si="26"/>
        <v>380</v>
      </c>
      <c r="L88" s="176">
        <f t="shared" si="26"/>
        <v>0</v>
      </c>
      <c r="M88" s="175">
        <f t="shared" si="26"/>
        <v>45</v>
      </c>
      <c r="N88" s="175">
        <f t="shared" si="26"/>
        <v>0</v>
      </c>
      <c r="O88" s="175">
        <f t="shared" si="26"/>
        <v>0</v>
      </c>
      <c r="P88" s="175">
        <f t="shared" si="26"/>
        <v>120</v>
      </c>
      <c r="Q88" s="175">
        <f t="shared" si="26"/>
        <v>3295.4920506477356</v>
      </c>
      <c r="R88" s="175">
        <f t="shared" si="26"/>
        <v>2446.8736124038696</v>
      </c>
      <c r="S88" s="175">
        <f t="shared" si="26"/>
        <v>430.61843824386597</v>
      </c>
      <c r="T88" s="175">
        <f t="shared" si="26"/>
        <v>418</v>
      </c>
      <c r="U88" s="176" t="s">
        <v>24</v>
      </c>
      <c r="V88" s="189">
        <f>SUM(V89:V102)</f>
        <v>16.168449401855469</v>
      </c>
      <c r="W88" s="146"/>
      <c r="X88" s="144"/>
      <c r="Y88" s="145"/>
      <c r="Z88" s="96">
        <f t="shared" si="22"/>
        <v>-2.0503997802734375E-5</v>
      </c>
    </row>
    <row r="89" spans="1:26" x14ac:dyDescent="0.2">
      <c r="B89" s="119"/>
      <c r="C89" s="121"/>
      <c r="D89" s="40" t="s">
        <v>90</v>
      </c>
      <c r="E89" s="167">
        <v>79</v>
      </c>
      <c r="F89" s="168">
        <v>25</v>
      </c>
      <c r="G89" s="168">
        <f t="shared" si="25"/>
        <v>54</v>
      </c>
      <c r="H89" s="168">
        <v>0</v>
      </c>
      <c r="I89" s="168">
        <v>0</v>
      </c>
      <c r="J89" s="168">
        <v>0</v>
      </c>
      <c r="K89" s="168">
        <v>0</v>
      </c>
      <c r="L89" s="182">
        <v>0</v>
      </c>
      <c r="M89" s="168">
        <v>0</v>
      </c>
      <c r="N89" s="168">
        <v>0</v>
      </c>
      <c r="O89" s="168">
        <v>0</v>
      </c>
      <c r="P89" s="168">
        <v>15</v>
      </c>
      <c r="Q89" s="168">
        <f t="shared" ref="Q89:Q102" si="27">SUM(R89:T89)</f>
        <v>39</v>
      </c>
      <c r="R89" s="168">
        <v>26.251684188842773</v>
      </c>
      <c r="S89" s="168">
        <v>12.748315811157227</v>
      </c>
      <c r="T89" s="168">
        <v>0</v>
      </c>
      <c r="U89" s="169" t="s">
        <v>24</v>
      </c>
      <c r="V89" s="168">
        <v>0</v>
      </c>
      <c r="W89" s="144"/>
      <c r="X89" s="144"/>
      <c r="Y89" s="145"/>
      <c r="Z89" s="96">
        <f t="shared" si="22"/>
        <v>0</v>
      </c>
    </row>
    <row r="90" spans="1:26" x14ac:dyDescent="0.2">
      <c r="B90" s="119"/>
      <c r="C90" s="121"/>
      <c r="D90" s="40" t="s">
        <v>91</v>
      </c>
      <c r="E90" s="167">
        <v>18</v>
      </c>
      <c r="F90" s="168">
        <v>0</v>
      </c>
      <c r="G90" s="168">
        <f t="shared" si="25"/>
        <v>18</v>
      </c>
      <c r="H90" s="168">
        <v>0</v>
      </c>
      <c r="I90" s="168">
        <v>0</v>
      </c>
      <c r="J90" s="168">
        <v>0</v>
      </c>
      <c r="K90" s="168">
        <v>0</v>
      </c>
      <c r="L90" s="182">
        <v>0</v>
      </c>
      <c r="M90" s="168">
        <v>0</v>
      </c>
      <c r="N90" s="168">
        <v>0</v>
      </c>
      <c r="O90" s="168">
        <v>0</v>
      </c>
      <c r="P90" s="168">
        <v>0</v>
      </c>
      <c r="Q90" s="168">
        <f t="shared" si="27"/>
        <v>18</v>
      </c>
      <c r="R90" s="168">
        <v>18</v>
      </c>
      <c r="S90" s="168">
        <v>0</v>
      </c>
      <c r="T90" s="168">
        <v>0</v>
      </c>
      <c r="U90" s="169" t="s">
        <v>24</v>
      </c>
      <c r="V90" s="168">
        <v>0</v>
      </c>
      <c r="W90" s="144"/>
      <c r="X90" s="144"/>
      <c r="Y90" s="145"/>
      <c r="Z90" s="96">
        <f t="shared" si="22"/>
        <v>0</v>
      </c>
    </row>
    <row r="91" spans="1:26" x14ac:dyDescent="0.2">
      <c r="B91" s="119"/>
      <c r="C91" s="121"/>
      <c r="D91" s="40" t="s">
        <v>93</v>
      </c>
      <c r="E91" s="167">
        <v>270</v>
      </c>
      <c r="F91" s="168">
        <v>16</v>
      </c>
      <c r="G91" s="168">
        <f t="shared" si="25"/>
        <v>254</v>
      </c>
      <c r="H91" s="168">
        <v>0</v>
      </c>
      <c r="I91" s="168">
        <v>0</v>
      </c>
      <c r="J91" s="168">
        <v>0</v>
      </c>
      <c r="K91" s="168">
        <v>0</v>
      </c>
      <c r="L91" s="182">
        <v>0</v>
      </c>
      <c r="M91" s="168">
        <v>0</v>
      </c>
      <c r="N91" s="168">
        <v>0</v>
      </c>
      <c r="O91" s="168">
        <v>0</v>
      </c>
      <c r="P91" s="168">
        <v>0</v>
      </c>
      <c r="Q91" s="168">
        <f t="shared" si="27"/>
        <v>253.99999761581421</v>
      </c>
      <c r="R91" s="168">
        <v>107.71939086914062</v>
      </c>
      <c r="S91" s="168">
        <v>7.280606746673584</v>
      </c>
      <c r="T91" s="168">
        <v>139</v>
      </c>
      <c r="U91" s="169" t="s">
        <v>24</v>
      </c>
      <c r="V91" s="168">
        <v>0</v>
      </c>
      <c r="W91" s="144"/>
      <c r="X91" s="144"/>
      <c r="Y91" s="145"/>
      <c r="Z91" s="96">
        <f t="shared" si="22"/>
        <v>2.384185791015625E-6</v>
      </c>
    </row>
    <row r="92" spans="1:26" x14ac:dyDescent="0.2">
      <c r="B92" s="119"/>
      <c r="C92" s="121"/>
      <c r="D92" s="40" t="s">
        <v>94</v>
      </c>
      <c r="E92" s="167">
        <v>540</v>
      </c>
      <c r="F92" s="168">
        <v>0</v>
      </c>
      <c r="G92" s="168">
        <f t="shared" si="25"/>
        <v>540</v>
      </c>
      <c r="H92" s="168">
        <v>120</v>
      </c>
      <c r="I92" s="168">
        <v>0</v>
      </c>
      <c r="J92" s="168">
        <v>0</v>
      </c>
      <c r="K92" s="168">
        <v>120</v>
      </c>
      <c r="L92" s="182">
        <v>0</v>
      </c>
      <c r="M92" s="168">
        <v>0</v>
      </c>
      <c r="N92" s="168">
        <v>0</v>
      </c>
      <c r="O92" s="168">
        <v>0</v>
      </c>
      <c r="P92" s="168">
        <v>0</v>
      </c>
      <c r="Q92" s="168">
        <f t="shared" si="27"/>
        <v>420</v>
      </c>
      <c r="R92" s="168">
        <v>303.2645263671875</v>
      </c>
      <c r="S92" s="168">
        <v>116.7354736328125</v>
      </c>
      <c r="T92" s="168">
        <v>0</v>
      </c>
      <c r="U92" s="169" t="s">
        <v>24</v>
      </c>
      <c r="V92" s="168">
        <v>0</v>
      </c>
      <c r="W92" s="144"/>
      <c r="X92" s="144"/>
      <c r="Y92" s="145"/>
      <c r="Z92" s="96">
        <f t="shared" si="22"/>
        <v>0</v>
      </c>
    </row>
    <row r="93" spans="1:26" x14ac:dyDescent="0.2">
      <c r="B93" s="119"/>
      <c r="C93" s="121"/>
      <c r="D93" s="40" t="s">
        <v>95</v>
      </c>
      <c r="E93" s="167">
        <v>1110</v>
      </c>
      <c r="F93" s="168">
        <v>0</v>
      </c>
      <c r="G93" s="168">
        <f t="shared" si="25"/>
        <v>1110</v>
      </c>
      <c r="H93" s="168">
        <v>150</v>
      </c>
      <c r="I93" s="168">
        <v>0</v>
      </c>
      <c r="J93" s="168">
        <v>0</v>
      </c>
      <c r="K93" s="168">
        <v>150</v>
      </c>
      <c r="L93" s="182">
        <v>0</v>
      </c>
      <c r="M93" s="168">
        <v>0</v>
      </c>
      <c r="N93" s="168">
        <v>0</v>
      </c>
      <c r="O93" s="168">
        <v>0</v>
      </c>
      <c r="P93" s="168">
        <v>0</v>
      </c>
      <c r="Q93" s="168">
        <f t="shared" si="27"/>
        <v>959.99999618530273</v>
      </c>
      <c r="R93" s="168">
        <v>904.78558349609375</v>
      </c>
      <c r="S93" s="168">
        <v>55.214412689208984</v>
      </c>
      <c r="T93" s="168">
        <v>0</v>
      </c>
      <c r="U93" s="169" t="s">
        <v>24</v>
      </c>
      <c r="V93" s="168">
        <v>0</v>
      </c>
      <c r="W93" s="144"/>
      <c r="X93" s="144"/>
      <c r="Y93" s="145"/>
      <c r="Z93" s="96">
        <f t="shared" si="22"/>
        <v>3.814697265625E-6</v>
      </c>
    </row>
    <row r="94" spans="1:26" x14ac:dyDescent="0.2">
      <c r="B94" s="119"/>
      <c r="C94" s="121"/>
      <c r="D94" s="40" t="s">
        <v>96</v>
      </c>
      <c r="E94" s="167">
        <v>320.29998779296875</v>
      </c>
      <c r="F94" s="168">
        <v>5</v>
      </c>
      <c r="G94" s="168">
        <f t="shared" si="25"/>
        <v>331.46843719482422</v>
      </c>
      <c r="H94" s="168">
        <v>50</v>
      </c>
      <c r="I94" s="168">
        <v>0</v>
      </c>
      <c r="J94" s="168">
        <v>0</v>
      </c>
      <c r="K94" s="168">
        <v>50</v>
      </c>
      <c r="L94" s="182">
        <v>0</v>
      </c>
      <c r="M94" s="168">
        <v>45</v>
      </c>
      <c r="N94" s="168">
        <v>0</v>
      </c>
      <c r="O94" s="168">
        <v>0</v>
      </c>
      <c r="P94" s="168">
        <v>0</v>
      </c>
      <c r="Q94" s="168">
        <f t="shared" si="27"/>
        <v>236.46845245361328</v>
      </c>
      <c r="R94" s="168">
        <v>197.85824584960937</v>
      </c>
      <c r="S94" s="168">
        <v>16.610206604003906</v>
      </c>
      <c r="T94" s="168">
        <v>22</v>
      </c>
      <c r="U94" s="169" t="s">
        <v>24</v>
      </c>
      <c r="V94" s="168">
        <v>16.168449401855469</v>
      </c>
      <c r="W94" s="144"/>
      <c r="X94" s="144"/>
      <c r="Y94" s="145"/>
      <c r="Z94" s="96">
        <f t="shared" si="22"/>
        <v>-1.52587890625E-5</v>
      </c>
    </row>
    <row r="95" spans="1:26" x14ac:dyDescent="0.2">
      <c r="B95" s="119"/>
      <c r="C95" s="121"/>
      <c r="D95" s="40" t="s">
        <v>97</v>
      </c>
      <c r="E95" s="167">
        <v>12</v>
      </c>
      <c r="F95" s="168">
        <v>6</v>
      </c>
      <c r="G95" s="168">
        <f t="shared" si="25"/>
        <v>6</v>
      </c>
      <c r="H95" s="168">
        <v>0</v>
      </c>
      <c r="I95" s="168">
        <v>0</v>
      </c>
      <c r="J95" s="168">
        <v>0</v>
      </c>
      <c r="K95" s="168">
        <v>0</v>
      </c>
      <c r="L95" s="182">
        <v>0</v>
      </c>
      <c r="M95" s="168">
        <v>0</v>
      </c>
      <c r="N95" s="168">
        <v>0</v>
      </c>
      <c r="O95" s="168">
        <v>0</v>
      </c>
      <c r="P95" s="168">
        <v>0</v>
      </c>
      <c r="Q95" s="168">
        <f t="shared" si="27"/>
        <v>6</v>
      </c>
      <c r="R95" s="168">
        <v>6</v>
      </c>
      <c r="S95" s="168">
        <v>0</v>
      </c>
      <c r="T95" s="168">
        <v>0</v>
      </c>
      <c r="U95" s="169" t="s">
        <v>24</v>
      </c>
      <c r="V95" s="168">
        <v>0</v>
      </c>
      <c r="W95" s="144"/>
      <c r="X95" s="144"/>
      <c r="Y95" s="145"/>
      <c r="Z95" s="96">
        <f t="shared" si="22"/>
        <v>0</v>
      </c>
    </row>
    <row r="96" spans="1:26" x14ac:dyDescent="0.2">
      <c r="B96" s="119"/>
      <c r="C96" s="121"/>
      <c r="D96" s="40" t="s">
        <v>98</v>
      </c>
      <c r="E96" s="167">
        <v>18</v>
      </c>
      <c r="F96" s="168">
        <v>6</v>
      </c>
      <c r="G96" s="168">
        <f t="shared" si="25"/>
        <v>12</v>
      </c>
      <c r="H96" s="168">
        <v>0</v>
      </c>
      <c r="I96" s="168">
        <v>0</v>
      </c>
      <c r="J96" s="168">
        <v>0</v>
      </c>
      <c r="K96" s="168">
        <v>0</v>
      </c>
      <c r="L96" s="182">
        <v>0</v>
      </c>
      <c r="M96" s="168">
        <v>0</v>
      </c>
      <c r="N96" s="168">
        <v>0</v>
      </c>
      <c r="O96" s="168">
        <v>0</v>
      </c>
      <c r="P96" s="168">
        <v>0</v>
      </c>
      <c r="Q96" s="168">
        <f t="shared" si="27"/>
        <v>12</v>
      </c>
      <c r="R96" s="168">
        <v>12</v>
      </c>
      <c r="S96" s="168">
        <v>0</v>
      </c>
      <c r="T96" s="168">
        <v>0</v>
      </c>
      <c r="U96" s="169" t="s">
        <v>24</v>
      </c>
      <c r="V96" s="168">
        <v>0</v>
      </c>
      <c r="W96" s="144"/>
      <c r="X96" s="144"/>
      <c r="Y96" s="145"/>
      <c r="Z96" s="96">
        <f t="shared" si="22"/>
        <v>0</v>
      </c>
    </row>
    <row r="97" spans="1:26" x14ac:dyDescent="0.2">
      <c r="B97" s="119"/>
      <c r="C97" s="121"/>
      <c r="D97" s="40" t="s">
        <v>92</v>
      </c>
      <c r="E97" s="167">
        <v>12</v>
      </c>
      <c r="F97" s="168">
        <v>0</v>
      </c>
      <c r="G97" s="168">
        <f t="shared" si="25"/>
        <v>12</v>
      </c>
      <c r="H97" s="168">
        <v>0</v>
      </c>
      <c r="I97" s="168">
        <v>0</v>
      </c>
      <c r="J97" s="168">
        <v>0</v>
      </c>
      <c r="K97" s="168">
        <v>0</v>
      </c>
      <c r="L97" s="182">
        <v>0</v>
      </c>
      <c r="M97" s="168">
        <v>0</v>
      </c>
      <c r="N97" s="168">
        <v>0</v>
      </c>
      <c r="O97" s="168">
        <v>0</v>
      </c>
      <c r="P97" s="168">
        <v>0</v>
      </c>
      <c r="Q97" s="168">
        <f t="shared" si="27"/>
        <v>12</v>
      </c>
      <c r="R97" s="168">
        <v>12</v>
      </c>
      <c r="S97" s="168">
        <v>0</v>
      </c>
      <c r="T97" s="168">
        <v>0</v>
      </c>
      <c r="U97" s="169" t="s">
        <v>24</v>
      </c>
      <c r="V97" s="168">
        <v>0</v>
      </c>
      <c r="W97" s="144"/>
      <c r="X97" s="144"/>
      <c r="Y97" s="145"/>
      <c r="Z97" s="96">
        <f t="shared" si="22"/>
        <v>0</v>
      </c>
    </row>
    <row r="98" spans="1:26" x14ac:dyDescent="0.2">
      <c r="B98" s="119"/>
      <c r="C98" s="121"/>
      <c r="D98" s="40" t="s">
        <v>99</v>
      </c>
      <c r="E98" s="167">
        <v>260</v>
      </c>
      <c r="F98" s="168">
        <v>0</v>
      </c>
      <c r="G98" s="168">
        <f t="shared" si="25"/>
        <v>260</v>
      </c>
      <c r="H98" s="168">
        <v>0</v>
      </c>
      <c r="I98" s="168">
        <v>0</v>
      </c>
      <c r="J98" s="168">
        <v>0</v>
      </c>
      <c r="K98" s="168">
        <v>0</v>
      </c>
      <c r="L98" s="182">
        <v>0</v>
      </c>
      <c r="M98" s="168">
        <v>0</v>
      </c>
      <c r="N98" s="168">
        <v>0</v>
      </c>
      <c r="O98" s="168">
        <v>0</v>
      </c>
      <c r="P98" s="168">
        <v>0</v>
      </c>
      <c r="Q98" s="168">
        <f t="shared" si="27"/>
        <v>260</v>
      </c>
      <c r="R98" s="168">
        <v>173.8719482421875</v>
      </c>
      <c r="S98" s="168">
        <v>86.1280517578125</v>
      </c>
      <c r="T98" s="168">
        <v>0</v>
      </c>
      <c r="U98" s="169" t="s">
        <v>24</v>
      </c>
      <c r="V98" s="168">
        <v>0</v>
      </c>
      <c r="W98" s="144"/>
      <c r="X98" s="144"/>
      <c r="Y98" s="145"/>
      <c r="Z98" s="96">
        <f t="shared" si="22"/>
        <v>0</v>
      </c>
    </row>
    <row r="99" spans="1:26" x14ac:dyDescent="0.2">
      <c r="B99" s="119"/>
      <c r="C99" s="121"/>
      <c r="D99" s="40" t="s">
        <v>100</v>
      </c>
      <c r="E99" s="167">
        <v>708</v>
      </c>
      <c r="F99" s="168">
        <v>0</v>
      </c>
      <c r="G99" s="168">
        <f t="shared" si="25"/>
        <v>708</v>
      </c>
      <c r="H99" s="168">
        <v>60</v>
      </c>
      <c r="I99" s="168">
        <v>0</v>
      </c>
      <c r="J99" s="168">
        <v>0</v>
      </c>
      <c r="K99" s="168">
        <v>60</v>
      </c>
      <c r="L99" s="182">
        <v>0</v>
      </c>
      <c r="M99" s="168">
        <v>0</v>
      </c>
      <c r="N99" s="168">
        <v>0</v>
      </c>
      <c r="O99" s="168">
        <v>0</v>
      </c>
      <c r="P99" s="168">
        <v>105</v>
      </c>
      <c r="Q99" s="168">
        <f t="shared" si="27"/>
        <v>543.00000762939453</v>
      </c>
      <c r="R99" s="168">
        <v>469.66253662109375</v>
      </c>
      <c r="S99" s="168">
        <v>73.337471008300781</v>
      </c>
      <c r="T99" s="168">
        <v>0</v>
      </c>
      <c r="U99" s="169" t="s">
        <v>24</v>
      </c>
      <c r="V99" s="168">
        <v>0</v>
      </c>
      <c r="W99" s="144"/>
      <c r="X99" s="144"/>
      <c r="Y99" s="145"/>
      <c r="Z99" s="96">
        <f t="shared" si="22"/>
        <v>-7.62939453125E-6</v>
      </c>
    </row>
    <row r="100" spans="1:26" x14ac:dyDescent="0.2">
      <c r="B100" s="119"/>
      <c r="C100" s="121"/>
      <c r="D100" s="40" t="s">
        <v>101</v>
      </c>
      <c r="E100" s="167">
        <v>515</v>
      </c>
      <c r="F100" s="168">
        <v>98</v>
      </c>
      <c r="G100" s="168">
        <f t="shared" si="25"/>
        <v>417</v>
      </c>
      <c r="H100" s="168">
        <v>0</v>
      </c>
      <c r="I100" s="168">
        <v>0</v>
      </c>
      <c r="J100" s="168">
        <v>0</v>
      </c>
      <c r="K100" s="168">
        <v>0</v>
      </c>
      <c r="L100" s="182">
        <v>0</v>
      </c>
      <c r="M100" s="168">
        <v>0</v>
      </c>
      <c r="N100" s="168">
        <v>0</v>
      </c>
      <c r="O100" s="168">
        <v>0</v>
      </c>
      <c r="P100" s="168">
        <v>0</v>
      </c>
      <c r="Q100" s="168">
        <f t="shared" si="27"/>
        <v>416.99999618530273</v>
      </c>
      <c r="R100" s="168">
        <v>97.43609619140625</v>
      </c>
      <c r="S100" s="168">
        <v>62.563899993896484</v>
      </c>
      <c r="T100" s="168">
        <v>257</v>
      </c>
      <c r="U100" s="169" t="s">
        <v>24</v>
      </c>
      <c r="V100" s="168">
        <v>0</v>
      </c>
      <c r="W100" s="144"/>
      <c r="X100" s="144"/>
      <c r="Y100" s="145"/>
      <c r="Z100" s="96">
        <f t="shared" si="22"/>
        <v>3.814697265625E-6</v>
      </c>
    </row>
    <row r="101" spans="1:26" s="55" customFormat="1" x14ac:dyDescent="0.2">
      <c r="A101" s="51"/>
      <c r="B101" s="119"/>
      <c r="C101" s="121"/>
      <c r="D101" s="80" t="s">
        <v>129</v>
      </c>
      <c r="E101" s="187">
        <v>24</v>
      </c>
      <c r="F101" s="182">
        <v>11.076397895812988</v>
      </c>
      <c r="G101" s="182">
        <f t="shared" si="25"/>
        <v>12.923602104187012</v>
      </c>
      <c r="H101" s="182">
        <v>0</v>
      </c>
      <c r="I101" s="182">
        <v>0</v>
      </c>
      <c r="J101" s="182">
        <v>0</v>
      </c>
      <c r="K101" s="182">
        <v>0</v>
      </c>
      <c r="L101" s="182">
        <v>0</v>
      </c>
      <c r="M101" s="182">
        <v>0</v>
      </c>
      <c r="N101" s="182">
        <v>0</v>
      </c>
      <c r="O101" s="182">
        <v>0</v>
      </c>
      <c r="P101" s="182">
        <v>0</v>
      </c>
      <c r="Q101" s="182">
        <f t="shared" si="27"/>
        <v>12.923602104187012</v>
      </c>
      <c r="R101" s="182">
        <v>12.923602104187012</v>
      </c>
      <c r="S101" s="182">
        <v>0</v>
      </c>
      <c r="T101" s="182">
        <v>0</v>
      </c>
      <c r="U101" s="178" t="s">
        <v>24</v>
      </c>
      <c r="V101" s="182">
        <v>0</v>
      </c>
      <c r="W101" s="144"/>
      <c r="X101" s="144"/>
      <c r="Y101" s="145"/>
      <c r="Z101" s="96">
        <f t="shared" si="22"/>
        <v>0</v>
      </c>
    </row>
    <row r="102" spans="1:26" s="55" customFormat="1" x14ac:dyDescent="0.2">
      <c r="A102" s="51"/>
      <c r="B102" s="119"/>
      <c r="C102" s="121"/>
      <c r="D102" s="41" t="s">
        <v>43</v>
      </c>
      <c r="E102" s="185">
        <v>157.39999389648437</v>
      </c>
      <c r="F102" s="170">
        <v>52.300003051757813</v>
      </c>
      <c r="G102" s="170">
        <f t="shared" si="25"/>
        <v>105.09999084472656</v>
      </c>
      <c r="H102" s="170">
        <v>0</v>
      </c>
      <c r="I102" s="186">
        <v>0</v>
      </c>
      <c r="J102" s="186">
        <v>0</v>
      </c>
      <c r="K102" s="186">
        <v>0</v>
      </c>
      <c r="L102" s="186">
        <v>0</v>
      </c>
      <c r="M102" s="186">
        <v>0</v>
      </c>
      <c r="N102" s="186">
        <v>0</v>
      </c>
      <c r="O102" s="170">
        <v>0</v>
      </c>
      <c r="P102" s="170">
        <v>0</v>
      </c>
      <c r="Q102" s="186">
        <f t="shared" si="27"/>
        <v>105.09999847412109</v>
      </c>
      <c r="R102" s="186">
        <v>105.09999847412109</v>
      </c>
      <c r="S102" s="170">
        <v>0</v>
      </c>
      <c r="T102" s="170">
        <v>0</v>
      </c>
      <c r="U102" s="181" t="s">
        <v>24</v>
      </c>
      <c r="V102" s="186">
        <v>0</v>
      </c>
      <c r="W102" s="144"/>
      <c r="X102" s="144"/>
      <c r="Y102" s="145"/>
      <c r="Z102" s="96">
        <f t="shared" si="22"/>
        <v>-7.62939453125E-6</v>
      </c>
    </row>
    <row r="103" spans="1:26" x14ac:dyDescent="0.2">
      <c r="B103" s="119"/>
      <c r="C103" s="121"/>
      <c r="D103" s="39" t="s">
        <v>18</v>
      </c>
      <c r="E103" s="167">
        <f>SUM(E104:E107)</f>
        <v>9088.4000244140625</v>
      </c>
      <c r="F103" s="168">
        <f>SUM(F104:F107)</f>
        <v>1663.694</v>
      </c>
      <c r="G103" s="168">
        <f t="shared" si="25"/>
        <v>7424.706024414063</v>
      </c>
      <c r="H103" s="168">
        <f>SUM(H104:H107)</f>
        <v>703.7</v>
      </c>
      <c r="I103" s="168">
        <f>SUM(I104:I107)</f>
        <v>458.6</v>
      </c>
      <c r="J103" s="168" t="s">
        <v>24</v>
      </c>
      <c r="K103" s="168">
        <f>SUM(K104:K107)</f>
        <v>245.1</v>
      </c>
      <c r="L103" s="182">
        <f>SUM(L104:L107)</f>
        <v>0</v>
      </c>
      <c r="M103" s="168">
        <f>SUM(M104:M107)</f>
        <v>0</v>
      </c>
      <c r="N103" s="168">
        <f>SUM(N104:N106)</f>
        <v>0</v>
      </c>
      <c r="O103" s="168">
        <f>SUM(O104:O107)</f>
        <v>0</v>
      </c>
      <c r="P103" s="168">
        <f>SUM(P104:P107)</f>
        <v>0</v>
      </c>
      <c r="Q103" s="168">
        <f>SUM(R103:U103)</f>
        <v>6721.0053953807492</v>
      </c>
      <c r="R103" s="168">
        <f>SUM(R104:R107)</f>
        <v>5686.3300094604492</v>
      </c>
      <c r="S103" s="190" t="s">
        <v>24</v>
      </c>
      <c r="T103" s="168" t="s">
        <v>24</v>
      </c>
      <c r="U103" s="169">
        <f>SUM(U104:U107)</f>
        <v>1034.6753859203</v>
      </c>
      <c r="V103" s="168">
        <f>SUM(V104:V107)</f>
        <v>0</v>
      </c>
      <c r="W103" s="144"/>
      <c r="X103" s="144"/>
      <c r="Y103" s="145"/>
      <c r="Z103" s="96">
        <f t="shared" si="22"/>
        <v>6.2903331399866147E-4</v>
      </c>
    </row>
    <row r="104" spans="1:26" ht="12.75" customHeight="1" x14ac:dyDescent="0.2">
      <c r="B104" s="119"/>
      <c r="C104" s="121"/>
      <c r="D104" s="42" t="s">
        <v>102</v>
      </c>
      <c r="E104" s="183">
        <v>662.4000244140625</v>
      </c>
      <c r="F104" s="165">
        <f>0+281.658</f>
        <v>281.65800000000002</v>
      </c>
      <c r="G104" s="165">
        <f t="shared" si="25"/>
        <v>380.74202441406248</v>
      </c>
      <c r="H104" s="164">
        <f>I104+K104+L104</f>
        <v>0</v>
      </c>
      <c r="I104" s="164">
        <v>0</v>
      </c>
      <c r="J104" s="164" t="s">
        <v>24</v>
      </c>
      <c r="K104" s="164">
        <v>0</v>
      </c>
      <c r="L104" s="175">
        <v>0</v>
      </c>
      <c r="M104" s="165">
        <v>0</v>
      </c>
      <c r="N104" s="165">
        <v>0</v>
      </c>
      <c r="O104" s="165">
        <v>0</v>
      </c>
      <c r="P104" s="165">
        <v>0</v>
      </c>
      <c r="Q104" s="165">
        <f>SUM(R104:U104)</f>
        <v>380.74215698242187</v>
      </c>
      <c r="R104" s="165">
        <v>380.74215698242187</v>
      </c>
      <c r="S104" s="164" t="s">
        <v>24</v>
      </c>
      <c r="T104" s="164" t="s">
        <v>24</v>
      </c>
      <c r="U104" s="184">
        <v>0</v>
      </c>
      <c r="V104" s="165">
        <v>0</v>
      </c>
      <c r="W104" s="144"/>
      <c r="X104" s="144"/>
      <c r="Y104" s="145"/>
      <c r="Z104" s="96">
        <f t="shared" si="22"/>
        <v>-1.3256835939046141E-4</v>
      </c>
    </row>
    <row r="105" spans="1:26" x14ac:dyDescent="0.2">
      <c r="B105" s="119"/>
      <c r="C105" s="121"/>
      <c r="D105" s="41" t="s">
        <v>103</v>
      </c>
      <c r="E105" s="170">
        <v>4500</v>
      </c>
      <c r="F105" s="171">
        <f>194.4+0</f>
        <v>194.4</v>
      </c>
      <c r="G105" s="171">
        <f t="shared" si="25"/>
        <v>4305.6000000000004</v>
      </c>
      <c r="H105" s="168">
        <f>I105+K105+L105</f>
        <v>703.7</v>
      </c>
      <c r="I105" s="168">
        <v>458.6</v>
      </c>
      <c r="J105" s="168" t="s">
        <v>24</v>
      </c>
      <c r="K105" s="168">
        <v>245.1</v>
      </c>
      <c r="L105" s="186">
        <v>0</v>
      </c>
      <c r="M105" s="171">
        <v>0</v>
      </c>
      <c r="N105" s="171">
        <v>0</v>
      </c>
      <c r="O105" s="171">
        <v>0</v>
      </c>
      <c r="P105" s="171">
        <v>0</v>
      </c>
      <c r="Q105" s="171">
        <f>SUM(R105:U105)</f>
        <v>3601.9000000000501</v>
      </c>
      <c r="R105" s="171">
        <v>2729.79736328125</v>
      </c>
      <c r="S105" s="168" t="s">
        <v>24</v>
      </c>
      <c r="T105" s="168" t="s">
        <v>24</v>
      </c>
      <c r="U105" s="173">
        <v>872.1026367188</v>
      </c>
      <c r="V105" s="171">
        <v>0</v>
      </c>
      <c r="W105" s="144"/>
      <c r="X105" s="144"/>
      <c r="Y105" s="145"/>
      <c r="Z105" s="96">
        <f t="shared" si="22"/>
        <v>-4.9567461246624589E-11</v>
      </c>
    </row>
    <row r="106" spans="1:26" x14ac:dyDescent="0.2">
      <c r="B106" s="119"/>
      <c r="C106" s="121"/>
      <c r="D106" s="41" t="s">
        <v>104</v>
      </c>
      <c r="E106" s="170">
        <v>3840</v>
      </c>
      <c r="F106" s="171">
        <f>0+1110.739</f>
        <v>1110.739</v>
      </c>
      <c r="G106" s="171">
        <f t="shared" si="25"/>
        <v>2729.261</v>
      </c>
      <c r="H106" s="168">
        <f>I106+K106+L106</f>
        <v>0</v>
      </c>
      <c r="I106" s="168">
        <v>0</v>
      </c>
      <c r="J106" s="168" t="s">
        <v>24</v>
      </c>
      <c r="K106" s="168">
        <v>0</v>
      </c>
      <c r="L106" s="186">
        <v>0</v>
      </c>
      <c r="M106" s="171">
        <v>0</v>
      </c>
      <c r="N106" s="171">
        <v>0</v>
      </c>
      <c r="O106" s="171">
        <v>0</v>
      </c>
      <c r="P106" s="171">
        <v>0</v>
      </c>
      <c r="Q106" s="171">
        <f>SUM(R106:U106)</f>
        <v>2729.2607374827498</v>
      </c>
      <c r="R106" s="171">
        <v>2566.68798828125</v>
      </c>
      <c r="S106" s="168" t="s">
        <v>24</v>
      </c>
      <c r="T106" s="168" t="s">
        <v>24</v>
      </c>
      <c r="U106" s="173">
        <v>162.57274920149999</v>
      </c>
      <c r="V106" s="171">
        <v>0</v>
      </c>
      <c r="W106" s="144"/>
      <c r="X106" s="144"/>
      <c r="Y106" s="145"/>
      <c r="Z106" s="96">
        <f t="shared" si="22"/>
        <v>2.6251725012116367E-4</v>
      </c>
    </row>
    <row r="107" spans="1:26" ht="13.5" thickBot="1" x14ac:dyDescent="0.25">
      <c r="B107" s="119"/>
      <c r="C107" s="121"/>
      <c r="D107" s="80" t="s">
        <v>105</v>
      </c>
      <c r="E107" s="170">
        <v>86</v>
      </c>
      <c r="F107" s="171">
        <f>0+76.897</f>
        <v>76.897000000000006</v>
      </c>
      <c r="G107" s="171">
        <f t="shared" si="25"/>
        <v>9.1029999999999944</v>
      </c>
      <c r="H107" s="171">
        <f>I107+K107+L107</f>
        <v>0</v>
      </c>
      <c r="I107" s="171">
        <v>0</v>
      </c>
      <c r="J107" s="171" t="s">
        <v>24</v>
      </c>
      <c r="K107" s="171">
        <v>0</v>
      </c>
      <c r="L107" s="171">
        <v>0</v>
      </c>
      <c r="M107" s="171">
        <v>0</v>
      </c>
      <c r="N107" s="171">
        <v>0</v>
      </c>
      <c r="O107" s="171">
        <v>0</v>
      </c>
      <c r="P107" s="171">
        <v>0</v>
      </c>
      <c r="Q107" s="171">
        <f>SUM(R107:U107)</f>
        <v>9.1025009155273437</v>
      </c>
      <c r="R107" s="171">
        <v>9.1025009155273437</v>
      </c>
      <c r="S107" s="171" t="s">
        <v>24</v>
      </c>
      <c r="T107" s="171" t="s">
        <v>24</v>
      </c>
      <c r="U107" s="173">
        <v>0</v>
      </c>
      <c r="V107" s="191">
        <v>0</v>
      </c>
      <c r="W107" s="144"/>
      <c r="X107" s="144"/>
      <c r="Y107" s="145"/>
      <c r="Z107" s="96">
        <f t="shared" si="22"/>
        <v>4.9908447265067934E-4</v>
      </c>
    </row>
    <row r="108" spans="1:26" ht="13.5" thickBot="1" x14ac:dyDescent="0.25">
      <c r="B108" s="74" t="s">
        <v>158</v>
      </c>
      <c r="C108" s="75">
        <v>43894.208333333336</v>
      </c>
      <c r="D108" s="77"/>
      <c r="E108" s="160">
        <f>SUM(E109:E116)</f>
        <v>1444.7700042724609</v>
      </c>
      <c r="F108" s="160">
        <f>SUM(F109:F116)</f>
        <v>39.854875087738037</v>
      </c>
      <c r="G108" s="161">
        <f>SUM(G109:G112)</f>
        <v>1366.8324646949768</v>
      </c>
      <c r="H108" s="162">
        <f t="shared" ref="H108:N108" si="28">SUM(H109:H111)</f>
        <v>360</v>
      </c>
      <c r="I108" s="162">
        <f t="shared" si="28"/>
        <v>170</v>
      </c>
      <c r="J108" s="162">
        <f t="shared" si="28"/>
        <v>0</v>
      </c>
      <c r="K108" s="162">
        <f t="shared" si="28"/>
        <v>0</v>
      </c>
      <c r="L108" s="161">
        <f t="shared" si="28"/>
        <v>190</v>
      </c>
      <c r="M108" s="162">
        <f t="shared" si="28"/>
        <v>0</v>
      </c>
      <c r="N108" s="162">
        <f t="shared" si="28"/>
        <v>0</v>
      </c>
      <c r="O108" s="162">
        <f>SUM(O109:O112)</f>
        <v>0</v>
      </c>
      <c r="P108" s="162">
        <f>SUM(P109:P112)</f>
        <v>0</v>
      </c>
      <c r="Q108" s="162">
        <f>SUM(Q109:Q116)</f>
        <v>1044.9151029586792</v>
      </c>
      <c r="R108" s="162">
        <f>SUM(R109:R116)</f>
        <v>786.77739810943604</v>
      </c>
      <c r="S108" s="162">
        <f>SUM(S109:S111)</f>
        <v>258.13770484924316</v>
      </c>
      <c r="T108" s="162">
        <f>SUM(T109:T112)</f>
        <v>0</v>
      </c>
      <c r="U108" s="161" t="s">
        <v>24</v>
      </c>
      <c r="V108" s="161">
        <f>SUM(V109:V116)</f>
        <v>0</v>
      </c>
      <c r="W108" s="16">
        <v>818.1759033203125</v>
      </c>
      <c r="X108" s="16">
        <v>835.90240478515625</v>
      </c>
      <c r="Y108" s="17">
        <v>18129.704681396484</v>
      </c>
      <c r="Z108" s="96">
        <f t="shared" si="22"/>
        <v>2.6226043701171875E-5</v>
      </c>
    </row>
    <row r="109" spans="1:26" x14ac:dyDescent="0.2">
      <c r="B109" s="112"/>
      <c r="C109" s="120"/>
      <c r="D109" s="78" t="s">
        <v>106</v>
      </c>
      <c r="E109" s="163">
        <v>1190</v>
      </c>
      <c r="F109" s="164">
        <v>0</v>
      </c>
      <c r="G109" s="164">
        <f t="shared" ref="G109:G116" si="29">SUM(E109)-SUM(F109)+V109</f>
        <v>1190</v>
      </c>
      <c r="H109" s="164">
        <v>360</v>
      </c>
      <c r="I109" s="164">
        <v>170</v>
      </c>
      <c r="J109" s="164">
        <v>0</v>
      </c>
      <c r="K109" s="164">
        <v>0</v>
      </c>
      <c r="L109" s="177">
        <v>190</v>
      </c>
      <c r="M109" s="164">
        <v>0</v>
      </c>
      <c r="N109" s="164">
        <v>0</v>
      </c>
      <c r="O109" s="164">
        <v>0</v>
      </c>
      <c r="P109" s="164">
        <v>0</v>
      </c>
      <c r="Q109" s="164">
        <f>SUM(R109:T109)</f>
        <v>829.99998474121094</v>
      </c>
      <c r="R109" s="164">
        <v>586.004638671875</v>
      </c>
      <c r="S109" s="164">
        <v>243.99534606933594</v>
      </c>
      <c r="T109" s="164">
        <v>0</v>
      </c>
      <c r="U109" s="166" t="s">
        <v>24</v>
      </c>
      <c r="V109" s="164">
        <v>0</v>
      </c>
      <c r="W109" s="144"/>
      <c r="X109" s="144"/>
      <c r="Y109" s="145"/>
      <c r="Z109" s="96">
        <f t="shared" si="22"/>
        <v>1.52587890625E-5</v>
      </c>
    </row>
    <row r="110" spans="1:26" x14ac:dyDescent="0.2">
      <c r="B110" s="112"/>
      <c r="C110" s="121"/>
      <c r="D110" s="39" t="s">
        <v>107</v>
      </c>
      <c r="E110" s="167">
        <v>148.77000427246094</v>
      </c>
      <c r="F110" s="168">
        <v>3.5999999046325684</v>
      </c>
      <c r="G110" s="168">
        <f t="shared" si="29"/>
        <v>145.17000436782837</v>
      </c>
      <c r="H110" s="168">
        <v>0</v>
      </c>
      <c r="I110" s="168">
        <v>0</v>
      </c>
      <c r="J110" s="168">
        <v>0</v>
      </c>
      <c r="K110" s="168">
        <v>0</v>
      </c>
      <c r="L110" s="182">
        <v>0</v>
      </c>
      <c r="M110" s="168">
        <v>0</v>
      </c>
      <c r="N110" s="168">
        <v>0</v>
      </c>
      <c r="O110" s="168">
        <v>0</v>
      </c>
      <c r="P110" s="168">
        <v>0</v>
      </c>
      <c r="Q110" s="168">
        <f>SUM(R110:T110)</f>
        <v>145.16999244689941</v>
      </c>
      <c r="R110" s="168">
        <v>131.02763366699219</v>
      </c>
      <c r="S110" s="168">
        <v>14.142358779907227</v>
      </c>
      <c r="T110" s="168">
        <v>0</v>
      </c>
      <c r="U110" s="169" t="s">
        <v>24</v>
      </c>
      <c r="V110" s="168">
        <v>0</v>
      </c>
      <c r="W110" s="144"/>
      <c r="X110" s="144"/>
      <c r="Y110" s="145"/>
      <c r="Z110" s="96">
        <f t="shared" si="22"/>
        <v>1.1920928955078125E-5</v>
      </c>
    </row>
    <row r="111" spans="1:26" x14ac:dyDescent="0.2">
      <c r="B111" s="112"/>
      <c r="C111" s="121"/>
      <c r="D111" s="39" t="s">
        <v>20</v>
      </c>
      <c r="E111" s="167">
        <v>36</v>
      </c>
      <c r="F111" s="168">
        <v>11.871999740600586</v>
      </c>
      <c r="G111" s="168">
        <f t="shared" si="29"/>
        <v>24.128000259399414</v>
      </c>
      <c r="H111" s="168">
        <v>0</v>
      </c>
      <c r="I111" s="168">
        <v>0</v>
      </c>
      <c r="J111" s="168">
        <v>0</v>
      </c>
      <c r="K111" s="168">
        <v>0</v>
      </c>
      <c r="L111" s="182">
        <v>0</v>
      </c>
      <c r="M111" s="168">
        <v>0</v>
      </c>
      <c r="N111" s="168">
        <v>0</v>
      </c>
      <c r="O111" s="168">
        <v>0</v>
      </c>
      <c r="P111" s="168">
        <v>0</v>
      </c>
      <c r="Q111" s="168">
        <f>SUM(R111:T111)</f>
        <v>24.128000259399414</v>
      </c>
      <c r="R111" s="168">
        <v>24.128000259399414</v>
      </c>
      <c r="S111" s="168">
        <v>0</v>
      </c>
      <c r="T111" s="168">
        <v>0</v>
      </c>
      <c r="U111" s="169" t="s">
        <v>24</v>
      </c>
      <c r="V111" s="168">
        <v>0</v>
      </c>
      <c r="W111" s="144"/>
      <c r="X111" s="144"/>
      <c r="Y111" s="145"/>
      <c r="Z111" s="96">
        <f t="shared" si="22"/>
        <v>0</v>
      </c>
    </row>
    <row r="112" spans="1:26" x14ac:dyDescent="0.2">
      <c r="B112" s="119"/>
      <c r="C112" s="121"/>
      <c r="D112" s="89" t="s">
        <v>143</v>
      </c>
      <c r="E112" s="170">
        <v>10</v>
      </c>
      <c r="F112" s="170">
        <v>2.4655399322509766</v>
      </c>
      <c r="G112" s="170">
        <f t="shared" si="29"/>
        <v>7.5344600677490234</v>
      </c>
      <c r="H112" s="170"/>
      <c r="I112" s="178"/>
      <c r="J112" s="178"/>
      <c r="K112" s="178"/>
      <c r="L112" s="178"/>
      <c r="M112" s="168"/>
      <c r="N112" s="171"/>
      <c r="O112" s="170"/>
      <c r="P112" s="170"/>
      <c r="Q112" s="171">
        <f>SUM(R112)</f>
        <v>7.5344600677490234</v>
      </c>
      <c r="R112" s="170">
        <v>7.5344600677490234</v>
      </c>
      <c r="S112" s="170"/>
      <c r="T112" s="170"/>
      <c r="U112" s="169" t="s">
        <v>24</v>
      </c>
      <c r="V112" s="164">
        <v>0</v>
      </c>
      <c r="W112" s="144"/>
      <c r="X112" s="144"/>
      <c r="Y112" s="145"/>
      <c r="Z112" s="96">
        <f t="shared" si="22"/>
        <v>0</v>
      </c>
    </row>
    <row r="113" spans="1:26" s="84" customFormat="1" x14ac:dyDescent="0.2">
      <c r="A113" s="51"/>
      <c r="B113" s="105"/>
      <c r="C113" s="106"/>
      <c r="D113" s="89" t="s">
        <v>162</v>
      </c>
      <c r="E113" s="170">
        <v>15</v>
      </c>
      <c r="F113" s="170">
        <v>5.1291241645812988</v>
      </c>
      <c r="G113" s="170">
        <f t="shared" si="29"/>
        <v>9.8708758354187012</v>
      </c>
      <c r="H113" s="170"/>
      <c r="I113" s="169"/>
      <c r="J113" s="169"/>
      <c r="K113" s="169"/>
      <c r="L113" s="178"/>
      <c r="M113" s="168"/>
      <c r="N113" s="171"/>
      <c r="O113" s="170"/>
      <c r="P113" s="170"/>
      <c r="Q113" s="171">
        <f>SUM(R113)</f>
        <v>9.8708763122558594</v>
      </c>
      <c r="R113" s="170">
        <v>9.8708763122558594</v>
      </c>
      <c r="S113" s="170"/>
      <c r="T113" s="170"/>
      <c r="U113" s="169" t="s">
        <v>24</v>
      </c>
      <c r="V113" s="164">
        <v>0</v>
      </c>
      <c r="W113" s="107"/>
      <c r="X113" s="107"/>
      <c r="Y113" s="108"/>
      <c r="Z113" s="96"/>
    </row>
    <row r="114" spans="1:26" s="84" customFormat="1" x14ac:dyDescent="0.2">
      <c r="A114" s="51"/>
      <c r="B114" s="105"/>
      <c r="C114" s="106"/>
      <c r="D114" s="89" t="s">
        <v>163</v>
      </c>
      <c r="E114" s="170">
        <v>15</v>
      </c>
      <c r="F114" s="170">
        <v>6.996424674987793</v>
      </c>
      <c r="G114" s="170">
        <f t="shared" si="29"/>
        <v>8.003575325012207</v>
      </c>
      <c r="H114" s="170"/>
      <c r="I114" s="169"/>
      <c r="J114" s="169"/>
      <c r="K114" s="169"/>
      <c r="L114" s="178"/>
      <c r="M114" s="168"/>
      <c r="N114" s="171"/>
      <c r="O114" s="170"/>
      <c r="P114" s="170"/>
      <c r="Q114" s="171">
        <f>SUM(R114)</f>
        <v>8.003575325012207</v>
      </c>
      <c r="R114" s="170">
        <v>8.003575325012207</v>
      </c>
      <c r="S114" s="170"/>
      <c r="T114" s="170"/>
      <c r="U114" s="169" t="s">
        <v>24</v>
      </c>
      <c r="V114" s="164">
        <v>0</v>
      </c>
      <c r="W114" s="107"/>
      <c r="X114" s="107"/>
      <c r="Y114" s="108"/>
      <c r="Z114" s="96"/>
    </row>
    <row r="115" spans="1:26" s="84" customFormat="1" x14ac:dyDescent="0.2">
      <c r="A115" s="51"/>
      <c r="B115" s="105"/>
      <c r="C115" s="106"/>
      <c r="D115" s="89" t="s">
        <v>164</v>
      </c>
      <c r="E115" s="170">
        <v>15</v>
      </c>
      <c r="F115" s="170">
        <v>4.5014138221740723</v>
      </c>
      <c r="G115" s="170">
        <f t="shared" si="29"/>
        <v>10.498586177825928</v>
      </c>
      <c r="H115" s="170"/>
      <c r="I115" s="169"/>
      <c r="J115" s="169"/>
      <c r="K115" s="169"/>
      <c r="L115" s="178"/>
      <c r="M115" s="168"/>
      <c r="N115" s="171"/>
      <c r="O115" s="170"/>
      <c r="P115" s="170"/>
      <c r="Q115" s="171">
        <f>SUM(R115)</f>
        <v>10.498586654663086</v>
      </c>
      <c r="R115" s="170">
        <v>10.498586654663086</v>
      </c>
      <c r="S115" s="170"/>
      <c r="T115" s="170"/>
      <c r="U115" s="169" t="s">
        <v>24</v>
      </c>
      <c r="V115" s="164">
        <v>0</v>
      </c>
      <c r="W115" s="107"/>
      <c r="X115" s="107"/>
      <c r="Y115" s="108"/>
      <c r="Z115" s="96"/>
    </row>
    <row r="116" spans="1:26" s="84" customFormat="1" ht="13.5" thickBot="1" x14ac:dyDescent="0.25">
      <c r="A116" s="51"/>
      <c r="B116" s="105"/>
      <c r="C116" s="106"/>
      <c r="D116" s="89" t="s">
        <v>165</v>
      </c>
      <c r="E116" s="170">
        <v>15</v>
      </c>
      <c r="F116" s="170">
        <v>5.2903728485107422</v>
      </c>
      <c r="G116" s="170">
        <f t="shared" si="29"/>
        <v>9.7096271514892578</v>
      </c>
      <c r="H116" s="170"/>
      <c r="I116" s="178"/>
      <c r="J116" s="178"/>
      <c r="K116" s="178"/>
      <c r="L116" s="178"/>
      <c r="M116" s="168"/>
      <c r="N116" s="171"/>
      <c r="O116" s="170"/>
      <c r="P116" s="170"/>
      <c r="Q116" s="171">
        <f>SUM(R116)</f>
        <v>9.7096271514892578</v>
      </c>
      <c r="R116" s="170">
        <v>9.7096271514892578</v>
      </c>
      <c r="S116" s="170"/>
      <c r="T116" s="170"/>
      <c r="U116" s="169" t="s">
        <v>24</v>
      </c>
      <c r="V116" s="164">
        <v>0</v>
      </c>
      <c r="W116" s="107"/>
      <c r="X116" s="107"/>
      <c r="Y116" s="108"/>
      <c r="Z116" s="96"/>
    </row>
    <row r="117" spans="1:26" ht="13.5" thickBot="1" x14ac:dyDescent="0.25">
      <c r="B117" s="74" t="s">
        <v>159</v>
      </c>
      <c r="C117" s="75">
        <v>43894.166666666664</v>
      </c>
      <c r="D117" s="77"/>
      <c r="E117" s="162">
        <f t="shared" ref="E117:T117" si="30">SUM(E118:E125)</f>
        <v>1623.7999877929687</v>
      </c>
      <c r="F117" s="162">
        <f t="shared" si="30"/>
        <v>102.96904724836349</v>
      </c>
      <c r="G117" s="162">
        <f t="shared" si="30"/>
        <v>1521.5479405522346</v>
      </c>
      <c r="H117" s="162">
        <f t="shared" si="30"/>
        <v>145</v>
      </c>
      <c r="I117" s="162">
        <f t="shared" si="30"/>
        <v>60</v>
      </c>
      <c r="J117" s="162">
        <f t="shared" si="30"/>
        <v>0</v>
      </c>
      <c r="K117" s="162">
        <f t="shared" si="30"/>
        <v>85</v>
      </c>
      <c r="L117" s="162">
        <f t="shared" si="30"/>
        <v>0</v>
      </c>
      <c r="M117" s="162">
        <f t="shared" si="30"/>
        <v>0</v>
      </c>
      <c r="N117" s="162">
        <f t="shared" si="30"/>
        <v>0</v>
      </c>
      <c r="O117" s="162">
        <f t="shared" si="30"/>
        <v>0</v>
      </c>
      <c r="P117" s="162">
        <f t="shared" si="30"/>
        <v>40</v>
      </c>
      <c r="Q117" s="162">
        <f t="shared" si="30"/>
        <v>1336.5479769706726</v>
      </c>
      <c r="R117" s="162">
        <f t="shared" si="30"/>
        <v>1106.8280730247498</v>
      </c>
      <c r="S117" s="162">
        <f t="shared" si="30"/>
        <v>117.71988868713379</v>
      </c>
      <c r="T117" s="162">
        <f t="shared" si="30"/>
        <v>112.00001525878906</v>
      </c>
      <c r="U117" s="161" t="s">
        <v>24</v>
      </c>
      <c r="V117" s="162">
        <f>SUM(V118:V125)</f>
        <v>0.71700000762939453</v>
      </c>
      <c r="W117" s="23">
        <v>1130.173583984375</v>
      </c>
      <c r="X117" s="16">
        <v>1144.018310546875</v>
      </c>
      <c r="Y117" s="17">
        <v>24797.644744873047</v>
      </c>
      <c r="Z117" s="96">
        <f t="shared" ref="Z117:Z122" si="31">E117-F117-H117-M117-N117-O117-P117-Q117+V117</f>
        <v>-3.6418437957763672E-5</v>
      </c>
    </row>
    <row r="118" spans="1:26" x14ac:dyDescent="0.2">
      <c r="B118" s="111"/>
      <c r="C118" s="120"/>
      <c r="D118" s="79" t="s">
        <v>108</v>
      </c>
      <c r="E118" s="163">
        <v>452.79998779296875</v>
      </c>
      <c r="F118" s="164">
        <v>0</v>
      </c>
      <c r="G118" s="164">
        <f t="shared" ref="G118:G127" si="32">SUM(E118)-SUM(F118)+V118</f>
        <v>452.79998779296875</v>
      </c>
      <c r="H118" s="164">
        <v>80</v>
      </c>
      <c r="I118" s="164">
        <v>0</v>
      </c>
      <c r="J118" s="164">
        <v>0</v>
      </c>
      <c r="K118" s="164">
        <v>80</v>
      </c>
      <c r="L118" s="177">
        <v>0</v>
      </c>
      <c r="M118" s="164">
        <v>0</v>
      </c>
      <c r="N118" s="164">
        <v>0</v>
      </c>
      <c r="O118" s="164">
        <v>0</v>
      </c>
      <c r="P118" s="164">
        <v>0</v>
      </c>
      <c r="Q118" s="164">
        <f>SUM(R118:T118)</f>
        <v>372.79998970031738</v>
      </c>
      <c r="R118" s="164">
        <v>259.46270751953125</v>
      </c>
      <c r="S118" s="164">
        <v>26.33726692199707</v>
      </c>
      <c r="T118" s="164">
        <v>87.000015258789063</v>
      </c>
      <c r="U118" s="166" t="s">
        <v>24</v>
      </c>
      <c r="V118" s="164">
        <v>0</v>
      </c>
      <c r="W118" s="144"/>
      <c r="X118" s="144"/>
      <c r="Y118" s="145"/>
      <c r="Z118" s="96">
        <f t="shared" si="31"/>
        <v>-1.9073486328125E-6</v>
      </c>
    </row>
    <row r="119" spans="1:26" x14ac:dyDescent="0.2">
      <c r="B119" s="116"/>
      <c r="C119" s="121"/>
      <c r="D119" s="40" t="s">
        <v>109</v>
      </c>
      <c r="E119" s="167">
        <v>24</v>
      </c>
      <c r="F119" s="168">
        <v>10.905099868774414</v>
      </c>
      <c r="G119" s="168">
        <f t="shared" si="32"/>
        <v>13.094900131225586</v>
      </c>
      <c r="H119" s="168">
        <v>5</v>
      </c>
      <c r="I119" s="168">
        <v>0</v>
      </c>
      <c r="J119" s="168">
        <v>0</v>
      </c>
      <c r="K119" s="168">
        <v>5</v>
      </c>
      <c r="L119" s="182">
        <v>0</v>
      </c>
      <c r="M119" s="168">
        <v>0</v>
      </c>
      <c r="N119" s="168">
        <v>0</v>
      </c>
      <c r="O119" s="168">
        <v>0</v>
      </c>
      <c r="P119" s="168">
        <v>0</v>
      </c>
      <c r="Q119" s="168">
        <f>SUM(R119:T119)</f>
        <v>8.0949001312255859</v>
      </c>
      <c r="R119" s="168">
        <v>8.0949001312255859</v>
      </c>
      <c r="S119" s="168">
        <v>0</v>
      </c>
      <c r="T119" s="168">
        <v>0</v>
      </c>
      <c r="U119" s="169" t="s">
        <v>24</v>
      </c>
      <c r="V119" s="168">
        <v>0</v>
      </c>
      <c r="W119" s="144"/>
      <c r="X119" s="144"/>
      <c r="Y119" s="145"/>
      <c r="Z119" s="96">
        <f t="shared" si="31"/>
        <v>0</v>
      </c>
    </row>
    <row r="120" spans="1:26" x14ac:dyDescent="0.2">
      <c r="B120" s="116"/>
      <c r="C120" s="121"/>
      <c r="D120" s="40" t="s">
        <v>110</v>
      </c>
      <c r="E120" s="167">
        <v>12</v>
      </c>
      <c r="F120" s="168">
        <v>5.1332697868347168</v>
      </c>
      <c r="G120" s="168">
        <f t="shared" si="32"/>
        <v>6.8667302131652832</v>
      </c>
      <c r="H120" s="168">
        <v>0</v>
      </c>
      <c r="I120" s="168">
        <v>0</v>
      </c>
      <c r="J120" s="168">
        <v>0</v>
      </c>
      <c r="K120" s="168">
        <v>0</v>
      </c>
      <c r="L120" s="182">
        <v>0</v>
      </c>
      <c r="M120" s="168">
        <v>0</v>
      </c>
      <c r="N120" s="168">
        <v>0</v>
      </c>
      <c r="O120" s="168">
        <v>0</v>
      </c>
      <c r="P120" s="168">
        <v>0</v>
      </c>
      <c r="Q120" s="168">
        <f>SUM(R120:T120)</f>
        <v>6.8667302131652832</v>
      </c>
      <c r="R120" s="168">
        <v>6.8667302131652832</v>
      </c>
      <c r="S120" s="168">
        <v>0</v>
      </c>
      <c r="T120" s="168">
        <v>0</v>
      </c>
      <c r="U120" s="169" t="s">
        <v>24</v>
      </c>
      <c r="V120" s="168">
        <v>0</v>
      </c>
      <c r="W120" s="144"/>
      <c r="X120" s="144"/>
      <c r="Y120" s="145"/>
      <c r="Z120" s="96">
        <f t="shared" si="31"/>
        <v>0</v>
      </c>
    </row>
    <row r="121" spans="1:26" x14ac:dyDescent="0.2">
      <c r="B121" s="116"/>
      <c r="C121" s="121"/>
      <c r="D121" s="40" t="s">
        <v>111</v>
      </c>
      <c r="E121" s="167">
        <v>12</v>
      </c>
      <c r="F121" s="168">
        <v>0.94300001859664917</v>
      </c>
      <c r="G121" s="168">
        <f t="shared" si="32"/>
        <v>11.056999981403351</v>
      </c>
      <c r="H121" s="168">
        <v>0</v>
      </c>
      <c r="I121" s="168">
        <v>0</v>
      </c>
      <c r="J121" s="168">
        <v>0</v>
      </c>
      <c r="K121" s="168">
        <v>0</v>
      </c>
      <c r="L121" s="182">
        <v>0</v>
      </c>
      <c r="M121" s="168">
        <v>0</v>
      </c>
      <c r="N121" s="168">
        <v>0</v>
      </c>
      <c r="O121" s="168">
        <v>0</v>
      </c>
      <c r="P121" s="168">
        <v>0</v>
      </c>
      <c r="Q121" s="168">
        <f>SUM(R121:T121)</f>
        <v>11.057000160217285</v>
      </c>
      <c r="R121" s="168">
        <v>11.057000160217285</v>
      </c>
      <c r="S121" s="168">
        <v>0</v>
      </c>
      <c r="T121" s="168">
        <v>0</v>
      </c>
      <c r="U121" s="169" t="s">
        <v>24</v>
      </c>
      <c r="V121" s="168">
        <v>0</v>
      </c>
      <c r="W121" s="144"/>
      <c r="X121" s="144"/>
      <c r="Y121" s="145"/>
      <c r="Z121" s="96">
        <f t="shared" si="31"/>
        <v>-1.7881393432617188E-7</v>
      </c>
    </row>
    <row r="122" spans="1:26" x14ac:dyDescent="0.2">
      <c r="B122" s="116"/>
      <c r="C122" s="121"/>
      <c r="D122" s="40" t="s">
        <v>112</v>
      </c>
      <c r="E122" s="167">
        <v>665</v>
      </c>
      <c r="F122" s="168">
        <v>0</v>
      </c>
      <c r="G122" s="168">
        <f t="shared" si="32"/>
        <v>665.71700000762939</v>
      </c>
      <c r="H122" s="168">
        <v>0</v>
      </c>
      <c r="I122" s="168">
        <v>0</v>
      </c>
      <c r="J122" s="168">
        <v>0</v>
      </c>
      <c r="K122" s="168">
        <v>0</v>
      </c>
      <c r="L122" s="182">
        <v>0</v>
      </c>
      <c r="M122" s="168">
        <v>0</v>
      </c>
      <c r="N122" s="168">
        <v>0</v>
      </c>
      <c r="O122" s="168">
        <v>0</v>
      </c>
      <c r="P122" s="168">
        <v>0</v>
      </c>
      <c r="Q122" s="168">
        <f>SUM(R122:T122)</f>
        <v>665.71702575683594</v>
      </c>
      <c r="R122" s="168">
        <v>610.91302490234375</v>
      </c>
      <c r="S122" s="168">
        <v>54.804000854492188</v>
      </c>
      <c r="T122" s="168">
        <v>0</v>
      </c>
      <c r="U122" s="169" t="s">
        <v>24</v>
      </c>
      <c r="V122" s="168">
        <v>0.71700000762939453</v>
      </c>
      <c r="W122" s="144"/>
      <c r="X122" s="144"/>
      <c r="Y122" s="145"/>
      <c r="Z122" s="96">
        <f t="shared" si="31"/>
        <v>-2.574920654296875E-5</v>
      </c>
    </row>
    <row r="123" spans="1:26" s="84" customFormat="1" x14ac:dyDescent="0.2">
      <c r="A123" s="51"/>
      <c r="B123" s="116"/>
      <c r="C123" s="121"/>
      <c r="D123" s="40" t="s">
        <v>166</v>
      </c>
      <c r="E123" s="167">
        <v>15</v>
      </c>
      <c r="F123" s="167">
        <v>4.8910374641418457</v>
      </c>
      <c r="G123" s="168">
        <f t="shared" si="32"/>
        <v>10.108962535858154</v>
      </c>
      <c r="H123" s="192"/>
      <c r="I123" s="192"/>
      <c r="J123" s="192"/>
      <c r="K123" s="192"/>
      <c r="L123" s="192"/>
      <c r="M123" s="192"/>
      <c r="N123" s="192"/>
      <c r="O123" s="192"/>
      <c r="P123" s="192"/>
      <c r="Q123" s="168">
        <f>SUM(R123)</f>
        <v>10.108963012695312</v>
      </c>
      <c r="R123" s="168">
        <v>10.108963012695312</v>
      </c>
      <c r="S123" s="192"/>
      <c r="T123" s="192"/>
      <c r="U123" s="169" t="s">
        <v>24</v>
      </c>
      <c r="V123" s="168">
        <v>0</v>
      </c>
      <c r="W123" s="144"/>
      <c r="X123" s="144"/>
      <c r="Y123" s="145"/>
      <c r="Z123" s="96"/>
    </row>
    <row r="124" spans="1:26" s="84" customFormat="1" x14ac:dyDescent="0.2">
      <c r="A124" s="51"/>
      <c r="B124" s="116"/>
      <c r="C124" s="121"/>
      <c r="D124" s="40" t="s">
        <v>167</v>
      </c>
      <c r="E124" s="167">
        <v>15</v>
      </c>
      <c r="F124" s="167">
        <v>5.0966401100158691</v>
      </c>
      <c r="G124" s="168">
        <f t="shared" si="32"/>
        <v>9.9033598899841309</v>
      </c>
      <c r="H124" s="192"/>
      <c r="I124" s="192"/>
      <c r="J124" s="192"/>
      <c r="K124" s="192"/>
      <c r="L124" s="192"/>
      <c r="M124" s="192"/>
      <c r="N124" s="192"/>
      <c r="O124" s="192"/>
      <c r="P124" s="192"/>
      <c r="Q124" s="168">
        <f>SUM(R124)</f>
        <v>9.9033603668212891</v>
      </c>
      <c r="R124" s="168">
        <v>9.9033603668212891</v>
      </c>
      <c r="S124" s="192"/>
      <c r="T124" s="192"/>
      <c r="U124" s="169" t="s">
        <v>24</v>
      </c>
      <c r="V124" s="168">
        <v>0</v>
      </c>
      <c r="W124" s="144"/>
      <c r="X124" s="144"/>
      <c r="Y124" s="145"/>
      <c r="Z124" s="96"/>
    </row>
    <row r="125" spans="1:26" x14ac:dyDescent="0.2">
      <c r="B125" s="116"/>
      <c r="C125" s="121"/>
      <c r="D125" s="40" t="s">
        <v>44</v>
      </c>
      <c r="E125" s="167">
        <v>428</v>
      </c>
      <c r="F125" s="168">
        <v>76</v>
      </c>
      <c r="G125" s="167">
        <f t="shared" si="32"/>
        <v>352</v>
      </c>
      <c r="H125" s="167">
        <v>60</v>
      </c>
      <c r="I125" s="167">
        <v>60</v>
      </c>
      <c r="J125" s="167">
        <v>0</v>
      </c>
      <c r="K125" s="167">
        <v>0</v>
      </c>
      <c r="L125" s="167">
        <v>0</v>
      </c>
      <c r="M125" s="167">
        <v>0</v>
      </c>
      <c r="N125" s="167">
        <v>0</v>
      </c>
      <c r="O125" s="167">
        <v>0</v>
      </c>
      <c r="P125" s="167">
        <v>40</v>
      </c>
      <c r="Q125" s="167">
        <f>SUM(Q126:Q127)</f>
        <v>252.00000762939453</v>
      </c>
      <c r="R125" s="167">
        <v>190.42138671875</v>
      </c>
      <c r="S125" s="167">
        <v>36.578620910644531</v>
      </c>
      <c r="T125" s="167">
        <v>25</v>
      </c>
      <c r="U125" s="169"/>
      <c r="V125" s="168">
        <v>0</v>
      </c>
      <c r="W125" s="144"/>
      <c r="X125" s="144"/>
      <c r="Y125" s="145"/>
      <c r="Z125" s="96">
        <f t="shared" ref="Z125:Z144" si="33">E125-F125-H125-M125-N125-O125-P125-Q125+V125</f>
        <v>-7.62939453125E-6</v>
      </c>
    </row>
    <row r="126" spans="1:26" x14ac:dyDescent="0.2">
      <c r="B126" s="116"/>
      <c r="C126" s="121"/>
      <c r="D126" s="40" t="s">
        <v>21</v>
      </c>
      <c r="E126" s="167">
        <v>410</v>
      </c>
      <c r="F126" s="168">
        <v>60</v>
      </c>
      <c r="G126" s="168">
        <f t="shared" si="32"/>
        <v>350</v>
      </c>
      <c r="H126" s="168">
        <v>60</v>
      </c>
      <c r="I126" s="168">
        <v>60</v>
      </c>
      <c r="J126" s="168">
        <v>0</v>
      </c>
      <c r="K126" s="168">
        <v>0</v>
      </c>
      <c r="L126" s="182">
        <v>0</v>
      </c>
      <c r="M126" s="168">
        <v>0</v>
      </c>
      <c r="N126" s="168">
        <v>0</v>
      </c>
      <c r="O126" s="168">
        <v>0</v>
      </c>
      <c r="P126" s="168">
        <v>40</v>
      </c>
      <c r="Q126" s="168">
        <f>SUM(R126:T126)</f>
        <v>250.00000762939453</v>
      </c>
      <c r="R126" s="168">
        <v>188.42138671875</v>
      </c>
      <c r="S126" s="168">
        <v>36.578620910644531</v>
      </c>
      <c r="T126" s="168">
        <v>25</v>
      </c>
      <c r="U126" s="169" t="s">
        <v>24</v>
      </c>
      <c r="V126" s="168">
        <v>0</v>
      </c>
      <c r="W126" s="144"/>
      <c r="X126" s="144"/>
      <c r="Y126" s="145"/>
      <c r="Z126" s="96">
        <f t="shared" si="33"/>
        <v>-7.62939453125E-6</v>
      </c>
    </row>
    <row r="127" spans="1:26" ht="13.5" thickBot="1" x14ac:dyDescent="0.25">
      <c r="B127" s="117"/>
      <c r="C127" s="122"/>
      <c r="D127" s="43" t="s">
        <v>113</v>
      </c>
      <c r="E127" s="193">
        <v>18</v>
      </c>
      <c r="F127" s="191">
        <v>16</v>
      </c>
      <c r="G127" s="191">
        <f t="shared" si="32"/>
        <v>2</v>
      </c>
      <c r="H127" s="191">
        <v>0</v>
      </c>
      <c r="I127" s="191" t="s">
        <v>24</v>
      </c>
      <c r="J127" s="191" t="s">
        <v>24</v>
      </c>
      <c r="K127" s="191" t="s">
        <v>24</v>
      </c>
      <c r="L127" s="191" t="s">
        <v>24</v>
      </c>
      <c r="M127" s="191" t="s">
        <v>24</v>
      </c>
      <c r="N127" s="191">
        <v>0</v>
      </c>
      <c r="O127" s="191">
        <v>0</v>
      </c>
      <c r="P127" s="191">
        <v>0</v>
      </c>
      <c r="Q127" s="191">
        <f>SUM(R127:T127)</f>
        <v>2</v>
      </c>
      <c r="R127" s="191">
        <v>2</v>
      </c>
      <c r="S127" s="191" t="s">
        <v>24</v>
      </c>
      <c r="T127" s="191">
        <v>0</v>
      </c>
      <c r="U127" s="194" t="s">
        <v>24</v>
      </c>
      <c r="V127" s="191">
        <v>0</v>
      </c>
      <c r="W127" s="153"/>
      <c r="X127" s="153"/>
      <c r="Y127" s="154"/>
      <c r="Z127" s="96" t="e">
        <f t="shared" si="33"/>
        <v>#VALUE!</v>
      </c>
    </row>
    <row r="128" spans="1:26" ht="13.5" thickBot="1" x14ac:dyDescent="0.25">
      <c r="B128" s="5" t="s">
        <v>2</v>
      </c>
      <c r="C128" s="33"/>
      <c r="D128" s="15"/>
      <c r="E128" s="195">
        <f t="shared" ref="E128:T128" si="34">SUM(E4,E9,E17,E34,E49,E55,E62,E87,E108,E117,E85)</f>
        <v>52123.797075271606</v>
      </c>
      <c r="F128" s="196">
        <f t="shared" si="34"/>
        <v>11154.291624940102</v>
      </c>
      <c r="G128" s="196">
        <f t="shared" si="34"/>
        <v>40984.653821091997</v>
      </c>
      <c r="H128" s="197">
        <f t="shared" si="34"/>
        <v>3444.0759932518004</v>
      </c>
      <c r="I128" s="197">
        <f t="shared" si="34"/>
        <v>748.6</v>
      </c>
      <c r="J128" s="197">
        <f t="shared" si="34"/>
        <v>164</v>
      </c>
      <c r="K128" s="197">
        <f t="shared" si="34"/>
        <v>1516.4759932518004</v>
      </c>
      <c r="L128" s="196">
        <f t="shared" si="34"/>
        <v>1015</v>
      </c>
      <c r="M128" s="198">
        <f t="shared" si="34"/>
        <v>45</v>
      </c>
      <c r="N128" s="198">
        <f t="shared" si="34"/>
        <v>73.111000061035156</v>
      </c>
      <c r="O128" s="198">
        <f t="shared" si="34"/>
        <v>0</v>
      </c>
      <c r="P128" s="198">
        <f t="shared" si="34"/>
        <v>739.50284576416016</v>
      </c>
      <c r="Q128" s="198">
        <f t="shared" si="34"/>
        <v>36721.050428156086</v>
      </c>
      <c r="R128" s="198">
        <f t="shared" si="34"/>
        <v>27652.525109185604</v>
      </c>
      <c r="S128" s="198">
        <f t="shared" si="34"/>
        <v>1595.4337482433766</v>
      </c>
      <c r="T128" s="196">
        <f t="shared" si="34"/>
        <v>6329.609263420105</v>
      </c>
      <c r="U128" s="199">
        <f>SUM(U9,U55,U62,U87)</f>
        <v>1143.4823073069999</v>
      </c>
      <c r="V128" s="200">
        <f>SUM(V4,V9,V17,V34,V49,V55,V62,V87,V108,V117,V85)</f>
        <v>53.231035250239074</v>
      </c>
      <c r="W128" s="22">
        <f>SUM(W4,W9,W17,W34,W49,W55,W62,W87,W108,W117,W85)</f>
        <v>27522.486778259277</v>
      </c>
      <c r="X128" s="14">
        <f>SUM(X4,X9,X17,X34,X49,X55,X62,X87,X108,X117,X85)</f>
        <v>27777.973663330078</v>
      </c>
      <c r="Y128" s="17">
        <f>SUM(Y4,Y9,Y17,Y34,Y49,Y55,Y62,Y87,Y108,Y117,Y85)</f>
        <v>629539.09769153595</v>
      </c>
      <c r="Z128" s="96">
        <f t="shared" si="33"/>
        <v>-3.7816513358848169E-3</v>
      </c>
    </row>
    <row r="129" spans="1:26" x14ac:dyDescent="0.2">
      <c r="B129" s="6" t="s">
        <v>13</v>
      </c>
      <c r="C129" s="34"/>
      <c r="D129" s="25"/>
      <c r="E129" s="201">
        <f t="shared" ref="E129:R129" si="35">E128-E130-E131</f>
        <v>26596.999051094055</v>
      </c>
      <c r="F129" s="201">
        <f t="shared" si="35"/>
        <v>1154.8424473716677</v>
      </c>
      <c r="G129" s="200">
        <f t="shared" si="35"/>
        <v>25457.304974482882</v>
      </c>
      <c r="H129" s="200">
        <f t="shared" si="35"/>
        <v>2740.3759932518005</v>
      </c>
      <c r="I129" s="200">
        <f t="shared" si="35"/>
        <v>290</v>
      </c>
      <c r="J129" s="200">
        <f t="shared" si="35"/>
        <v>164</v>
      </c>
      <c r="K129" s="200">
        <f t="shared" si="35"/>
        <v>1271.3759932518005</v>
      </c>
      <c r="L129" s="200">
        <f t="shared" si="35"/>
        <v>1015</v>
      </c>
      <c r="M129" s="200">
        <f t="shared" si="35"/>
        <v>45</v>
      </c>
      <c r="N129" s="200">
        <f t="shared" si="35"/>
        <v>73.111000061035156</v>
      </c>
      <c r="O129" s="200">
        <f t="shared" si="35"/>
        <v>0</v>
      </c>
      <c r="P129" s="200">
        <f t="shared" si="35"/>
        <v>739.50284576416016</v>
      </c>
      <c r="Q129" s="200">
        <f t="shared" si="35"/>
        <v>21899.76589721255</v>
      </c>
      <c r="R129" s="200">
        <f t="shared" si="35"/>
        <v>13972.360000133514</v>
      </c>
      <c r="S129" s="200">
        <f>S128</f>
        <v>1595.4337482433766</v>
      </c>
      <c r="T129" s="200">
        <f>T128</f>
        <v>6329.609263420105</v>
      </c>
      <c r="U129" s="202">
        <f>U128-U130</f>
        <v>0</v>
      </c>
      <c r="V129" s="200">
        <f>V128-V130-V131</f>
        <v>53.231035250239074</v>
      </c>
      <c r="W129" s="26"/>
      <c r="X129" s="69"/>
      <c r="Y129" s="70"/>
      <c r="Z129" s="96">
        <f t="shared" si="33"/>
        <v>-2.3680973169175559</v>
      </c>
    </row>
    <row r="130" spans="1:26" x14ac:dyDescent="0.2">
      <c r="B130" s="13" t="s">
        <v>14</v>
      </c>
      <c r="C130" s="37"/>
      <c r="D130" s="29"/>
      <c r="E130" s="203">
        <f>SUM(E16,E59,E81,E103)</f>
        <v>25301.600024223328</v>
      </c>
      <c r="F130" s="203">
        <f>SUM(F16,F59,F81,F103)</f>
        <v>9847.7229996376027</v>
      </c>
      <c r="G130" s="204">
        <f>SUM(G16,G59,G81,G103)</f>
        <v>15453.877024585725</v>
      </c>
      <c r="H130" s="204">
        <f>SUM(H16,H59,H81,H103)</f>
        <v>703.7</v>
      </c>
      <c r="I130" s="204">
        <f>SUM(I16,I59,I81,I103)</f>
        <v>458.6</v>
      </c>
      <c r="J130" s="204">
        <f>J16</f>
        <v>0</v>
      </c>
      <c r="K130" s="204">
        <f t="shared" ref="K130:R130" si="36">SUM(K16,K59,K81,K103)</f>
        <v>245.1</v>
      </c>
      <c r="L130" s="204">
        <f t="shared" si="36"/>
        <v>0</v>
      </c>
      <c r="M130" s="204">
        <f t="shared" si="36"/>
        <v>0</v>
      </c>
      <c r="N130" s="204">
        <f t="shared" si="36"/>
        <v>0</v>
      </c>
      <c r="O130" s="204">
        <f t="shared" si="36"/>
        <v>0</v>
      </c>
      <c r="P130" s="204">
        <f t="shared" si="36"/>
        <v>0</v>
      </c>
      <c r="Q130" s="204">
        <f t="shared" si="36"/>
        <v>14750.175590745683</v>
      </c>
      <c r="R130" s="204">
        <f t="shared" si="36"/>
        <v>13606.693283438683</v>
      </c>
      <c r="S130" s="204" t="s">
        <v>24</v>
      </c>
      <c r="T130" s="205" t="s">
        <v>24</v>
      </c>
      <c r="U130" s="205">
        <f>SUM(U16,U59,U81,U103)</f>
        <v>1143.4823073069999</v>
      </c>
      <c r="V130" s="200">
        <f>SUM(V16,V59,V81,V103)</f>
        <v>0</v>
      </c>
      <c r="W130" s="26"/>
      <c r="X130" s="69"/>
      <c r="Y130" s="71"/>
      <c r="Z130" s="96">
        <f t="shared" si="33"/>
        <v>1.4338400414999342E-3</v>
      </c>
    </row>
    <row r="131" spans="1:26" s="84" customFormat="1" x14ac:dyDescent="0.2">
      <c r="A131" s="51"/>
      <c r="B131" s="13" t="s">
        <v>127</v>
      </c>
      <c r="C131" s="37"/>
      <c r="D131" s="29"/>
      <c r="E131" s="203">
        <f>E24+E25+E26+E27+E28+E29+E30+E31+E57+E112+E113+E114+E115+E116+E123+E124</f>
        <v>225.19799995422363</v>
      </c>
      <c r="F131" s="203">
        <f>F24+F25+F26+F27+F28+F29+F30+F31+F57+F112+F113+F114+F115+F116+F123+F124</f>
        <v>151.72617793083191</v>
      </c>
      <c r="G131" s="203">
        <f>G24+G25+G26+G27+G28+G29+G30+G31+G57+G112+G113+G114+G115+G116+G123+G124</f>
        <v>73.471822023391724</v>
      </c>
      <c r="H131" s="203">
        <f>H24+H25+H26+H27+H28+H29+H30+H31+H57+H112+H113+H114+H115+H116+H123+H124</f>
        <v>0</v>
      </c>
      <c r="I131" s="203"/>
      <c r="J131" s="203"/>
      <c r="K131" s="203"/>
      <c r="L131" s="203"/>
      <c r="M131" s="203"/>
      <c r="N131" s="203"/>
      <c r="O131" s="203"/>
      <c r="P131" s="203"/>
      <c r="Q131" s="204">
        <f>Q24+Q25+Q26+Q27+Q28+Q29+Q57+Q112+Q113+Q114+Q115+Q116+Q123+Q124</f>
        <v>71.108940197853372</v>
      </c>
      <c r="R131" s="204">
        <f>R24+R25+R26+R27+R28+R29+R30+R31+R57+R112+R113+R114+R115+R116+R123+R124</f>
        <v>73.471825613407418</v>
      </c>
      <c r="S131" s="204" t="s">
        <v>24</v>
      </c>
      <c r="T131" s="205" t="s">
        <v>24</v>
      </c>
      <c r="U131" s="205" t="s">
        <v>24</v>
      </c>
      <c r="V131" s="200">
        <f>V24+V25+V26+V27+V28+V29+V30+V31+V57+V112+V113+V114+V115+V116+V123+V124</f>
        <v>0</v>
      </c>
      <c r="W131" s="26"/>
      <c r="X131" s="69"/>
      <c r="Y131" s="71"/>
      <c r="Z131" s="96">
        <f t="shared" si="33"/>
        <v>2.3628818255383521</v>
      </c>
    </row>
    <row r="132" spans="1:26" x14ac:dyDescent="0.2">
      <c r="B132" s="6" t="s">
        <v>120</v>
      </c>
      <c r="C132" s="34"/>
      <c r="D132" s="25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0"/>
      <c r="R132" s="200">
        <f>675.636+705.507+161.06+884.511+4.88+371.976+1375.17+691.461</f>
        <v>4870.201</v>
      </c>
      <c r="S132" s="200">
        <f>104.364+64.481+1.05+78.928+0+13.228+87.645+141.532</f>
        <v>491.22799999999995</v>
      </c>
      <c r="T132" s="200">
        <f>475+520.5+183.7+257.996+0+0+355.561+437.9</f>
        <v>2230.6569999999997</v>
      </c>
      <c r="U132" s="202" t="s">
        <v>24</v>
      </c>
      <c r="V132" s="200"/>
      <c r="W132" s="26"/>
      <c r="X132" s="69"/>
      <c r="Y132" s="71"/>
      <c r="Z132" s="96">
        <f t="shared" si="33"/>
        <v>0</v>
      </c>
    </row>
    <row r="133" spans="1:26" x14ac:dyDescent="0.2">
      <c r="B133" s="6" t="s">
        <v>124</v>
      </c>
      <c r="C133" s="34"/>
      <c r="D133" s="25"/>
      <c r="E133" s="200"/>
      <c r="F133" s="200"/>
      <c r="G133" s="200"/>
      <c r="H133" s="200"/>
      <c r="I133" s="200"/>
      <c r="J133" s="200"/>
      <c r="K133" s="200"/>
      <c r="L133" s="200"/>
      <c r="M133" s="200"/>
      <c r="N133" s="200"/>
      <c r="O133" s="200"/>
      <c r="P133" s="200"/>
      <c r="Q133" s="200"/>
      <c r="R133" s="200">
        <f>37.528+638.086+139.988+1367.918+0+0+1790.383+7.901</f>
        <v>3981.8040000000001</v>
      </c>
      <c r="S133" s="200">
        <f>4.822+76.914+0.012+141.529+0+0+69.949+0</f>
        <v>293.226</v>
      </c>
      <c r="T133" s="200">
        <f>42.85+400+0+2050.079+0+0+777.44+27</f>
        <v>3297.3690000000001</v>
      </c>
      <c r="U133" s="202" t="s">
        <v>24</v>
      </c>
      <c r="V133" s="200"/>
      <c r="W133" s="26"/>
      <c r="X133" s="69"/>
      <c r="Y133" s="71"/>
      <c r="Z133" s="96">
        <f t="shared" si="33"/>
        <v>0</v>
      </c>
    </row>
    <row r="134" spans="1:26" x14ac:dyDescent="0.2">
      <c r="B134" s="65" t="s">
        <v>46</v>
      </c>
      <c r="C134" s="34"/>
      <c r="D134" s="25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>
        <f>1436.988+131.028+285.481</f>
        <v>1853.4970000000001</v>
      </c>
      <c r="S134" s="200">
        <f>375.404+14.142+26.337</f>
        <v>415.88299999999998</v>
      </c>
      <c r="T134" s="200">
        <f>418+0+87</f>
        <v>505</v>
      </c>
      <c r="U134" s="202" t="s">
        <v>24</v>
      </c>
      <c r="V134" s="200"/>
      <c r="W134" s="26"/>
      <c r="X134" s="69"/>
      <c r="Y134" s="71"/>
      <c r="Z134" s="96">
        <f t="shared" si="33"/>
        <v>0</v>
      </c>
    </row>
    <row r="135" spans="1:26" x14ac:dyDescent="0.2">
      <c r="B135" s="13" t="s">
        <v>125</v>
      </c>
      <c r="C135" s="37"/>
      <c r="D135" s="29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>
        <f>904.786+586.005+610.913</f>
        <v>2101.7039999999997</v>
      </c>
      <c r="S135" s="204">
        <f>55.214+243.995+54.804</f>
        <v>354.01300000000003</v>
      </c>
      <c r="T135" s="204">
        <f>0+0+0</f>
        <v>0</v>
      </c>
      <c r="U135" s="205"/>
      <c r="V135" s="200"/>
      <c r="W135" s="28"/>
      <c r="X135" s="30"/>
      <c r="Y135" s="71"/>
      <c r="Z135" s="96">
        <f t="shared" si="33"/>
        <v>0</v>
      </c>
    </row>
    <row r="136" spans="1:26" ht="13.5" thickBot="1" x14ac:dyDescent="0.25">
      <c r="B136" s="13" t="s">
        <v>47</v>
      </c>
      <c r="C136" s="37"/>
      <c r="D136" s="29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>
        <f>R129-R132-R133-R134-R135</f>
        <v>1165.1540001335134</v>
      </c>
      <c r="S136" s="204">
        <f>S129-S132-S133-S134-S135</f>
        <v>41.083748243376533</v>
      </c>
      <c r="T136" s="204">
        <f>T129-T132-T133-T134-T135</f>
        <v>296.5832634201056</v>
      </c>
      <c r="U136" s="205"/>
      <c r="V136" s="204"/>
      <c r="W136" s="28"/>
      <c r="X136" s="30"/>
      <c r="Y136" s="71"/>
      <c r="Z136" s="96">
        <f t="shared" si="33"/>
        <v>0</v>
      </c>
    </row>
    <row r="137" spans="1:26" x14ac:dyDescent="0.2">
      <c r="B137" s="12" t="s">
        <v>34</v>
      </c>
      <c r="C137" s="36"/>
      <c r="D137" s="24"/>
      <c r="E137" s="195">
        <f t="shared" ref="E137:T137" si="37">E4+E9+E17+E34+E49+E55+E63+E85</f>
        <v>31632.127067565918</v>
      </c>
      <c r="F137" s="196">
        <f t="shared" si="37"/>
        <v>8391.109225045866</v>
      </c>
      <c r="G137" s="196">
        <f t="shared" si="37"/>
        <v>23277.043428367957</v>
      </c>
      <c r="H137" s="197">
        <f t="shared" si="37"/>
        <v>1691.3759932518005</v>
      </c>
      <c r="I137" s="197">
        <f t="shared" si="37"/>
        <v>60</v>
      </c>
      <c r="J137" s="197">
        <f t="shared" si="37"/>
        <v>0</v>
      </c>
      <c r="K137" s="197">
        <f t="shared" si="37"/>
        <v>806.37599325180054</v>
      </c>
      <c r="L137" s="196">
        <f t="shared" si="37"/>
        <v>825</v>
      </c>
      <c r="M137" s="198">
        <f t="shared" si="37"/>
        <v>0</v>
      </c>
      <c r="N137" s="198">
        <f t="shared" si="37"/>
        <v>73.111000061035156</v>
      </c>
      <c r="O137" s="198">
        <f t="shared" si="37"/>
        <v>0</v>
      </c>
      <c r="P137" s="198">
        <f t="shared" si="37"/>
        <v>579.50284576416016</v>
      </c>
      <c r="Q137" s="198">
        <f t="shared" si="37"/>
        <v>20933.054850455694</v>
      </c>
      <c r="R137" s="198">
        <f t="shared" si="37"/>
        <v>15085.714400266079</v>
      </c>
      <c r="S137" s="198">
        <f t="shared" si="37"/>
        <v>748.92428064160049</v>
      </c>
      <c r="T137" s="196">
        <f t="shared" si="37"/>
        <v>4989.6092481613159</v>
      </c>
      <c r="U137" s="199">
        <f>U9+U55+U63</f>
        <v>108.80692138669998</v>
      </c>
      <c r="V137" s="197">
        <f>V4+V9+V17+V34+V49+V55+V63+V85</f>
        <v>36.025585847906768</v>
      </c>
      <c r="W137" s="22">
        <f>W4+W9+W17+W34+W49+W55+W63+W85</f>
        <v>17397.910911560059</v>
      </c>
      <c r="X137" s="93"/>
      <c r="Y137" s="71"/>
      <c r="Z137" s="96">
        <f t="shared" si="33"/>
        <v>-1.2611647325684316E-3</v>
      </c>
    </row>
    <row r="138" spans="1:26" x14ac:dyDescent="0.2">
      <c r="B138" s="6" t="s">
        <v>35</v>
      </c>
      <c r="C138" s="34"/>
      <c r="D138" s="44"/>
      <c r="E138" s="206">
        <f>E137-E140-E139</f>
        <v>18290.729067802429</v>
      </c>
      <c r="F138" s="206">
        <f>F137-F140-F139</f>
        <v>813.78560049409316</v>
      </c>
      <c r="G138" s="206">
        <f>G137-G140-G139</f>
        <v>17512.969053156241</v>
      </c>
      <c r="H138" s="206">
        <f>H137-H140-H139</f>
        <v>1691.3759932518005</v>
      </c>
      <c r="I138" s="206">
        <f>I137-I140-I139</f>
        <v>60</v>
      </c>
      <c r="J138" s="206">
        <f>J137-J139</f>
        <v>0</v>
      </c>
      <c r="K138" s="206">
        <f t="shared" ref="K138:R138" si="38">K137-K140-K139</f>
        <v>806.37599325180054</v>
      </c>
      <c r="L138" s="206">
        <f t="shared" si="38"/>
        <v>825</v>
      </c>
      <c r="M138" s="206">
        <f t="shared" si="38"/>
        <v>0</v>
      </c>
      <c r="N138" s="206">
        <f t="shared" si="38"/>
        <v>73.111000061035156</v>
      </c>
      <c r="O138" s="206">
        <f t="shared" si="38"/>
        <v>0</v>
      </c>
      <c r="P138" s="206">
        <f t="shared" si="38"/>
        <v>579.50284576416016</v>
      </c>
      <c r="Q138" s="206">
        <f t="shared" si="38"/>
        <v>15171.343884486718</v>
      </c>
      <c r="R138" s="206">
        <f t="shared" si="38"/>
        <v>9430.4474702682492</v>
      </c>
      <c r="S138" s="206">
        <f>S137</f>
        <v>748.92428064160049</v>
      </c>
      <c r="T138" s="206">
        <f>T137</f>
        <v>4989.6092481613159</v>
      </c>
      <c r="U138" s="206">
        <v>0</v>
      </c>
      <c r="V138" s="206">
        <f>V137-V140-V139</f>
        <v>36.025585847906768</v>
      </c>
      <c r="W138" s="26"/>
      <c r="X138" s="94"/>
      <c r="Y138" s="71"/>
      <c r="Z138" s="96">
        <f t="shared" si="33"/>
        <v>-2.3646704074690206</v>
      </c>
    </row>
    <row r="139" spans="1:26" s="84" customFormat="1" x14ac:dyDescent="0.2">
      <c r="A139" s="51"/>
      <c r="B139" s="6" t="s">
        <v>128</v>
      </c>
      <c r="C139" s="37"/>
      <c r="D139" s="45"/>
      <c r="E139" s="203">
        <f>E131-E143</f>
        <v>125.19799995422363</v>
      </c>
      <c r="F139" s="203">
        <f>F131-F143</f>
        <v>117.35562491416931</v>
      </c>
      <c r="G139" s="203">
        <f>G131-G143</f>
        <v>7.8423750400543213</v>
      </c>
      <c r="H139" s="203">
        <f t="shared" ref="H139:P139" si="39">H131</f>
        <v>0</v>
      </c>
      <c r="I139" s="203">
        <f t="shared" si="39"/>
        <v>0</v>
      </c>
      <c r="J139" s="203">
        <f t="shared" si="39"/>
        <v>0</v>
      </c>
      <c r="K139" s="203">
        <f t="shared" si="39"/>
        <v>0</v>
      </c>
      <c r="L139" s="203">
        <f t="shared" si="39"/>
        <v>0</v>
      </c>
      <c r="M139" s="203">
        <f t="shared" si="39"/>
        <v>0</v>
      </c>
      <c r="N139" s="203">
        <f t="shared" si="39"/>
        <v>0</v>
      </c>
      <c r="O139" s="203">
        <f t="shared" si="39"/>
        <v>0</v>
      </c>
      <c r="P139" s="203">
        <f t="shared" si="39"/>
        <v>0</v>
      </c>
      <c r="Q139" s="203">
        <f>Q131-Q143</f>
        <v>5.4794913071673363</v>
      </c>
      <c r="R139" s="203">
        <f>R131-R143</f>
        <v>7.842376722721383</v>
      </c>
      <c r="S139" s="203" t="str">
        <f>S131</f>
        <v>-</v>
      </c>
      <c r="T139" s="203" t="str">
        <f>T131</f>
        <v>-</v>
      </c>
      <c r="U139" s="203" t="str">
        <f>U131</f>
        <v>-</v>
      </c>
      <c r="V139" s="203">
        <f>V131-V143</f>
        <v>0</v>
      </c>
      <c r="W139" s="28"/>
      <c r="X139" s="97"/>
      <c r="Y139" s="71"/>
      <c r="Z139" s="96">
        <f t="shared" si="33"/>
        <v>2.3628837328869849</v>
      </c>
    </row>
    <row r="140" spans="1:26" ht="13.5" thickBot="1" x14ac:dyDescent="0.25">
      <c r="B140" s="7" t="s">
        <v>36</v>
      </c>
      <c r="C140" s="35"/>
      <c r="D140" s="46"/>
      <c r="E140" s="207">
        <f>E16+E59+E82+E84</f>
        <v>13216.199999809265</v>
      </c>
      <c r="F140" s="207">
        <f>F16+F59+F82+F84</f>
        <v>7459.9679996376035</v>
      </c>
      <c r="G140" s="207">
        <f>G16+G59+G82+G84</f>
        <v>5756.2320001716616</v>
      </c>
      <c r="H140" s="207">
        <f>H16+H59+H82+H84</f>
        <v>0</v>
      </c>
      <c r="I140" s="207">
        <f>I16+I59+I82</f>
        <v>0</v>
      </c>
      <c r="J140" s="207">
        <v>0</v>
      </c>
      <c r="K140" s="207">
        <f>K16+K59+K82</f>
        <v>0</v>
      </c>
      <c r="L140" s="207">
        <f>L16+L59+L82</f>
        <v>0</v>
      </c>
      <c r="M140" s="207">
        <f>M16+M59+M82</f>
        <v>0</v>
      </c>
      <c r="N140" s="207">
        <f>N16+N59+N82</f>
        <v>0</v>
      </c>
      <c r="O140" s="207">
        <f>O16+O59+O82+O84</f>
        <v>0</v>
      </c>
      <c r="P140" s="207">
        <f>P16+P59+P82+P84</f>
        <v>0</v>
      </c>
      <c r="Q140" s="207">
        <f>Q16+Q59+Q82+Q84</f>
        <v>5756.2314746618085</v>
      </c>
      <c r="R140" s="207">
        <f>R16+R59+R82+R84</f>
        <v>5647.4245532751083</v>
      </c>
      <c r="S140" s="207">
        <v>0</v>
      </c>
      <c r="T140" s="207">
        <v>0</v>
      </c>
      <c r="U140" s="207">
        <f>U16+U59+U82</f>
        <v>108.80692138669998</v>
      </c>
      <c r="V140" s="207">
        <f>V16+V59+V82+V84</f>
        <v>0</v>
      </c>
      <c r="W140" s="32"/>
      <c r="X140" s="95"/>
      <c r="Y140" s="71"/>
      <c r="Z140" s="96">
        <f t="shared" si="33"/>
        <v>5.2550985310517717E-4</v>
      </c>
    </row>
    <row r="141" spans="1:26" x14ac:dyDescent="0.2">
      <c r="B141" s="12" t="s">
        <v>126</v>
      </c>
      <c r="C141" s="33"/>
      <c r="D141" s="63"/>
      <c r="E141" s="195">
        <f t="shared" ref="E141:T141" si="40">E64+E87+E108+E117</f>
        <v>20491.669998168945</v>
      </c>
      <c r="F141" s="196">
        <f t="shared" si="40"/>
        <v>2763.1828303980828</v>
      </c>
      <c r="G141" s="196">
        <f t="shared" si="40"/>
        <v>17707.609952683451</v>
      </c>
      <c r="H141" s="197">
        <f t="shared" si="40"/>
        <v>1752.7</v>
      </c>
      <c r="I141" s="197">
        <f t="shared" si="40"/>
        <v>688.6</v>
      </c>
      <c r="J141" s="197">
        <f t="shared" si="40"/>
        <v>164</v>
      </c>
      <c r="K141" s="197">
        <f t="shared" si="40"/>
        <v>710.1</v>
      </c>
      <c r="L141" s="196">
        <f t="shared" si="40"/>
        <v>190</v>
      </c>
      <c r="M141" s="198">
        <f t="shared" si="40"/>
        <v>45</v>
      </c>
      <c r="N141" s="198">
        <f t="shared" si="40"/>
        <v>0</v>
      </c>
      <c r="O141" s="198">
        <f t="shared" si="40"/>
        <v>0</v>
      </c>
      <c r="P141" s="198">
        <f t="shared" si="40"/>
        <v>160</v>
      </c>
      <c r="Q141" s="198">
        <f t="shared" si="40"/>
        <v>15787.99516817738</v>
      </c>
      <c r="R141" s="198">
        <f t="shared" si="40"/>
        <v>12566.810299396515</v>
      </c>
      <c r="S141" s="198">
        <f t="shared" si="40"/>
        <v>846.50946760177612</v>
      </c>
      <c r="T141" s="196">
        <f t="shared" si="40"/>
        <v>1340.0000152587891</v>
      </c>
      <c r="U141" s="199">
        <f>U64+U87</f>
        <v>1034.6753859203</v>
      </c>
      <c r="V141" s="200">
        <f>V64+V87+V108+V117</f>
        <v>17.205449402332306</v>
      </c>
      <c r="W141" s="22">
        <f>W117+W108+W87+W64</f>
        <v>10124.575866699219</v>
      </c>
      <c r="X141" s="31"/>
      <c r="Y141" s="71"/>
      <c r="Z141" s="96">
        <f t="shared" si="33"/>
        <v>-2.5510041868983535E-3</v>
      </c>
    </row>
    <row r="142" spans="1:26" x14ac:dyDescent="0.2">
      <c r="B142" s="11" t="s">
        <v>35</v>
      </c>
      <c r="C142" s="37"/>
      <c r="D142" s="45"/>
      <c r="E142" s="203">
        <f>E141-E144-E143</f>
        <v>8306.2699737548828</v>
      </c>
      <c r="F142" s="203">
        <f>F141-F144-F143</f>
        <v>341.05727738142014</v>
      </c>
      <c r="G142" s="203">
        <f>G141-G144-G143</f>
        <v>7944.3354812860507</v>
      </c>
      <c r="H142" s="203">
        <f t="shared" ref="H142:P142" si="41">H141-H144</f>
        <v>1049</v>
      </c>
      <c r="I142" s="203">
        <f t="shared" si="41"/>
        <v>230</v>
      </c>
      <c r="J142" s="203">
        <f t="shared" si="41"/>
        <v>164</v>
      </c>
      <c r="K142" s="203">
        <f t="shared" si="41"/>
        <v>465</v>
      </c>
      <c r="L142" s="203">
        <f t="shared" si="41"/>
        <v>190</v>
      </c>
      <c r="M142" s="203">
        <f t="shared" si="41"/>
        <v>45</v>
      </c>
      <c r="N142" s="203">
        <f t="shared" si="41"/>
        <v>0</v>
      </c>
      <c r="O142" s="203">
        <f t="shared" si="41"/>
        <v>0</v>
      </c>
      <c r="P142" s="203">
        <f t="shared" si="41"/>
        <v>160</v>
      </c>
      <c r="Q142" s="203">
        <f>Q141-Q144-Q143</f>
        <v>6728.4216032028198</v>
      </c>
      <c r="R142" s="203">
        <f>R141-R144-R143</f>
        <v>4541.9121203422546</v>
      </c>
      <c r="S142" s="203">
        <f>S141-S144</f>
        <v>846.50946760177612</v>
      </c>
      <c r="T142" s="203">
        <f>T141-T144</f>
        <v>1340.0000152587891</v>
      </c>
      <c r="U142" s="203">
        <v>0</v>
      </c>
      <c r="V142" s="203">
        <f>V141-V144-V143</f>
        <v>17.205449402332306</v>
      </c>
      <c r="W142" s="26"/>
      <c r="X142" s="69"/>
      <c r="Y142" s="71"/>
      <c r="Z142" s="96">
        <f t="shared" si="33"/>
        <v>-3.4574270248413086E-3</v>
      </c>
    </row>
    <row r="143" spans="1:26" s="84" customFormat="1" x14ac:dyDescent="0.2">
      <c r="A143" s="51"/>
      <c r="B143" s="6" t="s">
        <v>128</v>
      </c>
      <c r="C143" s="37"/>
      <c r="D143" s="45"/>
      <c r="E143" s="203">
        <f>E112+E113+E114+E115+E116+E123+E124</f>
        <v>100</v>
      </c>
      <c r="F143" s="203">
        <f>F112+F113+F114+F115+F116+F123+F124</f>
        <v>34.370553016662598</v>
      </c>
      <c r="G143" s="203">
        <f>G112+G113+G114+G115+G116+G123+G124</f>
        <v>65.629446983337402</v>
      </c>
      <c r="H143" s="203"/>
      <c r="I143" s="203"/>
      <c r="J143" s="203"/>
      <c r="K143" s="203"/>
      <c r="L143" s="203"/>
      <c r="M143" s="203"/>
      <c r="N143" s="203"/>
      <c r="O143" s="203"/>
      <c r="P143" s="203"/>
      <c r="Q143" s="203">
        <f>Q112+Q113+Q114+Q115+Q116+Q123+Q124</f>
        <v>65.629448890686035</v>
      </c>
      <c r="R143" s="203">
        <f>R112+R113+R114+R115+R116+R123+R124</f>
        <v>65.629448890686035</v>
      </c>
      <c r="S143" s="203"/>
      <c r="T143" s="203"/>
      <c r="U143" s="203"/>
      <c r="V143" s="203">
        <f>V112+V113+V114+V115+V116+V123+V124</f>
        <v>0</v>
      </c>
      <c r="W143" s="28"/>
      <c r="X143" s="30"/>
      <c r="Y143" s="71"/>
      <c r="Z143" s="96">
        <f t="shared" si="33"/>
        <v>-1.9073486328125E-6</v>
      </c>
    </row>
    <row r="144" spans="1:26" ht="13.5" thickBot="1" x14ac:dyDescent="0.25">
      <c r="B144" s="7" t="s">
        <v>36</v>
      </c>
      <c r="C144" s="35"/>
      <c r="D144" s="46"/>
      <c r="E144" s="207">
        <f>SUM(E103)+E83</f>
        <v>12085.400024414063</v>
      </c>
      <c r="F144" s="207">
        <f>SUM(F103)+F83</f>
        <v>2387.7550000000001</v>
      </c>
      <c r="G144" s="207">
        <f>SUM(G103)+G83</f>
        <v>9697.6450244140633</v>
      </c>
      <c r="H144" s="207">
        <f>SUM(H103)+H83</f>
        <v>703.7</v>
      </c>
      <c r="I144" s="207">
        <f>SUM(I103)+I83</f>
        <v>458.6</v>
      </c>
      <c r="J144" s="207">
        <v>0</v>
      </c>
      <c r="K144" s="207">
        <f t="shared" ref="K144:R144" si="42">SUM(K103)+K83</f>
        <v>245.1</v>
      </c>
      <c r="L144" s="207">
        <f t="shared" si="42"/>
        <v>0</v>
      </c>
      <c r="M144" s="207">
        <f t="shared" si="42"/>
        <v>0</v>
      </c>
      <c r="N144" s="207">
        <f t="shared" si="42"/>
        <v>0</v>
      </c>
      <c r="O144" s="207">
        <f t="shared" si="42"/>
        <v>0</v>
      </c>
      <c r="P144" s="207">
        <f t="shared" si="42"/>
        <v>0</v>
      </c>
      <c r="Q144" s="207">
        <f t="shared" si="42"/>
        <v>8993.9441160838742</v>
      </c>
      <c r="R144" s="207">
        <f t="shared" si="42"/>
        <v>7959.2687301635742</v>
      </c>
      <c r="S144" s="207">
        <v>0</v>
      </c>
      <c r="T144" s="207">
        <v>0</v>
      </c>
      <c r="U144" s="207">
        <f>U141</f>
        <v>1034.6753859203</v>
      </c>
      <c r="V144" s="207">
        <f>SUM(V103)+V83</f>
        <v>0</v>
      </c>
      <c r="W144" s="32"/>
      <c r="X144" s="27"/>
      <c r="Y144" s="72"/>
      <c r="Z144" s="96">
        <f t="shared" si="33"/>
        <v>9.0833018657576758E-4</v>
      </c>
    </row>
    <row r="145" spans="1:25" x14ac:dyDescent="0.2">
      <c r="B145" s="59" t="s">
        <v>42</v>
      </c>
      <c r="C145" s="59" t="s">
        <v>42</v>
      </c>
      <c r="D145" s="60" t="s">
        <v>42</v>
      </c>
      <c r="E145" s="61" t="s">
        <v>42</v>
      </c>
      <c r="F145" s="61" t="s">
        <v>42</v>
      </c>
      <c r="G145" s="61" t="s">
        <v>42</v>
      </c>
      <c r="H145" s="60" t="s">
        <v>42</v>
      </c>
      <c r="I145" s="62" t="s">
        <v>42</v>
      </c>
      <c r="J145" s="62" t="s">
        <v>42</v>
      </c>
      <c r="K145" s="62" t="s">
        <v>42</v>
      </c>
      <c r="L145" s="60" t="s">
        <v>42</v>
      </c>
      <c r="M145" s="58" t="s">
        <v>42</v>
      </c>
      <c r="N145" s="58" t="s">
        <v>42</v>
      </c>
      <c r="O145" s="58" t="s">
        <v>42</v>
      </c>
      <c r="P145" s="58" t="s">
        <v>42</v>
      </c>
      <c r="Q145" s="58" t="s">
        <v>42</v>
      </c>
      <c r="R145" s="58" t="s">
        <v>42</v>
      </c>
      <c r="S145" s="58" t="s">
        <v>42</v>
      </c>
      <c r="T145" s="58" t="s">
        <v>42</v>
      </c>
      <c r="U145" s="58" t="s">
        <v>42</v>
      </c>
      <c r="V145" s="86"/>
      <c r="W145" s="58" t="s">
        <v>42</v>
      </c>
      <c r="X145" s="58" t="s">
        <v>42</v>
      </c>
      <c r="Y145" s="56" t="s">
        <v>42</v>
      </c>
    </row>
    <row r="146" spans="1:25" x14ac:dyDescent="0.2">
      <c r="B146" s="123"/>
      <c r="C146" s="123"/>
      <c r="D146" s="123"/>
      <c r="E146" s="99" t="s">
        <v>134</v>
      </c>
      <c r="F146" s="99" t="s">
        <v>135</v>
      </c>
      <c r="G146" s="99" t="s">
        <v>136</v>
      </c>
      <c r="H146" s="99" t="s">
        <v>137</v>
      </c>
      <c r="I146" s="99" t="s">
        <v>138</v>
      </c>
    </row>
    <row r="147" spans="1:25" ht="13.5" customHeight="1" x14ac:dyDescent="0.2">
      <c r="B147" s="124" t="s">
        <v>170</v>
      </c>
      <c r="C147" s="124"/>
      <c r="D147" s="124"/>
      <c r="E147" s="100">
        <v>-4.7</v>
      </c>
      <c r="F147" s="101">
        <v>-10.4</v>
      </c>
      <c r="G147" s="101">
        <f>E147-F147</f>
        <v>5.7</v>
      </c>
      <c r="H147" s="101">
        <v>-2.1</v>
      </c>
      <c r="I147" s="101">
        <f>E147-H147</f>
        <v>-2.6</v>
      </c>
    </row>
    <row r="148" spans="1:25" s="84" customFormat="1" x14ac:dyDescent="0.2">
      <c r="A148" s="51"/>
      <c r="B148" s="124" t="s">
        <v>133</v>
      </c>
      <c r="C148" s="124"/>
      <c r="D148" s="124"/>
      <c r="E148" s="100">
        <v>-5.8</v>
      </c>
      <c r="F148" s="101">
        <v>-10.4</v>
      </c>
      <c r="G148" s="101">
        <f>E148-F148</f>
        <v>4.6000000000000005</v>
      </c>
      <c r="H148" s="101">
        <v>-3.4</v>
      </c>
      <c r="I148" s="101">
        <f>E148-H148</f>
        <v>-2.4</v>
      </c>
      <c r="J148" s="3"/>
      <c r="K148" s="3"/>
      <c r="L148" s="2"/>
    </row>
    <row r="149" spans="1:25" s="84" customFormat="1" x14ac:dyDescent="0.2">
      <c r="A149" s="51"/>
      <c r="B149" s="4"/>
      <c r="C149" s="4"/>
      <c r="D149" s="2"/>
      <c r="E149" s="1"/>
      <c r="F149" s="1"/>
      <c r="G149" s="1"/>
      <c r="H149" s="2"/>
      <c r="I149" s="3"/>
      <c r="J149" s="3"/>
      <c r="K149" s="3"/>
      <c r="L149" s="2"/>
    </row>
    <row r="150" spans="1:25" x14ac:dyDescent="0.2">
      <c r="B150" s="114" t="s">
        <v>30</v>
      </c>
      <c r="C150" s="115"/>
      <c r="D150" s="10">
        <v>0.95214445880773968</v>
      </c>
    </row>
    <row r="151" spans="1:25" x14ac:dyDescent="0.2">
      <c r="B151" s="109" t="s">
        <v>31</v>
      </c>
      <c r="C151" s="110"/>
      <c r="D151" s="9">
        <f>SUM(X128-W128)</f>
        <v>255.48688507080078</v>
      </c>
      <c r="T151" s="54"/>
      <c r="U151" s="54"/>
      <c r="V151" s="85"/>
    </row>
    <row r="152" spans="1:25" x14ac:dyDescent="0.2">
      <c r="B152" s="57" t="s">
        <v>148</v>
      </c>
    </row>
    <row r="153" spans="1:25" x14ac:dyDescent="0.2">
      <c r="B153" s="64" t="s">
        <v>147</v>
      </c>
    </row>
    <row r="154" spans="1:25" x14ac:dyDescent="0.2">
      <c r="B154" s="92" t="s">
        <v>123</v>
      </c>
    </row>
    <row r="155" spans="1:25" x14ac:dyDescent="0.2">
      <c r="A155"/>
    </row>
    <row r="156" spans="1:25" x14ac:dyDescent="0.2">
      <c r="A156"/>
    </row>
    <row r="157" spans="1:25" x14ac:dyDescent="0.2">
      <c r="A157"/>
    </row>
    <row r="158" spans="1:25" x14ac:dyDescent="0.2">
      <c r="A158"/>
    </row>
    <row r="159" spans="1:25" x14ac:dyDescent="0.2">
      <c r="A159"/>
    </row>
    <row r="160" spans="1:25" x14ac:dyDescent="0.2">
      <c r="A160"/>
    </row>
    <row r="161" spans="1:5" x14ac:dyDescent="0.2">
      <c r="A161"/>
    </row>
    <row r="162" spans="1:5" x14ac:dyDescent="0.2">
      <c r="A162"/>
    </row>
    <row r="163" spans="1:5" x14ac:dyDescent="0.2">
      <c r="A163"/>
    </row>
    <row r="164" spans="1:5" x14ac:dyDescent="0.2">
      <c r="A164"/>
    </row>
    <row r="165" spans="1:5" x14ac:dyDescent="0.2">
      <c r="A165"/>
    </row>
    <row r="166" spans="1:5" x14ac:dyDescent="0.2">
      <c r="A166"/>
    </row>
    <row r="167" spans="1:5" x14ac:dyDescent="0.2">
      <c r="A167"/>
    </row>
    <row r="168" spans="1:5" x14ac:dyDescent="0.2">
      <c r="A168"/>
    </row>
    <row r="169" spans="1:5" x14ac:dyDescent="0.2">
      <c r="A169"/>
    </row>
    <row r="170" spans="1:5" x14ac:dyDescent="0.2">
      <c r="A170"/>
    </row>
    <row r="171" spans="1:5" x14ac:dyDescent="0.2">
      <c r="A171"/>
    </row>
    <row r="172" spans="1:5" x14ac:dyDescent="0.2">
      <c r="A172"/>
    </row>
    <row r="173" spans="1:5" x14ac:dyDescent="0.2">
      <c r="A173"/>
      <c r="E173" s="8"/>
    </row>
    <row r="174" spans="1:5" x14ac:dyDescent="0.2">
      <c r="A174"/>
      <c r="E174" s="8"/>
    </row>
    <row r="175" spans="1:5" x14ac:dyDescent="0.2">
      <c r="A175"/>
      <c r="E175" s="8"/>
    </row>
  </sheetData>
  <mergeCells count="55">
    <mergeCell ref="W118:Y127"/>
    <mergeCell ref="W88:Y107"/>
    <mergeCell ref="C88:C107"/>
    <mergeCell ref="V2:V3"/>
    <mergeCell ref="W56:Y61"/>
    <mergeCell ref="C56:C61"/>
    <mergeCell ref="W50:Y54"/>
    <mergeCell ref="W35:Y48"/>
    <mergeCell ref="C35:C48"/>
    <mergeCell ref="C50:C54"/>
    <mergeCell ref="D2:D3"/>
    <mergeCell ref="E2:E3"/>
    <mergeCell ref="C5:C8"/>
    <mergeCell ref="C18:C33"/>
    <mergeCell ref="F2:F3"/>
    <mergeCell ref="G2:G3"/>
    <mergeCell ref="C10:C16"/>
    <mergeCell ref="B2:B3"/>
    <mergeCell ref="C2:C3"/>
    <mergeCell ref="W109:Y112"/>
    <mergeCell ref="W65:Y84"/>
    <mergeCell ref="C63:C84"/>
    <mergeCell ref="W86:Y86"/>
    <mergeCell ref="W18:Y33"/>
    <mergeCell ref="W5:Y8"/>
    <mergeCell ref="H2:L2"/>
    <mergeCell ref="B18:B33"/>
    <mergeCell ref="B50:B54"/>
    <mergeCell ref="B35:B48"/>
    <mergeCell ref="B5:B8"/>
    <mergeCell ref="B10:B16"/>
    <mergeCell ref="W10:Y16"/>
    <mergeCell ref="W2:Y2"/>
    <mergeCell ref="O2:O3"/>
    <mergeCell ref="P2:P3"/>
    <mergeCell ref="M2:M3"/>
    <mergeCell ref="U2:U3"/>
    <mergeCell ref="N2:N3"/>
    <mergeCell ref="T2:T3"/>
    <mergeCell ref="R2:R3"/>
    <mergeCell ref="S2:S3"/>
    <mergeCell ref="Q2:Q3"/>
    <mergeCell ref="B151:C151"/>
    <mergeCell ref="B56:B61"/>
    <mergeCell ref="B150:C150"/>
    <mergeCell ref="B118:B127"/>
    <mergeCell ref="B88:B107"/>
    <mergeCell ref="C118:C127"/>
    <mergeCell ref="B109:B112"/>
    <mergeCell ref="C109:C112"/>
    <mergeCell ref="B146:D146"/>
    <mergeCell ref="B147:D147"/>
    <mergeCell ref="B148:D148"/>
    <mergeCell ref="B62:B63"/>
    <mergeCell ref="B85:B86"/>
  </mergeCells>
  <phoneticPr fontId="1" type="noConversion"/>
  <printOptions horizontalCentered="1"/>
  <pageMargins left="0.59055118110236227" right="0.59055118110236227" top="0.59055118110236227" bottom="0.59055118110236227" header="0.43307086614173229" footer="0.43307086614173229"/>
  <pageSetup paperSize="9" scale="48" fitToHeight="2" orientation="landscape" horizontalDpi="1200" verticalDpi="1200" r:id="rId1"/>
  <headerFooter alignWithMargins="0">
    <oddHeader>&amp;LСО-ОДУ Сибири</oddHeader>
    <oddFooter>&amp;CСтраница &amp;P из &amp;N</oddFooter>
  </headerFooter>
  <rowBreaks count="1" manualBreakCount="1">
    <brk id="8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Баланс мощности</vt:lpstr>
      <vt:lpstr>'Баланс мощности'!Заголовки_для_печати</vt:lpstr>
    </vt:vector>
  </TitlesOfParts>
  <Company>MATRIX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Stalker</dc:creator>
  <cp:lastModifiedBy>РОМАНЕНКО ТЮ</cp:lastModifiedBy>
  <cp:lastPrinted>2016-12-06T04:31:53Z</cp:lastPrinted>
  <dcterms:created xsi:type="dcterms:W3CDTF">2008-07-31T13:55:10Z</dcterms:created>
  <dcterms:modified xsi:type="dcterms:W3CDTF">2020-04-11T10:28:52Z</dcterms:modified>
</cp:coreProperties>
</file>