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<sst xmlns="http://schemas.openxmlformats.org/spreadsheetml/2006/main" count="100" uniqueCount="80">
  <si>
    <t>P</t>
  </si>
  <si>
    <t>U</t>
  </si>
  <si>
    <t>I</t>
  </si>
  <si>
    <t>V</t>
  </si>
  <si>
    <t>Pоб</t>
  </si>
  <si>
    <t>qk</t>
  </si>
  <si>
    <t>A</t>
  </si>
  <si>
    <t>Kкп</t>
  </si>
  <si>
    <t>Qko</t>
  </si>
  <si>
    <t>kH1</t>
  </si>
  <si>
    <t>Qk</t>
  </si>
  <si>
    <t>Kз</t>
  </si>
  <si>
    <t>qз</t>
  </si>
  <si>
    <t>Qз0</t>
  </si>
  <si>
    <t>KH2</t>
  </si>
  <si>
    <t>Qз</t>
  </si>
  <si>
    <t>Qb</t>
  </si>
  <si>
    <t>R</t>
  </si>
  <si>
    <t>m</t>
  </si>
  <si>
    <t>Kalpha</t>
  </si>
  <si>
    <t>B</t>
  </si>
  <si>
    <t>Qэ</t>
  </si>
  <si>
    <t>tэ</t>
  </si>
  <si>
    <t>tн</t>
  </si>
  <si>
    <t>tвн</t>
  </si>
  <si>
    <t>tk</t>
  </si>
  <si>
    <t>MCU</t>
  </si>
  <si>
    <t>Encoder</t>
  </si>
  <si>
    <t>Sэ0</t>
  </si>
  <si>
    <t>Sэ</t>
  </si>
  <si>
    <t>m*R</t>
  </si>
  <si>
    <t>Relay</t>
  </si>
  <si>
    <t>Buzzer</t>
  </si>
  <si>
    <t>Stabilisator</t>
  </si>
  <si>
    <t>Znamen</t>
  </si>
  <si>
    <t>ControllerTemp</t>
  </si>
  <si>
    <t>LCD</t>
  </si>
  <si>
    <t>power connecto</t>
  </si>
  <si>
    <t>Transistor</t>
  </si>
  <si>
    <t>Diod</t>
  </si>
  <si>
    <t>Xtal</t>
  </si>
  <si>
    <t>Condensator_n</t>
  </si>
  <si>
    <t>Diod_svet</t>
  </si>
  <si>
    <t>Condensator_p</t>
  </si>
  <si>
    <t>Resistor</t>
  </si>
  <si>
    <t>Резистор</t>
  </si>
  <si>
    <t>Диод</t>
  </si>
  <si>
    <t>Светодиод</t>
  </si>
  <si>
    <t>Конденсатор пол</t>
  </si>
  <si>
    <t>Конденсатор непол</t>
  </si>
  <si>
    <t>Энкодер</t>
  </si>
  <si>
    <t>Реле</t>
  </si>
  <si>
    <t>Стабилизатор</t>
  </si>
  <si>
    <t>ЛСД</t>
  </si>
  <si>
    <t>Микроконтроллер</t>
  </si>
  <si>
    <t>Транзистор</t>
  </si>
  <si>
    <t>Датчик температуры и влажности</t>
  </si>
  <si>
    <t>Динамик</t>
  </si>
  <si>
    <t>Кварцевый резонатор</t>
  </si>
  <si>
    <t>Kис</t>
  </si>
  <si>
    <t>Kt</t>
  </si>
  <si>
    <t>Kp</t>
  </si>
  <si>
    <t>Kкорп</t>
  </si>
  <si>
    <t>Kv</t>
  </si>
  <si>
    <t>Kф</t>
  </si>
  <si>
    <t>Kд</t>
  </si>
  <si>
    <t>Ku</t>
  </si>
  <si>
    <t>Kc</t>
  </si>
  <si>
    <t>Km</t>
  </si>
  <si>
    <t>Kr</t>
  </si>
  <si>
    <t>Kk</t>
  </si>
  <si>
    <t>Kf</t>
  </si>
  <si>
    <t>&amp;</t>
  </si>
  <si>
    <t>Индикаторы</t>
  </si>
  <si>
    <t>Kэ</t>
  </si>
  <si>
    <t>Kп</t>
  </si>
  <si>
    <t>Конденсатор</t>
  </si>
  <si>
    <t>Svetodiod</t>
  </si>
  <si>
    <t>Stab</t>
  </si>
  <si>
    <t>Датчик температуры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</si>
</sst>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49"/>
  <sheetViews>
    <sheetView tabSelected="1" topLeftCell="J1" workbookViewId="0">
      <selection activeCell="P2" sqref="P2"/>
    </sheetView>
  </sheetViews>
  <sheetFormatPr defaultColWidth="12.6285714285714" defaultRowHeight="15.75" customHeight="1"/>
  <cols>
    <col min="1" max="4" width="12.8571428571429"/>
    <col min="5" max="5" width="8.57142857142857" customWidth="1"/>
    <col min="6" max="11" width="12.8571428571429"/>
    <col min="15" max="18" width="12.8571428571429"/>
    <col min="20" max="20" width="12.8571428571429"/>
    <col min="22" max="27" width="12.8571428571429"/>
  </cols>
  <sheetData>
    <row r="1" customHeight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/>
    </row>
    <row r="2" customHeight="1" spans="1:28">
      <c r="A2" s="1" t="s">
        <v>26</v>
      </c>
      <c r="B2" s="2">
        <f t="shared" ref="B2:B9" si="0">C2*D2</f>
        <v>1.5</v>
      </c>
      <c r="C2" s="1">
        <f t="shared" ref="C2:C3" si="1">5</f>
        <v>5</v>
      </c>
      <c r="D2" s="2">
        <f>300/1000</f>
        <v>0.3</v>
      </c>
      <c r="E2" s="2">
        <f>35.6*10.07*4.75*10^(-9)</f>
        <v>1.702837e-6</v>
      </c>
      <c r="F2" s="2">
        <f>B17</f>
        <v>7.4095</v>
      </c>
      <c r="G2" s="2">
        <f>F2/0.1251</f>
        <v>59.2286171063149</v>
      </c>
      <c r="H2" s="2">
        <f>0</f>
        <v>0</v>
      </c>
      <c r="I2" s="2">
        <f>0.06^H2</f>
        <v>1</v>
      </c>
      <c r="J2" s="2">
        <f>0.1472*G2-0.2962*10^(-3)*G2^2+0.3127*10^(-6)*G2*3</f>
        <v>7.67942978563777</v>
      </c>
      <c r="K2" s="2">
        <f>0.82+1/(0.925+4.6*10^(-5)*10^5)</f>
        <v>1.00099547511312</v>
      </c>
      <c r="L2" s="2">
        <f>K2*I2*J2</f>
        <v>7.68707446687232</v>
      </c>
      <c r="M2" s="2">
        <f>E17/N2</f>
        <v>0.00705689569474969</v>
      </c>
      <c r="N2" s="2">
        <f>0.15*0.26*0.21</f>
        <v>0.00819</v>
      </c>
      <c r="O2" s="2">
        <f>F2/2*(0.31*0.36+(0.31+0.36)*0.15)*M2</f>
        <v>0.00554514968035878</v>
      </c>
      <c r="P2" s="2">
        <f>0.139*O2-0.1223*10^(-3)*O2^2+0.0698*10^(-6)*O2^3</f>
        <v>0.000770772045017599</v>
      </c>
      <c r="Q2" s="2">
        <f>0.8+1/(1.25+3.8*10^(-5)*10^5)</f>
        <v>0.998019801980198</v>
      </c>
      <c r="R2" s="2">
        <f>L2+(P2-J2)*Q2*I2</f>
        <v>0.0236207186530191</v>
      </c>
      <c r="S2" s="2">
        <f>(R2+L2)/2</f>
        <v>3.85534759276267</v>
      </c>
      <c r="T2" s="2">
        <f>SQRT(T4/PI())</f>
        <v>0.0106823006753133</v>
      </c>
      <c r="U2" s="2">
        <f>SQRT(2*(5*SQRT(10^5/10^5)+5)/(0.372*0.0015))</f>
        <v>189.320611415688</v>
      </c>
      <c r="V2" s="2">
        <f>23.54/(4.317+LOG10(V4))</f>
        <v>17.0825011806575</v>
      </c>
      <c r="W2" s="2">
        <f>(5*SQRT(10^5/10^5)+5)*PI()*T2^2</f>
        <v>0.00358492</v>
      </c>
      <c r="X2" s="2">
        <f>1.5/(((V2-5)*SQRT(10^5/10^5)+5)*(V4-T4)+(1/1000/(0.022*PI()*T2^2)+(W2+1*PI()*T2*0.372*0.0015*U2*0.13623/0.11113)^(-1))^(-1))/10</f>
        <v>8.57640735002649</v>
      </c>
      <c r="Y2" s="2">
        <f>X2+S2+40</f>
        <v>52.4317549427892</v>
      </c>
      <c r="Z2" s="2">
        <f>X2+40</f>
        <v>48.5764073500265</v>
      </c>
      <c r="AA2" s="2">
        <f>S2+40</f>
        <v>43.8553475927627</v>
      </c>
      <c r="AB2" s="2">
        <f>L2+40</f>
        <v>47.6870744668723</v>
      </c>
    </row>
    <row r="3" customHeight="1" spans="1:24">
      <c r="A3" s="1" t="s">
        <v>27</v>
      </c>
      <c r="B3" s="2">
        <f t="shared" si="0"/>
        <v>0.05</v>
      </c>
      <c r="C3" s="1">
        <f t="shared" si="1"/>
        <v>5</v>
      </c>
      <c r="D3" s="2">
        <f>10/1000</f>
        <v>0.01</v>
      </c>
      <c r="E3" s="2">
        <f>12.5*13.4*15*10^(-9)</f>
        <v>2.5125e-6</v>
      </c>
      <c r="O3">
        <f>F2/(2*(0.15*0.36+(0.12+0.36)*0.31)*M2)</f>
        <v>2588.67337960015</v>
      </c>
      <c r="T3" s="1" t="s">
        <v>28</v>
      </c>
      <c r="V3" s="1" t="s">
        <v>29</v>
      </c>
      <c r="X3" s="1" t="s">
        <v>30</v>
      </c>
    </row>
    <row r="4" customHeight="1" spans="1:24">
      <c r="A4" s="1" t="s">
        <v>31</v>
      </c>
      <c r="B4" s="2">
        <f>0.45*2</f>
        <v>0.9</v>
      </c>
      <c r="C4" s="1"/>
      <c r="D4" s="1"/>
      <c r="E4" s="2">
        <f>19.2*15.2*15.5*10^(-9)*2</f>
        <v>9.04704e-6</v>
      </c>
      <c r="T4" s="2">
        <f>35.6*10.07*10^(-6)</f>
        <v>0.000358492</v>
      </c>
      <c r="V4" s="2">
        <f>2*(35.6*10^(-3)*10.07*10^(-3)+35.6*10^(-3)*4.75*10^(-3)+10.07*10^(-3)*4.75*10^(-3))</f>
        <v>0.001150849</v>
      </c>
      <c r="X4" s="2">
        <f>U2*T2</f>
        <v>2.02237969517654</v>
      </c>
    </row>
    <row r="5" customHeight="1" spans="1:22">
      <c r="A5" s="1" t="s">
        <v>32</v>
      </c>
      <c r="B5" s="2">
        <f t="shared" si="0"/>
        <v>0.15</v>
      </c>
      <c r="C5" s="1">
        <f>5</f>
        <v>5</v>
      </c>
      <c r="D5" s="2">
        <f>30/1000</f>
        <v>0.03</v>
      </c>
      <c r="E5" s="2">
        <f>12*12*9.5*10^(-9)</f>
        <v>1.368e-6</v>
      </c>
      <c r="V5">
        <f>2*(35.6*10.07+35.6*4.75+10.07*4.75)</f>
        <v>1150.849</v>
      </c>
    </row>
    <row r="6" customHeight="1" spans="1:27">
      <c r="A6" s="1" t="s">
        <v>33</v>
      </c>
      <c r="B6" s="2">
        <f t="shared" si="0"/>
        <v>3.5</v>
      </c>
      <c r="C6" s="2">
        <f>12-5</f>
        <v>7</v>
      </c>
      <c r="D6" s="2">
        <f>500/1000</f>
        <v>0.5</v>
      </c>
      <c r="E6" s="2">
        <f>16.51*10.67*4.7*10^(-9)</f>
        <v>8.2795999e-7</v>
      </c>
      <c r="W6" t="s">
        <v>34</v>
      </c>
      <c r="X6">
        <f>(V2-5)*1+5</f>
        <v>17.0825011806575</v>
      </c>
      <c r="Y6">
        <f>V4-T4</f>
        <v>0.000792357</v>
      </c>
      <c r="Z6">
        <f>0.001/(0.022*PI()*T2^2)</f>
        <v>126.793751198201</v>
      </c>
      <c r="AA6">
        <f>W2+1*PI()*T2*0.372*0.0015*U2*(0.13623/0.11113)</f>
        <v>0.00793090487138572</v>
      </c>
    </row>
    <row r="7" customHeight="1" spans="1:27">
      <c r="A7" s="1" t="s">
        <v>35</v>
      </c>
      <c r="B7" s="2">
        <f t="shared" si="0"/>
        <v>0.0075</v>
      </c>
      <c r="C7" s="2">
        <f t="shared" ref="C7:C9" si="2">5</f>
        <v>5</v>
      </c>
      <c r="D7">
        <v>0.0015</v>
      </c>
      <c r="E7" s="2">
        <f>15.1*7.7*25.1*10^(-9)</f>
        <v>2.918377e-6</v>
      </c>
      <c r="W7">
        <f>X6*Y6+(Z6+AA7)^(-1)</f>
        <v>0.0174898408946885</v>
      </c>
      <c r="AA7">
        <f>AA6^(-1)</f>
        <v>126.08901710673</v>
      </c>
    </row>
    <row r="8" customHeight="1" spans="1:23">
      <c r="A8" s="1" t="s">
        <v>36</v>
      </c>
      <c r="B8" s="2">
        <f t="shared" si="0"/>
        <v>1</v>
      </c>
      <c r="C8" s="2">
        <f t="shared" si="2"/>
        <v>5</v>
      </c>
      <c r="D8">
        <f>0.2</f>
        <v>0.2</v>
      </c>
      <c r="E8" s="2">
        <f>80*36*11*10^(-9)</f>
        <v>3.168e-5</v>
      </c>
      <c r="W8">
        <f>1.5/W7</f>
        <v>85.7640735002649</v>
      </c>
    </row>
    <row r="9" customHeight="1" spans="1:23">
      <c r="A9" s="1" t="s">
        <v>37</v>
      </c>
      <c r="B9" s="2">
        <f t="shared" si="0"/>
        <v>0</v>
      </c>
      <c r="C9" s="2">
        <f t="shared" si="2"/>
        <v>5</v>
      </c>
      <c r="E9" s="2">
        <f>14.5*11*9*10^(-9)</f>
        <v>1.4355e-6</v>
      </c>
      <c r="W9">
        <f>E17/0.012</f>
        <v>0.00481633131166667</v>
      </c>
    </row>
    <row r="10" customHeight="1" spans="1:5">
      <c r="A10" s="1" t="s">
        <v>38</v>
      </c>
      <c r="B10" s="2">
        <f>150/1000*2</f>
        <v>0.3</v>
      </c>
      <c r="E10" s="2">
        <f>7*6*2.8*10^(-9)*2</f>
        <v>2.352e-7</v>
      </c>
    </row>
    <row r="11" customHeight="1" spans="1:5">
      <c r="A11" s="1" t="s">
        <v>39</v>
      </c>
      <c r="B11" s="2">
        <f t="shared" ref="B11:B16" si="3">C11*D11</f>
        <v>0</v>
      </c>
      <c r="C11" s="2">
        <f t="shared" ref="C11:C14" si="4">5</f>
        <v>5</v>
      </c>
      <c r="E11" s="2">
        <f>5.1*2.6*2.6*10^(-9)*3</f>
        <v>1.03428e-7</v>
      </c>
    </row>
    <row r="12" customHeight="1" spans="1:5">
      <c r="A12" s="1" t="s">
        <v>40</v>
      </c>
      <c r="B12" s="2">
        <f>0.002</f>
        <v>0.002</v>
      </c>
      <c r="C12" s="2">
        <f t="shared" si="4"/>
        <v>5</v>
      </c>
      <c r="E12" s="2">
        <f>13.5*11.5*5*10^(-9)</f>
        <v>7.7625e-7</v>
      </c>
    </row>
    <row r="13" customHeight="1" spans="1:5">
      <c r="A13" s="1" t="s">
        <v>41</v>
      </c>
      <c r="B13" s="2">
        <f t="shared" si="3"/>
        <v>0</v>
      </c>
      <c r="C13" s="2">
        <f t="shared" si="4"/>
        <v>5</v>
      </c>
      <c r="E13" s="2">
        <f>100*5.5*10^(-9)*2</f>
        <v>1.1e-6</v>
      </c>
    </row>
    <row r="14" customHeight="1" spans="1:5">
      <c r="A14" s="1" t="s">
        <v>42</v>
      </c>
      <c r="B14" s="2">
        <f t="shared" si="3"/>
        <v>0</v>
      </c>
      <c r="C14" s="2">
        <f t="shared" si="4"/>
        <v>5</v>
      </c>
      <c r="E14" s="2">
        <f>3.85*3.85*4.3*10^(-9)*5</f>
        <v>3.1868375e-7</v>
      </c>
    </row>
    <row r="15" customHeight="1" spans="1:5">
      <c r="A15" s="1" t="s">
        <v>43</v>
      </c>
      <c r="B15" s="2">
        <f t="shared" si="3"/>
        <v>0</v>
      </c>
      <c r="C15">
        <v>5</v>
      </c>
      <c r="E15" s="2">
        <f>6.3*6.3*16*10^(-9)*5</f>
        <v>3.1752e-6</v>
      </c>
    </row>
    <row r="16" customHeight="1" spans="1:5">
      <c r="A16" s="1" t="s">
        <v>44</v>
      </c>
      <c r="B16" s="2">
        <f t="shared" si="3"/>
        <v>0</v>
      </c>
      <c r="C16">
        <v>5</v>
      </c>
      <c r="E16" s="2">
        <f>6.8*2.5*2.5*10^(-9)*14</f>
        <v>5.95e-7</v>
      </c>
    </row>
    <row r="17" customHeight="1" spans="2:5">
      <c r="B17">
        <f>SUM(B2:B16)</f>
        <v>7.4095</v>
      </c>
      <c r="E17" s="2">
        <f>SUM(E2:E16)</f>
        <v>5.779597574e-5</v>
      </c>
    </row>
    <row r="19" customHeight="1" spans="1:28">
      <c r="A19" s="1" t="s">
        <v>45</v>
      </c>
      <c r="B19" s="1" t="s">
        <v>46</v>
      </c>
      <c r="C19" s="1" t="s">
        <v>47</v>
      </c>
      <c r="D19" s="1" t="s">
        <v>48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53</v>
      </c>
      <c r="J19" s="1" t="s">
        <v>54</v>
      </c>
      <c r="K19" s="1" t="s">
        <v>55</v>
      </c>
      <c r="L19" s="1" t="s">
        <v>56</v>
      </c>
      <c r="M19" s="1" t="s">
        <v>57</v>
      </c>
      <c r="N19" s="1" t="s">
        <v>58</v>
      </c>
      <c r="P19" s="1" t="s">
        <v>59</v>
      </c>
      <c r="Q19" s="1" t="s">
        <v>60</v>
      </c>
      <c r="R19" s="1" t="s">
        <v>61</v>
      </c>
      <c r="S19" s="1" t="s">
        <v>62</v>
      </c>
      <c r="T19" s="1" t="s">
        <v>63</v>
      </c>
      <c r="U19" s="1" t="s">
        <v>64</v>
      </c>
      <c r="V19" s="1" t="s">
        <v>65</v>
      </c>
      <c r="W19" s="1" t="s">
        <v>66</v>
      </c>
      <c r="X19" s="1" t="s">
        <v>67</v>
      </c>
      <c r="Y19" s="1" t="s">
        <v>68</v>
      </c>
      <c r="Z19" s="1" t="s">
        <v>69</v>
      </c>
      <c r="AA19" s="1" t="s">
        <v>70</v>
      </c>
      <c r="AB19" s="1" t="s">
        <v>71</v>
      </c>
    </row>
    <row r="20" customHeight="1" spans="1:28">
      <c r="A20" s="2">
        <f>0.034*10^(-6)*R30*Z20*Y20*A33*B33</f>
        <v>7.81861781528897e-8</v>
      </c>
      <c r="B20" s="2">
        <f>0.091*10^(-6)*R22*U22*V22*W22*A27*B27</f>
        <v>1.34190904190862e-7</v>
      </c>
      <c r="C20" s="2">
        <f>0.034*10^(-6)*A41*B41*R36</f>
        <v>1.75608477372996e-7</v>
      </c>
      <c r="D20" s="2">
        <f>0.173*10^(-6)*R28*A35*B35*X21</f>
        <v>7.14283617076113e-10</v>
      </c>
      <c r="E20" s="2">
        <f>0.022*10^(-6)*X20*R28*A35*B35</f>
        <v>2.28164076136576e-11</v>
      </c>
      <c r="F20" s="2">
        <f>(0.16*10^(-6)*AA20*AB20+0.09*10^(-6)*1*1)*A37*B37*R32</f>
        <v>3.2140453976336e-7</v>
      </c>
      <c r="G20" s="2">
        <f>(0.0304*10^(-6)*R34*AB20*B39+0.0304*10^(-6)*0.6*R34*AA20*B39)*A39</f>
        <v>2.37782808909753e-8</v>
      </c>
      <c r="H20" s="2">
        <f>0.011*10^(-6)*R38*1*15</f>
        <v>2.40696203349268e-7</v>
      </c>
      <c r="I20" s="2">
        <f>0.21*10^(-6)*A31*B31</f>
        <v>1.155e-6</v>
      </c>
      <c r="J20" s="2">
        <f>0.023*10^(-6)*P20*Q20*S20*T20*A25*B25</f>
        <v>1.06004055535859e-7</v>
      </c>
      <c r="K20" s="2">
        <f>0.044*10^(-6)*U24*R24*V24*W24*A29*B29</f>
        <v>1.5391345294469e-7</v>
      </c>
      <c r="L20" s="2">
        <f t="shared" ref="L20:M20" si="5">0.023*10^(-6)</f>
        <v>2.3e-8</v>
      </c>
      <c r="M20" s="2">
        <f t="shared" si="5"/>
        <v>2.3e-8</v>
      </c>
      <c r="N20" s="2">
        <f>0.026*10^(-6)*Q20*A29*B29</f>
        <v>1.9594708146685e-7</v>
      </c>
      <c r="P20" s="2">
        <f>0.336*8^0.288</f>
        <v>0.611546089782364</v>
      </c>
      <c r="Q20" s="2">
        <f>EXP(0.021*(40-25))</f>
        <v>1.370259310957</v>
      </c>
      <c r="R20" s="2">
        <f>0.045*EXP(3.1*0.6)*Q20</f>
        <v>0.396098330498442</v>
      </c>
      <c r="S20" s="2">
        <f t="shared" ref="S20:T20" si="6">1</f>
        <v>1</v>
      </c>
      <c r="T20" s="2">
        <f t="shared" si="6"/>
        <v>1</v>
      </c>
      <c r="X20" s="2">
        <f>0.4*20^0.12</f>
        <v>0.573038222219659</v>
      </c>
      <c r="Y20" s="2">
        <f>1.5</f>
        <v>1.5</v>
      </c>
      <c r="Z20" s="2">
        <f>0.7</f>
        <v>0.7</v>
      </c>
      <c r="AA20" s="2">
        <f>0.25</f>
        <v>0.25</v>
      </c>
      <c r="AB20" s="2">
        <f>0.5</f>
        <v>0.5</v>
      </c>
    </row>
    <row r="21" customHeight="1" spans="12:24">
      <c r="L21" t="s">
        <v>72</v>
      </c>
      <c r="M21" t="s">
        <v>72</v>
      </c>
      <c r="Q21" s="1" t="s">
        <v>73</v>
      </c>
      <c r="R21" s="1" t="s">
        <v>46</v>
      </c>
      <c r="X21" s="2">
        <f>0.4*2000000^0.12</f>
        <v>2.28130625266875</v>
      </c>
    </row>
    <row r="22" customHeight="1" spans="4:23">
      <c r="D22">
        <f>63578557/1250000000000</f>
        <v>5.08628456e-5</v>
      </c>
      <c r="Q22" s="2">
        <f>1</f>
        <v>1</v>
      </c>
      <c r="R22" s="2">
        <f>44.1025*EXP(-2138/(273+40+150*0.6)+((273+40+150*0.6)/448)^17.7)</f>
        <v>0.255346375892416</v>
      </c>
      <c r="U22" s="2">
        <f>1.5</f>
        <v>1.5</v>
      </c>
      <c r="V22" s="2">
        <f>1</f>
        <v>1</v>
      </c>
      <c r="W22" s="1">
        <f>0.7</f>
        <v>0.7</v>
      </c>
    </row>
    <row r="23" customHeight="1" spans="1:18">
      <c r="A23" s="1" t="s">
        <v>74</v>
      </c>
      <c r="B23" s="1" t="s">
        <v>75</v>
      </c>
      <c r="R23" s="1" t="s">
        <v>55</v>
      </c>
    </row>
    <row r="24" customHeight="1" spans="1:23">
      <c r="A24" s="1" t="s">
        <v>26</v>
      </c>
      <c r="R24" s="2">
        <f>5.2*EXP(-1162/(273+40+150*0.6)+((273+40+150*0.6)/448)^17.7)</f>
        <v>0.339203202081962</v>
      </c>
      <c r="U24" s="2">
        <f>1.5</f>
        <v>1.5</v>
      </c>
      <c r="V24" s="2">
        <f>2.5</f>
        <v>2.5</v>
      </c>
      <c r="W24" s="2">
        <f>0.5</f>
        <v>0.5</v>
      </c>
    </row>
    <row r="25" customHeight="1" spans="1:18">
      <c r="A25" s="2">
        <f>1</f>
        <v>1</v>
      </c>
      <c r="B25" s="2">
        <f>5.5</f>
        <v>5.5</v>
      </c>
      <c r="R25" s="1" t="s">
        <v>36</v>
      </c>
    </row>
    <row r="26" customHeight="1" spans="1:1">
      <c r="A26" s="1" t="s">
        <v>46</v>
      </c>
    </row>
    <row r="27" customHeight="1" spans="1:18">
      <c r="A27" s="2">
        <f>1</f>
        <v>1</v>
      </c>
      <c r="B27" s="2">
        <f>5.5</f>
        <v>5.5</v>
      </c>
      <c r="R27" s="1" t="s">
        <v>76</v>
      </c>
    </row>
    <row r="28" customHeight="1" spans="1:18">
      <c r="A28" s="1" t="s">
        <v>55</v>
      </c>
      <c r="R28" s="2">
        <f>5.909*10^(-7)*((0.6/3)^3)*EXP(14.3*((40+273)/398)^1)</f>
        <v>0.00036196867740068</v>
      </c>
    </row>
    <row r="29" customHeight="1" spans="1:18">
      <c r="A29" s="2">
        <f>1</f>
        <v>1</v>
      </c>
      <c r="B29" s="2">
        <f>5.5</f>
        <v>5.5</v>
      </c>
      <c r="R29" s="1" t="s">
        <v>45</v>
      </c>
    </row>
    <row r="30" customHeight="1" spans="1:18">
      <c r="A30" s="1" t="s">
        <v>36</v>
      </c>
      <c r="R30" s="2">
        <f>0.26*EXP(0.5078*((40+273)/343)^9.278)*EXP(((0.2/0.878)*((40+273)/273)^1)^0.886)</f>
        <v>0.438017804778093</v>
      </c>
    </row>
    <row r="31" customHeight="1" spans="1:18">
      <c r="A31" s="2">
        <f>1</f>
        <v>1</v>
      </c>
      <c r="B31" s="2">
        <f>5.5</f>
        <v>5.5</v>
      </c>
      <c r="R31" s="1" t="s">
        <v>50</v>
      </c>
    </row>
    <row r="32" customHeight="1" spans="1:18">
      <c r="A32" s="1" t="s">
        <v>44</v>
      </c>
      <c r="R32" s="2">
        <f>7*((25+273)/398)^12*EXP(1.25*0.6)^2</f>
        <v>0.973953150798062</v>
      </c>
    </row>
    <row r="33" customHeight="1" spans="1:18">
      <c r="A33" s="2">
        <f>1</f>
        <v>1</v>
      </c>
      <c r="B33" s="2">
        <f>5</f>
        <v>5</v>
      </c>
      <c r="R33" s="1" t="s">
        <v>51</v>
      </c>
    </row>
    <row r="34" customHeight="1" spans="1:18">
      <c r="A34" s="1" t="s">
        <v>76</v>
      </c>
      <c r="R34" s="2">
        <f>0.1951*EXP(((40+273)/352)^15.7)*EXP((0.6/0.8)^2)</f>
        <v>0.401118098700663</v>
      </c>
    </row>
    <row r="35" customHeight="1" spans="1:18">
      <c r="A35" s="2">
        <f>1</f>
        <v>1</v>
      </c>
      <c r="B35" s="2">
        <f>5</f>
        <v>5</v>
      </c>
      <c r="R35" t="s">
        <v>77</v>
      </c>
    </row>
    <row r="36" customHeight="1" spans="1:18">
      <c r="A36" s="1" t="s">
        <v>50</v>
      </c>
      <c r="R36">
        <f>0.6^1.6*EXP(0.6/(8.625*10^(-5))*(1/(70+273)-1/(85+273)))</f>
        <v>1.03299104337056</v>
      </c>
    </row>
    <row r="37" customHeight="1" spans="1:18">
      <c r="A37" s="2">
        <f>1</f>
        <v>1</v>
      </c>
      <c r="B37" s="2">
        <f>3</f>
        <v>3</v>
      </c>
      <c r="R37" t="s">
        <v>78</v>
      </c>
    </row>
    <row r="38" customHeight="1" spans="1:18">
      <c r="A38" s="1" t="s">
        <v>51</v>
      </c>
      <c r="R38">
        <f>0.81*EXP(((45+273)/329)^15.6)</f>
        <v>1.45876486878345</v>
      </c>
    </row>
    <row r="39" customHeight="1" spans="1:2">
      <c r="A39" s="2">
        <f>1</f>
        <v>1</v>
      </c>
      <c r="B39" s="2">
        <f>3</f>
        <v>3</v>
      </c>
    </row>
    <row r="40" customHeight="1" spans="1:1">
      <c r="A40" s="1" t="s">
        <v>47</v>
      </c>
    </row>
    <row r="41" customHeight="1" spans="1:2">
      <c r="A41" s="1">
        <f>1</f>
        <v>1</v>
      </c>
      <c r="B41" s="2">
        <f>5</f>
        <v>5</v>
      </c>
    </row>
    <row r="42" customHeight="1" spans="1:1">
      <c r="A42" t="s">
        <v>52</v>
      </c>
    </row>
    <row r="43" customHeight="1" spans="1:2">
      <c r="A43">
        <f>1</f>
        <v>1</v>
      </c>
      <c r="B43">
        <f>15</f>
        <v>15</v>
      </c>
    </row>
    <row r="44" customHeight="1" spans="1:1">
      <c r="A44" t="s">
        <v>79</v>
      </c>
    </row>
    <row r="45" customHeight="1" spans="1:1">
      <c r="A45">
        <f>1</f>
        <v>1</v>
      </c>
    </row>
    <row r="46" customHeight="1" spans="1:1">
      <c r="A46" t="s">
        <v>57</v>
      </c>
    </row>
    <row r="47" customHeight="1" spans="1:1">
      <c r="A47">
        <f>1</f>
        <v>1</v>
      </c>
    </row>
    <row r="48" customHeight="1" spans="1:1">
      <c r="A48" t="s">
        <v>58</v>
      </c>
    </row>
    <row r="49" customHeight="1" spans="1:2">
      <c r="A49">
        <f>1</f>
        <v>1</v>
      </c>
      <c r="B49">
        <f>9</f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Lapte</cp:lastModifiedBy>
  <dcterms:created xsi:type="dcterms:W3CDTF">2023-01-21T04:50:00Z</dcterms:created>
  <dcterms:modified xsi:type="dcterms:W3CDTF">2023-04-12T13:04:03Z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84633086E1DA4FAF8C289BBC2A51F643</vt:lpwstr>
  </property>
  <property fmtid="{D5CDD505-2E9C-101B-9397-08002B2CF9AE}" pid="3" name="KSOProductBuildVer">
    <vt:lpwstr>1049-11.2.0.11516</vt:lpwstr>
  </property>
</Properties>
</file>