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Heuristic Evaluation" sheetId="1" r:id="rId4"/>
    <sheet state="visible" name="Summary of Evaluations" sheetId="2" r:id="rId5"/>
    <sheet state="visible" name="Evaluation Statistics" sheetId="3" r:id="rId6"/>
    <sheet state="visible" name="Summary Recommendations" sheetId="4" r:id="rId7"/>
  </sheets>
  <definedNames>
    <definedName hidden="1" localSheetId="0" name="_xlnm._FilterDatabase">'Group Heuristic Evaluation'!$A$10:$J$56</definedName>
    <definedName hidden="1" localSheetId="0" name="Z_8CE9C352_90D4_4050_A77D_C3EC046F3C2B_.wvu.FilterData">'Group Heuristic Evaluation'!$A$10:$J$56</definedName>
    <definedName hidden="1" localSheetId="0" name="Z_4D097A5F_6C4C_49F4_B0CD_BD2D9BE0E317_.wvu.FilterData">'Group Heuristic Evaluation'!$A$10:$J$56</definedName>
  </definedNames>
  <calcPr/>
  <customWorkbookViews>
    <customWorkbookView activeSheetId="0" maximized="1" windowHeight="0" windowWidth="0" guid="{8CE9C352-90D4-4050-A77D-C3EC046F3C2B}" name="Group by Task "/>
    <customWorkbookView activeSheetId="0" maximized="1" windowHeight="0" windowWidth="0" guid="{4D097A5F-6C4C-49F4-B0CD-BD2D9BE0E317}" name="Group by Task"/>
  </customWorkbookViews>
</workbook>
</file>

<file path=xl/sharedStrings.xml><?xml version="1.0" encoding="utf-8"?>
<sst xmlns="http://schemas.openxmlformats.org/spreadsheetml/2006/main" count="388" uniqueCount="254">
  <si>
    <t xml:space="preserve">Prototype Description: </t>
  </si>
  <si>
    <t xml:space="preserve">LockedIn gathers information from students on their classes, schedules, and study preferences, using AI and collaboration research to organize study sessions, develop scheduled tasks, and match students with compatible study partners.
</t>
  </si>
  <si>
    <t>Simple Task</t>
  </si>
  <si>
    <t>Find public study sessions for a selected class.</t>
  </si>
  <si>
    <t>Moderate Task</t>
  </si>
  <si>
    <t>Upload class syllabus and assignments to generate AI-powered study plans with a task schedule.</t>
  </si>
  <si>
    <t>Complex Task</t>
  </si>
  <si>
    <t>Build a study profile and get matched with recurring study partners or groups.</t>
  </si>
  <si>
    <t>*attach images here if helpful</t>
  </si>
  <si>
    <t>I changed severities + added clarifications</t>
  </si>
  <si>
    <t>Problem #</t>
  </si>
  <si>
    <t xml:space="preserve">Heuristic </t>
  </si>
  <si>
    <t>Task</t>
  </si>
  <si>
    <t>Severity</t>
  </si>
  <si>
    <t>Description</t>
  </si>
  <si>
    <t>Rationale</t>
  </si>
  <si>
    <t>Fix</t>
  </si>
  <si>
    <t>Found by</t>
  </si>
  <si>
    <t>CA Comments</t>
  </si>
  <si>
    <t>Alex's notes</t>
  </si>
  <si>
    <t>H3: User Control &amp; Freedom</t>
  </si>
  <si>
    <t>2. Moderate Task</t>
  </si>
  <si>
    <t>Lack of navigation during course upload.</t>
  </si>
  <si>
    <t>Users should be able to back out of the upload process.
There should be an "emergency exit" while the AI
study plan is being created.</t>
  </si>
  <si>
    <t>Add a back/ quit button</t>
  </si>
  <si>
    <t>D, B, A, C</t>
  </si>
  <si>
    <t>TODO: add "cancel" button to top left in all course upload screens</t>
  </si>
  <si>
    <t xml:space="preserve">In the tasks screen, once you delete (click on the trash can symbol) a task, you are unable to retrieve the task after. There is no back button/option for the users in case this decision was accidental or they change their minds.  </t>
  </si>
  <si>
    <t xml:space="preserve">Users may feel like they are in a trapped state if they cannot easily navigate back. This ultimately disrupts their flow of using the app easily. </t>
  </si>
  <si>
    <t xml:space="preserve">Add a visible and consistent "Back" button in the same place of the trash can next to all tasks to allow users to quickly undo cancelling their tasks. </t>
  </si>
  <si>
    <t>D, A, C</t>
  </si>
  <si>
    <t>TODO: add a snackbar popup with "Task removed. UNDO" like in inudstry standard todo lists</t>
  </si>
  <si>
    <t>H1: Visibility of System Status</t>
  </si>
  <si>
    <t xml:space="preserve">The result of 'Uploading' a class is not clear or indicated by 
the User Interface. </t>
  </si>
  <si>
    <t>The user should be aware that they are uploading their
syllabus to an AI.</t>
  </si>
  <si>
    <t>Include clear terminology like "AI Generated
 Course Plan"</t>
  </si>
  <si>
    <t>B, C</t>
  </si>
  <si>
    <t>TODO: add text: "upload assignment fiels for your classes to automatically create tasks" to top of page to remind users</t>
  </si>
  <si>
    <t>The "TASKS" screen is clustered with information and there is no clear highlight on important information.</t>
  </si>
  <si>
    <t xml:space="preserve">User may become overwhelmed as to which task they should focus on. </t>
  </si>
  <si>
    <t>Highlight the most important tasks, perhaps with color design. Perhaps the ones due the soonest are the most important tasks.</t>
  </si>
  <si>
    <t>It would be nice to add color bars to indicate importance, if importance can be determined somehow</t>
  </si>
  <si>
    <t>H4: Consistency &amp; Standards</t>
  </si>
  <si>
    <t>3. Complex Task</t>
  </si>
  <si>
    <t xml:space="preserve">Toggles on map screen are highly unconventional. </t>
  </si>
  <si>
    <t>The toggles are reversed from Mac and Windows toggle
switch conventions</t>
  </si>
  <si>
    <t>Flip the toggles to match other UIs</t>
  </si>
  <si>
    <t>A, C</t>
  </si>
  <si>
    <t>Description unclear. PROFILE screen with 'share location' toggles. Suggesting that the toggles should be off instead of on</t>
  </si>
  <si>
    <t>Figma bug, will be standard in hi-fi</t>
  </si>
  <si>
    <t>4. All Tasks</t>
  </si>
  <si>
    <t>The navigation bar does not work across all the screens. You cannot go back and forth between the different screens in the app. 
***We had a hard time assessing the app because of this</t>
  </si>
  <si>
    <t>This, unfortunately, makes the prototype exceptionally difficult to navigate, and leaves a lot up to the user's imagination.</t>
  </si>
  <si>
    <r>
      <rPr>
        <rFont val="Roboto"/>
        <color rgb="FF434343"/>
      </rPr>
      <t xml:space="preserve">Add a working navigation bar with </t>
    </r>
    <r>
      <rPr>
        <rFont val="Roboto"/>
        <i/>
        <color rgb="FF434343"/>
      </rPr>
      <t>functioning</t>
    </r>
    <r>
      <rPr>
        <rFont val="Roboto"/>
        <color rgb="FF434343"/>
      </rPr>
      <t xml:space="preserve"> buttons.</t>
    </r>
  </si>
  <si>
    <t>A, B, D, C</t>
  </si>
  <si>
    <t>This was a limitation of figma. The task flows had to be made with simple flow logic and switching between tasks in-between would break the demo</t>
  </si>
  <si>
    <t>H8: Aesthetic &amp; Minimalist Design</t>
  </si>
  <si>
    <t>The screens in the app use a uniform, minimal color scheme that makes it difficult for users to distinguish different sections and actions.</t>
  </si>
  <si>
    <t xml:space="preserve">Lack of color differentiation makes it harder for users to distinguish between main sections, and this makes the interface overall less visually appealing and less exciting. </t>
  </si>
  <si>
    <t>Use subtle background shading or section dividers to visually distinguish between different areas of the screen.</t>
  </si>
  <si>
    <t>C, A</t>
  </si>
  <si>
    <t>Can add some extra dividers</t>
  </si>
  <si>
    <t>Inconsistencies in capitalization across text on multiple screens throughout the app.</t>
  </si>
  <si>
    <t>Inconsistent capitalization distracts users and can slow down readability. This can making the interface look unpolished and harder to navigate overall.</t>
  </si>
  <si>
    <t xml:space="preserve">Use consistent capitalization across all screens - use certain capitalization for titles and paragraphs to improve readability and how professional the app looks.  </t>
  </si>
  <si>
    <t>A, B, C</t>
  </si>
  <si>
    <t>lower severity</t>
  </si>
  <si>
    <t>TODO: Do a capitilization check after making hi-fi</t>
  </si>
  <si>
    <t>1. Simple Task</t>
  </si>
  <si>
    <t>After clicking on the "Edit tasks" option under a class multiple times, overlapping text appears. This makes the tab unreadable.</t>
  </si>
  <si>
    <t>Text overlap creates clutter and makes content hard to read, reducing usability and slowing down users as they navigate through the screens.</t>
  </si>
  <si>
    <t>Prevent overlapping text by ensuring each click on "Edit tasks" opens a single, refreshed overlay.</t>
  </si>
  <si>
    <t>Figma issue, easily fixed in hi-fi</t>
  </si>
  <si>
    <t>On the "CLASSES" screen, after accepting a public session, the button to cancel the acceptance appears on the top of the box, as opposed to be right besides the "attending" strings. The button does not have strings to explain its function, and its icon is not intuitive.</t>
  </si>
  <si>
    <t>User may not understand how to cancel a session after having accepted it and may be confused by the meaning of the button.</t>
  </si>
  <si>
    <t>Put the cancel button right by the "attending" strings, where the "ignore" button was previously, and use words as opposed to the icon to indicate cancel.</t>
  </si>
  <si>
    <t>D, C</t>
  </si>
  <si>
    <t>TODO: These buttons should be moved/reworked</t>
  </si>
  <si>
    <t xml:space="preserve">Users may get confused between the differences of Public Study Sessions and Groups, and may believe they are the same.  </t>
  </si>
  <si>
    <t>The similar but distinct terms "Public Study Sessions" and "Groups" may lead users to question whether these represent the same feature or different ones, disrupting the flow and clarity of the interface.</t>
  </si>
  <si>
    <t xml:space="preserve">Make each of these parts of the screen more specific - instead of "Public Study Sessions," perhaps write "Session Schedule Availability," and for groups you can maybe write "Matched Groups." These changes would ensure that these to elements of the screen serve different purposes. </t>
  </si>
  <si>
    <t>higher severity</t>
  </si>
  <si>
    <t>Do not think there are better names, but we can teach the distinction better in the onboarding</t>
  </si>
  <si>
    <t>H9: Help Users with Errors</t>
  </si>
  <si>
    <t>There is no indication when a public study session is full, which can cause confusion for users.</t>
  </si>
  <si>
    <t>Users cannot find out why they can't join a session without a clear "Full" label, leading to frustration.</t>
  </si>
  <si>
    <t>Add a "Full" or "at capacity" label to sessions that have reached capacity. Alternatively, when a user tries to click on a full session, show a descriptive error pop-up message indicating that the session is filled.</t>
  </si>
  <si>
    <t>A</t>
  </si>
  <si>
    <t>Public study session have no max and can always be joined</t>
  </si>
  <si>
    <t>On the "CLASSES" screen, the "X" button on the right top corners of sessions and the "ignore" button do the same thing.</t>
  </si>
  <si>
    <t>Users may be expecting a different function to be performed by the two buttons, and be confused when they do the same thing.</t>
  </si>
  <si>
    <t>Remove one of the buttons, and standardize the practice for all "ignore" functionalities.</t>
  </si>
  <si>
    <t>This was intentional as users with different conceptual models may prefer different ways of leaving an event. Will consider removing "x"</t>
  </si>
  <si>
    <t>The session cards have 'Ignore' and 'Accept' buttons.</t>
  </si>
  <si>
    <t>It may be unclear whether the user was explicitly 
invited to the session or if it is an open session for 
anyone to join.</t>
  </si>
  <si>
    <t>Use more accurate terminology like 'Dismiss' 
and 'Attend'.</t>
  </si>
  <si>
    <t>TODO: Change to "Attend" and "Dismiss"</t>
  </si>
  <si>
    <t>H5: Error Prevention</t>
  </si>
  <si>
    <t>After searching for classes and selecting CS109, there is no confirmation pop-up to verify the chosen class.</t>
  </si>
  <si>
    <t>Without a confirmation step, users may mistakenly select the wrong class and have to repeat the search process to correct the error, which could have been avoided with an initial error check.</t>
  </si>
  <si>
    <t>As soon as the user selects a class, display a pop-up confirming the choice and asking if they are sure about their selection. This helps prevent mistakes and ensures users are confident in their class choice.</t>
  </si>
  <si>
    <t>I feel this would slow more users down than prevent errors. Industry comparison: Oncourse/carta/simplenroll do not have this. Classes can be removed quickly</t>
  </si>
  <si>
    <t>H6: Recognition not Recall</t>
  </si>
  <si>
    <t>When accepting multiple public study sessions, there is no summary page to display all accepted sessions, making it difficult for users to remember which ones they have already joined.</t>
  </si>
  <si>
    <t>Without a summary page, users may forget which sessions they accepted, causing confusion or missed events. A summary page provides a clear, accessible list of all confirmed sessions, reducing the need to rely on memory.</t>
  </si>
  <si>
    <t>Include a summary page or section displaying all accepted study sessions, allowing users to view their scheduled events in one place.</t>
  </si>
  <si>
    <t>TODO: Add "my sessions" button which leads to list of accepted events into tasks page</t>
  </si>
  <si>
    <t>H2: Match b/w System &amp; World</t>
  </si>
  <si>
    <t>The interface uses the abbreviation "SUPS" in the listing for "SUPS Physics Night." However, this abbreviation may not be familiar to all users, especially those who are new to the platform or not part of the specific community that recognizes it.</t>
  </si>
  <si>
    <t>Abbreviations like "SUPS" can be confusing for users unfamiliar with the term or not part of that organization, disrupting comprehension.</t>
  </si>
  <si>
    <t>Expand "SUPS" to "Stanford Undergraduate Physics Society" (or the full name, as applicable) to ensure clarity and reduce potential misunderstandings among users unfamiliar with the term.</t>
  </si>
  <si>
    <t>This will largely depend on whoever wrote it</t>
  </si>
  <si>
    <t>Not much we can do about user-created names</t>
  </si>
  <si>
    <t xml:space="preserve">Some screens show instructions/information in complete sentences, while others use bullet points. The time and locations are placed in one line with no distinction. This overall creates an inconsistency in the text in the app. </t>
  </si>
  <si>
    <t xml:space="preserve">Mixed formats for instructions may disrupt the flow and reduce readability for the users when going through the app. </t>
  </si>
  <si>
    <t>Use a consistent format for text across screens, either using complete sentences or bullet points. Move the time and location to different lines.</t>
  </si>
  <si>
    <t>TODO: place location and time within study sessions into seperate flexboxes</t>
  </si>
  <si>
    <t>H12: Value Alignment &amp; Inclusion</t>
  </si>
  <si>
    <t>There is no efficient way to filter out in person study sessions or select virtual options only</t>
  </si>
  <si>
    <t>Some users may only be able to participate in online study sessions and it may be difficult for those users to easily find support with virtual options, making it not inclusive for people with physical restrictions</t>
  </si>
  <si>
    <t xml:space="preserve">Add a filtering option or checkmark for those who only want to have session that are virtual and accessible </t>
  </si>
  <si>
    <t>C</t>
  </si>
  <si>
    <t>Low priority</t>
  </si>
  <si>
    <t>The label "Processing CS109-Syllabus.pdf..." is vague and does not inform users of the specific steps being performed during processing.</t>
  </si>
  <si>
    <t>Without specific status updates, users can be left wondering what "Processing" entails and whether the system is progressing through distinct steps. This lack of clarity can cause confusion about what the system is doing and what is going on.</t>
  </si>
  <si>
    <t>Include detailed, step-by-step status updates below the progress bar or replace the "Processing CS109-Syllabus.pdf..." with changing information such as "Extracting tasks from syllabus" or "Identifying key dates." This would provide more informative feedback and reassure users that the system is actively working on their upload.</t>
  </si>
  <si>
    <t>I would like to show the self-updating statuses that GPTo1-preview has, but details on how the AI is implemented are unfinalized. TODO: Change text to "extracting tasks from [filename]"</t>
  </si>
  <si>
    <t>When clicking on the trash icon in the tasks screen, there is no confirmation message, and the task is immediately deleted without warning.</t>
  </si>
  <si>
    <t>If users accidentally click on the trash icon, they may not realize that a task was deleted, leading to potential confusion and loss of important information.</t>
  </si>
  <si>
    <t>After the user clicks on the trash icon, display a pop-up asking for confirmation to proceed with the deletion. This will help prevent accidental deletions and ensure that users are aware of the action being taken.</t>
  </si>
  <si>
    <t>TODO: turn edit/delet icons into a "more" icon that opens a selector with "edit," "delete" or "cancel" as options</t>
  </si>
  <si>
    <t xml:space="preserve">Though tasks are group by both the date and the class, the events are only grouped by date. </t>
  </si>
  <si>
    <t>Users are required to remember what class the event was made for without detailed context provided by the app.</t>
  </si>
  <si>
    <t>Group the events, as well as the tasks, by both the date and the class to which they pertain.</t>
  </si>
  <si>
    <t>D</t>
  </si>
  <si>
    <t>TODO: add a class tag to events that are associated with a class</t>
  </si>
  <si>
    <t>The progress bar at the bottom shows that the document processing is at 55%, but there is no estimation of how much time remains to complete the processing.</t>
  </si>
  <si>
    <t>Violates the visibility of system status as users might be unsure about how long they need to wait, leading to uncertainty about whether the process is lengthy or close to completion.</t>
  </si>
  <si>
    <t xml:space="preserve">Add an estimated time remaining indicator next to or below the progress bar. This would provide users with a better understanding of their wait time. </t>
  </si>
  <si>
    <t>I actually don't think there is a way to get either percent progress or estimated time for a LLM to complete. In the hi-fi the response of the user will visibly be stremed and build up, which is te best visibility possible and industry standard for LLM chats.</t>
  </si>
  <si>
    <t>After editing tasks, there is no option to restore the original tasks created from the initial document upload.</t>
  </si>
  <si>
    <t>Users may not remember the original tasks after making several edits, forcing them to re-upload their syllabus to retrieve the original version. Having a stored version of the initial tasks reduces the need for users to track all their changes.</t>
  </si>
  <si>
    <t xml:space="preserve">Store the original tasks created from each document upload in a designated section. This will allow users to revert to the initial tasks without re-uploading the syllabus from the start. </t>
  </si>
  <si>
    <t>I don't understand how this scenario would occur. Could not find industry to-do apps with this feature</t>
  </si>
  <si>
    <t>H10: Help &amp; Documentation</t>
  </si>
  <si>
    <t>The "Upload" function on the Classes screen lacks any guidance or additional information on supported file types or file size limits.</t>
  </si>
  <si>
    <t>Users may not know about what files they can upload. This confusion or lack of information can cause errors if they attempt to upload unsupported files.</t>
  </si>
  <si>
    <t>Include a brief note or tooltip near the "Upload" button specifying supported file types and maximum file size.</t>
  </si>
  <si>
    <t>TODO: if a file is too big place a helpful error message about it</t>
  </si>
  <si>
    <t>H7: Flexibility &amp; Efficiency of Use</t>
  </si>
  <si>
    <t>The "Tasks" page only has the option to individually check off or delete each task one by one</t>
  </si>
  <si>
    <t>Users may want to check off a whole day's worth of tasks or delete all tasks, so they would want a more efficient way to do so</t>
  </si>
  <si>
    <t xml:space="preserve">Implement a button next to the top of each day's section to delete or check off all tasks in that day </t>
  </si>
  <si>
    <t>The values of "intuitive" and "trustworthy" are not reflected in the design.</t>
  </si>
  <si>
    <t>The navigation bar has selective and unpredictable 
functionality based on where you are in the app.
The UI is not "transparent" about the fact that
users are uplaoding their course syllabi to AI.</t>
  </si>
  <si>
    <t>Make restrictions on user control visually clear. 
Tell users how you are using their data.</t>
  </si>
  <si>
    <t xml:space="preserve">Limited navigation is a remnant of figma task flow limitations. TODO: remind users that files are procecced by a LLM in the file uploading screen. </t>
  </si>
  <si>
    <t>The term "Intractability" on this screen is unclear, and users may not understand what it describes. It’s not obvious if it refers to noise, difficulty level, or group dynamics, making it confusing for users.</t>
  </si>
  <si>
    <t>"Intractability" is ambiguous and doesn’t clearly explain what setting it controls, making it harder for users to understand and adjust their preferences intuitively/naturally.</t>
  </si>
  <si>
    <t>Replace "Intractability" with a clearer label, such as "Noise Level" or "Activity Level," to make its purpose immediately understandable. Pick a more clear spectrum like quiet to talkative?</t>
  </si>
  <si>
    <t>D, A, B, C</t>
  </si>
  <si>
    <t>Questions will be changed based on sociology interview in hi-fi</t>
  </si>
  <si>
    <t xml:space="preserve">When setting up a profile, some fields are labeled as "optional," but there is no indication of required fields. This causes inconsistencies in the app. </t>
  </si>
  <si>
    <t xml:space="preserve">The lack of clear labeling for required fields can confuse users, and can potentially lead to incomplete/invalid profiles. </t>
  </si>
  <si>
    <t>Clearly label required fields as "Required" to ensure consistency. This can guide users in completing their profiles accurately.</t>
  </si>
  <si>
    <t>A, B</t>
  </si>
  <si>
    <t xml:space="preserve">Profile setup screens use a mix of different fonts. For instance, specifically, the area where users include their interests has a totally different font than the rest of the screen.  </t>
  </si>
  <si>
    <t xml:space="preserve">Inconsistent design elements, such as varying fonts, can make the app feel incomplete and unprofessional. This can disrupt the natural flow of user navigation.
</t>
  </si>
  <si>
    <t>Ensure that all profile setup screens have a  consistent font style. This would lead to an overall more cohesive user experience.</t>
  </si>
  <si>
    <t>Survey questions will be changed in the hi-fi with insights from sociology research</t>
  </si>
  <si>
    <t xml:space="preserve">The "Back" button in the profile setup screens has inconsistent designs across different steps. In some screens, it appears as outlined text, while in others, it is filled when you are hovering over the button. </t>
  </si>
  <si>
    <t xml:space="preserve">Inconsistent button styling can disrupt the user experience and potentially make the "Back" button less easier to recognize or react to. </t>
  </si>
  <si>
    <t xml:space="preserve">Standardize the "Back" button style across all profile setup screens to ensure a uniform design. </t>
  </si>
  <si>
    <t>B, A, C</t>
  </si>
  <si>
    <t>The back button will be standardized when using expo routing in the hi-fi</t>
  </si>
  <si>
    <t xml:space="preserve">When editing a profile, users must navigate through all pages sequentially, with no option to jump directly to specific sections, such as the last field (filling out location). </t>
  </si>
  <si>
    <t>Experienced users may want to edit specific fields without going through each screen, which can be tedious. Providing navigation flexibility would make the process much more efficient.</t>
  </si>
  <si>
    <t>Allow users to jump directly to specific sections of the profile editing flow via a navigation menu or tab system.</t>
  </si>
  <si>
    <t>After being matched with people in public study sessions, the app displays users who are not available, which is redundant and clutters the screen, wasting space.</t>
  </si>
  <si>
    <t>Showing unavailable users clutters the screen, is distracting, and makes it harder to find relevant study partners.</t>
  </si>
  <si>
    <t>Display only available users in matched study sessions to simplify the interface and really just highlight potential study partners.</t>
  </si>
  <si>
    <t>It is important to distinguish between those in a users (3-4) person study group who are unavailable and who have yet to respond</t>
  </si>
  <si>
    <t>On the 4/4 page of setting up a profile, there is an option for sync contacts, but it is unclear for how contacts will be used in the app</t>
  </si>
  <si>
    <t>Users may be confused for the purpose of syncing contacts and how personal data will be used</t>
  </si>
  <si>
    <t>Implement a button that expands and details how personal information like location and contacts will be used and leveraged to help the user</t>
  </si>
  <si>
    <t>This will be removed in the hi-fi</t>
  </si>
  <si>
    <t>After creating a study profile, clicking the submit button immediately finalizes it without a confirmation check.</t>
  </si>
  <si>
    <t xml:space="preserve">If there is no additional check, the user may accidentally click on it and will have to go through the entire problem of refilling out the profile. </t>
  </si>
  <si>
    <t xml:space="preserve">After user clicks on submit button, display a pop-up asking for confirmation in order to proceed with finaliznig the profile. </t>
  </si>
  <si>
    <t>TODO: add confirmation to submitting study profile</t>
  </si>
  <si>
    <t xml:space="preserve">The pop-up notification, "New study sessions suggested: View them in the Tasks feed," includes redundant information. </t>
  </si>
  <si>
    <t>The extra text and timestamp distract users and obstructs with the content of the main screen.</t>
  </si>
  <si>
    <t xml:space="preserve">Simplify the notification by removing unnecessary elements, such as the timestamp, or use a smaller, less intrusive style to reduce cluttering on the screen. </t>
  </si>
  <si>
    <t>The timestamps on notifications are part of IOS system design and cannot be removed</t>
  </si>
  <si>
    <t>While the steps to create a study profile are clear, it would be helpful to start with an overview screen that outlines the process and what to expect.</t>
  </si>
  <si>
    <t>Including a general overview before users begin would give them a better sense of the steps involved. This can make the process overall feel more manageable and reduce potential confusion.</t>
  </si>
  <si>
    <t>Add an introductory screen (after you click on "Create Profile" blue button) that briefly explains each step in creating a study profile before users begin filling out the details.</t>
  </si>
  <si>
    <t>TODO: inform users of the categories of the survey before it begins</t>
  </si>
  <si>
    <t>H11: Accessible Design</t>
  </si>
  <si>
    <t>Lack of a speech-to-text option for filling out profile information.</t>
  </si>
  <si>
    <t>Not offering voice input limits accessibility for users who may have difficulty typing.</t>
  </si>
  <si>
    <t>Include a speech-to-text option for text fields. This will allow users to use voice input when setting up their profiles.</t>
  </si>
  <si>
    <t>We would like to add voice interface functionality given the time</t>
  </si>
  <si>
    <t xml:space="preserve">No option to increase or decrease text size across the screens. </t>
  </si>
  <si>
    <t>Without adjustable text, the app is not fully accessible to those who need larger or smaller font sizes.</t>
  </si>
  <si>
    <t>Add a setting to increase or decrease text size to improve readability</t>
  </si>
  <si>
    <t>IOS and adroid apps have the ability to change text sizes in device settings</t>
  </si>
  <si>
    <t xml:space="preserve">When first logging into the app,  the Back option is a button, but on the other screens, it has Go Back in just regular text. </t>
  </si>
  <si>
    <t>Inconsistent presentation of the "Go Back" option can confuse users, as they may not recognize the text as an interactive element.</t>
  </si>
  <si>
    <t xml:space="preserve">Make sure that all of the Go Back options are either clearly pressable text or buttons in order to prevent confusion and maintain consistency. </t>
  </si>
  <si>
    <t>A, D, C</t>
  </si>
  <si>
    <t>The app does not have any keyboard shortcuts or gestures for quick navigation, such as swiping to go back or keyboard commands to access frequently used sections.</t>
  </si>
  <si>
    <t>Frequent/experienced users may prefer shortcuts in order to navigate through the app faster. Ultimately, the absence of these options can slow down their interaction with the app.</t>
  </si>
  <si>
    <t xml:space="preserve">Implement and add keyboard shortcuts and gesture support (e.g., swipe to go back) in order to improve navigation efficiency. </t>
  </si>
  <si>
    <t>Some gestures will be supported in expo router. Keyboard shortcuts are not typical of mobile apps, as they do not have keyboards</t>
  </si>
  <si>
    <t>The app does not have an "About" page that explains its values, objectives, or mission.</t>
  </si>
  <si>
    <t xml:space="preserve">An "About" page would help users understand the app’s purpose and commitment to inclusivity. This can help build users' trust and making them feel more connected to the app’s goals. </t>
  </si>
  <si>
    <t>Add an "About" page outlining the app's mission, values, and commitment to inclusivity and support for diverse users.</t>
  </si>
  <si>
    <t>TODO: add about page</t>
  </si>
  <si>
    <t>The app currently lacks sufficient language options. This limits accessibility and inclusivity for non-English-speaking users.</t>
  </si>
  <si>
    <t>Offering a wider range of language options helps all users feel valued, acknowledged, and respected. Overall, make the app more accessible to diverse communities.</t>
  </si>
  <si>
    <t xml:space="preserve">Introduce additional language options in the app settings. </t>
  </si>
  <si>
    <t>A, C, D</t>
  </si>
  <si>
    <t>5. Extra Violations</t>
  </si>
  <si>
    <t>The margin/padding of intro and overview pages are inconsistent</t>
  </si>
  <si>
    <t xml:space="preserve">Creates formatting inconsistencies with text and images can cause slight disturbance with the aesthetic flow through the app overview process </t>
  </si>
  <si>
    <t>Ensure consistent margin/padding formatting and organization across intro/overview task</t>
  </si>
  <si>
    <t>Margins will be standardized in hi-fi</t>
  </si>
  <si>
    <t>Proceeding the login screen, there are several introductory screens explaining the app’s features. The first two screens lack images, while the following screens include images.</t>
  </si>
  <si>
    <t xml:space="preserve">Inconsistent use of images may confuse users, making them think screens with images have different or extra information. A consistent design across all screens can improve clarity as well as set clear expectations for the users. </t>
  </si>
  <si>
    <t>Add images to the first two screens to match the design of the other introductory screens, or remove images from all screens to maintain a uniform look.</t>
  </si>
  <si>
    <t>Figma glitch. Images will be shown in hi-fi</t>
  </si>
  <si>
    <t>There is no "Remember Me" option on the login screen, and this forces users to enter their information each time they open the app.</t>
  </si>
  <si>
    <t>Frequent users may find it inconvenient to log in repeatedly. A "Remember Me" feature would speed up app access for returning users.</t>
  </si>
  <si>
    <t>Implement a "Remember Me" or "Stay Logged In" option on the login screen. This allows users to bypass the login process for future sessions.</t>
  </si>
  <si>
    <t>Logins are automatically cached in apps</t>
  </si>
  <si>
    <t>Heuristic</t>
  </si>
  <si>
    <t># Viol. (sev 0)</t>
  </si>
  <si>
    <t># Viol. (sev 1)</t>
  </si>
  <si>
    <t># Viol. (sev 2)</t>
  </si>
  <si>
    <t># Viol. (sev 3)</t>
  </si>
  <si>
    <t># Viol. (sev 4)</t>
  </si>
  <si>
    <t># Viol. (total)</t>
  </si>
  <si>
    <t>H12. ​​Value Alignment &amp; Inclusion</t>
  </si>
  <si>
    <t>Total Violations</t>
  </si>
  <si>
    <t>* for this to calculate properly, delete any unused rows from your 'Group Heuristic Evaluation' chart!</t>
  </si>
  <si>
    <t>Evaluator A</t>
  </si>
  <si>
    <t>Evaluator B</t>
  </si>
  <si>
    <t>Evaluator C</t>
  </si>
  <si>
    <t>Evaluator D</t>
  </si>
  <si>
    <t>Total (sevs. 3 &amp; 4)</t>
  </si>
  <si>
    <t>Total (all sevs)</t>
  </si>
  <si>
    <r>
      <rPr>
        <rFont val="Arial"/>
        <b/>
        <color theme="1"/>
      </rPr>
      <t xml:space="preserve">Summary Recommendations </t>
    </r>
    <r>
      <rPr>
        <rFont val="Arial"/>
        <b val="0"/>
        <i/>
        <color theme="1"/>
      </rPr>
      <t>[merge the general recommendations you made here]</t>
    </r>
  </si>
  <si>
    <t>We think this is a super strong idea that could benefit from a more original branding and predictable design choices that support your values and intentions within the app. We think that the use of AI here is super effective and acheivable— great job selecting a reasonably scoped challenge and communicating your ideas in A6; however, we felt like the prototype left a lot to the user's imagination and existing technical know-how.
During our evaluation, we noticed several trends related to consistency and design. There were inconsistencies in button styles, fonts, and navigation elements that sometimes made the interface confusing. Notably, the navigation bar didn’t function properly across all screens, complicating actions like editing tasks or completing profile setup. The overall look of the app felt a bit dull and lacked vibrancy, so incorporating more color variations could enhance its appeal and make it feel more dynamic.
We recommend improving efficiency and accessibility within the app. Students manage a substantial amount of information, such as scheduled study sessions and task deadlines. Introducing organized tabs within the navigation bar could help them keep track of these important areas more easily. Additionally, adding features like adjustable text sizes and a speech-to-text option for profile input would make the app more inclusive for all users. An “About” page outlining the app’s values and mission could also help create a stronger connection with users.
While the app is generally user-friendly for those familiar with its purpose, it may confuse newcomers who downloaded it without prior knowledge. We observed inconsistencies in terminology for actions like “ignore,” “cancel,” and “delete,” which should be standardized to improve clarity. Furthermore, implementing a chat feature would allow students to communicate before matching, enhancing collaboration and coordination for study sessions.
Lastly, focusing on the app’s visuals and simplifying interactions—such as swiping to delete tasks—can significantly improve user experience. Look at REAL apps for ideas about scale and visual balance. With these adjustments, LockedIn can become a more cohesive and user-friendly platform that enhances the study experience for students and fosters meaningful connections among them.</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</si>
</sst>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scheme val="minor"/>
    </font>
    <font>
      <i/>
      <color theme="1"/>
      <name val="Arial"/>
    </font>
    <font>
      <color theme="1"/>
      <name val="Arial"/>
      <scheme val="minor"/>
    </font>
    <font>
      <i/>
      <color theme="1"/>
      <name val="Arial"/>
      <scheme val="minor"/>
    </font>
    <font>
      <i/>
      <color rgb="FF000000"/>
      <name val="Arial"/>
    </font>
    <font>
      <color rgb="FF434343"/>
      <name val="Roboto"/>
    </font>
    <font>
      <color rgb="FFB10202"/>
      <name val="Roboto"/>
    </font>
    <font>
      <color rgb="FFFFCFC9"/>
      <name val="Roboto"/>
    </font>
    <font>
      <color rgb="FF753800"/>
      <name val="Roboto"/>
    </font>
    <font>
      <color rgb="FF473821"/>
      <name val="Roboto"/>
    </font>
    <font>
      <b/>
      <sz val="9.0"/>
      <color rgb="FF000000"/>
      <name val="&quot;Source Sans Pro&quot;"/>
    </font>
    <font>
      <color theme="1"/>
      <name val="Google Sans Mono"/>
    </font>
    <font>
      <sz val="9.0"/>
      <color rgb="FF000000"/>
      <name val="Google Sans Mono"/>
    </font>
    <font>
      <sz val="9.0"/>
      <color rgb="FF000000"/>
      <name val="&quot;Google Sans Mono&quot;"/>
    </font>
    <font>
      <b/>
      <color theme="1"/>
      <name val="Arial"/>
    </font>
    <font/>
  </fonts>
  <fills count="6">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6F8F9"/>
        <bgColor rgb="FFF6F8F9"/>
      </patternFill>
    </fill>
    <fill>
      <patternFill patternType="solid">
        <fgColor rgb="FFEFEFEF"/>
        <bgColor rgb="FFEFEFEF"/>
      </patternFill>
    </fill>
  </fills>
  <borders count="21">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F6F8F9"/>
      </left>
      <right style="thin">
        <color rgb="FFF6F8F9"/>
      </right>
      <top style="thin">
        <color rgb="FFF6F8F9"/>
      </top>
      <bottom style="thin">
        <color rgb="FF442F65"/>
      </bottom>
    </border>
    <border>
      <left style="thin">
        <color rgb="FFF6F8F9"/>
      </left>
      <right style="thin">
        <color rgb="FF442F65"/>
      </right>
      <top style="thin">
        <color rgb="FFF6F8F9"/>
      </top>
      <bottom style="thin">
        <color rgb="FF442F65"/>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2" numFmtId="0" xfId="0" applyAlignment="1" applyFont="1">
      <alignment shrinkToFit="0" vertical="bottom" wrapText="1"/>
    </xf>
    <xf borderId="0" fillId="0" fontId="3" numFmtId="0" xfId="0" applyAlignment="1" applyFont="1">
      <alignment horizontal="left" readingOrder="0" shrinkToFit="0" wrapText="1"/>
    </xf>
    <xf borderId="0" fillId="0" fontId="3" numFmtId="0" xfId="0" applyAlignment="1" applyFont="1">
      <alignment shrinkToFit="0" wrapText="1"/>
    </xf>
    <xf borderId="0" fillId="0" fontId="4" numFmtId="0" xfId="0" applyAlignment="1" applyFont="1">
      <alignment horizontal="left" readingOrder="0" shrinkToFit="0" wrapText="1"/>
    </xf>
    <xf borderId="0" fillId="2" fontId="1" numFmtId="0" xfId="0" applyAlignment="1" applyFill="1" applyFont="1">
      <alignment horizontal="left" readingOrder="0" shrinkToFit="0" wrapText="1"/>
    </xf>
    <xf borderId="0" fillId="3" fontId="5" numFmtId="0" xfId="0" applyAlignment="1" applyFill="1" applyFont="1">
      <alignment horizontal="left" readingOrder="0"/>
    </xf>
    <xf borderId="0" fillId="0" fontId="3" numFmtId="0" xfId="0" applyAlignment="1" applyFont="1">
      <alignment readingOrder="0"/>
    </xf>
    <xf borderId="1" fillId="0" fontId="3"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1"/>
    </xf>
    <xf borderId="2" fillId="0" fontId="3" numFmtId="0" xfId="0" applyAlignment="1" applyBorder="1" applyFont="1">
      <alignment horizontal="left" readingOrder="0" shrinkToFit="0" vertical="center" wrapText="0"/>
    </xf>
    <xf borderId="3" fillId="0" fontId="3" numFmtId="0" xfId="0" applyAlignment="1" applyBorder="1" applyFont="1">
      <alignment horizontal="left" readingOrder="0" shrinkToFit="0" vertical="center" wrapText="1"/>
    </xf>
    <xf borderId="4" fillId="4" fontId="6" numFmtId="0" xfId="0" applyAlignment="1" applyBorder="1" applyFill="1" applyFont="1">
      <alignment readingOrder="0" shrinkToFit="0" vertical="top" wrapText="0"/>
    </xf>
    <xf borderId="5" fillId="4" fontId="6" numFmtId="0" xfId="0" applyAlignment="1" applyBorder="1" applyFont="1">
      <alignment shrinkToFit="0" vertical="top" wrapText="1"/>
    </xf>
    <xf borderId="5" fillId="4" fontId="7" numFmtId="0" xfId="0" applyAlignment="1" applyBorder="1" applyFont="1">
      <alignment horizontal="right" shrinkToFit="0" vertical="top" wrapText="1"/>
    </xf>
    <xf borderId="5" fillId="4" fontId="6" numFmtId="49" xfId="0" applyAlignment="1" applyBorder="1" applyFont="1" applyNumberFormat="1">
      <alignment shrinkToFit="0" vertical="top" wrapText="1"/>
    </xf>
    <xf borderId="6" fillId="3" fontId="6" numFmtId="0" xfId="0" applyAlignment="1" applyBorder="1" applyFont="1">
      <alignment shrinkToFit="0" vertical="top" wrapText="1"/>
    </xf>
    <xf borderId="5" fillId="0" fontId="3" numFmtId="0" xfId="0" applyAlignment="1" applyBorder="1" applyFont="1">
      <alignment readingOrder="0" shrinkToFit="0" vertical="center" wrapText="0"/>
    </xf>
    <xf borderId="5" fillId="0" fontId="3" numFmtId="0" xfId="0" applyAlignment="1" applyBorder="1" applyFont="1">
      <alignment shrinkToFit="0" vertical="center" wrapText="0"/>
    </xf>
    <xf borderId="6" fillId="0" fontId="3" numFmtId="0" xfId="0" applyAlignment="1" applyBorder="1" applyFont="1">
      <alignment readingOrder="0" shrinkToFit="0" vertical="center" wrapText="1"/>
    </xf>
    <xf borderId="5" fillId="3" fontId="6" numFmtId="0" xfId="0" applyAlignment="1" applyBorder="1" applyFont="1">
      <alignment shrinkToFit="0" vertical="top" wrapText="0"/>
    </xf>
    <xf borderId="5" fillId="3" fontId="7" numFmtId="0" xfId="0" applyAlignment="1" applyBorder="1" applyFont="1">
      <alignment horizontal="right" shrinkToFit="0" vertical="top" wrapText="0"/>
    </xf>
    <xf borderId="5" fillId="3" fontId="6" numFmtId="49" xfId="0" applyAlignment="1" applyBorder="1" applyFont="1" applyNumberFormat="1">
      <alignment shrinkToFit="0" vertical="top" wrapText="1"/>
    </xf>
    <xf borderId="5" fillId="3" fontId="6" numFmtId="0" xfId="0" applyAlignment="1" applyBorder="1" applyFont="1">
      <alignment shrinkToFit="0" vertical="top" wrapText="1"/>
    </xf>
    <xf borderId="7" fillId="0" fontId="3" numFmtId="0" xfId="0" applyAlignment="1" applyBorder="1" applyFont="1">
      <alignment readingOrder="0" shrinkToFit="0" vertical="center" wrapText="0"/>
    </xf>
    <xf borderId="7" fillId="0" fontId="3" numFmtId="0" xfId="0" applyAlignment="1" applyBorder="1" applyFont="1">
      <alignment shrinkToFit="0" vertical="center" wrapText="0"/>
    </xf>
    <xf borderId="8" fillId="0" fontId="3" numFmtId="0" xfId="0" applyAlignment="1" applyBorder="1" applyFont="1">
      <alignment readingOrder="0" shrinkToFit="0" vertical="center" wrapText="1"/>
    </xf>
    <xf borderId="7" fillId="4" fontId="6" numFmtId="0" xfId="0" applyAlignment="1" applyBorder="1" applyFont="1">
      <alignment shrinkToFit="0" vertical="top" wrapText="0"/>
    </xf>
    <xf borderId="7" fillId="4" fontId="7" numFmtId="0" xfId="0" applyAlignment="1" applyBorder="1" applyFont="1">
      <alignment horizontal="right" shrinkToFit="0" vertical="top" wrapText="0"/>
    </xf>
    <xf borderId="7" fillId="4" fontId="6" numFmtId="49" xfId="0" applyAlignment="1" applyBorder="1" applyFont="1" applyNumberFormat="1">
      <alignment readingOrder="0" shrinkToFit="0" vertical="top" wrapText="1"/>
    </xf>
    <xf borderId="7" fillId="4" fontId="6" numFmtId="49" xfId="0" applyAlignment="1" applyBorder="1" applyFont="1" applyNumberFormat="1">
      <alignment shrinkToFit="0" vertical="top" wrapText="1"/>
    </xf>
    <xf borderId="8" fillId="4" fontId="6" numFmtId="0" xfId="0" applyAlignment="1" applyBorder="1" applyFont="1">
      <alignment shrinkToFit="0" vertical="top" wrapText="1"/>
    </xf>
    <xf borderId="5" fillId="4" fontId="6" numFmtId="0" xfId="0" applyAlignment="1" applyBorder="1" applyFont="1">
      <alignment readingOrder="0" shrinkToFit="0" vertical="top" wrapText="0"/>
    </xf>
    <xf borderId="5" fillId="4" fontId="7" numFmtId="0" xfId="0" applyAlignment="1" applyBorder="1" applyFont="1">
      <alignment horizontal="right" readingOrder="0" shrinkToFit="0" vertical="top" wrapText="0"/>
    </xf>
    <xf borderId="5" fillId="4" fontId="6" numFmtId="49" xfId="0" applyAlignment="1" applyBorder="1" applyFont="1" applyNumberFormat="1">
      <alignment readingOrder="0" shrinkToFit="0" vertical="top" wrapText="1"/>
    </xf>
    <xf borderId="6" fillId="4" fontId="6" numFmtId="0" xfId="0" applyAlignment="1" applyBorder="1" applyFont="1">
      <alignment readingOrder="0" shrinkToFit="0" vertical="top" wrapText="1"/>
    </xf>
    <xf borderId="7" fillId="4" fontId="6" numFmtId="0" xfId="0" applyAlignment="1" applyBorder="1" applyFont="1">
      <alignment shrinkToFit="0" vertical="center" wrapText="0"/>
    </xf>
    <xf borderId="7" fillId="4" fontId="7" numFmtId="0" xfId="0" applyAlignment="1" applyBorder="1" applyFont="1">
      <alignment horizontal="right" shrinkToFit="0" vertical="center" wrapText="0"/>
    </xf>
    <xf borderId="7" fillId="4" fontId="6" numFmtId="49" xfId="0" applyAlignment="1" applyBorder="1" applyFont="1" applyNumberFormat="1">
      <alignment shrinkToFit="0" vertical="center" wrapText="1"/>
    </xf>
    <xf borderId="8" fillId="4" fontId="6" numFmtId="0" xfId="0" applyAlignment="1" applyBorder="1" applyFont="1">
      <alignment shrinkToFit="0" vertical="center" wrapText="1"/>
    </xf>
    <xf borderId="5" fillId="0" fontId="3" numFmtId="0" xfId="0" applyAlignment="1" applyBorder="1" applyFont="1">
      <alignment readingOrder="0" shrinkToFit="0" vertical="center" wrapText="1"/>
    </xf>
    <xf borderId="5" fillId="4" fontId="6" numFmtId="0" xfId="0" applyAlignment="1" applyBorder="1" applyFont="1">
      <alignment shrinkToFit="0" vertical="top" wrapText="0"/>
    </xf>
    <xf borderId="5" fillId="4" fontId="6" numFmtId="0" xfId="0" applyAlignment="1" applyBorder="1" applyFont="1">
      <alignment readingOrder="0" shrinkToFit="0" vertical="top" wrapText="1"/>
    </xf>
    <xf borderId="5" fillId="4" fontId="7" numFmtId="0" xfId="0" applyAlignment="1" applyBorder="1" applyFont="1">
      <alignment horizontal="right" shrinkToFit="0" vertical="top" wrapText="0"/>
    </xf>
    <xf borderId="5" fillId="4" fontId="6" numFmtId="0" xfId="0" applyAlignment="1" applyBorder="1" applyFont="1">
      <alignment shrinkToFit="0" vertical="top" wrapText="1"/>
    </xf>
    <xf borderId="6" fillId="4" fontId="6" numFmtId="0" xfId="0" applyAlignment="1" applyBorder="1" applyFont="1">
      <alignment shrinkToFit="0" vertical="top" wrapText="1"/>
    </xf>
    <xf borderId="7" fillId="4" fontId="7" numFmtId="0" xfId="0" applyAlignment="1" applyBorder="1" applyFont="1">
      <alignment horizontal="right" readingOrder="0" shrinkToFit="0" vertical="top" wrapText="0"/>
    </xf>
    <xf borderId="7" fillId="4" fontId="6" numFmtId="0" xfId="0" applyAlignment="1" applyBorder="1" applyFont="1">
      <alignment shrinkToFit="0" vertical="top" wrapText="1"/>
    </xf>
    <xf borderId="7" fillId="0" fontId="3" numFmtId="0" xfId="0" applyAlignment="1" applyBorder="1" applyFont="1">
      <alignment readingOrder="0" shrinkToFit="0" vertical="center" wrapText="0"/>
    </xf>
    <xf borderId="7" fillId="3" fontId="6" numFmtId="0" xfId="0" applyAlignment="1" applyBorder="1" applyFont="1">
      <alignment shrinkToFit="0" vertical="top" wrapText="0"/>
    </xf>
    <xf borderId="7" fillId="3" fontId="8" numFmtId="0" xfId="0" applyAlignment="1" applyBorder="1" applyFont="1">
      <alignment horizontal="right" shrinkToFit="0" vertical="top" wrapText="0"/>
    </xf>
    <xf borderId="7" fillId="3" fontId="6" numFmtId="49" xfId="0" applyAlignment="1" applyBorder="1" applyFont="1" applyNumberFormat="1">
      <alignment shrinkToFit="0" vertical="top" wrapText="1"/>
    </xf>
    <xf borderId="7" fillId="3" fontId="6" numFmtId="0" xfId="0" applyAlignment="1" applyBorder="1" applyFont="1">
      <alignment shrinkToFit="0" vertical="top" wrapText="1"/>
    </xf>
    <xf borderId="8" fillId="3" fontId="6" numFmtId="0" xfId="0" applyAlignment="1" applyBorder="1" applyFont="1">
      <alignment shrinkToFit="0" vertical="top" wrapText="1"/>
    </xf>
    <xf borderId="7" fillId="3" fontId="6" numFmtId="0" xfId="0" applyAlignment="1" applyBorder="1" applyFont="1">
      <alignment readingOrder="0" shrinkToFit="0" vertical="top" wrapText="0"/>
    </xf>
    <xf borderId="7" fillId="3" fontId="9" numFmtId="0" xfId="0" applyAlignment="1" applyBorder="1" applyFont="1">
      <alignment horizontal="right" readingOrder="0" shrinkToFit="0" vertical="top" wrapText="0"/>
    </xf>
    <xf borderId="5" fillId="3" fontId="6" numFmtId="49" xfId="0" applyAlignment="1" applyBorder="1" applyFont="1" applyNumberFormat="1">
      <alignment readingOrder="0" shrinkToFit="0" vertical="top" wrapText="1"/>
    </xf>
    <xf borderId="5" fillId="3" fontId="6" numFmtId="0" xfId="0" applyAlignment="1" applyBorder="1" applyFont="1">
      <alignment readingOrder="0" shrinkToFit="0" vertical="top" wrapText="1"/>
    </xf>
    <xf borderId="6" fillId="3" fontId="6" numFmtId="0" xfId="0" applyAlignment="1" applyBorder="1" applyFont="1">
      <alignment readingOrder="0" shrinkToFit="0" vertical="top" wrapText="1"/>
    </xf>
    <xf borderId="5" fillId="4" fontId="9" numFmtId="0" xfId="0" applyAlignment="1" applyBorder="1" applyFont="1">
      <alignment horizontal="right" readingOrder="0" shrinkToFit="0" vertical="top" wrapText="0"/>
    </xf>
    <xf borderId="5" fillId="0" fontId="3" numFmtId="0" xfId="0" applyAlignment="1" applyBorder="1" applyFont="1">
      <alignment readingOrder="0" shrinkToFit="0" vertical="center" wrapText="0"/>
    </xf>
    <xf borderId="5" fillId="3" fontId="9" numFmtId="0" xfId="0" applyAlignment="1" applyBorder="1" applyFont="1">
      <alignment horizontal="right" readingOrder="0" shrinkToFit="0" vertical="top" wrapText="0"/>
    </xf>
    <xf borderId="7" fillId="3" fontId="6" numFmtId="49" xfId="0" applyAlignment="1" applyBorder="1" applyFont="1" applyNumberFormat="1">
      <alignment readingOrder="0" shrinkToFit="0" vertical="top" wrapText="1"/>
    </xf>
    <xf borderId="7" fillId="3" fontId="6" numFmtId="0" xfId="0" applyAlignment="1" applyBorder="1" applyFont="1">
      <alignment readingOrder="0" shrinkToFit="0" vertical="top" wrapText="1"/>
    </xf>
    <xf borderId="8" fillId="3" fontId="6" numFmtId="0" xfId="0" applyAlignment="1" applyBorder="1" applyFont="1">
      <alignment readingOrder="0" shrinkToFit="0" vertical="top" wrapText="1"/>
    </xf>
    <xf borderId="5" fillId="3" fontId="6" numFmtId="0" xfId="0" applyAlignment="1" applyBorder="1" applyFont="1">
      <alignment shrinkToFit="0" vertical="top" wrapText="1"/>
    </xf>
    <xf borderId="5" fillId="3" fontId="9" numFmtId="0" xfId="0" applyAlignment="1" applyBorder="1" applyFont="1">
      <alignment horizontal="right" shrinkToFit="0" vertical="top" wrapText="1"/>
    </xf>
    <xf borderId="6" fillId="3" fontId="6" numFmtId="0" xfId="0" applyAlignment="1" applyBorder="1" applyFont="1">
      <alignment shrinkToFit="0" vertical="top" wrapText="1"/>
    </xf>
    <xf borderId="7" fillId="3" fontId="10" numFmtId="0" xfId="0" applyAlignment="1" applyBorder="1" applyFont="1">
      <alignment horizontal="right" readingOrder="0" shrinkToFit="0" vertical="top" wrapText="0"/>
    </xf>
    <xf borderId="5" fillId="3" fontId="10" numFmtId="0" xfId="0" applyAlignment="1" applyBorder="1" applyFont="1">
      <alignment horizontal="right" readingOrder="0" shrinkToFit="0" vertical="top" wrapText="0"/>
    </xf>
    <xf borderId="5" fillId="3" fontId="6" numFmtId="49" xfId="0" applyAlignment="1" applyBorder="1" applyFont="1" applyNumberFormat="1">
      <alignment readingOrder="0" shrinkToFit="0" vertical="center" wrapText="1"/>
    </xf>
    <xf borderId="5" fillId="0" fontId="3" numFmtId="0" xfId="0" applyAlignment="1" applyBorder="1" applyFont="1">
      <alignment readingOrder="0" shrinkToFit="0" vertical="center" wrapText="0"/>
    </xf>
    <xf borderId="5" fillId="3" fontId="6" numFmtId="49" xfId="0" applyAlignment="1" applyBorder="1" applyFont="1" applyNumberFormat="1">
      <alignment shrinkToFit="0" vertical="center" wrapText="1"/>
    </xf>
    <xf borderId="5" fillId="3" fontId="6" numFmtId="0" xfId="0" applyAlignment="1" applyBorder="1" applyFont="1">
      <alignment shrinkToFit="0" vertical="center" wrapText="1"/>
    </xf>
    <xf borderId="6" fillId="3" fontId="6" numFmtId="0" xfId="0" applyAlignment="1" applyBorder="1" applyFont="1">
      <alignment shrinkToFit="0" vertical="center" wrapText="1"/>
    </xf>
    <xf borderId="7" fillId="4" fontId="10" numFmtId="0" xfId="0" applyAlignment="1" applyBorder="1" applyFont="1">
      <alignment horizontal="right" readingOrder="0" shrinkToFit="0" vertical="top" wrapText="0"/>
    </xf>
    <xf borderId="5" fillId="3" fontId="6" numFmtId="0" xfId="0" applyAlignment="1" applyBorder="1" applyFont="1">
      <alignment shrinkToFit="0" vertical="top" wrapText="0"/>
    </xf>
    <xf borderId="5" fillId="3" fontId="9" numFmtId="0" xfId="0" applyAlignment="1" applyBorder="1" applyFont="1">
      <alignment horizontal="right" shrinkToFit="0" vertical="top" wrapText="0"/>
    </xf>
    <xf borderId="5" fillId="3" fontId="6" numFmtId="0" xfId="0" applyAlignment="1" applyBorder="1" applyFont="1">
      <alignment readingOrder="0" shrinkToFit="0" vertical="top" wrapText="0"/>
    </xf>
    <xf borderId="5" fillId="3" fontId="9" numFmtId="0" xfId="0" applyAlignment="1" applyBorder="1" applyFont="1">
      <alignment horizontal="right" shrinkToFit="0" vertical="top" wrapText="0"/>
    </xf>
    <xf borderId="7" fillId="3" fontId="6" numFmtId="0" xfId="0" applyAlignment="1" applyBorder="1" applyFont="1">
      <alignment shrinkToFit="0" vertical="center" wrapText="0"/>
    </xf>
    <xf borderId="7" fillId="3" fontId="9" numFmtId="0" xfId="0" applyAlignment="1" applyBorder="1" applyFont="1">
      <alignment horizontal="right" shrinkToFit="0" vertical="center" wrapText="0"/>
    </xf>
    <xf borderId="7" fillId="3" fontId="6" numFmtId="49" xfId="0" applyAlignment="1" applyBorder="1" applyFont="1" applyNumberFormat="1">
      <alignment shrinkToFit="0" vertical="center" wrapText="1"/>
    </xf>
    <xf borderId="7" fillId="3" fontId="6" numFmtId="0" xfId="0" applyAlignment="1" applyBorder="1" applyFont="1">
      <alignment shrinkToFit="0" vertical="center" wrapText="1"/>
    </xf>
    <xf borderId="8" fillId="3" fontId="6" numFmtId="0" xfId="0" applyAlignment="1" applyBorder="1" applyFont="1">
      <alignment shrinkToFit="0" vertical="center" wrapText="1"/>
    </xf>
    <xf borderId="7" fillId="3" fontId="6" numFmtId="0" xfId="0" applyAlignment="1" applyBorder="1" applyFont="1">
      <alignment shrinkToFit="0" vertical="center" wrapText="0"/>
    </xf>
    <xf borderId="5" fillId="3" fontId="10" numFmtId="0" xfId="0" applyAlignment="1" applyBorder="1" applyFont="1">
      <alignment horizontal="right" shrinkToFit="0" vertical="top" wrapText="1"/>
    </xf>
    <xf borderId="7" fillId="4" fontId="9" numFmtId="0" xfId="0" applyAlignment="1" applyBorder="1" applyFont="1">
      <alignment horizontal="right" shrinkToFit="0" vertical="top" wrapText="0"/>
    </xf>
    <xf borderId="7" fillId="4" fontId="9" numFmtId="0" xfId="0" applyAlignment="1" applyBorder="1" applyFont="1">
      <alignment horizontal="right" shrinkToFit="0" vertical="center" wrapText="0"/>
    </xf>
    <xf borderId="5" fillId="4" fontId="6" numFmtId="49" xfId="0" applyAlignment="1" applyBorder="1" applyFont="1" applyNumberFormat="1">
      <alignment shrinkToFit="0" vertical="center" wrapText="1"/>
    </xf>
    <xf borderId="5" fillId="4" fontId="6" numFmtId="0" xfId="0" applyAlignment="1" applyBorder="1" applyFont="1">
      <alignment shrinkToFit="0" vertical="center" wrapText="1"/>
    </xf>
    <xf borderId="6" fillId="4" fontId="6" numFmtId="0" xfId="0" applyAlignment="1" applyBorder="1" applyFont="1">
      <alignment shrinkToFit="0" vertical="center" wrapText="1"/>
    </xf>
    <xf borderId="8" fillId="4" fontId="6" numFmtId="0" xfId="0" applyAlignment="1" applyBorder="1" applyFont="1">
      <alignment shrinkToFit="0" vertical="center" wrapText="0"/>
    </xf>
    <xf borderId="9" fillId="4" fontId="6" numFmtId="0" xfId="0" applyAlignment="1" applyBorder="1" applyFont="1">
      <alignment shrinkToFit="0" vertical="top" wrapText="0"/>
    </xf>
    <xf borderId="9" fillId="4" fontId="10" numFmtId="0" xfId="0" applyAlignment="1" applyBorder="1" applyFont="1">
      <alignment horizontal="right" readingOrder="0" shrinkToFit="0" vertical="top" wrapText="0"/>
    </xf>
    <xf borderId="10" fillId="0" fontId="3" numFmtId="0" xfId="0" applyAlignment="1" applyBorder="1" applyFont="1">
      <alignment readingOrder="0" shrinkToFit="0" vertical="center" wrapText="0"/>
    </xf>
    <xf borderId="7" fillId="4" fontId="9" numFmtId="0" xfId="0" applyAlignment="1" applyBorder="1" applyFont="1">
      <alignment horizontal="right" readingOrder="0" shrinkToFit="0" vertical="top" wrapText="0"/>
    </xf>
    <xf borderId="5" fillId="4" fontId="10" numFmtId="0" xfId="0" applyAlignment="1" applyBorder="1" applyFont="1">
      <alignment horizontal="right" shrinkToFit="0" vertical="top" wrapText="0"/>
    </xf>
    <xf borderId="7" fillId="3" fontId="10" numFmtId="0" xfId="0" applyAlignment="1" applyBorder="1" applyFont="1">
      <alignment horizontal="right" shrinkToFit="0" vertical="top" wrapText="0"/>
    </xf>
    <xf borderId="5" fillId="4" fontId="9" numFmtId="0" xfId="0" applyAlignment="1" applyBorder="1" applyFont="1">
      <alignment horizontal="right" shrinkToFit="0" vertical="top" wrapText="0"/>
    </xf>
    <xf borderId="5" fillId="3" fontId="10" numFmtId="0" xfId="0" applyAlignment="1" applyBorder="1" applyFont="1">
      <alignment horizontal="right" shrinkToFit="0" vertical="top" wrapText="0"/>
    </xf>
    <xf borderId="8" fillId="3" fontId="6" numFmtId="0" xfId="0" applyAlignment="1" applyBorder="1" applyFont="1">
      <alignment shrinkToFit="0" vertical="center" wrapText="1"/>
    </xf>
    <xf borderId="11" fillId="3" fontId="6" numFmtId="0" xfId="0" applyAlignment="1" applyBorder="1" applyFont="1">
      <alignment shrinkToFit="0" vertical="top" wrapText="0"/>
    </xf>
    <xf borderId="11" fillId="3" fontId="9" numFmtId="0" xfId="0" applyAlignment="1" applyBorder="1" applyFont="1">
      <alignment horizontal="right" readingOrder="0" shrinkToFit="0" vertical="top" wrapText="0"/>
    </xf>
    <xf borderId="11"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0"/>
    </xf>
    <xf borderId="12" fillId="0" fontId="3" numFmtId="0" xfId="0" applyAlignment="1" applyBorder="1" applyFont="1">
      <alignment readingOrder="0" shrinkToFit="0" vertical="center" wrapText="1"/>
    </xf>
    <xf borderId="13" fillId="2" fontId="1" numFmtId="0" xfId="0" applyAlignment="1" applyBorder="1" applyFont="1">
      <alignment readingOrder="0"/>
    </xf>
    <xf borderId="14" fillId="2" fontId="11" numFmtId="0" xfId="0" applyAlignment="1" applyBorder="1" applyFont="1">
      <alignment horizontal="left" readingOrder="0" shrinkToFit="0" wrapText="1"/>
    </xf>
    <xf borderId="15" fillId="2" fontId="11" numFmtId="0" xfId="0" applyAlignment="1" applyBorder="1" applyFont="1">
      <alignment horizontal="left" readingOrder="0" shrinkToFit="0" wrapText="1"/>
    </xf>
    <xf borderId="0" fillId="0" fontId="1" numFmtId="0" xfId="0" applyAlignment="1" applyFont="1">
      <alignment readingOrder="0"/>
    </xf>
    <xf borderId="16" fillId="0" fontId="0" numFmtId="0" xfId="0" applyAlignment="1" applyBorder="1" applyFont="1">
      <alignment readingOrder="0"/>
    </xf>
    <xf borderId="0" fillId="0" fontId="12" numFmtId="0" xfId="0" applyFont="1"/>
    <xf borderId="0" fillId="3" fontId="13" numFmtId="0" xfId="0" applyFont="1"/>
    <xf borderId="17" fillId="0" fontId="12" numFmtId="0" xfId="0" applyBorder="1" applyFont="1"/>
    <xf borderId="16" fillId="0" fontId="0" numFmtId="0" xfId="0" applyAlignment="1" applyBorder="1" applyFont="1">
      <alignment horizontal="left" readingOrder="0" shrinkToFit="0" wrapText="1"/>
    </xf>
    <xf borderId="17" fillId="3" fontId="13" numFmtId="0" xfId="0" applyBorder="1" applyFont="1"/>
    <xf borderId="0" fillId="3" fontId="14" numFmtId="0" xfId="0" applyFont="1"/>
    <xf borderId="18" fillId="0" fontId="1" numFmtId="0" xfId="0" applyAlignment="1" applyBorder="1" applyFont="1">
      <alignment readingOrder="0"/>
    </xf>
    <xf borderId="19" fillId="0" fontId="12" numFmtId="0" xfId="0" applyBorder="1" applyFont="1"/>
    <xf borderId="20" fillId="0" fontId="12" numFmtId="0" xfId="0" applyBorder="1" applyFont="1"/>
    <xf borderId="0" fillId="0" fontId="15" numFmtId="0" xfId="0" applyAlignment="1" applyFont="1">
      <alignment vertical="bottom"/>
    </xf>
    <xf borderId="0" fillId="0" fontId="15" numFmtId="0" xfId="0" applyAlignment="1" applyFont="1">
      <alignment readingOrder="0" vertical="bottom"/>
    </xf>
    <xf borderId="0" fillId="0" fontId="4" numFmtId="0" xfId="0" applyAlignment="1" applyFont="1">
      <alignment horizontal="center" readingOrder="0"/>
    </xf>
    <xf borderId="0" fillId="2" fontId="1" numFmtId="0" xfId="0" applyAlignment="1" applyFont="1">
      <alignment horizontal="center" readingOrder="0"/>
    </xf>
    <xf borderId="0" fillId="3" fontId="14" numFmtId="10" xfId="0" applyAlignment="1" applyFont="1" applyNumberFormat="1">
      <alignment horizontal="right"/>
    </xf>
    <xf borderId="0" fillId="0" fontId="3" numFmtId="10" xfId="0" applyAlignment="1" applyFont="1" applyNumberFormat="1">
      <alignment horizontal="right"/>
    </xf>
    <xf borderId="0" fillId="0" fontId="3" numFmtId="0" xfId="0" applyFont="1"/>
    <xf borderId="13" fillId="5" fontId="15" numFmtId="0" xfId="0" applyAlignment="1" applyBorder="1" applyFill="1" applyFont="1">
      <alignment readingOrder="0" vertical="bottom"/>
    </xf>
    <xf borderId="14" fillId="0" fontId="16" numFmtId="0" xfId="0" applyBorder="1" applyFont="1"/>
    <xf borderId="15" fillId="0" fontId="16" numFmtId="0" xfId="0" applyBorder="1" applyFont="1"/>
    <xf borderId="16" fillId="0" fontId="2" numFmtId="0" xfId="0" applyAlignment="1" applyBorder="1" applyFont="1">
      <alignment readingOrder="0" shrinkToFit="0" vertical="top" wrapText="1"/>
    </xf>
    <xf borderId="17" fillId="0" fontId="16" numFmtId="0" xfId="0" applyBorder="1" applyFont="1"/>
    <xf borderId="0" fillId="0" fontId="2" numFmtId="0" xfId="0" applyAlignment="1" applyFont="1">
      <alignment vertical="bottom"/>
    </xf>
    <xf borderId="16" fillId="0" fontId="16" numFmtId="0" xfId="0" applyBorder="1" applyFont="1"/>
    <xf borderId="18" fillId="0" fontId="16" numFmtId="0" xfId="0" applyBorder="1" applyFont="1"/>
    <xf borderId="19" fillId="0" fontId="16" numFmtId="0" xfId="0" applyBorder="1" applyFont="1"/>
    <xf borderId="20" fillId="0" fontId="16" numFmtId="0" xfId="0" applyBorder="1" applyFont="1"/>
    <xf borderId="0" fillId="2" fontId="2" numFmtId="0" xfId="0" applyAlignment="1" applyFont="1">
      <alignment readingOrder="0" vertical="bottom"/>
    </xf>
    <xf borderId="0" fillId="0" fontId="2" numFmtId="0" xfId="0" applyAlignment="1" applyFont="1">
      <alignment readingOrder="0" shrinkToFit="0" vertical="bottom" wrapText="1"/>
    </xf>
  </cellXfs>
  <cellStyles count="1">
    <cellStyle xfId="0" name="Normal" builtinId="0"/>
  </cellStyles>
  <dxfs count="4">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Group Heuristic Evaluation-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85725</xdr:colOff>
      <xdr:row>15</xdr:row>
      <xdr:rowOff>571500</xdr:rowOff>
    </xdr:from>
    <xdr:ext cx="1981200" cy="1076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0:J56" displayName="Group_Heuristic_Evaluations" name="Group_Heuristic_Evaluations" id="1">
  <autoFilter ref="$A$10:$J$56"/>
  <tableColumns count="10">
    <tableColumn name="Problem #" id="1"/>
    <tableColumn name="Heuristic " id="2"/>
    <tableColumn name="Task" id="3"/>
    <tableColumn name="Severity" id="4"/>
    <tableColumn name="Description" id="5"/>
    <tableColumn name="Rationale" id="6"/>
    <tableColumn name="Fix" id="7"/>
    <tableColumn name="Found by" id="8"/>
    <tableColumn name="CA Comments" id="9"/>
    <tableColumn name="Alex's notes" id="10"/>
  </tableColumns>
  <tableStyleInfo name="Group Heuristic Evalu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3.25"/>
    <col customWidth="1" min="2" max="2" width="29.38"/>
    <col customWidth="1" min="3" max="3" width="22.13"/>
    <col customWidth="1" min="4" max="4" width="22.63"/>
    <col customWidth="1" min="5" max="5" width="38.13"/>
    <col customWidth="1" min="6" max="9" width="22.63"/>
    <col customWidth="1" min="10" max="10" width="25.13"/>
    <col customWidth="1" min="11" max="11" width="15.13"/>
  </cols>
  <sheetData>
    <row r="1" ht="36.0" customHeight="1">
      <c r="A1" s="1" t="s">
        <v>0</v>
      </c>
      <c r="B1" s="2" t="s">
        <v>1</v>
      </c>
      <c r="F1" s="3"/>
      <c r="G1" s="3"/>
      <c r="J1" s="4"/>
    </row>
    <row r="2">
      <c r="A2" s="3"/>
      <c r="B2" s="3"/>
      <c r="C2" s="3"/>
      <c r="D2" s="3"/>
      <c r="E2" s="3"/>
      <c r="F2" s="3"/>
      <c r="G2" s="3"/>
      <c r="J2" s="4"/>
    </row>
    <row r="3">
      <c r="A3" s="3"/>
      <c r="B3" s="3"/>
      <c r="C3" s="3"/>
      <c r="D3" s="5"/>
      <c r="F3" s="3"/>
      <c r="G3" s="3"/>
      <c r="J3" s="4"/>
    </row>
    <row r="4">
      <c r="A4" s="6" t="s">
        <v>2</v>
      </c>
      <c r="B4" s="7" t="s">
        <v>3</v>
      </c>
      <c r="C4" s="5"/>
      <c r="D4" s="6"/>
      <c r="E4" s="5"/>
      <c r="F4" s="3"/>
      <c r="G4" s="3"/>
      <c r="J4" s="4"/>
    </row>
    <row r="5">
      <c r="A5" s="6" t="s">
        <v>4</v>
      </c>
      <c r="B5" s="5" t="s">
        <v>5</v>
      </c>
      <c r="C5" s="5"/>
      <c r="D5" s="6"/>
      <c r="E5" s="5"/>
      <c r="F5" s="3"/>
      <c r="G5" s="3"/>
      <c r="J5" s="4"/>
    </row>
    <row r="6">
      <c r="A6" s="6" t="s">
        <v>6</v>
      </c>
      <c r="B6" s="5" t="s">
        <v>7</v>
      </c>
      <c r="C6" s="5"/>
      <c r="D6" s="6"/>
      <c r="E6" s="5"/>
      <c r="F6" s="3"/>
      <c r="G6" s="3"/>
      <c r="J6" s="4"/>
    </row>
    <row r="7">
      <c r="A7" s="3"/>
      <c r="B7" s="3"/>
      <c r="C7" s="3"/>
      <c r="D7" s="6"/>
      <c r="E7" s="3"/>
      <c r="F7" s="3"/>
      <c r="G7" s="3"/>
      <c r="J7" s="4"/>
    </row>
    <row r="8">
      <c r="A8" s="3"/>
      <c r="B8" s="3"/>
      <c r="C8" s="3"/>
      <c r="D8" s="3"/>
      <c r="E8" s="3"/>
      <c r="F8" s="3"/>
      <c r="G8" s="3"/>
      <c r="J8" s="4"/>
    </row>
    <row r="9">
      <c r="A9" s="3"/>
      <c r="B9" s="3"/>
      <c r="C9" s="3"/>
      <c r="D9" s="3"/>
      <c r="E9" s="5" t="s">
        <v>8</v>
      </c>
      <c r="F9" s="3"/>
      <c r="G9" s="3"/>
      <c r="I9" s="8" t="s">
        <v>9</v>
      </c>
      <c r="J9" s="4"/>
    </row>
    <row r="10">
      <c r="A10" s="9" t="s">
        <v>10</v>
      </c>
      <c r="B10" s="10" t="s">
        <v>11</v>
      </c>
      <c r="C10" s="10" t="s">
        <v>12</v>
      </c>
      <c r="D10" s="10" t="s">
        <v>13</v>
      </c>
      <c r="E10" s="10" t="s">
        <v>14</v>
      </c>
      <c r="F10" s="10" t="s">
        <v>15</v>
      </c>
      <c r="G10" s="10" t="s">
        <v>16</v>
      </c>
      <c r="H10" s="10" t="s">
        <v>17</v>
      </c>
      <c r="I10" s="11" t="s">
        <v>18</v>
      </c>
      <c r="J10" s="12" t="s">
        <v>19</v>
      </c>
      <c r="L10" s="8"/>
    </row>
    <row r="11">
      <c r="A11" s="13">
        <v>15.0</v>
      </c>
      <c r="B11" s="14" t="s">
        <v>20</v>
      </c>
      <c r="C11" s="14" t="s">
        <v>21</v>
      </c>
      <c r="D11" s="15">
        <v>3.0</v>
      </c>
      <c r="E11" s="16" t="s">
        <v>22</v>
      </c>
      <c r="F11" s="16" t="s">
        <v>23</v>
      </c>
      <c r="G11" s="17" t="s">
        <v>24</v>
      </c>
      <c r="H11" s="18" t="s">
        <v>25</v>
      </c>
      <c r="I11" s="19"/>
      <c r="J11" s="20" t="s">
        <v>26</v>
      </c>
    </row>
    <row r="12">
      <c r="A12" s="13">
        <v>16.0</v>
      </c>
      <c r="B12" s="21" t="s">
        <v>20</v>
      </c>
      <c r="C12" s="21" t="s">
        <v>21</v>
      </c>
      <c r="D12" s="22">
        <v>3.0</v>
      </c>
      <c r="E12" s="23" t="s">
        <v>27</v>
      </c>
      <c r="F12" s="24" t="s">
        <v>28</v>
      </c>
      <c r="G12" s="17" t="s">
        <v>29</v>
      </c>
      <c r="H12" s="25" t="s">
        <v>30</v>
      </c>
      <c r="I12" s="26"/>
      <c r="J12" s="27" t="s">
        <v>31</v>
      </c>
    </row>
    <row r="13">
      <c r="A13" s="13">
        <v>20.0</v>
      </c>
      <c r="B13" s="28" t="s">
        <v>32</v>
      </c>
      <c r="C13" s="28" t="s">
        <v>21</v>
      </c>
      <c r="D13" s="29">
        <v>3.0</v>
      </c>
      <c r="E13" s="30" t="s">
        <v>33</v>
      </c>
      <c r="F13" s="31" t="s">
        <v>34</v>
      </c>
      <c r="G13" s="32" t="s">
        <v>35</v>
      </c>
      <c r="H13" s="18" t="s">
        <v>36</v>
      </c>
      <c r="I13" s="19"/>
      <c r="J13" s="20" t="s">
        <v>37</v>
      </c>
    </row>
    <row r="14">
      <c r="A14" s="13">
        <v>19.0</v>
      </c>
      <c r="B14" s="33" t="s">
        <v>32</v>
      </c>
      <c r="C14" s="33" t="s">
        <v>21</v>
      </c>
      <c r="D14" s="34">
        <v>2.0</v>
      </c>
      <c r="E14" s="35" t="s">
        <v>38</v>
      </c>
      <c r="F14" s="35" t="s">
        <v>39</v>
      </c>
      <c r="G14" s="36" t="s">
        <v>40</v>
      </c>
      <c r="H14" s="25" t="s">
        <v>30</v>
      </c>
      <c r="I14" s="26"/>
      <c r="J14" s="27" t="s">
        <v>41</v>
      </c>
    </row>
    <row r="15">
      <c r="A15" s="13">
        <v>36.0</v>
      </c>
      <c r="B15" s="37" t="s">
        <v>42</v>
      </c>
      <c r="C15" s="37" t="s">
        <v>43</v>
      </c>
      <c r="D15" s="38">
        <v>3.0</v>
      </c>
      <c r="E15" s="39" t="s">
        <v>44</v>
      </c>
      <c r="F15" s="39" t="s">
        <v>45</v>
      </c>
      <c r="G15" s="40" t="s">
        <v>46</v>
      </c>
      <c r="H15" s="18" t="s">
        <v>47</v>
      </c>
      <c r="I15" s="41" t="s">
        <v>48</v>
      </c>
      <c r="J15" s="20" t="s">
        <v>49</v>
      </c>
    </row>
    <row r="16" ht="142.5" customHeight="1">
      <c r="A16" s="13">
        <v>23.0</v>
      </c>
      <c r="B16" s="42" t="s">
        <v>20</v>
      </c>
      <c r="C16" s="33" t="s">
        <v>50</v>
      </c>
      <c r="D16" s="34">
        <v>4.0</v>
      </c>
      <c r="E16" s="35" t="s">
        <v>51</v>
      </c>
      <c r="F16" s="43" t="s">
        <v>52</v>
      </c>
      <c r="G16" s="36" t="s">
        <v>53</v>
      </c>
      <c r="H16" s="25" t="s">
        <v>54</v>
      </c>
      <c r="I16" s="26"/>
      <c r="J16" s="27" t="s">
        <v>55</v>
      </c>
    </row>
    <row r="17">
      <c r="A17" s="13">
        <v>40.0</v>
      </c>
      <c r="B17" s="42" t="s">
        <v>56</v>
      </c>
      <c r="C17" s="42" t="s">
        <v>50</v>
      </c>
      <c r="D17" s="44">
        <v>3.0</v>
      </c>
      <c r="E17" s="16" t="s">
        <v>57</v>
      </c>
      <c r="F17" s="45" t="s">
        <v>58</v>
      </c>
      <c r="G17" s="46" t="s">
        <v>59</v>
      </c>
      <c r="H17" s="18" t="s">
        <v>60</v>
      </c>
      <c r="I17" s="19"/>
      <c r="J17" s="20" t="s">
        <v>61</v>
      </c>
    </row>
    <row r="18">
      <c r="A18" s="13">
        <v>39.0</v>
      </c>
      <c r="B18" s="28" t="s">
        <v>56</v>
      </c>
      <c r="C18" s="28" t="s">
        <v>50</v>
      </c>
      <c r="D18" s="47">
        <v>2.0</v>
      </c>
      <c r="E18" s="31" t="s">
        <v>62</v>
      </c>
      <c r="F18" s="48" t="s">
        <v>63</v>
      </c>
      <c r="G18" s="32" t="s">
        <v>64</v>
      </c>
      <c r="H18" s="25" t="s">
        <v>65</v>
      </c>
      <c r="I18" s="49" t="s">
        <v>66</v>
      </c>
      <c r="J18" s="27" t="s">
        <v>67</v>
      </c>
    </row>
    <row r="19">
      <c r="A19" s="13">
        <v>6.0</v>
      </c>
      <c r="B19" s="50" t="s">
        <v>56</v>
      </c>
      <c r="C19" s="50" t="s">
        <v>68</v>
      </c>
      <c r="D19" s="51">
        <v>4.0</v>
      </c>
      <c r="E19" s="52" t="s">
        <v>69</v>
      </c>
      <c r="F19" s="53" t="s">
        <v>70</v>
      </c>
      <c r="G19" s="54" t="s">
        <v>71</v>
      </c>
      <c r="H19" s="18" t="s">
        <v>54</v>
      </c>
      <c r="I19" s="19"/>
      <c r="J19" s="20" t="s">
        <v>72</v>
      </c>
    </row>
    <row r="20">
      <c r="A20" s="13">
        <v>7.0</v>
      </c>
      <c r="B20" s="55" t="s">
        <v>42</v>
      </c>
      <c r="C20" s="55" t="s">
        <v>68</v>
      </c>
      <c r="D20" s="56">
        <v>3.0</v>
      </c>
      <c r="E20" s="57" t="s">
        <v>73</v>
      </c>
      <c r="F20" s="58" t="s">
        <v>74</v>
      </c>
      <c r="G20" s="59" t="s">
        <v>75</v>
      </c>
      <c r="H20" s="25" t="s">
        <v>76</v>
      </c>
      <c r="I20" s="26"/>
      <c r="J20" s="27" t="s">
        <v>77</v>
      </c>
    </row>
    <row r="21">
      <c r="A21" s="13">
        <v>2.0</v>
      </c>
      <c r="B21" s="42" t="s">
        <v>42</v>
      </c>
      <c r="C21" s="42" t="s">
        <v>68</v>
      </c>
      <c r="D21" s="60">
        <v>3.0</v>
      </c>
      <c r="E21" s="16" t="s">
        <v>78</v>
      </c>
      <c r="F21" s="45" t="s">
        <v>79</v>
      </c>
      <c r="G21" s="46" t="s">
        <v>80</v>
      </c>
      <c r="H21" s="18" t="s">
        <v>30</v>
      </c>
      <c r="I21" s="61" t="s">
        <v>81</v>
      </c>
      <c r="J21" s="20" t="s">
        <v>82</v>
      </c>
    </row>
    <row r="22">
      <c r="A22" s="13">
        <v>9.0</v>
      </c>
      <c r="B22" s="21" t="s">
        <v>83</v>
      </c>
      <c r="C22" s="21" t="s">
        <v>68</v>
      </c>
      <c r="D22" s="62">
        <v>3.0</v>
      </c>
      <c r="E22" s="23" t="s">
        <v>84</v>
      </c>
      <c r="F22" s="24" t="s">
        <v>85</v>
      </c>
      <c r="G22" s="59" t="s">
        <v>86</v>
      </c>
      <c r="H22" s="25" t="s">
        <v>87</v>
      </c>
      <c r="I22" s="49" t="s">
        <v>81</v>
      </c>
      <c r="J22" s="27" t="s">
        <v>88</v>
      </c>
    </row>
    <row r="23">
      <c r="A23" s="13">
        <v>8.0</v>
      </c>
      <c r="B23" s="55" t="s">
        <v>42</v>
      </c>
      <c r="C23" s="55" t="s">
        <v>68</v>
      </c>
      <c r="D23" s="56">
        <v>2.0</v>
      </c>
      <c r="E23" s="63" t="s">
        <v>89</v>
      </c>
      <c r="F23" s="64" t="s">
        <v>90</v>
      </c>
      <c r="G23" s="65" t="s">
        <v>91</v>
      </c>
      <c r="H23" s="18" t="s">
        <v>30</v>
      </c>
      <c r="I23" s="19"/>
      <c r="J23" s="20" t="s">
        <v>92</v>
      </c>
    </row>
    <row r="24">
      <c r="A24" s="13">
        <v>11.0</v>
      </c>
      <c r="B24" s="66" t="s">
        <v>32</v>
      </c>
      <c r="C24" s="66" t="s">
        <v>68</v>
      </c>
      <c r="D24" s="67">
        <v>2.0</v>
      </c>
      <c r="E24" s="23" t="s">
        <v>93</v>
      </c>
      <c r="F24" s="24" t="s">
        <v>94</v>
      </c>
      <c r="G24" s="68" t="s">
        <v>95</v>
      </c>
      <c r="H24" s="25" t="s">
        <v>36</v>
      </c>
      <c r="I24" s="26"/>
      <c r="J24" s="27" t="s">
        <v>96</v>
      </c>
    </row>
    <row r="25">
      <c r="A25" s="13">
        <v>4.0</v>
      </c>
      <c r="B25" s="50" t="s">
        <v>97</v>
      </c>
      <c r="C25" s="50" t="s">
        <v>68</v>
      </c>
      <c r="D25" s="69">
        <v>2.0</v>
      </c>
      <c r="E25" s="52" t="s">
        <v>98</v>
      </c>
      <c r="F25" s="53" t="s">
        <v>99</v>
      </c>
      <c r="G25" s="17" t="s">
        <v>100</v>
      </c>
      <c r="H25" s="18" t="s">
        <v>87</v>
      </c>
      <c r="I25" s="61" t="s">
        <v>81</v>
      </c>
      <c r="J25" s="20" t="s">
        <v>101</v>
      </c>
    </row>
    <row r="26">
      <c r="A26" s="13">
        <v>5.0</v>
      </c>
      <c r="B26" s="21" t="s">
        <v>102</v>
      </c>
      <c r="C26" s="21" t="s">
        <v>68</v>
      </c>
      <c r="D26" s="70">
        <v>2.0</v>
      </c>
      <c r="E26" s="23" t="s">
        <v>103</v>
      </c>
      <c r="F26" s="24" t="s">
        <v>104</v>
      </c>
      <c r="G26" s="17" t="s">
        <v>105</v>
      </c>
      <c r="H26" s="25" t="s">
        <v>47</v>
      </c>
      <c r="I26" s="49" t="s">
        <v>81</v>
      </c>
      <c r="J26" s="27" t="s">
        <v>106</v>
      </c>
    </row>
    <row r="27">
      <c r="A27" s="13">
        <v>1.0</v>
      </c>
      <c r="B27" s="42" t="s">
        <v>107</v>
      </c>
      <c r="C27" s="42" t="s">
        <v>68</v>
      </c>
      <c r="D27" s="60">
        <v>1.0</v>
      </c>
      <c r="E27" s="16" t="s">
        <v>108</v>
      </c>
      <c r="F27" s="45" t="s">
        <v>109</v>
      </c>
      <c r="G27" s="46" t="s">
        <v>110</v>
      </c>
      <c r="H27" s="18" t="s">
        <v>47</v>
      </c>
      <c r="I27" s="41" t="s">
        <v>111</v>
      </c>
      <c r="J27" s="20" t="s">
        <v>112</v>
      </c>
    </row>
    <row r="28">
      <c r="A28" s="13">
        <v>3.0</v>
      </c>
      <c r="B28" s="21" t="s">
        <v>42</v>
      </c>
      <c r="C28" s="21" t="s">
        <v>68</v>
      </c>
      <c r="D28" s="62">
        <v>1.0</v>
      </c>
      <c r="E28" s="71" t="s">
        <v>113</v>
      </c>
      <c r="F28" s="24" t="s">
        <v>114</v>
      </c>
      <c r="G28" s="59" t="s">
        <v>115</v>
      </c>
      <c r="H28" s="25" t="s">
        <v>65</v>
      </c>
      <c r="I28" s="26"/>
      <c r="J28" s="27" t="s">
        <v>116</v>
      </c>
    </row>
    <row r="29">
      <c r="A29" s="13">
        <v>46.0</v>
      </c>
      <c r="B29" s="72" t="s">
        <v>117</v>
      </c>
      <c r="C29" s="72" t="s">
        <v>68</v>
      </c>
      <c r="D29" s="72">
        <v>1.0</v>
      </c>
      <c r="E29" s="73" t="s">
        <v>118</v>
      </c>
      <c r="F29" s="74" t="s">
        <v>119</v>
      </c>
      <c r="G29" s="75" t="s">
        <v>120</v>
      </c>
      <c r="H29" s="18" t="s">
        <v>121</v>
      </c>
      <c r="I29" s="19"/>
      <c r="J29" s="20" t="s">
        <v>122</v>
      </c>
    </row>
    <row r="30">
      <c r="A30" s="13">
        <v>13.0</v>
      </c>
      <c r="B30" s="28" t="s">
        <v>32</v>
      </c>
      <c r="C30" s="28" t="s">
        <v>21</v>
      </c>
      <c r="D30" s="76">
        <v>3.0</v>
      </c>
      <c r="E30" s="31" t="s">
        <v>123</v>
      </c>
      <c r="F30" s="48" t="s">
        <v>124</v>
      </c>
      <c r="G30" s="32" t="s">
        <v>125</v>
      </c>
      <c r="H30" s="25" t="s">
        <v>47</v>
      </c>
      <c r="I30" s="26"/>
      <c r="J30" s="27" t="s">
        <v>126</v>
      </c>
    </row>
    <row r="31">
      <c r="A31" s="13">
        <v>17.0</v>
      </c>
      <c r="B31" s="50" t="s">
        <v>97</v>
      </c>
      <c r="C31" s="50" t="s">
        <v>21</v>
      </c>
      <c r="D31" s="56">
        <v>3.0</v>
      </c>
      <c r="E31" s="52" t="s">
        <v>127</v>
      </c>
      <c r="F31" s="53" t="s">
        <v>128</v>
      </c>
      <c r="G31" s="54" t="s">
        <v>129</v>
      </c>
      <c r="H31" s="18" t="s">
        <v>47</v>
      </c>
      <c r="I31" s="61" t="s">
        <v>81</v>
      </c>
      <c r="J31" s="20" t="s">
        <v>130</v>
      </c>
    </row>
    <row r="32">
      <c r="A32" s="13">
        <v>21.0</v>
      </c>
      <c r="B32" s="55" t="s">
        <v>102</v>
      </c>
      <c r="C32" s="55" t="s">
        <v>21</v>
      </c>
      <c r="D32" s="56">
        <v>3.0</v>
      </c>
      <c r="E32" s="63" t="s">
        <v>131</v>
      </c>
      <c r="F32" s="64" t="s">
        <v>132</v>
      </c>
      <c r="G32" s="65" t="s">
        <v>133</v>
      </c>
      <c r="H32" s="25" t="s">
        <v>134</v>
      </c>
      <c r="I32" s="49" t="s">
        <v>81</v>
      </c>
      <c r="J32" s="27" t="s">
        <v>135</v>
      </c>
    </row>
    <row r="33">
      <c r="A33" s="13">
        <v>12.0</v>
      </c>
      <c r="B33" s="77" t="s">
        <v>32</v>
      </c>
      <c r="C33" s="21" t="s">
        <v>21</v>
      </c>
      <c r="D33" s="78">
        <v>2.0</v>
      </c>
      <c r="E33" s="23" t="s">
        <v>136</v>
      </c>
      <c r="F33" s="24" t="s">
        <v>137</v>
      </c>
      <c r="G33" s="17" t="s">
        <v>138</v>
      </c>
      <c r="H33" s="18" t="s">
        <v>87</v>
      </c>
      <c r="I33" s="19"/>
      <c r="J33" s="20" t="s">
        <v>139</v>
      </c>
    </row>
    <row r="34" ht="83.25" customHeight="1">
      <c r="A34" s="13">
        <v>18.0</v>
      </c>
      <c r="B34" s="28" t="s">
        <v>102</v>
      </c>
      <c r="C34" s="28" t="s">
        <v>21</v>
      </c>
      <c r="D34" s="76">
        <v>2.0</v>
      </c>
      <c r="E34" s="31" t="s">
        <v>140</v>
      </c>
      <c r="F34" s="48" t="s">
        <v>141</v>
      </c>
      <c r="G34" s="32" t="s">
        <v>142</v>
      </c>
      <c r="H34" s="25" t="s">
        <v>47</v>
      </c>
      <c r="I34" s="26"/>
      <c r="J34" s="27" t="s">
        <v>143</v>
      </c>
    </row>
    <row r="35">
      <c r="A35" s="13">
        <v>32.0</v>
      </c>
      <c r="B35" s="21" t="s">
        <v>144</v>
      </c>
      <c r="C35" s="79" t="s">
        <v>21</v>
      </c>
      <c r="D35" s="80">
        <v>2.0</v>
      </c>
      <c r="E35" s="23" t="s">
        <v>145</v>
      </c>
      <c r="F35" s="24" t="s">
        <v>146</v>
      </c>
      <c r="G35" s="17" t="s">
        <v>147</v>
      </c>
      <c r="H35" s="18" t="s">
        <v>60</v>
      </c>
      <c r="I35" s="19"/>
      <c r="J35" s="20" t="s">
        <v>148</v>
      </c>
    </row>
    <row r="36">
      <c r="A36" s="13">
        <v>35.0</v>
      </c>
      <c r="B36" s="81" t="s">
        <v>149</v>
      </c>
      <c r="C36" s="81" t="s">
        <v>21</v>
      </c>
      <c r="D36" s="82">
        <v>2.0</v>
      </c>
      <c r="E36" s="83" t="s">
        <v>150</v>
      </c>
      <c r="F36" s="84" t="s">
        <v>151</v>
      </c>
      <c r="G36" s="85" t="s">
        <v>152</v>
      </c>
      <c r="H36" s="86" t="s">
        <v>121</v>
      </c>
      <c r="I36" s="26"/>
      <c r="J36" s="27" t="s">
        <v>122</v>
      </c>
    </row>
    <row r="37">
      <c r="A37" s="13">
        <v>14.0</v>
      </c>
      <c r="B37" s="66" t="s">
        <v>117</v>
      </c>
      <c r="C37" s="66" t="s">
        <v>21</v>
      </c>
      <c r="D37" s="87">
        <v>1.0</v>
      </c>
      <c r="E37" s="57" t="s">
        <v>153</v>
      </c>
      <c r="F37" s="57" t="s">
        <v>154</v>
      </c>
      <c r="G37" s="17" t="s">
        <v>155</v>
      </c>
      <c r="H37" s="18" t="s">
        <v>36</v>
      </c>
      <c r="I37" s="19"/>
      <c r="J37" s="20" t="s">
        <v>156</v>
      </c>
    </row>
    <row r="38">
      <c r="A38" s="13">
        <v>22.0</v>
      </c>
      <c r="B38" s="50" t="s">
        <v>107</v>
      </c>
      <c r="C38" s="50" t="s">
        <v>43</v>
      </c>
      <c r="D38" s="56">
        <v>3.0</v>
      </c>
      <c r="E38" s="52" t="s">
        <v>157</v>
      </c>
      <c r="F38" s="53" t="s">
        <v>158</v>
      </c>
      <c r="G38" s="65" t="s">
        <v>159</v>
      </c>
      <c r="H38" s="25" t="s">
        <v>160</v>
      </c>
      <c r="I38" s="26"/>
      <c r="J38" s="27" t="s">
        <v>161</v>
      </c>
    </row>
    <row r="39">
      <c r="A39" s="13">
        <v>24.0</v>
      </c>
      <c r="B39" s="42" t="s">
        <v>42</v>
      </c>
      <c r="C39" s="42" t="s">
        <v>43</v>
      </c>
      <c r="D39" s="60">
        <v>3.0</v>
      </c>
      <c r="E39" s="16" t="s">
        <v>162</v>
      </c>
      <c r="F39" s="45" t="s">
        <v>163</v>
      </c>
      <c r="G39" s="46" t="s">
        <v>164</v>
      </c>
      <c r="H39" s="18" t="s">
        <v>165</v>
      </c>
      <c r="I39" s="61" t="s">
        <v>81</v>
      </c>
      <c r="J39" s="20" t="s">
        <v>122</v>
      </c>
    </row>
    <row r="40">
      <c r="A40" s="13">
        <v>25.0</v>
      </c>
      <c r="B40" s="28" t="s">
        <v>42</v>
      </c>
      <c r="C40" s="28" t="s">
        <v>43</v>
      </c>
      <c r="D40" s="88">
        <v>2.0</v>
      </c>
      <c r="E40" s="31" t="s">
        <v>166</v>
      </c>
      <c r="F40" s="48" t="s">
        <v>167</v>
      </c>
      <c r="G40" s="32" t="s">
        <v>168</v>
      </c>
      <c r="H40" s="25" t="s">
        <v>60</v>
      </c>
      <c r="I40" s="26"/>
      <c r="J40" s="27" t="s">
        <v>169</v>
      </c>
    </row>
    <row r="41">
      <c r="A41" s="13">
        <v>26.0</v>
      </c>
      <c r="B41" s="21" t="s">
        <v>42</v>
      </c>
      <c r="C41" s="21" t="s">
        <v>43</v>
      </c>
      <c r="D41" s="80">
        <v>2.0</v>
      </c>
      <c r="E41" s="73" t="s">
        <v>170</v>
      </c>
      <c r="F41" s="24" t="s">
        <v>171</v>
      </c>
      <c r="G41" s="17" t="s">
        <v>172</v>
      </c>
      <c r="H41" s="18" t="s">
        <v>173</v>
      </c>
      <c r="I41" s="19"/>
      <c r="J41" s="20" t="s">
        <v>174</v>
      </c>
    </row>
    <row r="42">
      <c r="A42" s="13">
        <v>28.0</v>
      </c>
      <c r="B42" s="28" t="s">
        <v>149</v>
      </c>
      <c r="C42" s="28" t="s">
        <v>43</v>
      </c>
      <c r="D42" s="88">
        <v>2.0</v>
      </c>
      <c r="E42" s="31" t="s">
        <v>175</v>
      </c>
      <c r="F42" s="48" t="s">
        <v>176</v>
      </c>
      <c r="G42" s="32" t="s">
        <v>177</v>
      </c>
      <c r="H42" s="25" t="s">
        <v>47</v>
      </c>
      <c r="I42" s="26"/>
      <c r="J42" s="27" t="s">
        <v>122</v>
      </c>
    </row>
    <row r="43">
      <c r="A43" s="13">
        <v>30.0</v>
      </c>
      <c r="B43" s="21" t="s">
        <v>56</v>
      </c>
      <c r="C43" s="21" t="s">
        <v>43</v>
      </c>
      <c r="D43" s="80">
        <v>2.0</v>
      </c>
      <c r="E43" s="73" t="s">
        <v>178</v>
      </c>
      <c r="F43" s="24" t="s">
        <v>179</v>
      </c>
      <c r="G43" s="17" t="s">
        <v>180</v>
      </c>
      <c r="H43" s="18" t="s">
        <v>65</v>
      </c>
      <c r="I43" s="19"/>
      <c r="J43" s="20" t="s">
        <v>181</v>
      </c>
    </row>
    <row r="44">
      <c r="A44" s="13">
        <v>34.0</v>
      </c>
      <c r="B44" s="37" t="s">
        <v>144</v>
      </c>
      <c r="C44" s="37" t="s">
        <v>43</v>
      </c>
      <c r="D44" s="89">
        <v>2.0</v>
      </c>
      <c r="E44" s="90" t="s">
        <v>182</v>
      </c>
      <c r="F44" s="91" t="s">
        <v>183</v>
      </c>
      <c r="G44" s="92" t="s">
        <v>184</v>
      </c>
      <c r="H44" s="93" t="s">
        <v>121</v>
      </c>
      <c r="I44" s="26"/>
      <c r="J44" s="27" t="s">
        <v>185</v>
      </c>
    </row>
    <row r="45">
      <c r="A45" s="13">
        <v>27.0</v>
      </c>
      <c r="B45" s="94" t="s">
        <v>97</v>
      </c>
      <c r="C45" s="94" t="s">
        <v>43</v>
      </c>
      <c r="D45" s="95">
        <v>2.0</v>
      </c>
      <c r="E45" s="16" t="s">
        <v>186</v>
      </c>
      <c r="F45" s="45" t="s">
        <v>187</v>
      </c>
      <c r="G45" s="46" t="s">
        <v>188</v>
      </c>
      <c r="H45" s="96" t="s">
        <v>65</v>
      </c>
      <c r="I45" s="61" t="s">
        <v>81</v>
      </c>
      <c r="J45" s="20" t="s">
        <v>189</v>
      </c>
    </row>
    <row r="46">
      <c r="A46" s="13">
        <v>29.0</v>
      </c>
      <c r="B46" s="28" t="s">
        <v>56</v>
      </c>
      <c r="C46" s="28" t="s">
        <v>43</v>
      </c>
      <c r="D46" s="97">
        <v>1.0</v>
      </c>
      <c r="E46" s="31" t="s">
        <v>190</v>
      </c>
      <c r="F46" s="48" t="s">
        <v>191</v>
      </c>
      <c r="G46" s="40" t="s">
        <v>192</v>
      </c>
      <c r="H46" s="25" t="s">
        <v>47</v>
      </c>
      <c r="I46" s="49" t="s">
        <v>66</v>
      </c>
      <c r="J46" s="27" t="s">
        <v>193</v>
      </c>
    </row>
    <row r="47">
      <c r="A47" s="13">
        <v>31.0</v>
      </c>
      <c r="B47" s="42" t="s">
        <v>144</v>
      </c>
      <c r="C47" s="42" t="s">
        <v>43</v>
      </c>
      <c r="D47" s="98">
        <v>1.0</v>
      </c>
      <c r="E47" s="16" t="s">
        <v>194</v>
      </c>
      <c r="F47" s="45" t="s">
        <v>195</v>
      </c>
      <c r="G47" s="46" t="s">
        <v>196</v>
      </c>
      <c r="H47" s="18" t="s">
        <v>47</v>
      </c>
      <c r="I47" s="19"/>
      <c r="J47" s="20" t="s">
        <v>197</v>
      </c>
    </row>
    <row r="48">
      <c r="A48" s="13">
        <v>33.0</v>
      </c>
      <c r="B48" s="50" t="s">
        <v>198</v>
      </c>
      <c r="C48" s="50" t="s">
        <v>43</v>
      </c>
      <c r="D48" s="99">
        <v>1.0</v>
      </c>
      <c r="E48" s="52" t="s">
        <v>199</v>
      </c>
      <c r="F48" s="53" t="s">
        <v>200</v>
      </c>
      <c r="G48" s="85" t="s">
        <v>201</v>
      </c>
      <c r="H48" s="25" t="s">
        <v>87</v>
      </c>
      <c r="I48" s="26"/>
      <c r="J48" s="27" t="s">
        <v>202</v>
      </c>
    </row>
    <row r="49">
      <c r="A49" s="13">
        <v>41.0</v>
      </c>
      <c r="B49" s="42" t="s">
        <v>198</v>
      </c>
      <c r="C49" s="42" t="s">
        <v>50</v>
      </c>
      <c r="D49" s="100">
        <v>2.0</v>
      </c>
      <c r="E49" s="16" t="s">
        <v>203</v>
      </c>
      <c r="F49" s="91" t="s">
        <v>204</v>
      </c>
      <c r="G49" s="46" t="s">
        <v>205</v>
      </c>
      <c r="H49" s="18" t="s">
        <v>87</v>
      </c>
      <c r="I49" s="19"/>
      <c r="J49" s="20" t="s">
        <v>206</v>
      </c>
    </row>
    <row r="50">
      <c r="A50" s="13">
        <v>37.0</v>
      </c>
      <c r="B50" s="50" t="s">
        <v>42</v>
      </c>
      <c r="C50" s="50" t="s">
        <v>50</v>
      </c>
      <c r="D50" s="69">
        <v>2.0</v>
      </c>
      <c r="E50" s="52" t="s">
        <v>207</v>
      </c>
      <c r="F50" s="53" t="s">
        <v>208</v>
      </c>
      <c r="G50" s="54" t="s">
        <v>209</v>
      </c>
      <c r="H50" s="25" t="s">
        <v>210</v>
      </c>
      <c r="I50" s="49" t="s">
        <v>81</v>
      </c>
      <c r="J50" s="27" t="s">
        <v>174</v>
      </c>
    </row>
    <row r="51">
      <c r="A51" s="13">
        <v>38.0</v>
      </c>
      <c r="B51" s="21" t="s">
        <v>149</v>
      </c>
      <c r="C51" s="21" t="s">
        <v>50</v>
      </c>
      <c r="D51" s="62">
        <v>1.0</v>
      </c>
      <c r="E51" s="23" t="s">
        <v>211</v>
      </c>
      <c r="F51" s="24" t="s">
        <v>212</v>
      </c>
      <c r="G51" s="17" t="s">
        <v>213</v>
      </c>
      <c r="H51" s="18" t="s">
        <v>87</v>
      </c>
      <c r="I51" s="61" t="s">
        <v>66</v>
      </c>
      <c r="J51" s="20" t="s">
        <v>214</v>
      </c>
    </row>
    <row r="52">
      <c r="A52" s="13">
        <v>42.0</v>
      </c>
      <c r="B52" s="28" t="s">
        <v>117</v>
      </c>
      <c r="C52" s="28" t="s">
        <v>50</v>
      </c>
      <c r="D52" s="97">
        <v>1.0</v>
      </c>
      <c r="E52" s="31" t="s">
        <v>215</v>
      </c>
      <c r="F52" s="48" t="s">
        <v>216</v>
      </c>
      <c r="G52" s="32" t="s">
        <v>217</v>
      </c>
      <c r="H52" s="25" t="s">
        <v>30</v>
      </c>
      <c r="I52" s="49" t="s">
        <v>66</v>
      </c>
      <c r="J52" s="27" t="s">
        <v>218</v>
      </c>
    </row>
    <row r="53">
      <c r="A53" s="13">
        <v>43.0</v>
      </c>
      <c r="B53" s="21" t="s">
        <v>117</v>
      </c>
      <c r="C53" s="21" t="s">
        <v>50</v>
      </c>
      <c r="D53" s="101">
        <v>1.0</v>
      </c>
      <c r="E53" s="23" t="s">
        <v>219</v>
      </c>
      <c r="F53" s="74" t="s">
        <v>220</v>
      </c>
      <c r="G53" s="17" t="s">
        <v>221</v>
      </c>
      <c r="H53" s="18" t="s">
        <v>222</v>
      </c>
      <c r="I53" s="19"/>
      <c r="J53" s="20" t="s">
        <v>122</v>
      </c>
    </row>
    <row r="54">
      <c r="A54" s="13">
        <v>10.0</v>
      </c>
      <c r="B54" s="55" t="s">
        <v>42</v>
      </c>
      <c r="C54" s="55" t="s">
        <v>223</v>
      </c>
      <c r="D54" s="56">
        <v>3.0</v>
      </c>
      <c r="E54" s="83" t="s">
        <v>224</v>
      </c>
      <c r="F54" s="84" t="s">
        <v>225</v>
      </c>
      <c r="G54" s="102" t="s">
        <v>226</v>
      </c>
      <c r="H54" s="25" t="s">
        <v>121</v>
      </c>
      <c r="I54" s="26"/>
      <c r="J54" s="27" t="s">
        <v>227</v>
      </c>
    </row>
    <row r="55">
      <c r="A55" s="13">
        <v>44.0</v>
      </c>
      <c r="B55" s="21" t="s">
        <v>42</v>
      </c>
      <c r="C55" s="21" t="s">
        <v>223</v>
      </c>
      <c r="D55" s="80">
        <v>2.0</v>
      </c>
      <c r="E55" s="23" t="s">
        <v>228</v>
      </c>
      <c r="F55" s="24" t="s">
        <v>229</v>
      </c>
      <c r="G55" s="17" t="s">
        <v>230</v>
      </c>
      <c r="H55" s="18" t="s">
        <v>47</v>
      </c>
      <c r="I55" s="19"/>
      <c r="J55" s="20" t="s">
        <v>231</v>
      </c>
    </row>
    <row r="56">
      <c r="A56" s="13">
        <v>45.0</v>
      </c>
      <c r="B56" s="103" t="s">
        <v>149</v>
      </c>
      <c r="C56" s="103" t="s">
        <v>223</v>
      </c>
      <c r="D56" s="104">
        <v>1.0</v>
      </c>
      <c r="E56" s="23" t="s">
        <v>232</v>
      </c>
      <c r="F56" s="24" t="s">
        <v>233</v>
      </c>
      <c r="G56" s="17" t="s">
        <v>234</v>
      </c>
      <c r="H56" s="105" t="s">
        <v>87</v>
      </c>
      <c r="I56" s="106" t="s">
        <v>66</v>
      </c>
      <c r="J56" s="107" t="s">
        <v>235</v>
      </c>
    </row>
  </sheetData>
  <customSheetViews>
    <customSheetView guid="{8CE9C352-90D4-4050-A77D-C3EC046F3C2B}" filter="1" showAutoFilter="1">
      <autoFilter ref="$A$10:$J$56"/>
    </customSheetView>
    <customSheetView guid="{4D097A5F-6C4C-49F4-B0CD-BD2D9BE0E317}" filter="1" showAutoFilter="1">
      <autoFilter ref="$A$10:$J$56"/>
    </customSheetView>
  </customSheetViews>
  <mergeCells count="2">
    <mergeCell ref="B1:E1"/>
    <mergeCell ref="D3:E3"/>
  </mergeCells>
  <dataValidations>
    <dataValidation type="list" allowBlank="1" sqref="B11:B56">
      <formula1>"H1: Visibility of System Status,H2: Match b/w System &amp; World,H3: User Control &amp; Freedom,H4: Consistency &amp; Standards,H5: Error Prevention,H6: Recognition not Recall,H7: Flexibility &amp; Efficiency of Use,H8: Aesthetic &amp; Minimalist Design,H9: Help Users with E"&amp;"rrors,H10: Help &amp; Documentation,H11: Accessible Design,H12: Value Alignment &amp; Inclusion"</formula1>
    </dataValidation>
    <dataValidation type="list" allowBlank="1" sqref="D11:D56">
      <formula1>"0,1,2,3,4"</formula1>
    </dataValidation>
    <dataValidation type="list" allowBlank="1" sqref="H11:H56">
      <formula1>"A,B,C,D"</formula1>
    </dataValidation>
    <dataValidation type="list" allowBlank="1" sqref="C11:C56">
      <formula1>"1. Simple Task,2. Moderate Task,3. Complex Task,4. All Tasks,5. Extra Violations"</formula1>
    </dataValidation>
  </dataValidations>
  <printOptions gridLines="1" horizontalCentered="1"/>
  <pageMargins bottom="0.75" footer="0.0" header="0.0" left="0.7" right="0.7" top="0.75"/>
  <pageSetup fitToHeight="0" cellComments="atEnd" orientation="landscape"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s>
  <sheetData>
    <row r="1">
      <c r="A1" s="108" t="s">
        <v>236</v>
      </c>
      <c r="B1" s="109" t="s">
        <v>237</v>
      </c>
      <c r="C1" s="109" t="s">
        <v>238</v>
      </c>
      <c r="D1" s="109" t="s">
        <v>239</v>
      </c>
      <c r="E1" s="109" t="s">
        <v>240</v>
      </c>
      <c r="F1" s="109" t="s">
        <v>241</v>
      </c>
      <c r="G1" s="110" t="s">
        <v>242</v>
      </c>
      <c r="I1" s="111"/>
      <c r="J1" s="111"/>
      <c r="K1" s="111"/>
      <c r="L1" s="111"/>
    </row>
    <row r="2">
      <c r="A2" s="112" t="s">
        <v>32</v>
      </c>
      <c r="B2" s="113">
        <f>COUNTIFS('Group Heuristic Evaluation'!B11:B1000, "H1: Visibility of System Status", 'Group Heuristic Evaluation'!D11:D1000, 0)</f>
        <v>0</v>
      </c>
      <c r="C2" s="113">
        <f>COUNTIFS('Group Heuristic Evaluation'!B11:B1000, "H1: Visibility of System Status", 'Group Heuristic Evaluation'!D11:D1000, 1)</f>
        <v>0</v>
      </c>
      <c r="D2" s="114">
        <f>COUNTIFS('Group Heuristic Evaluation'!B11:B1000, "H1: Visibility of System Status", 'Group Heuristic Evaluation'!D11:D1000, 2)</f>
        <v>3</v>
      </c>
      <c r="E2" s="114">
        <f>COUNTIFS('Group Heuristic Evaluation'!B11:B1000, "H1: Visibility of System Status", 'Group Heuristic Evaluation'!D11:D1000, 3)</f>
        <v>2</v>
      </c>
      <c r="F2" s="114">
        <f>COUNTIFS('Group Heuristic Evaluation'!B11:B1000, "H1: Visibility of System Status", 'Group Heuristic Evaluation'!D11:D1000, 4)</f>
        <v>0</v>
      </c>
      <c r="G2" s="115">
        <f t="shared" ref="G2:G5" si="1">SUM(B2:F2)</f>
        <v>5</v>
      </c>
      <c r="I2" s="111"/>
      <c r="J2" s="111"/>
      <c r="K2" s="111"/>
      <c r="L2" s="111"/>
    </row>
    <row r="3">
      <c r="A3" s="116" t="s">
        <v>107</v>
      </c>
      <c r="B3" s="113">
        <f>COUNTIFS('Group Heuristic Evaluation'!B:B, "H2: Match b/w System &amp; World", 'Group Heuristic Evaluation'!D:D, 0)</f>
        <v>0</v>
      </c>
      <c r="C3" s="114">
        <f>COUNTIFS('Group Heuristic Evaluation'!B:B, "H2: Match b/w System &amp; World", 'Group Heuristic Evaluation'!D:D, 1)</f>
        <v>1</v>
      </c>
      <c r="D3" s="114">
        <f>COUNTIFS('Group Heuristic Evaluation'!B11:B1000, "H2: Match b/w System &amp; World", 'Group Heuristic Evaluation'!D11:D1000, 2)</f>
        <v>0</v>
      </c>
      <c r="E3" s="114">
        <f>COUNTIFS('Group Heuristic Evaluation'!B:B, "H2: Match b/w System &amp; World", 'Group Heuristic Evaluation'!D:D, 3)</f>
        <v>1</v>
      </c>
      <c r="F3" s="114">
        <f>COUNTIFS('Group Heuristic Evaluation'!B:B, "H2: Match b/w System &amp; World", 'Group Heuristic Evaluation'!D:D, 4)</f>
        <v>0</v>
      </c>
      <c r="G3" s="117">
        <f t="shared" si="1"/>
        <v>2</v>
      </c>
      <c r="I3" s="111"/>
      <c r="J3" s="111"/>
      <c r="K3" s="111"/>
      <c r="L3" s="111"/>
    </row>
    <row r="4">
      <c r="A4" s="116" t="s">
        <v>20</v>
      </c>
      <c r="B4" s="113">
        <f>COUNTIFS('Group Heuristic Evaluation'!B:B, "H3: User Control &amp; Freedom", 'Group Heuristic Evaluation'!D:D, 0)</f>
        <v>0</v>
      </c>
      <c r="C4" s="114">
        <f>COUNTIFS('Group Heuristic Evaluation'!B:B, "H3: User Control &amp; Freedom", 'Group Heuristic Evaluation'!D:D, 1)</f>
        <v>0</v>
      </c>
      <c r="D4" s="114">
        <f>COUNTIFS('Group Heuristic Evaluation'!B:B, "H3: User Control &amp; Freedom", 'Group Heuristic Evaluation'!D:D, 2)</f>
        <v>0</v>
      </c>
      <c r="E4" s="114">
        <f>COUNTIFS('Group Heuristic Evaluation'!B:B, "H3: User Control &amp; Freedom", 'Group Heuristic Evaluation'!D:D, 3)</f>
        <v>2</v>
      </c>
      <c r="F4" s="114">
        <f>COUNTIFS('Group Heuristic Evaluation'!B:B, "H3: User Control &amp; Freedom", 'Group Heuristic Evaluation'!D:D, 4)</f>
        <v>1</v>
      </c>
      <c r="G4" s="117">
        <f t="shared" si="1"/>
        <v>3</v>
      </c>
      <c r="I4" s="111"/>
      <c r="J4" s="111"/>
      <c r="K4" s="111"/>
      <c r="L4" s="111"/>
    </row>
    <row r="5">
      <c r="A5" s="116" t="s">
        <v>42</v>
      </c>
      <c r="B5" s="113">
        <f>COUNTIFS('Group Heuristic Evaluation'!B:B, "H4: Consistency &amp; Standards", 'Group Heuristic Evaluation'!D:D, 0)</f>
        <v>0</v>
      </c>
      <c r="C5" s="114">
        <f>COUNTIFS('Group Heuristic Evaluation'!B:B, "H4: Consistency &amp; Standards", 'Group Heuristic Evaluation'!D:D, 1)</f>
        <v>1</v>
      </c>
      <c r="D5" s="114">
        <f>COUNTIFS('Group Heuristic Evaluation'!B:B, "H4: Consistency &amp; Standards", 'Group Heuristic Evaluation'!D:D, 2)</f>
        <v>5</v>
      </c>
      <c r="E5" s="114">
        <f>COUNTIFS('Group Heuristic Evaluation'!B:B, "H4: Consistency &amp; Standards", 'Group Heuristic Evaluation'!D:D, 3)</f>
        <v>5</v>
      </c>
      <c r="F5" s="114">
        <f>COUNTIFS('Group Heuristic Evaluation'!B:B, "H4: Consistency &amp; Standards", 'Group Heuristic Evaluation'!D:D, 4)</f>
        <v>0</v>
      </c>
      <c r="G5" s="117">
        <f t="shared" si="1"/>
        <v>11</v>
      </c>
      <c r="I5" s="111"/>
      <c r="J5" s="111"/>
      <c r="K5" s="111"/>
      <c r="L5" s="111"/>
    </row>
    <row r="6">
      <c r="A6" s="116" t="s">
        <v>97</v>
      </c>
      <c r="B6" s="113">
        <f>COUNTIFS('Group Heuristic Evaluation'!B:B, "H5: Error Prevention", 'Group Heuristic Evaluation'!D:D, 0)</f>
        <v>0</v>
      </c>
      <c r="C6" s="114">
        <f>COUNTIFS('Group Heuristic Evaluation'!B:B, "H5: Error Prevention", 'Group Heuristic Evaluation'!D:D, 1)</f>
        <v>0</v>
      </c>
      <c r="D6" s="114">
        <f>COUNTIFS('Group Heuristic Evaluation'!B:B, "H5: Error Prevention", 'Group Heuristic Evaluation'!D:D, 2)</f>
        <v>2</v>
      </c>
      <c r="E6" s="114">
        <f>COUNTIFS('Group Heuristic Evaluation'!B:B, "H5: Error Prevention", 'Group Heuristic Evaluation'!D:D, 3)</f>
        <v>1</v>
      </c>
      <c r="F6" s="114">
        <f>COUNTIFS('Group Heuristic Evaluation'!B:B, "H5: Error Prevention", 'Group Heuristic Evaluation'!D:D, 4)</f>
        <v>0</v>
      </c>
      <c r="G6" s="117">
        <f>SUM(C6:F6)</f>
        <v>3</v>
      </c>
      <c r="I6" s="111"/>
      <c r="J6" s="111"/>
      <c r="K6" s="111"/>
      <c r="L6" s="111"/>
    </row>
    <row r="7">
      <c r="A7" s="116" t="s">
        <v>102</v>
      </c>
      <c r="B7" s="113">
        <f>COUNTIFS('Group Heuristic Evaluation'!B:B, "H6: Recognition not Recall", 'Group Heuristic Evaluation'!D:D, 0)</f>
        <v>0</v>
      </c>
      <c r="C7" s="114">
        <f>COUNTIFS('Group Heuristic Evaluation'!B:B, "H6: Recognition not Recall", 'Group Heuristic Evaluation'!D:D, 1)</f>
        <v>0</v>
      </c>
      <c r="D7" s="114">
        <f>COUNTIFS('Group Heuristic Evaluation'!B:B, "H6: Recognition not Recall", 'Group Heuristic Evaluation'!D:D, 2)</f>
        <v>2</v>
      </c>
      <c r="E7" s="114">
        <f>COUNTIFS('Group Heuristic Evaluation'!B:B, "H6: Recognition not Recall", 'Group Heuristic Evaluation'!D:D, 3)</f>
        <v>1</v>
      </c>
      <c r="F7" s="114">
        <f>COUNTIFS('Group Heuristic Evaluation'!B:B, "H6: Recognition not Recall", 'Group Heuristic Evaluation'!D:D, 4)</f>
        <v>0</v>
      </c>
      <c r="G7" s="117">
        <f t="shared" ref="G7:G13" si="2">SUM(B7:F7)</f>
        <v>3</v>
      </c>
      <c r="I7" s="111"/>
      <c r="J7" s="111"/>
      <c r="K7" s="111"/>
      <c r="L7" s="111"/>
    </row>
    <row r="8">
      <c r="A8" s="116" t="s">
        <v>149</v>
      </c>
      <c r="B8" s="113">
        <f>COUNTIFS('Group Heuristic Evaluation'!B:B, "H7: Flexibility &amp; Efficiency of Use", 'Group Heuristic Evaluation'!D:D, 0)</f>
        <v>0</v>
      </c>
      <c r="C8" s="114">
        <f>COUNTIFS('Group Heuristic Evaluation'!B:B, "H7: Flexibility &amp; Efficiency of Use", 'Group Heuristic Evaluation'!D:D, 1)</f>
        <v>2</v>
      </c>
      <c r="D8" s="114">
        <f>COUNTIFS('Group Heuristic Evaluation'!B:B, "H7: Flexibility &amp; Efficiency of Use", 'Group Heuristic Evaluation'!D:D, 2)</f>
        <v>2</v>
      </c>
      <c r="E8" s="114">
        <f>COUNTIFS('Group Heuristic Evaluation'!B:B, "H7: Flexibility &amp; Efficiency of Use", 'Group Heuristic Evaluation'!D:D, 3)</f>
        <v>0</v>
      </c>
      <c r="F8" s="114">
        <f>COUNTIFS('Group Heuristic Evaluation'!B:B, "H7: Flexibility &amp; Efficiency of Use", 'Group Heuristic Evaluation'!D:D, 4)</f>
        <v>0</v>
      </c>
      <c r="G8" s="117">
        <f t="shared" si="2"/>
        <v>4</v>
      </c>
      <c r="I8" s="111"/>
      <c r="J8" s="111"/>
      <c r="K8" s="111"/>
      <c r="L8" s="111"/>
    </row>
    <row r="9">
      <c r="A9" s="116" t="s">
        <v>56</v>
      </c>
      <c r="B9" s="113">
        <f>COUNTIFS('Group Heuristic Evaluation'!B:B, "H8: Aesthetic &amp; Minimalist Design", 'Group Heuristic Evaluation'!D:D, 0)</f>
        <v>0</v>
      </c>
      <c r="C9" s="118">
        <f>COUNTIFS('Group Heuristic Evaluation'!B:B, "H8: Aesthetic &amp; Minimalist Design", 'Group Heuristic Evaluation'!D:D, 1)</f>
        <v>1</v>
      </c>
      <c r="D9" s="118">
        <f>COUNTIFS('Group Heuristic Evaluation'!B:B, "H8: Aesthetic &amp; Minimalist Design", 'Group Heuristic Evaluation'!D:D, 2)</f>
        <v>2</v>
      </c>
      <c r="E9" s="118">
        <f>COUNTIFS('Group Heuristic Evaluation'!B:B, "H8: Aesthetic &amp; Minimalist Design", 'Group Heuristic Evaluation'!D:D, 3)</f>
        <v>1</v>
      </c>
      <c r="F9" s="118">
        <f>COUNTIFS('Group Heuristic Evaluation'!B:B, "H8: Aesthetic &amp; Minimalist Design", 'Group Heuristic Evaluation'!D:D, 4)</f>
        <v>1</v>
      </c>
      <c r="G9" s="117">
        <f t="shared" si="2"/>
        <v>5</v>
      </c>
      <c r="I9" s="111"/>
      <c r="J9" s="111"/>
      <c r="K9" s="111"/>
      <c r="L9" s="111"/>
    </row>
    <row r="10">
      <c r="A10" s="116" t="s">
        <v>83</v>
      </c>
      <c r="B10" s="113">
        <f>COUNTIFS('Group Heuristic Evaluation'!B:B, "H9: Help Users with Errors", 'Group Heuristic Evaluation'!D:D, 0)</f>
        <v>0</v>
      </c>
      <c r="C10" s="118">
        <f>COUNTIFS('Group Heuristic Evaluation'!B:B, "H9: Help Users with Errors", 'Group Heuristic Evaluation'!D:D, 1)</f>
        <v>0</v>
      </c>
      <c r="D10" s="118">
        <f>COUNTIFS('Group Heuristic Evaluation'!B:B, "H9: Help Users with Errors", 'Group Heuristic Evaluation'!D:D, 2)</f>
        <v>0</v>
      </c>
      <c r="E10" s="118">
        <f>COUNTIFS('Group Heuristic Evaluation'!B:B, "H9: Help Users with Errors", 'Group Heuristic Evaluation'!D:D, 3)</f>
        <v>1</v>
      </c>
      <c r="F10" s="118">
        <f>COUNTIFS('Group Heuristic Evaluation'!B:B, "H9: Help Users with Errors", 'Group Heuristic Evaluation'!D:D, 4)</f>
        <v>0</v>
      </c>
      <c r="G10" s="117">
        <f t="shared" si="2"/>
        <v>1</v>
      </c>
      <c r="I10" s="111"/>
      <c r="J10" s="111"/>
      <c r="K10" s="111"/>
      <c r="L10" s="111"/>
    </row>
    <row r="11">
      <c r="A11" s="116" t="s">
        <v>144</v>
      </c>
      <c r="B11" s="113">
        <f>COUNTIFS('Group Heuristic Evaluation'!B:B, "H10: Help &amp; Documentation", 'Group Heuristic Evaluation'!D:D, 0)</f>
        <v>0</v>
      </c>
      <c r="C11" s="118">
        <f>COUNTIFS('Group Heuristic Evaluation'!B:B, "H10: Help &amp; Documentation", 'Group Heuristic Evaluation'!D:D, 1)</f>
        <v>1</v>
      </c>
      <c r="D11" s="118">
        <f>COUNTIFS('Group Heuristic Evaluation'!B:B, "H10: Help &amp; Documentation", 'Group Heuristic Evaluation'!D:D, 2)</f>
        <v>2</v>
      </c>
      <c r="E11" s="118">
        <f>COUNTIFS('Group Heuristic Evaluation'!B:B, "H10: Help &amp; Documentation", 'Group Heuristic Evaluation'!D:D, 3)</f>
        <v>0</v>
      </c>
      <c r="F11" s="118">
        <f>COUNTIFS('Group Heuristic Evaluation'!B:B, "H10: Help &amp; Documentation", 'Group Heuristic Evaluation'!D:D, 4)</f>
        <v>0</v>
      </c>
      <c r="G11" s="117">
        <f t="shared" si="2"/>
        <v>3</v>
      </c>
      <c r="I11" s="111"/>
      <c r="J11" s="111"/>
      <c r="K11" s="111"/>
      <c r="L11" s="111"/>
    </row>
    <row r="12">
      <c r="A12" s="116" t="s">
        <v>198</v>
      </c>
      <c r="B12" s="113">
        <f>COUNTIFS('Group Heuristic Evaluation'!B:B, "H11: Accessible Design", 'Group Heuristic Evaluation'!D:D, 0)</f>
        <v>0</v>
      </c>
      <c r="C12" s="118">
        <f>COUNTIFS('Group Heuristic Evaluation'!B:B, "H11: Accessible Design", 'Group Heuristic Evaluation'!D:D, 1)</f>
        <v>1</v>
      </c>
      <c r="D12" s="118">
        <f>COUNTIFS('Group Heuristic Evaluation'!B:B, "H11: Accessible Design", 'Group Heuristic Evaluation'!D:D, 2)</f>
        <v>1</v>
      </c>
      <c r="E12" s="118">
        <f>COUNTIFS('Group Heuristic Evaluation'!B:B, "H11: Accessible Design", 'Group Heuristic Evaluation'!D:D, 3)</f>
        <v>0</v>
      </c>
      <c r="F12" s="118">
        <f>COUNTIFS('Group Heuristic Evaluation'!B:B, "H11: Accessible Design", 'Group Heuristic Evaluation'!D:D, 4)</f>
        <v>0</v>
      </c>
      <c r="G12" s="117">
        <f t="shared" si="2"/>
        <v>2</v>
      </c>
      <c r="I12" s="111"/>
      <c r="J12" s="111"/>
      <c r="K12" s="111"/>
      <c r="L12" s="111"/>
    </row>
    <row r="13">
      <c r="A13" s="116" t="s">
        <v>243</v>
      </c>
      <c r="B13" s="113">
        <f>COUNTIFS('Group Heuristic Evaluation'!B:B, "H12: Value Alignment &amp; Inclusion", 'Group Heuristic Evaluation'!D:D, 0)</f>
        <v>0</v>
      </c>
      <c r="C13" s="118">
        <f>COUNTIFS('Group Heuristic Evaluation'!B:B, "H12: Value Alignment &amp; Inclusion", 'Group Heuristic Evaluation'!D:D, 1)</f>
        <v>4</v>
      </c>
      <c r="D13" s="118">
        <f>COUNTIFS('Group Heuristic Evaluation'!B:B, "H12: Value Alignment &amp; Inclusion", 'Group Heuristic Evaluation'!D:D, 2)</f>
        <v>0</v>
      </c>
      <c r="E13" s="118">
        <f>COUNTIFS('Group Heuristic Evaluation'!B:B, "H12: Value Alignment &amp; Inclusion", 'Group Heuristic Evaluation'!D:D, 3)</f>
        <v>0</v>
      </c>
      <c r="F13" s="118">
        <f>COUNTIFS('Group Heuristic Evaluation'!B:B, "H12: Value Alignment &amp; Inclusion", 'Group Heuristic Evaluation'!D:D, 4)</f>
        <v>0</v>
      </c>
      <c r="G13" s="117">
        <f t="shared" si="2"/>
        <v>4</v>
      </c>
      <c r="I13" s="111"/>
      <c r="J13" s="111"/>
      <c r="K13" s="111"/>
      <c r="L13" s="111"/>
    </row>
    <row r="14">
      <c r="A14" s="119" t="s">
        <v>244</v>
      </c>
      <c r="B14" s="120">
        <f>SUM(B2:B13)</f>
        <v>0</v>
      </c>
      <c r="C14" s="120">
        <f t="shared" ref="C14:D14" si="3">SUM(C1:C13)</f>
        <v>11</v>
      </c>
      <c r="D14" s="120">
        <f t="shared" si="3"/>
        <v>19</v>
      </c>
      <c r="E14" s="120">
        <f t="shared" ref="E14:G14" si="4">SUM(E2:E13)</f>
        <v>14</v>
      </c>
      <c r="F14" s="120">
        <f t="shared" si="4"/>
        <v>2</v>
      </c>
      <c r="G14" s="121">
        <f t="shared" si="4"/>
        <v>46</v>
      </c>
      <c r="I14" s="111"/>
      <c r="J14" s="111"/>
      <c r="K14" s="111"/>
      <c r="L14" s="111"/>
    </row>
    <row r="16">
      <c r="A16" s="122"/>
      <c r="B16" s="122"/>
      <c r="C16" s="122"/>
      <c r="D16" s="122"/>
      <c r="E16" s="122"/>
      <c r="F16" s="122"/>
      <c r="G16" s="122"/>
    </row>
    <row r="17">
      <c r="A17" s="122"/>
      <c r="B17" s="122"/>
      <c r="C17" s="122"/>
      <c r="D17" s="122"/>
      <c r="E17" s="122"/>
      <c r="F17" s="122"/>
      <c r="G17" s="122"/>
    </row>
    <row r="18">
      <c r="A18" s="122"/>
      <c r="B18" s="122"/>
      <c r="C18" s="122"/>
      <c r="D18" s="122"/>
      <c r="E18" s="122"/>
      <c r="F18" s="122"/>
      <c r="G18" s="122"/>
    </row>
    <row r="19">
      <c r="A19" s="122"/>
      <c r="B19" s="122"/>
      <c r="C19" s="122"/>
      <c r="D19" s="122"/>
      <c r="E19" s="122"/>
      <c r="F19" s="122"/>
      <c r="G19" s="122"/>
    </row>
    <row r="20">
      <c r="A20" s="122"/>
      <c r="B20" s="122"/>
      <c r="C20" s="122"/>
      <c r="D20" s="122"/>
      <c r="E20" s="122"/>
      <c r="F20" s="122"/>
      <c r="G20" s="122"/>
    </row>
    <row r="21">
      <c r="A21" s="122"/>
      <c r="B21" s="122"/>
      <c r="C21" s="122"/>
      <c r="D21" s="122"/>
      <c r="E21" s="122"/>
      <c r="F21" s="122"/>
      <c r="G21" s="122"/>
    </row>
    <row r="22">
      <c r="A22" s="122"/>
      <c r="B22" s="122"/>
      <c r="C22" s="122"/>
      <c r="D22" s="122"/>
      <c r="E22" s="122"/>
      <c r="F22" s="122"/>
      <c r="G22" s="122"/>
    </row>
    <row r="23">
      <c r="A23" s="122"/>
      <c r="B23" s="122"/>
      <c r="C23" s="122"/>
      <c r="D23" s="122"/>
      <c r="E23" s="122"/>
      <c r="F23" s="122"/>
      <c r="G23" s="122"/>
    </row>
    <row r="24">
      <c r="A24" s="122"/>
      <c r="B24" s="122"/>
      <c r="C24" s="122"/>
      <c r="D24" s="122"/>
      <c r="E24" s="122"/>
      <c r="F24" s="122"/>
      <c r="G24" s="122"/>
    </row>
    <row r="25">
      <c r="A25" s="122"/>
      <c r="B25" s="122"/>
      <c r="C25" s="122"/>
      <c r="D25" s="122"/>
      <c r="E25" s="122"/>
      <c r="F25" s="122"/>
      <c r="G25" s="122"/>
    </row>
    <row r="26">
      <c r="A26" s="122"/>
      <c r="B26" s="122"/>
      <c r="C26" s="122"/>
      <c r="D26" s="122"/>
      <c r="E26" s="122"/>
      <c r="F26" s="122"/>
      <c r="G26" s="122"/>
    </row>
    <row r="27">
      <c r="A27" s="122"/>
      <c r="B27" s="122"/>
      <c r="C27" s="122"/>
      <c r="D27" s="122"/>
      <c r="E27" s="122"/>
      <c r="F27" s="122"/>
      <c r="G27" s="122"/>
    </row>
    <row r="28">
      <c r="A28" s="122"/>
      <c r="B28" s="122"/>
      <c r="C28" s="122"/>
      <c r="D28" s="122"/>
      <c r="E28" s="122"/>
      <c r="F28" s="122"/>
      <c r="G28" s="122"/>
    </row>
    <row r="29">
      <c r="A29" s="122"/>
      <c r="B29" s="122"/>
      <c r="C29" s="122"/>
      <c r="D29" s="122"/>
      <c r="E29" s="122"/>
      <c r="F29" s="122"/>
      <c r="G29" s="122"/>
    </row>
    <row r="32">
      <c r="A32" s="123"/>
      <c r="B32" s="123"/>
      <c r="C32" s="123"/>
      <c r="D32" s="123"/>
      <c r="E32" s="123"/>
      <c r="F32" s="123"/>
      <c r="G32" s="123"/>
    </row>
    <row r="33">
      <c r="A33" s="123"/>
      <c r="B33" s="123"/>
      <c r="C33" s="123"/>
      <c r="D33" s="123"/>
      <c r="E33" s="123"/>
      <c r="F33" s="123"/>
      <c r="G33" s="123"/>
    </row>
    <row r="34">
      <c r="A34" s="123"/>
      <c r="B34" s="123"/>
      <c r="C34" s="123"/>
      <c r="D34" s="123"/>
      <c r="E34" s="123"/>
      <c r="F34" s="123"/>
      <c r="G34" s="123"/>
    </row>
    <row r="35">
      <c r="A35" s="123"/>
      <c r="B35" s="123"/>
      <c r="C35" s="123"/>
      <c r="D35" s="123"/>
      <c r="E35" s="123"/>
      <c r="F35" s="123"/>
      <c r="G35" s="123"/>
    </row>
    <row r="36">
      <c r="A36" s="123"/>
      <c r="B36" s="123"/>
      <c r="C36" s="123"/>
      <c r="D36" s="123"/>
      <c r="E36" s="123"/>
      <c r="F36" s="123"/>
      <c r="G36" s="123"/>
    </row>
    <row r="37">
      <c r="A37" s="123"/>
      <c r="B37" s="123"/>
      <c r="C37" s="123"/>
      <c r="D37" s="123"/>
      <c r="E37" s="123"/>
      <c r="F37" s="123"/>
      <c r="G37" s="123"/>
    </row>
    <row r="38">
      <c r="A38" s="123"/>
      <c r="B38" s="123"/>
      <c r="C38" s="123"/>
      <c r="D38" s="123"/>
      <c r="E38" s="123"/>
      <c r="F38" s="123"/>
      <c r="G38" s="123"/>
    </row>
    <row r="39">
      <c r="A39" s="123"/>
      <c r="B39" s="123"/>
      <c r="C39" s="123"/>
      <c r="D39" s="123"/>
      <c r="E39" s="123"/>
      <c r="F39" s="123"/>
      <c r="G39" s="123"/>
    </row>
    <row r="40">
      <c r="A40" s="123"/>
      <c r="B40" s="123"/>
      <c r="C40" s="123"/>
      <c r="D40" s="123"/>
      <c r="E40" s="123"/>
      <c r="F40" s="123"/>
      <c r="G40" s="123"/>
    </row>
    <row r="41">
      <c r="A41" s="123"/>
      <c r="B41" s="123"/>
      <c r="C41" s="123"/>
      <c r="D41" s="123"/>
      <c r="E41" s="123"/>
      <c r="F41" s="123"/>
      <c r="G41" s="123"/>
    </row>
    <row r="42">
      <c r="A42" s="123"/>
      <c r="B42" s="123"/>
      <c r="C42" s="123"/>
      <c r="D42" s="123"/>
      <c r="E42" s="123"/>
      <c r="F42" s="123"/>
      <c r="G42" s="123"/>
    </row>
    <row r="43">
      <c r="A43" s="123"/>
      <c r="B43" s="123"/>
      <c r="C43" s="123"/>
      <c r="D43" s="123"/>
      <c r="E43" s="123"/>
      <c r="F43" s="123"/>
      <c r="G43" s="123"/>
    </row>
    <row r="44">
      <c r="A44" s="123"/>
      <c r="B44" s="123"/>
      <c r="C44" s="123"/>
      <c r="D44" s="123"/>
      <c r="E44" s="123"/>
      <c r="F44" s="123"/>
      <c r="G44" s="123"/>
    </row>
    <row r="45">
      <c r="A45" s="123"/>
      <c r="B45" s="123"/>
      <c r="C45" s="123"/>
      <c r="D45" s="123"/>
      <c r="E45" s="123"/>
      <c r="F45" s="123"/>
      <c r="G45" s="1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 customWidth="1" min="2" max="5" width="14.5"/>
  </cols>
  <sheetData>
    <row r="1">
      <c r="A1" s="124" t="s">
        <v>245</v>
      </c>
    </row>
    <row r="2">
      <c r="A2" s="125" t="s">
        <v>13</v>
      </c>
      <c r="B2" s="125" t="s">
        <v>246</v>
      </c>
      <c r="C2" s="125" t="s">
        <v>247</v>
      </c>
      <c r="D2" s="125" t="s">
        <v>248</v>
      </c>
      <c r="E2" s="125" t="s">
        <v>249</v>
      </c>
    </row>
    <row r="3">
      <c r="A3" s="8">
        <v>0.0</v>
      </c>
      <c r="B3" s="126">
        <f>COUNTIFS('Group Heuristic Evaluation'!H11:H1001, "*A*",'Group Heuristic Evaluation'!D11:D1001, 0)/COUNTA('Group Heuristic Evaluation'!B11:B1001)
</f>
        <v>0</v>
      </c>
      <c r="C3" s="126">
        <f>COUNTIFS('Group Heuristic Evaluation'!H:H, "*B*",'Group Heuristic Evaluation'!D:D, 0)/COUNTA('Group Heuristic Evaluation'!B:B)</f>
        <v>0</v>
      </c>
      <c r="D3" s="126">
        <f>COUNTIFS('Group Heuristic Evaluation'!H11:H1001, "*C*",'Group Heuristic Evaluation'!D11:D1001, 0)/COUNTA('Group Heuristic Evaluation'!B11:B1001)</f>
        <v>0</v>
      </c>
      <c r="E3" s="126">
        <f>COUNTIFS('Group Heuristic Evaluation'!H:H, "*D*",'Group Heuristic Evaluation'!D:D, 0)/COUNTA('Group Heuristic Evaluation'!B:B)</f>
        <v>0</v>
      </c>
    </row>
    <row r="4">
      <c r="A4" s="8">
        <v>1.0</v>
      </c>
      <c r="B4" s="126">
        <f>COUNTIFS('Group Heuristic Evaluation'!H11:H1001, "*A*",'Group Heuristic Evaluation'!D11:D1001, 1)/COUNTA('Group Heuristic Evaluation'!B11:B1001)
</f>
        <v>0.1956521739</v>
      </c>
      <c r="C4" s="126">
        <f>COUNTIFS('Group Heuristic Evaluation'!H11:H1001, "*B*",'Group Heuristic Evaluation'!D11:D1001, 1)/COUNTA('Group Heuristic Evaluation'!B11:B1001)</f>
        <v>0.04347826087</v>
      </c>
      <c r="D4" s="126">
        <f>COUNTIFS('Group Heuristic Evaluation'!H11:H1001, "*C*",'Group Heuristic Evaluation'!D11:D1001, 1)/COUNTA('Group Heuristic Evaluation'!B11:B1001)</f>
        <v>0.1739130435</v>
      </c>
      <c r="E4" s="126">
        <f>COUNTIFS('Group Heuristic Evaluation'!H11:H1001, "*D*",'Group Heuristic Evaluation'!D11:D1001, 1)/COUNTA('Group Heuristic Evaluation'!B11:B1001)</f>
        <v>0.04347826087</v>
      </c>
    </row>
    <row r="5">
      <c r="A5" s="8">
        <v>2.0</v>
      </c>
      <c r="B5" s="126">
        <f>COUNTIFS('Group Heuristic Evaluation'!H11:H1001, "*A*",'Group Heuristic Evaluation'!D11:D1001, 2)/COUNTA('Group Heuristic Evaluation'!B11:B1001)
</f>
        <v>0.347826087</v>
      </c>
      <c r="C5" s="126">
        <f>COUNTIFS('Group Heuristic Evaluation'!H11:H1001, "*B*",'Group Heuristic Evaluation'!D11:D1001, 2)/COUNTA('Group Heuristic Evaluation'!B11:B1001)</f>
        <v>0.1086956522</v>
      </c>
      <c r="D5" s="126">
        <f>COUNTIFS('Group Heuristic Evaluation'!H11:H1001, "*C*",'Group Heuristic Evaluation'!D11:D1001, 2)/COUNTA('Group Heuristic Evaluation'!B11:B1001)</f>
        <v>0.347826087</v>
      </c>
      <c r="E5" s="126">
        <f>COUNTIFS('Group Heuristic Evaluation'!H11:H1001, "*D*",'Group Heuristic Evaluation'!D11:D1001, 2)/COUNTA('Group Heuristic Evaluation'!B11:B1001)</f>
        <v>0.0652173913</v>
      </c>
    </row>
    <row r="6">
      <c r="A6" s="8">
        <v>3.0</v>
      </c>
      <c r="B6" s="126">
        <f>COUNTIFS('Group Heuristic Evaluation'!H11:H1001, "*A*",'Group Heuristic Evaluation'!D11:D1001, 3)/COUNTA('Group Heuristic Evaluation'!B11:B1001)
</f>
        <v>0.2173913043</v>
      </c>
      <c r="C6" s="126">
        <f>COUNTIFS('Group Heuristic Evaluation'!H11:H1001, "*B*",'Group Heuristic Evaluation'!D11:D1001, 3)/COUNTA('Group Heuristic Evaluation'!B11:B1001)</f>
        <v>0.08695652174</v>
      </c>
      <c r="D6" s="126">
        <f>COUNTIFS('Group Heuristic Evaluation'!H11:H1001, "*C*",'Group Heuristic Evaluation'!D11:D1001, 3)/COUNTA('Group Heuristic Evaluation'!B11:B1001)</f>
        <v>0.2391304348</v>
      </c>
      <c r="E6" s="126">
        <f>COUNTIFS('Group Heuristic Evaluation'!H11:H1001, "*D*",'Group Heuristic Evaluation'!D11:D1001, 3)/COUNTA('Group Heuristic Evaluation'!B11:B1001)</f>
        <v>0.1304347826</v>
      </c>
    </row>
    <row r="7">
      <c r="A7" s="8">
        <v>4.0</v>
      </c>
      <c r="B7" s="126">
        <f>COUNTIFS('Group Heuristic Evaluation'!H11:H1001, "*A*",'Group Heuristic Evaluation'!D11:D1001, 4)/COUNTA('Group Heuristic Evaluation'!B11:B1001)
</f>
        <v>0.04347826087</v>
      </c>
      <c r="C7" s="126">
        <f>COUNTIFS('Group Heuristic Evaluation'!H11:H1001, "*B*",'Group Heuristic Evaluation'!D11:D1001, 4)/COUNTA('Group Heuristic Evaluation'!B11:B1001)</f>
        <v>0.04347826087</v>
      </c>
      <c r="D7" s="126">
        <f>COUNTIFS('Group Heuristic Evaluation'!H11:H1001, "*C*",'Group Heuristic Evaluation'!D11:D1001, 4)/COUNTA('Group Heuristic Evaluation'!B11:B1001)</f>
        <v>0.04347826087</v>
      </c>
      <c r="E7" s="126">
        <f>COUNTIFS('Group Heuristic Evaluation'!H11:H1001, "*D*",'Group Heuristic Evaluation'!D11:D1001, 4)/COUNTA('Group Heuristic Evaluation'!B11:B1001)</f>
        <v>0.04347826087</v>
      </c>
    </row>
    <row r="8">
      <c r="A8" s="111" t="s">
        <v>250</v>
      </c>
      <c r="B8" s="127">
        <f t="shared" ref="B8:E8" si="1">SUM(B6:B7)</f>
        <v>0.2608695652</v>
      </c>
      <c r="C8" s="127">
        <f t="shared" si="1"/>
        <v>0.1304347826</v>
      </c>
      <c r="D8" s="127">
        <f t="shared" si="1"/>
        <v>0.2826086957</v>
      </c>
      <c r="E8" s="127">
        <f t="shared" si="1"/>
        <v>0.1739130435</v>
      </c>
    </row>
    <row r="9">
      <c r="A9" s="111" t="s">
        <v>251</v>
      </c>
      <c r="B9" s="127">
        <f t="shared" ref="B9:E9" si="2">SUM(B3:B7)</f>
        <v>0.8043478261</v>
      </c>
      <c r="C9" s="127">
        <f t="shared" si="2"/>
        <v>0.2826086957</v>
      </c>
      <c r="D9" s="127">
        <f t="shared" si="2"/>
        <v>0.8043478261</v>
      </c>
      <c r="E9" s="127">
        <f t="shared" si="2"/>
        <v>0.2826086957</v>
      </c>
    </row>
    <row r="11">
      <c r="B11" s="128">
        <f>COUNTIF(Group_Heuristic_Evaluations[Found by], "*A*")</f>
        <v>37</v>
      </c>
      <c r="C11" s="128">
        <f>COUNTIF(Group_Heuristic_Evaluations[Found by], "*B*")</f>
        <v>13</v>
      </c>
      <c r="D11" s="128">
        <f>COUNTIF(Group_Heuristic_Evaluations[Found by], "*C*")</f>
        <v>37</v>
      </c>
      <c r="E11" s="128">
        <f>COUNTIF(Group_Heuristic_Evaluations[Found by], "*D*")</f>
        <v>13</v>
      </c>
    </row>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6.38"/>
  </cols>
  <sheetData>
    <row r="1">
      <c r="A1" s="129" t="s">
        <v>252</v>
      </c>
      <c r="B1" s="130"/>
      <c r="C1" s="130"/>
      <c r="D1" s="130"/>
      <c r="E1" s="130"/>
      <c r="F1" s="130"/>
      <c r="G1" s="131"/>
    </row>
    <row r="2">
      <c r="A2" s="132" t="s">
        <v>253</v>
      </c>
      <c r="D2" s="133"/>
      <c r="E2" s="134"/>
      <c r="F2" s="134"/>
      <c r="G2" s="134"/>
    </row>
    <row r="3">
      <c r="A3" s="135"/>
      <c r="D3" s="133"/>
      <c r="E3" s="134"/>
      <c r="F3" s="134"/>
      <c r="G3" s="134"/>
    </row>
    <row r="4">
      <c r="A4" s="135"/>
      <c r="D4" s="133"/>
      <c r="E4" s="134"/>
      <c r="F4" s="134"/>
      <c r="G4" s="134"/>
    </row>
    <row r="5">
      <c r="A5" s="135"/>
      <c r="D5" s="133"/>
      <c r="E5" s="134"/>
      <c r="F5" s="134"/>
      <c r="G5" s="134"/>
    </row>
    <row r="6">
      <c r="A6" s="135"/>
      <c r="D6" s="133"/>
      <c r="E6" s="134"/>
      <c r="F6" s="134"/>
      <c r="G6" s="134"/>
    </row>
    <row r="7">
      <c r="A7" s="135"/>
      <c r="D7" s="133"/>
      <c r="E7" s="134"/>
      <c r="F7" s="134"/>
      <c r="G7" s="134"/>
    </row>
    <row r="8">
      <c r="A8" s="135"/>
      <c r="D8" s="133"/>
      <c r="E8" s="134"/>
      <c r="F8" s="134"/>
      <c r="G8" s="134"/>
    </row>
    <row r="9">
      <c r="A9" s="135"/>
      <c r="D9" s="133"/>
      <c r="E9" s="134"/>
      <c r="F9" s="134"/>
      <c r="G9" s="134"/>
    </row>
    <row r="10">
      <c r="A10" s="135"/>
      <c r="D10" s="133"/>
      <c r="E10" s="134"/>
      <c r="F10" s="134"/>
      <c r="G10" s="134"/>
    </row>
    <row r="11">
      <c r="A11" s="135"/>
      <c r="D11" s="133"/>
      <c r="E11" s="134"/>
      <c r="F11" s="134"/>
      <c r="G11" s="134"/>
    </row>
    <row r="12">
      <c r="A12" s="135"/>
      <c r="D12" s="133"/>
      <c r="E12" s="134"/>
      <c r="F12" s="134"/>
      <c r="G12" s="134"/>
    </row>
    <row r="13">
      <c r="A13" s="135"/>
      <c r="D13" s="133"/>
      <c r="E13" s="134"/>
      <c r="F13" s="134"/>
      <c r="G13" s="134"/>
    </row>
    <row r="14" ht="176.25" customHeight="1">
      <c r="A14" s="136"/>
      <c r="B14" s="137"/>
      <c r="C14" s="137"/>
      <c r="D14" s="138"/>
      <c r="E14" s="134"/>
      <c r="F14" s="134"/>
      <c r="G14" s="139"/>
    </row>
    <row r="15">
      <c r="A15" s="134"/>
      <c r="B15" s="134"/>
      <c r="C15" s="134"/>
      <c r="D15" s="134"/>
      <c r="E15" s="134"/>
      <c r="F15" s="134"/>
      <c r="G15" s="134"/>
    </row>
    <row r="16">
      <c r="A16" s="134"/>
      <c r="B16" s="134"/>
      <c r="C16" s="134"/>
      <c r="D16" s="134"/>
      <c r="E16" s="134"/>
      <c r="F16" s="134"/>
      <c r="G16" s="134"/>
    </row>
    <row r="17">
      <c r="A17" s="134"/>
      <c r="B17" s="134"/>
      <c r="C17" s="134"/>
      <c r="D17" s="134"/>
      <c r="E17" s="134"/>
      <c r="F17" s="134"/>
      <c r="G17" s="134"/>
    </row>
    <row r="18">
      <c r="A18" s="134"/>
      <c r="B18" s="134"/>
      <c r="C18" s="134"/>
      <c r="D18" s="134"/>
      <c r="E18" s="134"/>
      <c r="F18" s="134"/>
      <c r="G18" s="134"/>
    </row>
    <row r="19">
      <c r="A19" s="134"/>
      <c r="B19" s="134"/>
      <c r="C19" s="134"/>
      <c r="D19" s="134"/>
      <c r="E19" s="134"/>
      <c r="F19" s="134"/>
      <c r="G19" s="134"/>
    </row>
    <row r="20">
      <c r="A20" s="134"/>
      <c r="B20" s="140"/>
      <c r="C20" s="134"/>
      <c r="D20" s="134"/>
      <c r="E20" s="134"/>
      <c r="F20" s="134"/>
      <c r="G20" s="134"/>
    </row>
    <row r="21">
      <c r="A21" s="134"/>
      <c r="B21" s="134"/>
      <c r="C21" s="134"/>
      <c r="D21" s="134"/>
      <c r="E21" s="134"/>
      <c r="F21" s="134"/>
      <c r="G21" s="134"/>
    </row>
    <row r="22">
      <c r="A22" s="134"/>
      <c r="B22" s="134"/>
      <c r="C22" s="134"/>
      <c r="D22" s="134"/>
      <c r="E22" s="134"/>
      <c r="F22" s="134"/>
      <c r="G22" s="134"/>
    </row>
    <row r="23">
      <c r="A23" s="134"/>
      <c r="B23" s="134"/>
      <c r="C23" s="134"/>
      <c r="D23" s="134"/>
      <c r="E23" s="134"/>
      <c r="F23" s="134"/>
      <c r="G23" s="134"/>
    </row>
    <row r="24">
      <c r="A24" s="134"/>
      <c r="B24" s="134"/>
      <c r="C24" s="134"/>
      <c r="D24" s="134"/>
      <c r="E24" s="134"/>
      <c r="F24" s="134"/>
      <c r="G24" s="134"/>
    </row>
    <row r="25">
      <c r="A25" s="134"/>
      <c r="B25" s="134"/>
      <c r="C25" s="134"/>
      <c r="D25" s="134"/>
      <c r="E25" s="134"/>
      <c r="F25" s="134"/>
      <c r="G25" s="134"/>
    </row>
    <row r="26">
      <c r="A26" s="134"/>
      <c r="B26" s="134"/>
      <c r="C26" s="134"/>
      <c r="D26" s="134"/>
      <c r="E26" s="134"/>
      <c r="F26" s="134"/>
      <c r="G26" s="134"/>
    </row>
    <row r="27">
      <c r="A27" s="134"/>
      <c r="B27" s="134"/>
      <c r="C27" s="134"/>
      <c r="D27" s="134"/>
      <c r="E27" s="134"/>
      <c r="F27" s="134"/>
      <c r="G27" s="134"/>
    </row>
  </sheetData>
  <mergeCells count="2">
    <mergeCell ref="A1:G1"/>
    <mergeCell ref="A2:D14"/>
  </mergeCells>
  <drawing r:id="rId1"/>
</worksheet>
</file>