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fonso\Downloads\"/>
    </mc:Choice>
  </mc:AlternateContent>
  <xr:revisionPtr revIDLastSave="0" documentId="13_ncr:1_{8FAE34B0-D968-4B26-B987-F8BD5730503B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INFO" sheetId="1" r:id="rId1"/>
    <sheet name="Cropani" sheetId="4" r:id="rId2"/>
    <sheet name="Summary table" sheetId="9" r:id="rId3"/>
  </sheets>
  <externalReferences>
    <externalReference r:id="rId4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45" i="9" l="1"/>
  <c r="AA44" i="9"/>
  <c r="X44" i="9"/>
  <c r="AA43" i="9"/>
  <c r="X43" i="9"/>
  <c r="AA42" i="9"/>
  <c r="X42" i="9"/>
  <c r="E17" i="9"/>
  <c r="E19" i="9" s="1"/>
  <c r="C17" i="9"/>
  <c r="C19" i="9" s="1"/>
  <c r="D16" i="9"/>
  <c r="D17" i="9" s="1"/>
  <c r="D19" i="9" s="1"/>
  <c r="E14" i="9"/>
  <c r="D14" i="9"/>
  <c r="C14" i="9"/>
  <c r="E13" i="9"/>
  <c r="D13" i="9"/>
  <c r="C13" i="9"/>
  <c r="E12" i="9"/>
  <c r="D12" i="9"/>
  <c r="C12" i="9"/>
  <c r="E11" i="9"/>
  <c r="D11" i="9"/>
  <c r="C11" i="9"/>
  <c r="E2" i="9"/>
  <c r="D2" i="9"/>
  <c r="C2" i="9"/>
  <c r="AD71" i="4"/>
  <c r="AB71" i="4"/>
  <c r="S71" i="4"/>
  <c r="Q71" i="4"/>
  <c r="H71" i="4"/>
  <c r="F71" i="4"/>
  <c r="AB68" i="4"/>
  <c r="E30" i="9" s="1"/>
  <c r="AA68" i="4"/>
  <c r="Y68" i="4"/>
  <c r="E10" i="9" s="1"/>
  <c r="Q68" i="4"/>
  <c r="AM13" i="4" s="1"/>
  <c r="P68" i="4"/>
  <c r="AL13" i="4" s="1"/>
  <c r="N68" i="4"/>
  <c r="D10" i="9" s="1"/>
  <c r="F68" i="4"/>
  <c r="C30" i="9" s="1"/>
  <c r="E68" i="4"/>
  <c r="C68" i="4"/>
  <c r="C10" i="9" s="1"/>
  <c r="AD67" i="4"/>
  <c r="E37" i="9" s="1"/>
  <c r="AB67" i="4"/>
  <c r="AM21" i="4" s="1"/>
  <c r="AA67" i="4"/>
  <c r="AL21" i="4" s="1"/>
  <c r="Y67" i="4"/>
  <c r="E9" i="9" s="1"/>
  <c r="S67" i="4"/>
  <c r="D37" i="9" s="1"/>
  <c r="Q67" i="4"/>
  <c r="AM12" i="4" s="1"/>
  <c r="P67" i="4"/>
  <c r="AL12" i="4" s="1"/>
  <c r="N67" i="4"/>
  <c r="D9" i="9" s="1"/>
  <c r="H67" i="4"/>
  <c r="C37" i="9" s="1"/>
  <c r="F67" i="4"/>
  <c r="AM3" i="4" s="1"/>
  <c r="E67" i="4"/>
  <c r="AL3" i="4" s="1"/>
  <c r="C67" i="4"/>
  <c r="C9" i="9" s="1"/>
  <c r="AD66" i="4"/>
  <c r="E36" i="9" s="1"/>
  <c r="AC66" i="4"/>
  <c r="AN22" i="4" s="1"/>
  <c r="AB66" i="4"/>
  <c r="E29" i="9" s="1"/>
  <c r="AA66" i="4"/>
  <c r="Y66" i="4"/>
  <c r="E8" i="9" s="1"/>
  <c r="S66" i="4"/>
  <c r="D36" i="9" s="1"/>
  <c r="R66" i="4"/>
  <c r="AN13" i="4" s="1"/>
  <c r="Q66" i="4"/>
  <c r="D29" i="9" s="1"/>
  <c r="P66" i="4"/>
  <c r="AJ18" i="4" s="1"/>
  <c r="N66" i="4"/>
  <c r="D8" i="9" s="1"/>
  <c r="H66" i="4"/>
  <c r="C36" i="9" s="1"/>
  <c r="G66" i="4"/>
  <c r="AN4" i="4" s="1"/>
  <c r="F66" i="4"/>
  <c r="C29" i="9" s="1"/>
  <c r="E66" i="4"/>
  <c r="C66" i="4"/>
  <c r="C8" i="9" s="1"/>
  <c r="AD65" i="4"/>
  <c r="E35" i="9" s="1"/>
  <c r="AC65" i="4"/>
  <c r="AB65" i="4"/>
  <c r="AK26" i="4" s="1"/>
  <c r="AA65" i="4"/>
  <c r="S65" i="4"/>
  <c r="D35" i="9" s="1"/>
  <c r="R65" i="4"/>
  <c r="AN12" i="4" s="1"/>
  <c r="Q65" i="4"/>
  <c r="AK17" i="4" s="1"/>
  <c r="P65" i="4"/>
  <c r="AJ17" i="4" s="1"/>
  <c r="H65" i="4"/>
  <c r="C35" i="9" s="1"/>
  <c r="G65" i="4"/>
  <c r="AN3" i="4" s="1"/>
  <c r="F65" i="4"/>
  <c r="AK8" i="4" s="1"/>
  <c r="E65" i="4"/>
  <c r="AD64" i="4"/>
  <c r="E34" i="9" s="1"/>
  <c r="AC64" i="4"/>
  <c r="AB64" i="4"/>
  <c r="E28" i="9" s="1"/>
  <c r="AA64" i="4"/>
  <c r="AJ25" i="4" s="1"/>
  <c r="S64" i="4"/>
  <c r="D34" i="9" s="1"/>
  <c r="R64" i="4"/>
  <c r="Q64" i="4"/>
  <c r="D28" i="9" s="1"/>
  <c r="P64" i="4"/>
  <c r="AJ16" i="4" s="1"/>
  <c r="H64" i="4"/>
  <c r="C34" i="9" s="1"/>
  <c r="G64" i="4"/>
  <c r="AL9" i="4" s="1"/>
  <c r="F64" i="4"/>
  <c r="C28" i="9" s="1"/>
  <c r="E64" i="4"/>
  <c r="AJ7" i="4" s="1"/>
  <c r="AD63" i="4"/>
  <c r="E33" i="9" s="1"/>
  <c r="AC63" i="4"/>
  <c r="AL26" i="4" s="1"/>
  <c r="AB63" i="4"/>
  <c r="E27" i="9" s="1"/>
  <c r="AA63" i="4"/>
  <c r="AJ24" i="4" s="1"/>
  <c r="S63" i="4"/>
  <c r="D33" i="9" s="1"/>
  <c r="R63" i="4"/>
  <c r="AL17" i="4" s="1"/>
  <c r="Q63" i="4"/>
  <c r="D27" i="9" s="1"/>
  <c r="P63" i="4"/>
  <c r="AJ15" i="4" s="1"/>
  <c r="H63" i="4"/>
  <c r="C33" i="9" s="1"/>
  <c r="G63" i="4"/>
  <c r="AL8" i="4" s="1"/>
  <c r="F63" i="4"/>
  <c r="AK6" i="4" s="1"/>
  <c r="E63" i="4"/>
  <c r="AJ6" i="4" s="1"/>
  <c r="AD62" i="4"/>
  <c r="E32" i="9" s="1"/>
  <c r="AC62" i="4"/>
  <c r="AL25" i="4" s="1"/>
  <c r="AB62" i="4"/>
  <c r="E26" i="9" s="1"/>
  <c r="AA62" i="4"/>
  <c r="AJ23" i="4" s="1"/>
  <c r="S62" i="4"/>
  <c r="D32" i="9" s="1"/>
  <c r="R62" i="4"/>
  <c r="AL16" i="4" s="1"/>
  <c r="Q62" i="4"/>
  <c r="D26" i="9" s="1"/>
  <c r="P62" i="4"/>
  <c r="H62" i="4"/>
  <c r="C32" i="9" s="1"/>
  <c r="G62" i="4"/>
  <c r="AL7" i="4" s="1"/>
  <c r="F62" i="4"/>
  <c r="C26" i="9" s="1"/>
  <c r="E62" i="4"/>
  <c r="AJ5" i="4" s="1"/>
  <c r="AD61" i="4"/>
  <c r="E31" i="9" s="1"/>
  <c r="AC61" i="4"/>
  <c r="AB61" i="4"/>
  <c r="E25" i="9" s="1"/>
  <c r="AA61" i="4"/>
  <c r="AJ22" i="4" s="1"/>
  <c r="S61" i="4"/>
  <c r="AM15" i="4" s="1"/>
  <c r="R61" i="4"/>
  <c r="AL15" i="4" s="1"/>
  <c r="Q61" i="4"/>
  <c r="D25" i="9" s="1"/>
  <c r="P61" i="4"/>
  <c r="AJ13" i="4" s="1"/>
  <c r="H61" i="4"/>
  <c r="C31" i="9" s="1"/>
  <c r="G61" i="4"/>
  <c r="AL6" i="4" s="1"/>
  <c r="F61" i="4"/>
  <c r="C25" i="9" s="1"/>
  <c r="E61" i="4"/>
  <c r="AJ4" i="4" s="1"/>
  <c r="AD60" i="4"/>
  <c r="AM23" i="4" s="1"/>
  <c r="AC60" i="4"/>
  <c r="AL23" i="4" s="1"/>
  <c r="AB60" i="4"/>
  <c r="E24" i="9" s="1"/>
  <c r="AA60" i="4"/>
  <c r="AJ21" i="4" s="1"/>
  <c r="S60" i="4"/>
  <c r="AM14" i="4" s="1"/>
  <c r="R60" i="4"/>
  <c r="Q60" i="4"/>
  <c r="D24" i="9" s="1"/>
  <c r="P60" i="4"/>
  <c r="AJ12" i="4" s="1"/>
  <c r="H60" i="4"/>
  <c r="AM5" i="4" s="1"/>
  <c r="G60" i="4"/>
  <c r="AL5" i="4" s="1"/>
  <c r="F60" i="4"/>
  <c r="C24" i="9" s="1"/>
  <c r="E60" i="4"/>
  <c r="AJ3" i="4" s="1"/>
  <c r="X59" i="4"/>
  <c r="M59" i="4"/>
  <c r="B59" i="4"/>
  <c r="AB44" i="4"/>
  <c r="Y65" i="4" s="1"/>
  <c r="E7" i="9" s="1"/>
  <c r="Q44" i="4"/>
  <c r="N65" i="4" s="1"/>
  <c r="D7" i="9" s="1"/>
  <c r="F44" i="4"/>
  <c r="AB43" i="4"/>
  <c r="Y64" i="4" s="1"/>
  <c r="E6" i="9" s="1"/>
  <c r="Q43" i="4"/>
  <c r="N64" i="4" s="1"/>
  <c r="D6" i="9" s="1"/>
  <c r="F43" i="4"/>
  <c r="C64" i="4" s="1"/>
  <c r="C6" i="9" s="1"/>
  <c r="AB42" i="4"/>
  <c r="Q42" i="4"/>
  <c r="F42" i="4"/>
  <c r="AB41" i="4"/>
  <c r="Q41" i="4"/>
  <c r="F41" i="4"/>
  <c r="AB40" i="4"/>
  <c r="Q40" i="4"/>
  <c r="F40" i="4"/>
  <c r="AB39" i="4"/>
  <c r="Q39" i="4"/>
  <c r="F39" i="4"/>
  <c r="AL27" i="4"/>
  <c r="AK27" i="4"/>
  <c r="AJ27" i="4"/>
  <c r="AQ26" i="4"/>
  <c r="AJ26" i="4"/>
  <c r="AQ25" i="4"/>
  <c r="AP25" i="4"/>
  <c r="AM25" i="4"/>
  <c r="AQ24" i="4"/>
  <c r="AP24" i="4"/>
  <c r="AL24" i="4"/>
  <c r="AQ23" i="4"/>
  <c r="AP23" i="4"/>
  <c r="AO23" i="4"/>
  <c r="AN23" i="4"/>
  <c r="AQ22" i="4"/>
  <c r="AP22" i="4"/>
  <c r="AM22" i="4"/>
  <c r="AL22" i="4"/>
  <c r="AQ21" i="4"/>
  <c r="AN21" i="4"/>
  <c r="AH19" i="4"/>
  <c r="AL18" i="4"/>
  <c r="AM17" i="4"/>
  <c r="AQ16" i="4"/>
  <c r="AP16" i="4"/>
  <c r="AQ15" i="4"/>
  <c r="AP15" i="4"/>
  <c r="AQ14" i="4"/>
  <c r="AP14" i="4"/>
  <c r="AN14" i="4"/>
  <c r="AL14" i="4"/>
  <c r="AJ14" i="4"/>
  <c r="AQ13" i="4"/>
  <c r="AP13" i="4"/>
  <c r="F13" i="4"/>
  <c r="AQ12" i="4"/>
  <c r="AO12" i="4"/>
  <c r="Q12" i="4"/>
  <c r="F12" i="4"/>
  <c r="AH10" i="4"/>
  <c r="AB10" i="4"/>
  <c r="AM9" i="4"/>
  <c r="AK9" i="4"/>
  <c r="AJ9" i="4"/>
  <c r="AJ8" i="4"/>
  <c r="AB8" i="4"/>
  <c r="AQ7" i="4"/>
  <c r="AP7" i="4"/>
  <c r="AM7" i="4"/>
  <c r="AB7" i="4"/>
  <c r="Q7" i="4"/>
  <c r="AQ6" i="4"/>
  <c r="AP6" i="4"/>
  <c r="AB6" i="4"/>
  <c r="AQ5" i="4"/>
  <c r="AP5" i="4"/>
  <c r="AO5" i="4"/>
  <c r="AN5" i="4"/>
  <c r="AQ4" i="4"/>
  <c r="AP4" i="4"/>
  <c r="AL4" i="4"/>
  <c r="X4" i="4"/>
  <c r="M4" i="4"/>
  <c r="U72" i="4" s="1"/>
  <c r="B4" i="4"/>
  <c r="J72" i="4" s="1"/>
  <c r="AQ3" i="4"/>
  <c r="AD2" i="4"/>
  <c r="E22" i="9" s="1"/>
  <c r="S2" i="4"/>
  <c r="D22" i="9" s="1"/>
  <c r="H2" i="4"/>
  <c r="C22" i="9" s="1"/>
  <c r="AH1" i="4"/>
  <c r="B24" i="1"/>
  <c r="B28" i="1" s="1"/>
  <c r="D15" i="1"/>
  <c r="D14" i="1"/>
  <c r="D13" i="1"/>
  <c r="AM18" i="4" l="1"/>
  <c r="AO13" i="4"/>
  <c r="AM4" i="4"/>
  <c r="AM8" i="4"/>
  <c r="AO14" i="4"/>
  <c r="C72" i="4"/>
  <c r="AO3" i="4"/>
  <c r="AM6" i="4"/>
  <c r="AK22" i="4"/>
  <c r="AC72" i="4"/>
  <c r="AK12" i="4"/>
  <c r="AK15" i="4"/>
  <c r="AM26" i="4"/>
  <c r="AK4" i="4"/>
  <c r="G72" i="4"/>
  <c r="AK13" i="4"/>
  <c r="AK5" i="4"/>
  <c r="AK21" i="4"/>
  <c r="AQ9" i="4"/>
  <c r="AK16" i="4"/>
  <c r="D30" i="9"/>
  <c r="D31" i="9"/>
  <c r="C18" i="9"/>
  <c r="AM16" i="4"/>
  <c r="Y4" i="4"/>
  <c r="E21" i="9" s="1"/>
  <c r="D18" i="9"/>
  <c r="D20" i="9" s="1"/>
  <c r="E18" i="9"/>
  <c r="E20" i="9" s="1"/>
  <c r="C27" i="9"/>
  <c r="AQ8" i="4"/>
  <c r="AQ18" i="4"/>
  <c r="F72" i="4"/>
  <c r="C4" i="4"/>
  <c r="C21" i="9" s="1"/>
  <c r="I72" i="4"/>
  <c r="C65" i="4"/>
  <c r="C7" i="9" s="1"/>
  <c r="N4" i="4"/>
  <c r="D21" i="9" s="1"/>
  <c r="AA72" i="4"/>
  <c r="AM27" i="4"/>
  <c r="AF72" i="4"/>
  <c r="C20" i="9"/>
  <c r="C27" i="1"/>
  <c r="C25" i="1"/>
  <c r="C26" i="1"/>
  <c r="Q6" i="4"/>
  <c r="Q8" i="4"/>
  <c r="AB9" i="4"/>
  <c r="AK18" i="4"/>
  <c r="AO4" i="4"/>
  <c r="AB12" i="4"/>
  <c r="Q13" i="4"/>
  <c r="AK24" i="4"/>
  <c r="AB13" i="4"/>
  <c r="F14" i="4"/>
  <c r="AQ17" i="4"/>
  <c r="AO22" i="4"/>
  <c r="AM24" i="4"/>
  <c r="H72" i="4"/>
  <c r="AB14" i="4"/>
  <c r="C24" i="1"/>
  <c r="N72" i="4"/>
  <c r="F11" i="4"/>
  <c r="Q72" i="4"/>
  <c r="Q11" i="4"/>
  <c r="AK23" i="4"/>
  <c r="AK25" i="4"/>
  <c r="AQ27" i="4"/>
  <c r="S72" i="4"/>
  <c r="AK7" i="4"/>
  <c r="AB11" i="4"/>
  <c r="E72" i="4"/>
  <c r="D72" i="4"/>
  <c r="B72" i="4"/>
  <c r="Z72" i="4"/>
  <c r="AO21" i="4"/>
  <c r="T72" i="4"/>
  <c r="R72" i="4"/>
  <c r="P72" i="4"/>
  <c r="O72" i="4"/>
  <c r="M72" i="4"/>
  <c r="AB72" i="4"/>
  <c r="Q14" i="4"/>
  <c r="F9" i="4"/>
  <c r="F10" i="4"/>
  <c r="AK3" i="4"/>
  <c r="Y72" i="4"/>
  <c r="X72" i="4"/>
  <c r="AE72" i="4"/>
  <c r="F6" i="4"/>
  <c r="F7" i="4"/>
  <c r="F8" i="4"/>
  <c r="Q9" i="4"/>
  <c r="Q10" i="4"/>
  <c r="AK14" i="4"/>
  <c r="AD72" i="4"/>
  <c r="E23" i="9" l="1"/>
  <c r="C23" i="9"/>
  <c r="D23" i="9"/>
  <c r="C28" i="1"/>
  <c r="AB15" i="4"/>
  <c r="Q15" i="4"/>
  <c r="F15" i="4"/>
  <c r="AB17" i="4"/>
  <c r="Y63" i="4" s="1"/>
  <c r="Q17" i="4"/>
  <c r="P71" i="4" s="1"/>
  <c r="F17" i="4"/>
  <c r="C63" i="4" s="1"/>
  <c r="AB16" i="4"/>
  <c r="Q16" i="4"/>
  <c r="N60" i="4" s="1"/>
  <c r="D3" i="9" s="1"/>
  <c r="F16" i="4"/>
  <c r="C60" i="4" s="1"/>
  <c r="C3" i="9" s="1"/>
  <c r="F18" i="4"/>
  <c r="C62" i="4" s="1"/>
  <c r="AB18" i="4"/>
  <c r="Q18" i="4"/>
  <c r="N62" i="4" s="1"/>
  <c r="M71" i="4" l="1"/>
  <c r="C5" i="9"/>
  <c r="D71" i="4"/>
  <c r="X71" i="4"/>
  <c r="Y60" i="4"/>
  <c r="E3" i="9" s="1"/>
  <c r="E71" i="4"/>
  <c r="B71" i="4"/>
  <c r="N71" i="4"/>
  <c r="N61" i="4"/>
  <c r="O71" i="4"/>
  <c r="N63" i="4"/>
  <c r="D5" i="9" s="1"/>
  <c r="Y61" i="4"/>
  <c r="E4" i="9" s="1"/>
  <c r="Y71" i="4"/>
  <c r="Y62" i="4"/>
  <c r="E5" i="9" s="1"/>
  <c r="Z71" i="4"/>
  <c r="C71" i="4"/>
  <c r="C61" i="4"/>
  <c r="C4" i="9" s="1"/>
  <c r="AA71" i="4"/>
  <c r="AI18" i="4" l="1"/>
  <c r="D4" i="9"/>
  <c r="AI4" i="4"/>
  <c r="AI22" i="4"/>
  <c r="AI16" i="4"/>
  <c r="AI14" i="4"/>
  <c r="AI13" i="4"/>
  <c r="AI15" i="4"/>
  <c r="AI5" i="4"/>
  <c r="AI17" i="4"/>
  <c r="AI12" i="4"/>
  <c r="AI23" i="4"/>
  <c r="AI9" i="4"/>
  <c r="AI3" i="4"/>
  <c r="AI6" i="4"/>
  <c r="AI26" i="4"/>
  <c r="AI21" i="4"/>
  <c r="AI24" i="4"/>
  <c r="AI27" i="4"/>
  <c r="AI25" i="4"/>
  <c r="AI7" i="4"/>
  <c r="AI8" i="4"/>
  <c r="AR18" i="4" l="1"/>
  <c r="AR9" i="4"/>
  <c r="AR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Sara Mattei:
</t>
        </r>
        <r>
          <rPr>
            <sz val="9"/>
            <color rgb="FF000000"/>
            <rFont val="Tahoma"/>
            <family val="2"/>
            <charset val="1"/>
          </rPr>
          <t xml:space="preserve">densità non ingombranti
</t>
        </r>
      </text>
    </comment>
    <comment ref="N4" authorId="0" shapeId="0" xr:uid="{00000000-0006-0000-03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Sara Mattei:
</t>
        </r>
        <r>
          <rPr>
            <sz val="9"/>
            <color rgb="FF000000"/>
            <rFont val="Tahoma"/>
            <family val="2"/>
            <charset val="1"/>
          </rPr>
          <t xml:space="preserve">densità non ingombranti
</t>
        </r>
      </text>
    </comment>
    <comment ref="Y4" authorId="0" shapeId="0" xr:uid="{00000000-0006-0000-0300-00000F000000}">
      <text>
        <r>
          <rPr>
            <b/>
            <sz val="9"/>
            <color rgb="FF000000"/>
            <rFont val="Tahoma"/>
            <family val="2"/>
            <charset val="1"/>
          </rPr>
          <t xml:space="preserve">Sara Mattei:
</t>
        </r>
        <r>
          <rPr>
            <sz val="9"/>
            <color rgb="FF000000"/>
            <rFont val="Tahoma"/>
            <family val="2"/>
            <charset val="1"/>
          </rPr>
          <t xml:space="preserve">densità non ingombranti
</t>
        </r>
      </text>
    </comment>
  </commentList>
</comments>
</file>

<file path=xl/sharedStrings.xml><?xml version="1.0" encoding="utf-8"?>
<sst xmlns="http://schemas.openxmlformats.org/spreadsheetml/2006/main" count="595" uniqueCount="157">
  <si>
    <t>https://www.cdcraee.it/wp-content/uploads/2021/08/RAEE_FRIGORIFERI.pdf</t>
  </si>
  <si>
    <t>Tipologia</t>
  </si>
  <si>
    <t>tracce</t>
  </si>
  <si>
    <t>resti di materiali abbandonati</t>
  </si>
  <si>
    <t>molto piccolo</t>
  </si>
  <si>
    <t>uno&lt;due elementi di piccole dimensioni o parte molto ristretta con materiali abbandonati</t>
  </si>
  <si>
    <t>piccolo</t>
  </si>
  <si>
    <t xml:space="preserve">oggetti abbandonati in piccole quantità </t>
  </si>
  <si>
    <t>medio</t>
  </si>
  <si>
    <t>consistente mucchio o un area maggione di 2mq</t>
  </si>
  <si>
    <t>grande</t>
  </si>
  <si>
    <t>grande mucchio o distesa</t>
  </si>
  <si>
    <t>Steel</t>
  </si>
  <si>
    <t>AL</t>
  </si>
  <si>
    <t>PL</t>
  </si>
  <si>
    <t>Plastic</t>
  </si>
  <si>
    <t>Glass</t>
  </si>
  <si>
    <t>Metals</t>
  </si>
  <si>
    <t>Wood</t>
  </si>
  <si>
    <t>Paper</t>
  </si>
  <si>
    <t>Televisore</t>
  </si>
  <si>
    <t>vetro</t>
  </si>
  <si>
    <t>steel</t>
  </si>
  <si>
    <t>Comune</t>
  </si>
  <si>
    <t>altezza cumulo</t>
  </si>
  <si>
    <t>cm</t>
  </si>
  <si>
    <t>Peso ingombranti</t>
  </si>
  <si>
    <t>Material</t>
  </si>
  <si>
    <t>Objects</t>
  </si>
  <si>
    <t>Dettagli</t>
  </si>
  <si>
    <t>Nome</t>
  </si>
  <si>
    <t>combustione</t>
  </si>
  <si>
    <t>no</t>
  </si>
  <si>
    <t>dubbia</t>
  </si>
  <si>
    <t>bonifica</t>
  </si>
  <si>
    <t>substrato</t>
  </si>
  <si>
    <t>suolo</t>
  </si>
  <si>
    <t>Volume</t>
  </si>
  <si>
    <t>battistrada</t>
  </si>
  <si>
    <t>GL</t>
  </si>
  <si>
    <t>Rifiuto</t>
  </si>
  <si>
    <t>% vol</t>
  </si>
  <si>
    <t>numero</t>
  </si>
  <si>
    <t>tipologia</t>
  </si>
  <si>
    <t>materiale</t>
  </si>
  <si>
    <t>densità</t>
  </si>
  <si>
    <t>Peso</t>
  </si>
  <si>
    <t>M</t>
  </si>
  <si>
    <t>Ingombranti</t>
  </si>
  <si>
    <t>lavatrice</t>
  </si>
  <si>
    <t>W</t>
  </si>
  <si>
    <t>PA</t>
  </si>
  <si>
    <t>T</t>
  </si>
  <si>
    <t>volume</t>
  </si>
  <si>
    <t>frigorifero</t>
  </si>
  <si>
    <t>In</t>
  </si>
  <si>
    <t>forno</t>
  </si>
  <si>
    <t>televisore</t>
  </si>
  <si>
    <t>scaldabagno</t>
  </si>
  <si>
    <t>mobile</t>
  </si>
  <si>
    <t>secchio</t>
  </si>
  <si>
    <t>sedie</t>
  </si>
  <si>
    <t>materasso</t>
  </si>
  <si>
    <t>brandina</t>
  </si>
  <si>
    <t>divano</t>
  </si>
  <si>
    <t>Scatoloni</t>
  </si>
  <si>
    <t>cartone</t>
  </si>
  <si>
    <t>Buste visibili</t>
  </si>
  <si>
    <t>Organic f</t>
  </si>
  <si>
    <t>Texile</t>
  </si>
  <si>
    <t>wood</t>
  </si>
  <si>
    <t>Buste non visibili, rifiuto domestico</t>
  </si>
  <si>
    <t>C&amp;D</t>
  </si>
  <si>
    <t>terra</t>
  </si>
  <si>
    <t>calcinaccio</t>
  </si>
  <si>
    <t>sanitari</t>
  </si>
  <si>
    <t>tubi</t>
  </si>
  <si>
    <t>PVC/PL</t>
  </si>
  <si>
    <t>guaina</t>
  </si>
  <si>
    <t>lamiere</t>
  </si>
  <si>
    <t>eternit</t>
  </si>
  <si>
    <t>stradale</t>
  </si>
  <si>
    <t>bottiglie 1</t>
  </si>
  <si>
    <t>bottiglie 2</t>
  </si>
  <si>
    <t>lattine</t>
  </si>
  <si>
    <t>cartacce</t>
  </si>
  <si>
    <t>sfalci</t>
  </si>
  <si>
    <t>Of</t>
  </si>
  <si>
    <t>resti bruciati</t>
  </si>
  <si>
    <t>Composizione totale</t>
  </si>
  <si>
    <t>Elementi riconoscibili</t>
  </si>
  <si>
    <t>Al</t>
  </si>
  <si>
    <t>buste</t>
  </si>
  <si>
    <t>OF</t>
  </si>
  <si>
    <t>Entità</t>
  </si>
  <si>
    <t>peso in ingombranti [kg]</t>
  </si>
  <si>
    <t>densità specifica Noing [kg/m3 NIng]</t>
  </si>
  <si>
    <t>SITO O2</t>
  </si>
  <si>
    <t>SITO O3</t>
  </si>
  <si>
    <t>SITO O4</t>
  </si>
  <si>
    <t>Cropani</t>
  </si>
  <si>
    <t>O2</t>
  </si>
  <si>
    <t>O3</t>
  </si>
  <si>
    <t>O4</t>
  </si>
  <si>
    <t>Nome sito</t>
  </si>
  <si>
    <t>Materiali</t>
  </si>
  <si>
    <t>Plastica</t>
  </si>
  <si>
    <t>Vetro</t>
  </si>
  <si>
    <t>Metallo</t>
  </si>
  <si>
    <t>Legno</t>
  </si>
  <si>
    <t>Carta</t>
  </si>
  <si>
    <t>Tessile</t>
  </si>
  <si>
    <t xml:space="preserve">Inerte </t>
  </si>
  <si>
    <t>Frazione Organica</t>
  </si>
  <si>
    <t>Area [m2]</t>
  </si>
  <si>
    <t>Altezza [cm]</t>
  </si>
  <si>
    <t>Altezza [m]</t>
  </si>
  <si>
    <t>% volume ingombranti</t>
  </si>
  <si>
    <t>Volume tot [m3]</t>
  </si>
  <si>
    <t>Volume non-ingombranti</t>
  </si>
  <si>
    <t>densità non-ingombranti[kg/m3]</t>
  </si>
  <si>
    <t>peso ingombranti [kg]</t>
  </si>
  <si>
    <t>peso [kg]</t>
  </si>
  <si>
    <t>Sellia</t>
  </si>
  <si>
    <t>ingombranti</t>
  </si>
  <si>
    <t>washing machine</t>
  </si>
  <si>
    <t>fridge</t>
  </si>
  <si>
    <t>oven</t>
  </si>
  <si>
    <t>TV</t>
  </si>
  <si>
    <t>hot water heater</t>
  </si>
  <si>
    <t>bucket</t>
  </si>
  <si>
    <t>mattress</t>
  </si>
  <si>
    <t>papaerboard</t>
  </si>
  <si>
    <t>sofa</t>
  </si>
  <si>
    <t>bathroom fixture</t>
  </si>
  <si>
    <t>pipes</t>
  </si>
  <si>
    <t>insulation sheath</t>
  </si>
  <si>
    <t>metal sheet</t>
  </si>
  <si>
    <t>garbage bags</t>
  </si>
  <si>
    <t>Aluminium</t>
  </si>
  <si>
    <t>Textile</t>
  </si>
  <si>
    <t>Inert</t>
  </si>
  <si>
    <t>Organic Fraction</t>
  </si>
  <si>
    <t>G</t>
  </si>
  <si>
    <t>Municipality</t>
  </si>
  <si>
    <t>Site</t>
  </si>
  <si>
    <t>Materials % [kg]</t>
  </si>
  <si>
    <t>Details</t>
  </si>
  <si>
    <t>plastic</t>
  </si>
  <si>
    <t>Height [m]</t>
  </si>
  <si>
    <t>Volume [m3]</t>
  </si>
  <si>
    <t>Weight [kg]</t>
  </si>
  <si>
    <t>Decontamination</t>
  </si>
  <si>
    <t>Transfer station</t>
  </si>
  <si>
    <t>Group</t>
  </si>
  <si>
    <t>Distance [km]</t>
  </si>
  <si>
    <t>C&amp;D and waste tires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</si>
</sst>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3CDDD"/>
        <bgColor rgb="FF99CCFF"/>
      </patternFill>
    </fill>
    <fill>
      <patternFill patternType="solid">
        <fgColor rgb="FFFCD5B5"/>
        <bgColor rgb="FFF2DCDB"/>
      </patternFill>
    </fill>
    <fill>
      <patternFill patternType="solid">
        <fgColor rgb="FFFDEADA"/>
        <bgColor rgb="FFF2DCDB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6" fillId="0" borderId="0" applyBorder="0" applyProtection="0"/>
    <xf numFmtId="0" fontId="1" fillId="0" borderId="0" applyBorder="0" applyProtection="0"/>
  </cellStyleXfs>
  <cellXfs count="71">
    <xf numFmtId="0" fontId="0" fillId="0" borderId="0" xfId="0"/>
    <xf numFmtId="0" fontId="1" fillId="0" borderId="0" xfId="2" applyBorder="1" applyProtection="1"/>
    <xf numFmtId="10" fontId="6" fillId="0" borderId="0" xfId="1" applyNumberFormat="1" applyBorder="1" applyProtection="1"/>
    <xf numFmtId="0" fontId="2" fillId="0" borderId="0" xfId="0" applyFont="1"/>
    <xf numFmtId="164" fontId="6" fillId="0" borderId="0" xfId="1" applyNumberFormat="1" applyBorder="1" applyProtection="1"/>
    <xf numFmtId="164" fontId="0" fillId="0" borderId="0" xfId="0" applyNumberFormat="1"/>
    <xf numFmtId="9" fontId="6" fillId="0" borderId="0" xfId="1" applyBorder="1" applyProtection="1"/>
    <xf numFmtId="9" fontId="0" fillId="0" borderId="0" xfId="0" applyNumberFormat="1"/>
    <xf numFmtId="0" fontId="2" fillId="0" borderId="3" xfId="0" applyFont="1" applyBorder="1"/>
    <xf numFmtId="10" fontId="0" fillId="0" borderId="3" xfId="0" applyNumberFormat="1" applyBorder="1"/>
    <xf numFmtId="0" fontId="0" fillId="0" borderId="3" xfId="0" applyBorder="1"/>
    <xf numFmtId="0" fontId="0" fillId="0" borderId="4" xfId="0" applyBorder="1"/>
    <xf numFmtId="2" fontId="0" fillId="0" borderId="0" xfId="0" applyNumberFormat="1"/>
    <xf numFmtId="0" fontId="2" fillId="0" borderId="5" xfId="0" applyFont="1" applyBorder="1"/>
    <xf numFmtId="1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/>
    <xf numFmtId="10" fontId="0" fillId="0" borderId="7" xfId="0" applyNumberFormat="1" applyBorder="1"/>
    <xf numFmtId="0" fontId="2" fillId="0" borderId="2" xfId="0" applyFont="1" applyBorder="1"/>
    <xf numFmtId="10" fontId="0" fillId="0" borderId="2" xfId="0" applyNumberFormat="1" applyBorder="1"/>
    <xf numFmtId="0" fontId="0" fillId="0" borderId="2" xfId="0" applyBorder="1"/>
    <xf numFmtId="0" fontId="0" fillId="0" borderId="10" xfId="0" applyBorder="1"/>
    <xf numFmtId="10" fontId="0" fillId="0" borderId="0" xfId="0" applyNumberFormat="1"/>
    <xf numFmtId="0" fontId="0" fillId="0" borderId="8" xfId="0" applyBorder="1"/>
    <xf numFmtId="9" fontId="0" fillId="0" borderId="7" xfId="0" applyNumberFormat="1" applyBorder="1"/>
    <xf numFmtId="0" fontId="0" fillId="0" borderId="11" xfId="0" applyBorder="1"/>
    <xf numFmtId="9" fontId="2" fillId="0" borderId="0" xfId="1" applyFont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0" fillId="0" borderId="9" xfId="0" applyBorder="1"/>
    <xf numFmtId="9" fontId="2" fillId="0" borderId="0" xfId="1" applyFont="1" applyBorder="1" applyProtection="1"/>
    <xf numFmtId="0" fontId="0" fillId="0" borderId="6" xfId="0" applyBorder="1" applyAlignment="1">
      <alignment horizontal="center" vertical="center" wrapText="1"/>
    </xf>
    <xf numFmtId="0" fontId="0" fillId="0" borderId="12" xfId="0" applyBorder="1"/>
    <xf numFmtId="9" fontId="2" fillId="0" borderId="0" xfId="0" applyNumberFormat="1" applyFont="1"/>
    <xf numFmtId="10" fontId="6" fillId="0" borderId="11" xfId="1" applyNumberFormat="1" applyBorder="1" applyProtection="1"/>
    <xf numFmtId="0" fontId="3" fillId="0" borderId="6" xfId="0" applyFont="1" applyBorder="1" applyAlignment="1">
      <alignment horizontal="center" vertical="center" wrapText="1"/>
    </xf>
    <xf numFmtId="9" fontId="2" fillId="0" borderId="13" xfId="1" applyFont="1" applyBorder="1" applyAlignment="1" applyProtection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2" fillId="0" borderId="0" xfId="0" applyFont="1" applyAlignment="1">
      <alignment vertical="center" wrapText="1"/>
    </xf>
    <xf numFmtId="0" fontId="2" fillId="0" borderId="16" xfId="0" applyFont="1" applyBorder="1"/>
    <xf numFmtId="0" fontId="2" fillId="0" borderId="17" xfId="0" applyFont="1" applyBorder="1"/>
    <xf numFmtId="0" fontId="0" fillId="2" borderId="7" xfId="0" applyFill="1" applyBorder="1"/>
    <xf numFmtId="0" fontId="0" fillId="2" borderId="0" xfId="0" applyFill="1"/>
    <xf numFmtId="9" fontId="6" fillId="0" borderId="7" xfId="1" applyBorder="1" applyProtection="1"/>
    <xf numFmtId="0" fontId="0" fillId="3" borderId="7" xfId="0" applyFill="1" applyBorder="1"/>
    <xf numFmtId="0" fontId="0" fillId="3" borderId="0" xfId="0" applyFill="1"/>
    <xf numFmtId="9" fontId="6" fillId="4" borderId="7" xfId="1" applyFill="1" applyBorder="1" applyProtection="1"/>
    <xf numFmtId="0" fontId="0" fillId="4" borderId="7" xfId="0" applyFill="1" applyBorder="1"/>
    <xf numFmtId="0" fontId="7" fillId="0" borderId="0" xfId="0" applyFont="1"/>
    <xf numFmtId="10" fontId="7" fillId="0" borderId="0" xfId="0" applyNumberFormat="1" applyFont="1"/>
    <xf numFmtId="9" fontId="7" fillId="0" borderId="0" xfId="1" applyFont="1" applyBorder="1" applyProtection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C16C4B"/>
      <rgbColor rgb="FF00FF00"/>
      <rgbColor rgb="FF0000FF"/>
      <rgbColor rgb="FFFFFF00"/>
      <rgbColor rgb="FFD06F6B"/>
      <rgbColor rgb="FF00FFFF"/>
      <rgbColor rgb="FF800000"/>
      <rgbColor rgb="FF738655"/>
      <rgbColor rgb="FF000080"/>
      <rgbColor rgb="FF60782D"/>
      <rgbColor rgb="FF7F60A4"/>
      <rgbColor rgb="FF226C80"/>
      <rgbColor rgb="FF93CDDD"/>
      <rgbColor rgb="FF8B8B8B"/>
      <rgbColor rgb="FF83A5D0"/>
      <rgbColor rgb="FF885352"/>
      <rgbColor rgb="FFFDEADA"/>
      <rgbColor rgb="FF688FC4"/>
      <rgbColor rgb="FF660066"/>
      <rgbColor rgb="FFD38382"/>
      <rgbColor rgb="FF376092"/>
      <rgbColor rgb="FFD4E3F4"/>
      <rgbColor rgb="FF000080"/>
      <rgbColor rgb="FFFF00FF"/>
      <rgbColor rgb="FFFFFF00"/>
      <rgbColor rgb="FF00FFFF"/>
      <rgbColor rgb="FFC76866"/>
      <rgbColor rgb="FF800000"/>
      <rgbColor rgb="FF4F81BD"/>
      <rgbColor rgb="FF0000FF"/>
      <rgbColor rgb="FF65B5CC"/>
      <rgbColor rgb="FFCCFFFF"/>
      <rgbColor rgb="FFF2DCDB"/>
      <rgbColor rgb="FFFFFF99"/>
      <rgbColor rgb="FF99CCFF"/>
      <rgbColor rgb="FFFAA163"/>
      <rgbColor rgb="FF6E99CE"/>
      <rgbColor rgb="FFFCD5B5"/>
      <rgbColor rgb="FF487FC1"/>
      <rgbColor rgb="FF44AFCC"/>
      <rgbColor rgb="FF9CBF54"/>
      <rgbColor rgb="FFA6C26F"/>
      <rgbColor rgb="FFFF943D"/>
      <rgbColor rgb="FFBD5500"/>
      <rgbColor rgb="FF536685"/>
      <rgbColor rgb="FF8E77AC"/>
      <rgbColor rgb="FF274C78"/>
      <rgbColor rgb="FF517C8C"/>
      <rgbColor rgb="FF003300"/>
      <rgbColor rgb="FF665B76"/>
      <rgbColor rgb="FF7A2825"/>
      <rgbColor rgb="FFC54A47"/>
      <rgbColor rgb="FF1F497D"/>
      <rgbColor rgb="FF4C386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15120</xdr:rowOff>
    </xdr:from>
    <xdr:to>
      <xdr:col>6</xdr:col>
      <xdr:colOff>367560</xdr:colOff>
      <xdr:row>11</xdr:row>
      <xdr:rowOff>117360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8000"/>
          <a:ext cx="3987000" cy="1931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22" name="_x0000_t202" hidden="1">
          <a:extLst>
            <a:ext uri="{FF2B5EF4-FFF2-40B4-BE49-F238E27FC236}">
              <a16:creationId xmlns:a16="http://schemas.microsoft.com/office/drawing/2014/main" id="{00000000-0008-0000-0300-00007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20" name="_x0000_t202" hidden="1">
          <a:extLst>
            <a:ext uri="{FF2B5EF4-FFF2-40B4-BE49-F238E27FC236}">
              <a16:creationId xmlns:a16="http://schemas.microsoft.com/office/drawing/2014/main" id="{00000000-0008-0000-0300-00007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8" name="_x0000_t202" hidden="1">
          <a:extLst>
            <a:ext uri="{FF2B5EF4-FFF2-40B4-BE49-F238E27FC236}">
              <a16:creationId xmlns:a16="http://schemas.microsoft.com/office/drawing/2014/main" id="{00000000-0008-0000-0300-00007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6" name="_x0000_t202" hidden="1">
          <a:extLst>
            <a:ext uri="{FF2B5EF4-FFF2-40B4-BE49-F238E27FC236}">
              <a16:creationId xmlns:a16="http://schemas.microsoft.com/office/drawing/2014/main" id="{00000000-0008-0000-0300-00007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4" name="_x0000_t202" hidden="1">
          <a:extLst>
            <a:ext uri="{FF2B5EF4-FFF2-40B4-BE49-F238E27FC236}">
              <a16:creationId xmlns:a16="http://schemas.microsoft.com/office/drawing/2014/main" id="{00000000-0008-0000-0300-00007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2" name="_x0000_t202" hidden="1">
          <a:extLst>
            <a:ext uri="{FF2B5EF4-FFF2-40B4-BE49-F238E27FC236}">
              <a16:creationId xmlns:a16="http://schemas.microsoft.com/office/drawing/2014/main" id="{00000000-0008-0000-0300-00007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10" name="_x0000_t202" hidden="1">
          <a:extLst>
            <a:ext uri="{FF2B5EF4-FFF2-40B4-BE49-F238E27FC236}">
              <a16:creationId xmlns:a16="http://schemas.microsoft.com/office/drawing/2014/main" id="{00000000-0008-0000-0300-00007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8" name="_x0000_t202" hidden="1">
          <a:extLst>
            <a:ext uri="{FF2B5EF4-FFF2-40B4-BE49-F238E27FC236}">
              <a16:creationId xmlns:a16="http://schemas.microsoft.com/office/drawing/2014/main" id="{00000000-0008-0000-0300-00007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6" name="_x0000_t202" hidden="1">
          <a:extLst>
            <a:ext uri="{FF2B5EF4-FFF2-40B4-BE49-F238E27FC236}">
              <a16:creationId xmlns:a16="http://schemas.microsoft.com/office/drawing/2014/main" id="{00000000-0008-0000-0300-00006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4" name="_x0000_t202" hidden="1">
          <a:extLst>
            <a:ext uri="{FF2B5EF4-FFF2-40B4-BE49-F238E27FC236}">
              <a16:creationId xmlns:a16="http://schemas.microsoft.com/office/drawing/2014/main" id="{00000000-0008-0000-0300-00006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2" name="_x0000_t202" hidden="1">
          <a:extLst>
            <a:ext uri="{FF2B5EF4-FFF2-40B4-BE49-F238E27FC236}">
              <a16:creationId xmlns:a16="http://schemas.microsoft.com/office/drawing/2014/main" id="{00000000-0008-0000-0300-00006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200" name="_x0000_t202" hidden="1">
          <a:extLst>
            <a:ext uri="{FF2B5EF4-FFF2-40B4-BE49-F238E27FC236}">
              <a16:creationId xmlns:a16="http://schemas.microsoft.com/office/drawing/2014/main" id="{00000000-0008-0000-0300-00006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8" name="_x0000_t202" hidden="1">
          <a:extLst>
            <a:ext uri="{FF2B5EF4-FFF2-40B4-BE49-F238E27FC236}">
              <a16:creationId xmlns:a16="http://schemas.microsoft.com/office/drawing/2014/main" id="{00000000-0008-0000-0300-00006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6" name="_x0000_t202" hidden="1">
          <a:extLst>
            <a:ext uri="{FF2B5EF4-FFF2-40B4-BE49-F238E27FC236}">
              <a16:creationId xmlns:a16="http://schemas.microsoft.com/office/drawing/2014/main" id="{00000000-0008-0000-0300-00006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4" name="_x0000_t202" hidden="1">
          <a:extLst>
            <a:ext uri="{FF2B5EF4-FFF2-40B4-BE49-F238E27FC236}">
              <a16:creationId xmlns:a16="http://schemas.microsoft.com/office/drawing/2014/main" id="{00000000-0008-0000-0300-00006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2" name="_x0000_t202" hidden="1">
          <a:extLst>
            <a:ext uri="{FF2B5EF4-FFF2-40B4-BE49-F238E27FC236}">
              <a16:creationId xmlns:a16="http://schemas.microsoft.com/office/drawing/2014/main" id="{00000000-0008-0000-0300-00006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90" name="_x0000_t202" hidden="1">
          <a:extLst>
            <a:ext uri="{FF2B5EF4-FFF2-40B4-BE49-F238E27FC236}">
              <a16:creationId xmlns:a16="http://schemas.microsoft.com/office/drawing/2014/main" id="{00000000-0008-0000-0300-00005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8" name="_x0000_t202" hidden="1">
          <a:extLst>
            <a:ext uri="{FF2B5EF4-FFF2-40B4-BE49-F238E27FC236}">
              <a16:creationId xmlns:a16="http://schemas.microsoft.com/office/drawing/2014/main" id="{00000000-0008-0000-0300-00005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6" name="_x0000_t202" hidden="1">
          <a:extLst>
            <a:ext uri="{FF2B5EF4-FFF2-40B4-BE49-F238E27FC236}">
              <a16:creationId xmlns:a16="http://schemas.microsoft.com/office/drawing/2014/main" id="{00000000-0008-0000-0300-00005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4" name="_x0000_t202" hidden="1">
          <a:extLst>
            <a:ext uri="{FF2B5EF4-FFF2-40B4-BE49-F238E27FC236}">
              <a16:creationId xmlns:a16="http://schemas.microsoft.com/office/drawing/2014/main" id="{00000000-0008-0000-0300-00005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2" name="_x0000_t202" hidden="1">
          <a:extLst>
            <a:ext uri="{FF2B5EF4-FFF2-40B4-BE49-F238E27FC236}">
              <a16:creationId xmlns:a16="http://schemas.microsoft.com/office/drawing/2014/main" id="{00000000-0008-0000-0300-00005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80" name="_x0000_t202" hidden="1">
          <a:extLst>
            <a:ext uri="{FF2B5EF4-FFF2-40B4-BE49-F238E27FC236}">
              <a16:creationId xmlns:a16="http://schemas.microsoft.com/office/drawing/2014/main" id="{00000000-0008-0000-0300-00005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8" name="_x0000_t202" hidden="1">
          <a:extLst>
            <a:ext uri="{FF2B5EF4-FFF2-40B4-BE49-F238E27FC236}">
              <a16:creationId xmlns:a16="http://schemas.microsoft.com/office/drawing/2014/main" id="{00000000-0008-0000-0300-00005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6" name="_x0000_t202" hidden="1">
          <a:extLst>
            <a:ext uri="{FF2B5EF4-FFF2-40B4-BE49-F238E27FC236}">
              <a16:creationId xmlns:a16="http://schemas.microsoft.com/office/drawing/2014/main" id="{00000000-0008-0000-0300-00005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4" name="_x0000_t202" hidden="1">
          <a:extLst>
            <a:ext uri="{FF2B5EF4-FFF2-40B4-BE49-F238E27FC236}">
              <a16:creationId xmlns:a16="http://schemas.microsoft.com/office/drawing/2014/main" id="{00000000-0008-0000-0300-00004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2" name="_x0000_t202" hidden="1">
          <a:extLst>
            <a:ext uri="{FF2B5EF4-FFF2-40B4-BE49-F238E27FC236}">
              <a16:creationId xmlns:a16="http://schemas.microsoft.com/office/drawing/2014/main" id="{00000000-0008-0000-0300-00004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70" name="_x0000_t202" hidden="1">
          <a:extLst>
            <a:ext uri="{FF2B5EF4-FFF2-40B4-BE49-F238E27FC236}">
              <a16:creationId xmlns:a16="http://schemas.microsoft.com/office/drawing/2014/main" id="{00000000-0008-0000-0300-00004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8" name="_x0000_t202" hidden="1">
          <a:extLst>
            <a:ext uri="{FF2B5EF4-FFF2-40B4-BE49-F238E27FC236}">
              <a16:creationId xmlns:a16="http://schemas.microsoft.com/office/drawing/2014/main" id="{00000000-0008-0000-0300-00004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6" name="_x0000_t202" hidden="1">
          <a:extLst>
            <a:ext uri="{FF2B5EF4-FFF2-40B4-BE49-F238E27FC236}">
              <a16:creationId xmlns:a16="http://schemas.microsoft.com/office/drawing/2014/main" id="{00000000-0008-0000-0300-00004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4" name="_x0000_t202" hidden="1">
          <a:extLst>
            <a:ext uri="{FF2B5EF4-FFF2-40B4-BE49-F238E27FC236}">
              <a16:creationId xmlns:a16="http://schemas.microsoft.com/office/drawing/2014/main" id="{00000000-0008-0000-0300-00004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2" name="_x0000_t202" hidden="1">
          <a:extLst>
            <a:ext uri="{FF2B5EF4-FFF2-40B4-BE49-F238E27FC236}">
              <a16:creationId xmlns:a16="http://schemas.microsoft.com/office/drawing/2014/main" id="{00000000-0008-0000-0300-00004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60" name="_x0000_t202" hidden="1">
          <a:extLst>
            <a:ext uri="{FF2B5EF4-FFF2-40B4-BE49-F238E27FC236}">
              <a16:creationId xmlns:a16="http://schemas.microsoft.com/office/drawing/2014/main" id="{00000000-0008-0000-0300-00004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8" name="_x0000_t202" hidden="1">
          <a:extLst>
            <a:ext uri="{FF2B5EF4-FFF2-40B4-BE49-F238E27FC236}">
              <a16:creationId xmlns:a16="http://schemas.microsoft.com/office/drawing/2014/main" id="{00000000-0008-0000-0300-00003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6" name="_x0000_t202" hidden="1">
          <a:extLst>
            <a:ext uri="{FF2B5EF4-FFF2-40B4-BE49-F238E27FC236}">
              <a16:creationId xmlns:a16="http://schemas.microsoft.com/office/drawing/2014/main" id="{00000000-0008-0000-0300-00003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4" name="_x0000_t202" hidden="1">
          <a:extLst>
            <a:ext uri="{FF2B5EF4-FFF2-40B4-BE49-F238E27FC236}">
              <a16:creationId xmlns:a16="http://schemas.microsoft.com/office/drawing/2014/main" id="{00000000-0008-0000-0300-00003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2" name="_x0000_t202" hidden="1">
          <a:extLst>
            <a:ext uri="{FF2B5EF4-FFF2-40B4-BE49-F238E27FC236}">
              <a16:creationId xmlns:a16="http://schemas.microsoft.com/office/drawing/2014/main" id="{00000000-0008-0000-0300-00003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50" name="_x0000_t202" hidden="1">
          <a:extLst>
            <a:ext uri="{FF2B5EF4-FFF2-40B4-BE49-F238E27FC236}">
              <a16:creationId xmlns:a16="http://schemas.microsoft.com/office/drawing/2014/main" id="{00000000-0008-0000-0300-00003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8" name="_x0000_t202" hidden="1">
          <a:extLst>
            <a:ext uri="{FF2B5EF4-FFF2-40B4-BE49-F238E27FC236}">
              <a16:creationId xmlns:a16="http://schemas.microsoft.com/office/drawing/2014/main" id="{00000000-0008-0000-0300-00003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6" name="_x0000_t202" hidden="1">
          <a:extLst>
            <a:ext uri="{FF2B5EF4-FFF2-40B4-BE49-F238E27FC236}">
              <a16:creationId xmlns:a16="http://schemas.microsoft.com/office/drawing/2014/main" id="{00000000-0008-0000-0300-00003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4" name="_x0000_t202" hidden="1">
          <a:extLst>
            <a:ext uri="{FF2B5EF4-FFF2-40B4-BE49-F238E27FC236}">
              <a16:creationId xmlns:a16="http://schemas.microsoft.com/office/drawing/2014/main" id="{00000000-0008-0000-0300-00003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2" name="_x0000_t202" hidden="1">
          <a:extLst>
            <a:ext uri="{FF2B5EF4-FFF2-40B4-BE49-F238E27FC236}">
              <a16:creationId xmlns:a16="http://schemas.microsoft.com/office/drawing/2014/main" id="{00000000-0008-0000-0300-00002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40" name="_x0000_t202" hidden="1">
          <a:extLst>
            <a:ext uri="{FF2B5EF4-FFF2-40B4-BE49-F238E27FC236}">
              <a16:creationId xmlns:a16="http://schemas.microsoft.com/office/drawing/2014/main" id="{00000000-0008-0000-0300-00002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8" name="_x0000_t202" hidden="1">
          <a:extLst>
            <a:ext uri="{FF2B5EF4-FFF2-40B4-BE49-F238E27FC236}">
              <a16:creationId xmlns:a16="http://schemas.microsoft.com/office/drawing/2014/main" id="{00000000-0008-0000-0300-00002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6" name="_x0000_t202" hidden="1">
          <a:extLst>
            <a:ext uri="{FF2B5EF4-FFF2-40B4-BE49-F238E27FC236}">
              <a16:creationId xmlns:a16="http://schemas.microsoft.com/office/drawing/2014/main" id="{00000000-0008-0000-0300-00002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4" name="_x0000_t202" hidden="1">
          <a:extLst>
            <a:ext uri="{FF2B5EF4-FFF2-40B4-BE49-F238E27FC236}">
              <a16:creationId xmlns:a16="http://schemas.microsoft.com/office/drawing/2014/main" id="{00000000-0008-0000-0300-00002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2" name="_x0000_t202" hidden="1">
          <a:extLst>
            <a:ext uri="{FF2B5EF4-FFF2-40B4-BE49-F238E27FC236}">
              <a16:creationId xmlns:a16="http://schemas.microsoft.com/office/drawing/2014/main" id="{00000000-0008-0000-0300-00002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30" name="_x0000_t202" hidden="1">
          <a:extLst>
            <a:ext uri="{FF2B5EF4-FFF2-40B4-BE49-F238E27FC236}">
              <a16:creationId xmlns:a16="http://schemas.microsoft.com/office/drawing/2014/main" id="{00000000-0008-0000-0300-00002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8" name="_x0000_t202" hidden="1">
          <a:extLst>
            <a:ext uri="{FF2B5EF4-FFF2-40B4-BE49-F238E27FC236}">
              <a16:creationId xmlns:a16="http://schemas.microsoft.com/office/drawing/2014/main" id="{00000000-0008-0000-0300-00002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6" name="_x0000_t202" hidden="1">
          <a:extLst>
            <a:ext uri="{FF2B5EF4-FFF2-40B4-BE49-F238E27FC236}">
              <a16:creationId xmlns:a16="http://schemas.microsoft.com/office/drawing/2014/main" id="{00000000-0008-0000-0300-00001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4" name="_x0000_t202" hidden="1">
          <a:extLst>
            <a:ext uri="{FF2B5EF4-FFF2-40B4-BE49-F238E27FC236}">
              <a16:creationId xmlns:a16="http://schemas.microsoft.com/office/drawing/2014/main" id="{00000000-0008-0000-0300-00001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2" name="_x0000_t202" hidden="1">
          <a:extLst>
            <a:ext uri="{FF2B5EF4-FFF2-40B4-BE49-F238E27FC236}">
              <a16:creationId xmlns:a16="http://schemas.microsoft.com/office/drawing/2014/main" id="{00000000-0008-0000-0300-00001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20" name="_x0000_t202" hidden="1">
          <a:extLst>
            <a:ext uri="{FF2B5EF4-FFF2-40B4-BE49-F238E27FC236}">
              <a16:creationId xmlns:a16="http://schemas.microsoft.com/office/drawing/2014/main" id="{00000000-0008-0000-0300-00001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8" name="_x0000_t202" hidden="1">
          <a:extLst>
            <a:ext uri="{FF2B5EF4-FFF2-40B4-BE49-F238E27FC236}">
              <a16:creationId xmlns:a16="http://schemas.microsoft.com/office/drawing/2014/main" id="{00000000-0008-0000-0300-00001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6" name="_x0000_t202" hidden="1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4" name="_x0000_t202" hidden="1">
          <a:extLst>
            <a:ext uri="{FF2B5EF4-FFF2-40B4-BE49-F238E27FC236}">
              <a16:creationId xmlns:a16="http://schemas.microsoft.com/office/drawing/2014/main" id="{00000000-0008-0000-0300-00001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2" name="_x0000_t202" hidden="1">
          <a:extLst>
            <a:ext uri="{FF2B5EF4-FFF2-40B4-BE49-F238E27FC236}">
              <a16:creationId xmlns:a16="http://schemas.microsoft.com/office/drawing/2014/main" id="{00000000-0008-0000-0300-000010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579120</xdr:colOff>
      <xdr:row>41</xdr:row>
      <xdr:rowOff>121920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fonso/Documents/GitHub/IAWSs/sell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lia"/>
    </sheetNames>
    <sheetDataSet>
      <sheetData sheetId="0">
        <row r="2">
          <cell r="E2">
            <v>8.8409778611789402</v>
          </cell>
        </row>
        <row r="3">
          <cell r="E3">
            <v>8.6749797883780193</v>
          </cell>
        </row>
        <row r="4">
          <cell r="E4">
            <v>8.5600726106074294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9F1691D-B80E-44D0-AB70-2DCDFEA6DEDB}">
  <we:reference id="wa200005271" version="2.5.5.0" store="it-IT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dcraee.it/wp-content/uploads/2021/08/RAEE_FRIGORIFERI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zoomScale="65" zoomScaleNormal="65" workbookViewId="0"/>
  </sheetViews>
  <sheetFormatPr defaultColWidth="8.5546875" defaultRowHeight="14.4" x14ac:dyDescent="0.3"/>
  <sheetData>
    <row r="1" spans="1:10" x14ac:dyDescent="0.3">
      <c r="A1" s="1" t="s">
        <v>0</v>
      </c>
      <c r="I1" t="s">
        <v>1</v>
      </c>
    </row>
    <row r="2" spans="1:10" x14ac:dyDescent="0.3">
      <c r="I2" t="s">
        <v>2</v>
      </c>
      <c r="J2" t="s">
        <v>3</v>
      </c>
    </row>
    <row r="3" spans="1:10" x14ac:dyDescent="0.3">
      <c r="I3" t="s">
        <v>4</v>
      </c>
      <c r="J3" t="s">
        <v>5</v>
      </c>
    </row>
    <row r="4" spans="1:10" x14ac:dyDescent="0.3">
      <c r="I4" t="s">
        <v>6</v>
      </c>
      <c r="J4" t="s">
        <v>7</v>
      </c>
    </row>
    <row r="5" spans="1:10" x14ac:dyDescent="0.3">
      <c r="I5" t="s">
        <v>8</v>
      </c>
      <c r="J5" t="s">
        <v>9</v>
      </c>
    </row>
    <row r="6" spans="1:10" x14ac:dyDescent="0.3">
      <c r="I6" t="s">
        <v>10</v>
      </c>
      <c r="J6" t="s">
        <v>11</v>
      </c>
    </row>
    <row r="13" spans="1:10" x14ac:dyDescent="0.3">
      <c r="B13" t="s">
        <v>12</v>
      </c>
      <c r="C13">
        <v>47.2</v>
      </c>
      <c r="D13" s="2">
        <f>C13/SUM($C$13:$C$15)</f>
        <v>0.75159235668789803</v>
      </c>
    </row>
    <row r="14" spans="1:10" x14ac:dyDescent="0.3">
      <c r="B14" t="s">
        <v>13</v>
      </c>
      <c r="C14">
        <v>5.0999999999999996</v>
      </c>
      <c r="D14" s="2">
        <f>C14/SUM($C$13:$C$15)</f>
        <v>8.121019108280253E-2</v>
      </c>
    </row>
    <row r="15" spans="1:10" x14ac:dyDescent="0.3">
      <c r="B15" t="s">
        <v>14</v>
      </c>
      <c r="C15">
        <v>10.5</v>
      </c>
      <c r="D15" s="2">
        <f>C15/SUM($C$13:$C$15)</f>
        <v>0.16719745222929935</v>
      </c>
    </row>
    <row r="17" spans="1:3" x14ac:dyDescent="0.3">
      <c r="A17" s="3" t="s">
        <v>15</v>
      </c>
      <c r="B17" s="4">
        <v>8.3799999999999999E-2</v>
      </c>
    </row>
    <row r="18" spans="1:3" x14ac:dyDescent="0.3">
      <c r="A18" s="3" t="s">
        <v>16</v>
      </c>
      <c r="B18" s="4">
        <v>0.25930799999999998</v>
      </c>
    </row>
    <row r="19" spans="1:3" x14ac:dyDescent="0.3">
      <c r="A19" s="3" t="s">
        <v>17</v>
      </c>
      <c r="B19" s="4">
        <v>1.8148000000000001E-2</v>
      </c>
    </row>
    <row r="20" spans="1:3" x14ac:dyDescent="0.3">
      <c r="A20" s="3" t="s">
        <v>18</v>
      </c>
      <c r="B20" s="4">
        <v>1.8661000000000001E-2</v>
      </c>
    </row>
    <row r="21" spans="1:3" x14ac:dyDescent="0.3">
      <c r="A21" s="3" t="s">
        <v>19</v>
      </c>
      <c r="B21" s="5">
        <v>0.44504100000000002</v>
      </c>
    </row>
    <row r="22" spans="1:3" x14ac:dyDescent="0.3">
      <c r="A22" s="3"/>
      <c r="B22" s="5"/>
    </row>
    <row r="23" spans="1:3" x14ac:dyDescent="0.3">
      <c r="A23" s="3" t="s">
        <v>20</v>
      </c>
    </row>
    <row r="24" spans="1:3" x14ac:dyDescent="0.3">
      <c r="A24" s="3" t="s">
        <v>21</v>
      </c>
      <c r="B24" s="6">
        <f>0.358+0.175</f>
        <v>0.53299999999999992</v>
      </c>
      <c r="C24" s="7">
        <f>B24/$B$28</f>
        <v>0.60775370581527932</v>
      </c>
    </row>
    <row r="25" spans="1:3" x14ac:dyDescent="0.3">
      <c r="A25" s="3" t="s">
        <v>14</v>
      </c>
      <c r="B25" s="6">
        <v>0.16</v>
      </c>
      <c r="C25" s="7">
        <f>B25/$B$28</f>
        <v>0.18244013683010266</v>
      </c>
    </row>
    <row r="26" spans="1:3" x14ac:dyDescent="0.3">
      <c r="A26" s="3" t="s">
        <v>22</v>
      </c>
      <c r="B26" s="6">
        <v>0.107</v>
      </c>
      <c r="C26" s="7">
        <f>B26/$B$28</f>
        <v>0.12200684150513114</v>
      </c>
    </row>
    <row r="27" spans="1:3" x14ac:dyDescent="0.3">
      <c r="A27" s="3" t="s">
        <v>13</v>
      </c>
      <c r="B27" s="6">
        <v>7.6999999999999999E-2</v>
      </c>
      <c r="C27" s="7">
        <f>B27/$B$28</f>
        <v>8.77993158494869E-2</v>
      </c>
    </row>
    <row r="28" spans="1:3" x14ac:dyDescent="0.3">
      <c r="B28" s="7">
        <f>SUM(B24:B27)</f>
        <v>0.87699999999999989</v>
      </c>
      <c r="C28" s="7">
        <f>SUM(C24:C27)</f>
        <v>0.99999999999999989</v>
      </c>
    </row>
  </sheetData>
  <hyperlinks>
    <hyperlink ref="A1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4"/>
  <sheetViews>
    <sheetView tabSelected="1" topLeftCell="A22" zoomScale="62" zoomScaleNormal="65" workbookViewId="0">
      <selection activeCell="L45" sqref="L45:L52"/>
    </sheetView>
  </sheetViews>
  <sheetFormatPr defaultColWidth="8.5546875" defaultRowHeight="14.4" x14ac:dyDescent="0.3"/>
  <sheetData>
    <row r="1" spans="1:44" ht="15" thickBot="1" x14ac:dyDescent="0.35">
      <c r="A1" s="59" t="s">
        <v>97</v>
      </c>
      <c r="B1" s="59"/>
      <c r="C1" s="59"/>
      <c r="D1" s="59"/>
      <c r="E1" s="59"/>
      <c r="F1" s="59"/>
      <c r="G1" s="59"/>
      <c r="L1" s="59" t="s">
        <v>98</v>
      </c>
      <c r="M1" s="59"/>
      <c r="N1" s="59"/>
      <c r="O1" s="59"/>
      <c r="P1" s="59"/>
      <c r="Q1" s="59"/>
      <c r="R1" s="59"/>
      <c r="W1" s="59" t="s">
        <v>99</v>
      </c>
      <c r="X1" s="59"/>
      <c r="Y1" s="59"/>
      <c r="Z1" s="59"/>
      <c r="AA1" s="59"/>
      <c r="AB1" s="59"/>
      <c r="AC1" s="59"/>
      <c r="AH1" s="59" t="str">
        <f>A1</f>
        <v>SITO O2</v>
      </c>
      <c r="AI1" s="59"/>
      <c r="AJ1" s="59"/>
      <c r="AK1" s="59"/>
      <c r="AL1" s="59"/>
      <c r="AM1" s="59"/>
      <c r="AN1" s="59"/>
      <c r="AO1" s="59"/>
      <c r="AP1" s="59"/>
      <c r="AQ1" s="59"/>
    </row>
    <row r="2" spans="1:44" x14ac:dyDescent="0.3">
      <c r="A2" t="s">
        <v>23</v>
      </c>
      <c r="B2" t="s">
        <v>100</v>
      </c>
      <c r="D2" s="3" t="s">
        <v>24</v>
      </c>
      <c r="E2">
        <v>30</v>
      </c>
      <c r="F2" t="s">
        <v>25</v>
      </c>
      <c r="G2" s="3" t="s">
        <v>26</v>
      </c>
      <c r="H2">
        <f>SUMPRODUCT(C6:C20,H6:H20)+C26*H26+C28*H28</f>
        <v>50</v>
      </c>
      <c r="L2" t="s">
        <v>23</v>
      </c>
      <c r="M2" t="s">
        <v>100</v>
      </c>
      <c r="O2" s="3" t="s">
        <v>24</v>
      </c>
      <c r="P2">
        <v>40</v>
      </c>
      <c r="Q2" t="s">
        <v>25</v>
      </c>
      <c r="R2" s="3" t="s">
        <v>26</v>
      </c>
      <c r="S2">
        <f>SUMPRODUCT(N6:N20,S6:S20)+N26*S26+N28*S28</f>
        <v>0</v>
      </c>
      <c r="W2" t="s">
        <v>23</v>
      </c>
      <c r="X2" t="s">
        <v>100</v>
      </c>
      <c r="Z2" s="3" t="s">
        <v>24</v>
      </c>
      <c r="AA2">
        <v>30</v>
      </c>
      <c r="AB2" t="s">
        <v>25</v>
      </c>
      <c r="AC2" s="3" t="s">
        <v>26</v>
      </c>
      <c r="AD2">
        <f>SUMPRODUCT(Y6:Y20,AD6:AD20)+Y26*AD26+Y28*AD28</f>
        <v>0</v>
      </c>
      <c r="AH2" s="60" t="s">
        <v>27</v>
      </c>
      <c r="AI2" s="60"/>
      <c r="AJ2" s="60" t="s">
        <v>28</v>
      </c>
      <c r="AK2" s="60"/>
      <c r="AL2" s="60"/>
      <c r="AM2" s="60"/>
      <c r="AN2" s="60"/>
      <c r="AO2" s="60"/>
      <c r="AP2" s="60" t="s">
        <v>29</v>
      </c>
      <c r="AQ2" s="60"/>
    </row>
    <row r="3" spans="1:44" x14ac:dyDescent="0.3">
      <c r="A3" t="s">
        <v>30</v>
      </c>
      <c r="B3" t="s">
        <v>101</v>
      </c>
      <c r="D3" s="3" t="s">
        <v>31</v>
      </c>
      <c r="E3" t="s">
        <v>32</v>
      </c>
      <c r="L3" t="s">
        <v>30</v>
      </c>
      <c r="M3" t="s">
        <v>102</v>
      </c>
      <c r="O3" s="3" t="s">
        <v>31</v>
      </c>
      <c r="P3" t="s">
        <v>32</v>
      </c>
      <c r="W3" t="s">
        <v>30</v>
      </c>
      <c r="X3" t="s">
        <v>103</v>
      </c>
      <c r="Z3" s="3" t="s">
        <v>31</v>
      </c>
      <c r="AA3" t="s">
        <v>32</v>
      </c>
      <c r="AH3" s="8" t="s">
        <v>14</v>
      </c>
      <c r="AI3" s="9">
        <f>IF(B59=0%,0%,C60/SUM(C60:C67))</f>
        <v>8.3598726114649691E-2</v>
      </c>
      <c r="AJ3" s="8" t="str">
        <f t="shared" ref="AJ3:AK9" si="0">E60</f>
        <v>lavatrice</v>
      </c>
      <c r="AK3" s="10">
        <f t="shared" si="0"/>
        <v>0</v>
      </c>
      <c r="AL3" s="8" t="str">
        <f>E67</f>
        <v>sedie</v>
      </c>
      <c r="AM3" s="10">
        <f>F67</f>
        <v>0</v>
      </c>
      <c r="AN3" s="8" t="str">
        <f t="shared" ref="AN3:AO5" si="1">G65</f>
        <v>guaina</v>
      </c>
      <c r="AO3" s="10">
        <f t="shared" si="1"/>
        <v>0</v>
      </c>
      <c r="AP3" s="10" t="s">
        <v>33</v>
      </c>
      <c r="AQ3" s="27">
        <f>C3</f>
        <v>0</v>
      </c>
    </row>
    <row r="4" spans="1:44" x14ac:dyDescent="0.3">
      <c r="A4" t="s">
        <v>37</v>
      </c>
      <c r="B4" s="7">
        <f>SUM(B6:B20,B26,B28)</f>
        <v>0.15</v>
      </c>
      <c r="C4" s="12">
        <f>SUMPRODUCT(B21:B25,G21:G25)+SUMPRODUCT(B30:B32,G30:G32)+SUMPRODUCT(B57:B58,G57:G58)+SUMPRODUCT(B45:B52,G45:G52)+SUMPRODUCT(F39:F44,G39:G44)*B39+SUMPRODUCT(G33:G34,F33:F34)*B33+SUMPRODUCT(B35:B38,G35:G38)</f>
        <v>362.5</v>
      </c>
      <c r="D4" s="3" t="s">
        <v>34</v>
      </c>
      <c r="E4" t="s">
        <v>32</v>
      </c>
      <c r="F4" s="3" t="s">
        <v>35</v>
      </c>
      <c r="G4" t="s">
        <v>38</v>
      </c>
      <c r="L4" t="s">
        <v>37</v>
      </c>
      <c r="M4" s="7">
        <f>SUM(M6:M20,M26,M28)</f>
        <v>0</v>
      </c>
      <c r="N4" s="12">
        <f>SUMPRODUCT(M21:M25,R21:R25)+SUMPRODUCT(M30:M32,R30:R32)+SUMPRODUCT(M57:M58,R57:R58)+SUMPRODUCT(M45:M52,R45:R52)+SUMPRODUCT(Q39:Q44,R39:R44)*M39+SUMPRODUCT(R33:R34,Q33:Q34)*M33+SUMPRODUCT(M35:M38,R35:R38)</f>
        <v>1620</v>
      </c>
      <c r="O4" s="3" t="s">
        <v>34</v>
      </c>
      <c r="P4" t="s">
        <v>32</v>
      </c>
      <c r="Q4" s="3" t="s">
        <v>35</v>
      </c>
      <c r="R4" t="s">
        <v>38</v>
      </c>
      <c r="W4" t="s">
        <v>37</v>
      </c>
      <c r="X4" s="7">
        <f>SUM(X6:X20,X26,X28)</f>
        <v>0</v>
      </c>
      <c r="Y4" s="12">
        <f>SUMPRODUCT(X21:X25,AC21:AC25)+SUMPRODUCT(X30:X32,AC30:AC32)+SUMPRODUCT(X57:X58,AC57:AC58)+SUMPRODUCT(X45:X52,AC45:AC52)+SUMPRODUCT(AB39:AB44,AC39:AC44)*X39+SUMPRODUCT(AC33:AC34,AB33:AB34)*X33+SUMPRODUCT(X35:X38,AC35:AC38)</f>
        <v>1481</v>
      </c>
      <c r="Z4" s="3" t="s">
        <v>34</v>
      </c>
      <c r="AA4" t="s">
        <v>32</v>
      </c>
      <c r="AB4" s="3" t="s">
        <v>35</v>
      </c>
      <c r="AC4" t="s">
        <v>36</v>
      </c>
      <c r="AD4" s="3"/>
      <c r="AH4" s="13" t="s">
        <v>39</v>
      </c>
      <c r="AI4" s="14">
        <f>IF(B59=0%,0%,C61/SUM(C60:C67))</f>
        <v>0</v>
      </c>
      <c r="AJ4" s="13" t="str">
        <f t="shared" si="0"/>
        <v>frigorifero</v>
      </c>
      <c r="AK4" s="15">
        <f t="shared" si="0"/>
        <v>1</v>
      </c>
      <c r="AL4" s="13" t="str">
        <f>E68</f>
        <v>materasso</v>
      </c>
      <c r="AM4" s="15">
        <f>F68</f>
        <v>0</v>
      </c>
      <c r="AN4" s="13" t="str">
        <f t="shared" si="1"/>
        <v>lamiere</v>
      </c>
      <c r="AO4" s="15">
        <f t="shared" si="1"/>
        <v>0</v>
      </c>
      <c r="AP4" s="15" t="str">
        <f t="shared" ref="AP4:AQ6" si="2">D2</f>
        <v>altezza cumulo</v>
      </c>
      <c r="AQ4" s="15">
        <f t="shared" si="2"/>
        <v>30</v>
      </c>
    </row>
    <row r="5" spans="1:44" x14ac:dyDescent="0.3">
      <c r="A5" s="17" t="s">
        <v>40</v>
      </c>
      <c r="B5" s="18" t="s">
        <v>41</v>
      </c>
      <c r="C5" s="18" t="s">
        <v>42</v>
      </c>
      <c r="D5" s="19" t="s">
        <v>43</v>
      </c>
      <c r="E5" s="18" t="s">
        <v>44</v>
      </c>
      <c r="F5" s="18"/>
      <c r="G5" s="18" t="s">
        <v>45</v>
      </c>
      <c r="H5" s="18" t="s">
        <v>46</v>
      </c>
      <c r="L5" s="17" t="s">
        <v>40</v>
      </c>
      <c r="M5" s="18" t="s">
        <v>41</v>
      </c>
      <c r="N5" s="18" t="s">
        <v>42</v>
      </c>
      <c r="O5" s="19" t="s">
        <v>43</v>
      </c>
      <c r="P5" s="18" t="s">
        <v>44</v>
      </c>
      <c r="Q5" s="18"/>
      <c r="R5" s="18" t="s">
        <v>45</v>
      </c>
      <c r="S5" s="18" t="s">
        <v>46</v>
      </c>
      <c r="W5" s="17" t="s">
        <v>40</v>
      </c>
      <c r="X5" s="18" t="s">
        <v>41</v>
      </c>
      <c r="Y5" s="18" t="s">
        <v>42</v>
      </c>
      <c r="Z5" s="19" t="s">
        <v>43</v>
      </c>
      <c r="AA5" s="18" t="s">
        <v>44</v>
      </c>
      <c r="AB5" s="18"/>
      <c r="AC5" s="18" t="s">
        <v>45</v>
      </c>
      <c r="AD5" s="18" t="s">
        <v>46</v>
      </c>
      <c r="AH5" s="13" t="s">
        <v>47</v>
      </c>
      <c r="AI5" s="14">
        <f>IF(B59=0%,0%,(C62+C63)/SUM(C60:C67))</f>
        <v>0.41640127388535036</v>
      </c>
      <c r="AJ5" s="13" t="str">
        <f t="shared" si="0"/>
        <v>forno</v>
      </c>
      <c r="AK5" s="15">
        <f t="shared" si="0"/>
        <v>0</v>
      </c>
      <c r="AL5" s="13" t="str">
        <f t="shared" ref="AL5:AM9" si="3">G60</f>
        <v>brandina</v>
      </c>
      <c r="AM5" s="15">
        <f t="shared" si="3"/>
        <v>0</v>
      </c>
      <c r="AN5" s="13" t="str">
        <f t="shared" si="1"/>
        <v>buste</v>
      </c>
      <c r="AO5" s="15">
        <f t="shared" si="1"/>
        <v>0</v>
      </c>
      <c r="AP5" s="15" t="str">
        <f t="shared" si="2"/>
        <v>combustione</v>
      </c>
      <c r="AQ5" s="15" t="str">
        <f t="shared" si="2"/>
        <v>no</v>
      </c>
    </row>
    <row r="6" spans="1:44" ht="14.4" customHeight="1" x14ac:dyDescent="0.3">
      <c r="A6" s="61" t="s">
        <v>48</v>
      </c>
      <c r="B6" s="62"/>
      <c r="C6" s="63"/>
      <c r="D6" s="64" t="s">
        <v>49</v>
      </c>
      <c r="E6" s="20" t="s">
        <v>12</v>
      </c>
      <c r="F6" s="21">
        <f>INFO!$D$13</f>
        <v>0.75159235668789803</v>
      </c>
      <c r="H6" s="65">
        <v>40</v>
      </c>
      <c r="L6" s="61" t="s">
        <v>48</v>
      </c>
      <c r="M6" s="62"/>
      <c r="N6" s="63"/>
      <c r="O6" s="64" t="s">
        <v>49</v>
      </c>
      <c r="P6" s="20" t="s">
        <v>12</v>
      </c>
      <c r="Q6" s="21">
        <f>INFO!$D$13</f>
        <v>0.75159235668789803</v>
      </c>
      <c r="S6" s="65">
        <v>40</v>
      </c>
      <c r="T6" s="63"/>
      <c r="W6" s="61" t="s">
        <v>48</v>
      </c>
      <c r="X6" s="62"/>
      <c r="Y6" s="63"/>
      <c r="Z6" s="64" t="s">
        <v>49</v>
      </c>
      <c r="AA6" s="20" t="s">
        <v>12</v>
      </c>
      <c r="AB6" s="21">
        <f>INFO!$D$13</f>
        <v>0.75159235668789803</v>
      </c>
      <c r="AD6" s="65">
        <v>40</v>
      </c>
      <c r="AH6" s="13" t="s">
        <v>50</v>
      </c>
      <c r="AI6" s="26">
        <f>IF(B59=0%,0%,C64/SUM(C60:C67))</f>
        <v>0.50000000000000011</v>
      </c>
      <c r="AJ6" s="13" t="str">
        <f t="shared" si="0"/>
        <v>televisore</v>
      </c>
      <c r="AK6" s="15">
        <f t="shared" si="0"/>
        <v>0</v>
      </c>
      <c r="AL6" s="13" t="str">
        <f t="shared" si="3"/>
        <v>Scatoloni</v>
      </c>
      <c r="AM6" s="15">
        <f t="shared" si="3"/>
        <v>0</v>
      </c>
      <c r="AN6" s="15"/>
      <c r="AO6" s="15"/>
      <c r="AP6" s="15" t="str">
        <f t="shared" si="2"/>
        <v>bonifica</v>
      </c>
      <c r="AQ6" s="15" t="str">
        <f t="shared" si="2"/>
        <v>no</v>
      </c>
    </row>
    <row r="7" spans="1:44" x14ac:dyDescent="0.3">
      <c r="A7" s="61"/>
      <c r="B7" s="62"/>
      <c r="C7" s="63"/>
      <c r="D7" s="64"/>
      <c r="E7" s="20" t="s">
        <v>13</v>
      </c>
      <c r="F7" s="21">
        <f>INFO!$D$14</f>
        <v>8.121019108280253E-2</v>
      </c>
      <c r="H7" s="65"/>
      <c r="L7" s="61"/>
      <c r="M7" s="62"/>
      <c r="N7" s="63"/>
      <c r="O7" s="64"/>
      <c r="P7" s="20" t="s">
        <v>13</v>
      </c>
      <c r="Q7" s="21">
        <f>INFO!$D$14</f>
        <v>8.121019108280253E-2</v>
      </c>
      <c r="S7" s="65"/>
      <c r="T7" s="63"/>
      <c r="W7" s="61"/>
      <c r="X7" s="62"/>
      <c r="Y7" s="63"/>
      <c r="Z7" s="64"/>
      <c r="AA7" s="20" t="s">
        <v>13</v>
      </c>
      <c r="AB7" s="21">
        <f>INFO!$D$14</f>
        <v>8.121019108280253E-2</v>
      </c>
      <c r="AD7" s="65"/>
      <c r="AH7" s="13" t="s">
        <v>51</v>
      </c>
      <c r="AI7" s="14">
        <f>IF(B59=0%,0%,C65/SUM(C60:C67))</f>
        <v>0</v>
      </c>
      <c r="AJ7" s="13" t="str">
        <f t="shared" si="0"/>
        <v>scaldabagno</v>
      </c>
      <c r="AK7" s="15">
        <f t="shared" si="0"/>
        <v>0</v>
      </c>
      <c r="AL7" s="13" t="str">
        <f t="shared" si="3"/>
        <v>divano</v>
      </c>
      <c r="AM7" s="15">
        <f t="shared" si="3"/>
        <v>0</v>
      </c>
      <c r="AN7" s="15"/>
      <c r="AO7" s="15"/>
      <c r="AP7" s="15" t="str">
        <f>F4</f>
        <v>substrato</v>
      </c>
      <c r="AQ7" s="15" t="str">
        <f>G4</f>
        <v>battistrada</v>
      </c>
    </row>
    <row r="8" spans="1:44" x14ac:dyDescent="0.3">
      <c r="A8" s="61"/>
      <c r="B8" s="62"/>
      <c r="C8" s="63"/>
      <c r="D8" s="64"/>
      <c r="E8" s="20" t="s">
        <v>14</v>
      </c>
      <c r="F8" s="21">
        <f>INFO!$D$15</f>
        <v>0.16719745222929935</v>
      </c>
      <c r="H8" s="65"/>
      <c r="L8" s="61"/>
      <c r="M8" s="62"/>
      <c r="N8" s="63"/>
      <c r="O8" s="64"/>
      <c r="P8" s="20" t="s">
        <v>14</v>
      </c>
      <c r="Q8" s="21">
        <f>INFO!$D$15</f>
        <v>0.16719745222929935</v>
      </c>
      <c r="S8" s="65"/>
      <c r="T8" s="63"/>
      <c r="W8" s="61"/>
      <c r="X8" s="62"/>
      <c r="Y8" s="63"/>
      <c r="Z8" s="64"/>
      <c r="AA8" s="20" t="s">
        <v>14</v>
      </c>
      <c r="AB8" s="21">
        <f>INFO!$D$15</f>
        <v>0.16719745222929935</v>
      </c>
      <c r="AD8" s="65"/>
      <c r="AH8" s="13" t="s">
        <v>52</v>
      </c>
      <c r="AI8" s="14">
        <f>IF(B59=0%,0%,C66/SUM(C60:C67))</f>
        <v>0</v>
      </c>
      <c r="AJ8" s="13" t="str">
        <f t="shared" si="0"/>
        <v>mobile</v>
      </c>
      <c r="AK8" s="15">
        <f t="shared" si="0"/>
        <v>0</v>
      </c>
      <c r="AL8" s="13" t="str">
        <f t="shared" si="3"/>
        <v>sanitari</v>
      </c>
      <c r="AM8" s="15">
        <f t="shared" si="3"/>
        <v>0</v>
      </c>
      <c r="AN8" s="15"/>
      <c r="AO8" s="15"/>
      <c r="AP8" s="15" t="s">
        <v>53</v>
      </c>
      <c r="AQ8" s="15">
        <f>B4</f>
        <v>0.15</v>
      </c>
    </row>
    <row r="9" spans="1:44" ht="15" thickBot="1" x14ac:dyDescent="0.35">
      <c r="A9" s="61"/>
      <c r="B9" s="62">
        <v>0.15</v>
      </c>
      <c r="C9" s="63">
        <v>1</v>
      </c>
      <c r="D9" s="64" t="s">
        <v>54</v>
      </c>
      <c r="E9" s="20" t="s">
        <v>12</v>
      </c>
      <c r="F9" s="21">
        <f>INFO!$D$13</f>
        <v>0.75159235668789803</v>
      </c>
      <c r="H9" s="66">
        <v>50</v>
      </c>
      <c r="L9" s="61"/>
      <c r="M9" s="62"/>
      <c r="N9" s="63"/>
      <c r="O9" s="64" t="s">
        <v>54</v>
      </c>
      <c r="P9" s="20" t="s">
        <v>12</v>
      </c>
      <c r="Q9" s="21">
        <f>INFO!$D$13</f>
        <v>0.75159235668789803</v>
      </c>
      <c r="S9" s="66">
        <v>50</v>
      </c>
      <c r="W9" s="61"/>
      <c r="X9" s="62"/>
      <c r="Y9" s="63"/>
      <c r="Z9" s="64" t="s">
        <v>54</v>
      </c>
      <c r="AA9" s="20" t="s">
        <v>12</v>
      </c>
      <c r="AB9" s="21">
        <f>INFO!$D$13</f>
        <v>0.75159235668789803</v>
      </c>
      <c r="AD9" s="66">
        <v>50</v>
      </c>
      <c r="AH9" s="22" t="s">
        <v>55</v>
      </c>
      <c r="AI9" s="23">
        <f>IF(B59=0%,0%,C67/SUM(C60:C67))</f>
        <v>0</v>
      </c>
      <c r="AJ9" s="22" t="str">
        <f t="shared" si="0"/>
        <v>secchio</v>
      </c>
      <c r="AK9" s="24">
        <f t="shared" si="0"/>
        <v>0</v>
      </c>
      <c r="AL9" s="22" t="str">
        <f t="shared" si="3"/>
        <v>tubi</v>
      </c>
      <c r="AM9" s="24">
        <f t="shared" si="3"/>
        <v>0</v>
      </c>
      <c r="AN9" s="24"/>
      <c r="AO9" s="24"/>
      <c r="AP9" s="24" t="s">
        <v>46</v>
      </c>
      <c r="AQ9" s="24">
        <f>H2</f>
        <v>50</v>
      </c>
      <c r="AR9" s="26">
        <f>SUM(AI3:AI9)</f>
        <v>1</v>
      </c>
    </row>
    <row r="10" spans="1:44" ht="15" thickBot="1" x14ac:dyDescent="0.35">
      <c r="A10" s="61"/>
      <c r="B10" s="62"/>
      <c r="C10" s="63"/>
      <c r="D10" s="64"/>
      <c r="E10" s="20" t="s">
        <v>13</v>
      </c>
      <c r="F10" s="21">
        <f>INFO!$D$14</f>
        <v>8.121019108280253E-2</v>
      </c>
      <c r="H10" s="66"/>
      <c r="L10" s="61"/>
      <c r="M10" s="62"/>
      <c r="N10" s="63"/>
      <c r="O10" s="64"/>
      <c r="P10" s="20" t="s">
        <v>13</v>
      </c>
      <c r="Q10" s="21">
        <f>INFO!$D$14</f>
        <v>8.121019108280253E-2</v>
      </c>
      <c r="S10" s="66"/>
      <c r="W10" s="61"/>
      <c r="X10" s="62"/>
      <c r="Y10" s="63"/>
      <c r="Z10" s="64"/>
      <c r="AA10" s="20" t="s">
        <v>13</v>
      </c>
      <c r="AB10" s="21">
        <f>INFO!$D$14</f>
        <v>8.121019108280253E-2</v>
      </c>
      <c r="AD10" s="66"/>
      <c r="AH10" s="59" t="str">
        <f>L1</f>
        <v>SITO O3</v>
      </c>
      <c r="AI10" s="59"/>
      <c r="AJ10" s="59"/>
      <c r="AK10" s="59"/>
      <c r="AL10" s="59"/>
      <c r="AM10" s="59"/>
      <c r="AN10" s="59"/>
      <c r="AO10" s="59"/>
      <c r="AP10" s="59"/>
      <c r="AQ10" s="59"/>
    </row>
    <row r="11" spans="1:44" x14ac:dyDescent="0.3">
      <c r="A11" s="61"/>
      <c r="B11" s="62"/>
      <c r="C11" s="63"/>
      <c r="D11" s="64"/>
      <c r="E11" s="20" t="s">
        <v>14</v>
      </c>
      <c r="F11" s="21">
        <f>INFO!$D$15</f>
        <v>0.16719745222929935</v>
      </c>
      <c r="H11" s="66"/>
      <c r="L11" s="61"/>
      <c r="M11" s="62"/>
      <c r="N11" s="63"/>
      <c r="O11" s="64"/>
      <c r="P11" s="20" t="s">
        <v>14</v>
      </c>
      <c r="Q11" s="21">
        <f>INFO!$D$15</f>
        <v>0.16719745222929935</v>
      </c>
      <c r="S11" s="66"/>
      <c r="W11" s="61"/>
      <c r="X11" s="62"/>
      <c r="Y11" s="63"/>
      <c r="Z11" s="64"/>
      <c r="AA11" s="20" t="s">
        <v>14</v>
      </c>
      <c r="AB11" s="21">
        <f>INFO!$D$15</f>
        <v>0.16719745222929935</v>
      </c>
      <c r="AD11" s="66"/>
      <c r="AH11" s="60" t="s">
        <v>27</v>
      </c>
      <c r="AI11" s="60"/>
      <c r="AJ11" s="60" t="s">
        <v>28</v>
      </c>
      <c r="AK11" s="60"/>
      <c r="AL11" s="60"/>
      <c r="AM11" s="60"/>
      <c r="AN11" s="60"/>
      <c r="AO11" s="60"/>
      <c r="AP11" s="60" t="s">
        <v>29</v>
      </c>
      <c r="AQ11" s="60"/>
    </row>
    <row r="12" spans="1:44" x14ac:dyDescent="0.3">
      <c r="A12" s="61"/>
      <c r="B12" s="62"/>
      <c r="C12" s="63"/>
      <c r="D12" s="64" t="s">
        <v>56</v>
      </c>
      <c r="E12" s="20" t="s">
        <v>12</v>
      </c>
      <c r="F12" s="21">
        <f>INFO!$D$13</f>
        <v>0.75159235668789803</v>
      </c>
      <c r="H12" s="66">
        <v>15</v>
      </c>
      <c r="L12" s="61"/>
      <c r="M12" s="62"/>
      <c r="N12" s="63"/>
      <c r="O12" s="64" t="s">
        <v>56</v>
      </c>
      <c r="P12" s="20" t="s">
        <v>12</v>
      </c>
      <c r="Q12" s="21">
        <f>INFO!$D$13</f>
        <v>0.75159235668789803</v>
      </c>
      <c r="S12" s="66">
        <v>15</v>
      </c>
      <c r="T12" s="63"/>
      <c r="W12" s="61"/>
      <c r="X12" s="62"/>
      <c r="Y12" s="63"/>
      <c r="Z12" s="64" t="s">
        <v>56</v>
      </c>
      <c r="AA12" s="20" t="s">
        <v>12</v>
      </c>
      <c r="AB12" s="21">
        <f>INFO!$D$13</f>
        <v>0.75159235668789803</v>
      </c>
      <c r="AD12" s="66">
        <v>15</v>
      </c>
      <c r="AH12" s="8" t="s">
        <v>14</v>
      </c>
      <c r="AI12" s="9">
        <f>IF(M59=0%,0%,N60/SUM(N60:N67))</f>
        <v>0</v>
      </c>
      <c r="AJ12" s="8" t="str">
        <f t="shared" ref="AJ12:AK18" si="4">P60</f>
        <v>lavatrice</v>
      </c>
      <c r="AK12" s="10">
        <f t="shared" si="4"/>
        <v>0</v>
      </c>
      <c r="AL12" s="8" t="str">
        <f>P67</f>
        <v>sedie</v>
      </c>
      <c r="AM12" s="10">
        <f>Q67</f>
        <v>0</v>
      </c>
      <c r="AN12" s="8" t="str">
        <f t="shared" ref="AN12:AO14" si="5">R65</f>
        <v>guaina</v>
      </c>
      <c r="AO12" s="10">
        <f t="shared" si="5"/>
        <v>0</v>
      </c>
      <c r="AP12" s="10" t="s">
        <v>33</v>
      </c>
      <c r="AQ12" s="27">
        <f>N3</f>
        <v>0</v>
      </c>
    </row>
    <row r="13" spans="1:44" x14ac:dyDescent="0.3">
      <c r="A13" s="61"/>
      <c r="B13" s="62"/>
      <c r="C13" s="63"/>
      <c r="D13" s="64"/>
      <c r="E13" s="20" t="s">
        <v>13</v>
      </c>
      <c r="F13" s="21">
        <f>INFO!$D$14</f>
        <v>8.121019108280253E-2</v>
      </c>
      <c r="H13" s="66"/>
      <c r="L13" s="61"/>
      <c r="M13" s="62"/>
      <c r="N13" s="63"/>
      <c r="O13" s="64"/>
      <c r="P13" s="20" t="s">
        <v>13</v>
      </c>
      <c r="Q13" s="21">
        <f>INFO!$D$14</f>
        <v>8.121019108280253E-2</v>
      </c>
      <c r="S13" s="66"/>
      <c r="T13" s="63"/>
      <c r="W13" s="61"/>
      <c r="X13" s="62"/>
      <c r="Y13" s="63"/>
      <c r="Z13" s="64"/>
      <c r="AA13" s="20" t="s">
        <v>13</v>
      </c>
      <c r="AB13" s="21">
        <f>INFO!$D$14</f>
        <v>8.121019108280253E-2</v>
      </c>
      <c r="AD13" s="66"/>
      <c r="AH13" s="13" t="s">
        <v>39</v>
      </c>
      <c r="AI13" s="14">
        <f>IF(M59=0%,0%,N61/SUM(N60:N67))</f>
        <v>0</v>
      </c>
      <c r="AJ13" s="13" t="str">
        <f t="shared" si="4"/>
        <v>frigorifero</v>
      </c>
      <c r="AK13" s="15">
        <f t="shared" si="4"/>
        <v>0</v>
      </c>
      <c r="AL13" s="13" t="str">
        <f>P68</f>
        <v>materasso</v>
      </c>
      <c r="AM13" s="15">
        <f>Q68</f>
        <v>0</v>
      </c>
      <c r="AN13" s="13" t="str">
        <f t="shared" si="5"/>
        <v>lamiere</v>
      </c>
      <c r="AO13" s="15">
        <f t="shared" si="5"/>
        <v>0</v>
      </c>
      <c r="AP13" s="15" t="str">
        <f t="shared" ref="AP13:AQ15" si="6">O2</f>
        <v>altezza cumulo</v>
      </c>
      <c r="AQ13" s="15">
        <f t="shared" si="6"/>
        <v>40</v>
      </c>
    </row>
    <row r="14" spans="1:44" x14ac:dyDescent="0.3">
      <c r="A14" s="61"/>
      <c r="B14" s="62"/>
      <c r="C14" s="63"/>
      <c r="D14" s="64"/>
      <c r="E14" s="20" t="s">
        <v>14</v>
      </c>
      <c r="F14" s="21">
        <f>INFO!$D$15</f>
        <v>0.16719745222929935</v>
      </c>
      <c r="H14" s="66"/>
      <c r="L14" s="61"/>
      <c r="M14" s="62"/>
      <c r="N14" s="63"/>
      <c r="O14" s="64"/>
      <c r="P14" s="20" t="s">
        <v>14</v>
      </c>
      <c r="Q14" s="21">
        <f>INFO!$D$15</f>
        <v>0.16719745222929935</v>
      </c>
      <c r="S14" s="66"/>
      <c r="T14" s="63"/>
      <c r="W14" s="61"/>
      <c r="X14" s="62"/>
      <c r="Y14" s="63"/>
      <c r="Z14" s="64"/>
      <c r="AA14" s="20" t="s">
        <v>14</v>
      </c>
      <c r="AB14" s="21">
        <f>INFO!$D$15</f>
        <v>0.16719745222929935</v>
      </c>
      <c r="AD14" s="66"/>
      <c r="AH14" s="13" t="s">
        <v>47</v>
      </c>
      <c r="AI14" s="14">
        <f>IF(M59=0%,0%,(N62+N63)/SUM(N60:N67))</f>
        <v>0</v>
      </c>
      <c r="AJ14" s="13" t="str">
        <f t="shared" si="4"/>
        <v>forno</v>
      </c>
      <c r="AK14" s="15">
        <f t="shared" si="4"/>
        <v>0</v>
      </c>
      <c r="AL14" s="13" t="str">
        <f t="shared" ref="AL14:AM18" si="7">R60</f>
        <v>brandina</v>
      </c>
      <c r="AM14" s="15">
        <f t="shared" si="7"/>
        <v>0</v>
      </c>
      <c r="AN14" s="13" t="str">
        <f t="shared" si="5"/>
        <v>buste</v>
      </c>
      <c r="AO14" s="15">
        <f t="shared" si="5"/>
        <v>0</v>
      </c>
      <c r="AP14" s="15" t="str">
        <f t="shared" si="6"/>
        <v>combustione</v>
      </c>
      <c r="AQ14" s="15" t="str">
        <f t="shared" si="6"/>
        <v>no</v>
      </c>
    </row>
    <row r="15" spans="1:44" x14ac:dyDescent="0.3">
      <c r="A15" s="61"/>
      <c r="B15" s="62"/>
      <c r="C15" s="63"/>
      <c r="D15" s="64" t="s">
        <v>57</v>
      </c>
      <c r="E15" s="20" t="s">
        <v>21</v>
      </c>
      <c r="F15" s="28">
        <f>INFO!$C$24</f>
        <v>0.60775370581527932</v>
      </c>
      <c r="H15" s="66">
        <v>12</v>
      </c>
      <c r="L15" s="61"/>
      <c r="M15" s="62"/>
      <c r="N15" s="63"/>
      <c r="O15" s="64" t="s">
        <v>57</v>
      </c>
      <c r="P15" s="20" t="s">
        <v>21</v>
      </c>
      <c r="Q15" s="28">
        <f>INFO!$C$24</f>
        <v>0.60775370581527932</v>
      </c>
      <c r="S15" s="66">
        <v>12</v>
      </c>
      <c r="T15" s="63"/>
      <c r="W15" s="61"/>
      <c r="X15" s="62"/>
      <c r="Y15" s="63"/>
      <c r="Z15" s="64" t="s">
        <v>57</v>
      </c>
      <c r="AA15" s="20" t="s">
        <v>21</v>
      </c>
      <c r="AB15" s="28">
        <f>INFO!$C$24</f>
        <v>0.60775370581527932</v>
      </c>
      <c r="AD15" s="66">
        <v>12</v>
      </c>
      <c r="AH15" s="13" t="s">
        <v>50</v>
      </c>
      <c r="AI15" s="26">
        <f>IF(M59=0%,0%,N64/SUM(N60:N67))</f>
        <v>0</v>
      </c>
      <c r="AJ15" s="13" t="str">
        <f t="shared" si="4"/>
        <v>televisore</v>
      </c>
      <c r="AK15" s="15">
        <f t="shared" si="4"/>
        <v>0</v>
      </c>
      <c r="AL15" s="13" t="str">
        <f t="shared" si="7"/>
        <v>Scatoloni</v>
      </c>
      <c r="AM15" s="15">
        <f t="shared" si="7"/>
        <v>0</v>
      </c>
      <c r="AN15" s="15"/>
      <c r="AO15" s="15"/>
      <c r="AP15" s="15" t="str">
        <f t="shared" si="6"/>
        <v>bonifica</v>
      </c>
      <c r="AQ15" s="15" t="str">
        <f t="shared" si="6"/>
        <v>no</v>
      </c>
    </row>
    <row r="16" spans="1:44" x14ac:dyDescent="0.3">
      <c r="A16" s="61"/>
      <c r="B16" s="62"/>
      <c r="C16" s="63"/>
      <c r="D16" s="64"/>
      <c r="E16" s="20" t="s">
        <v>14</v>
      </c>
      <c r="F16" s="28">
        <f>INFO!$C$25</f>
        <v>0.18244013683010266</v>
      </c>
      <c r="H16" s="66"/>
      <c r="L16" s="61"/>
      <c r="M16" s="62"/>
      <c r="N16" s="63"/>
      <c r="O16" s="64"/>
      <c r="P16" s="20" t="s">
        <v>14</v>
      </c>
      <c r="Q16" s="28">
        <f>INFO!$C$25</f>
        <v>0.18244013683010266</v>
      </c>
      <c r="S16" s="66"/>
      <c r="T16" s="63"/>
      <c r="W16" s="61"/>
      <c r="X16" s="62"/>
      <c r="Y16" s="63"/>
      <c r="Z16" s="64"/>
      <c r="AA16" s="20" t="s">
        <v>14</v>
      </c>
      <c r="AB16" s="28">
        <f>INFO!$C$25</f>
        <v>0.18244013683010266</v>
      </c>
      <c r="AD16" s="66"/>
      <c r="AH16" s="13" t="s">
        <v>51</v>
      </c>
      <c r="AI16" s="14">
        <f>IF(M59=0%,0%,N65/SUM(N60:N67))</f>
        <v>0</v>
      </c>
      <c r="AJ16" s="13" t="str">
        <f t="shared" si="4"/>
        <v>scaldabagno</v>
      </c>
      <c r="AK16" s="15">
        <f t="shared" si="4"/>
        <v>0</v>
      </c>
      <c r="AL16" s="13" t="str">
        <f t="shared" si="7"/>
        <v>divano</v>
      </c>
      <c r="AM16" s="15">
        <f t="shared" si="7"/>
        <v>0</v>
      </c>
      <c r="AN16" s="15"/>
      <c r="AO16" s="15"/>
      <c r="AP16" s="15" t="str">
        <f>Q4</f>
        <v>substrato</v>
      </c>
      <c r="AQ16" s="15" t="str">
        <f>R4</f>
        <v>battistrada</v>
      </c>
    </row>
    <row r="17" spans="1:44" x14ac:dyDescent="0.3">
      <c r="A17" s="61"/>
      <c r="B17" s="62"/>
      <c r="C17" s="63"/>
      <c r="D17" s="64"/>
      <c r="E17" s="20" t="s">
        <v>22</v>
      </c>
      <c r="F17" s="28">
        <f>INFO!$C$26</f>
        <v>0.12200684150513114</v>
      </c>
      <c r="H17" s="66"/>
      <c r="L17" s="61"/>
      <c r="M17" s="62"/>
      <c r="N17" s="63"/>
      <c r="O17" s="64"/>
      <c r="P17" s="20" t="s">
        <v>22</v>
      </c>
      <c r="Q17" s="28">
        <f>INFO!$C$26</f>
        <v>0.12200684150513114</v>
      </c>
      <c r="S17" s="66"/>
      <c r="T17" s="63"/>
      <c r="W17" s="61"/>
      <c r="X17" s="62"/>
      <c r="Y17" s="63"/>
      <c r="Z17" s="64"/>
      <c r="AA17" s="20" t="s">
        <v>22</v>
      </c>
      <c r="AB17" s="28">
        <f>INFO!$C$26</f>
        <v>0.12200684150513114</v>
      </c>
      <c r="AD17" s="66"/>
      <c r="AH17" s="13" t="s">
        <v>52</v>
      </c>
      <c r="AI17" s="14">
        <f>IF(M59=0%,0%,N66/SUM(N60:N67))</f>
        <v>0</v>
      </c>
      <c r="AJ17" s="13" t="str">
        <f t="shared" si="4"/>
        <v>mobile</v>
      </c>
      <c r="AK17" s="15">
        <f t="shared" si="4"/>
        <v>0</v>
      </c>
      <c r="AL17" s="13" t="str">
        <f t="shared" si="7"/>
        <v>sanitari</v>
      </c>
      <c r="AM17" s="15">
        <f t="shared" si="7"/>
        <v>0</v>
      </c>
      <c r="AN17" s="15"/>
      <c r="AO17" s="15"/>
      <c r="AP17" s="15" t="s">
        <v>53</v>
      </c>
      <c r="AQ17" s="15">
        <f>M4</f>
        <v>0</v>
      </c>
    </row>
    <row r="18" spans="1:44" ht="15" thickBot="1" x14ac:dyDescent="0.35">
      <c r="A18" s="61"/>
      <c r="B18" s="62"/>
      <c r="C18" s="63"/>
      <c r="D18" s="64"/>
      <c r="E18" s="20" t="s">
        <v>13</v>
      </c>
      <c r="F18" s="28">
        <f>INFO!$C$27</f>
        <v>8.77993158494869E-2</v>
      </c>
      <c r="H18" s="66"/>
      <c r="L18" s="61"/>
      <c r="M18" s="62"/>
      <c r="N18" s="63"/>
      <c r="O18" s="64"/>
      <c r="P18" s="20" t="s">
        <v>13</v>
      </c>
      <c r="Q18" s="28">
        <f>INFO!$C$27</f>
        <v>8.77993158494869E-2</v>
      </c>
      <c r="S18" s="66"/>
      <c r="T18" s="63"/>
      <c r="W18" s="61"/>
      <c r="X18" s="62"/>
      <c r="Y18" s="63"/>
      <c r="Z18" s="64"/>
      <c r="AA18" s="20" t="s">
        <v>13</v>
      </c>
      <c r="AB18" s="28">
        <f>INFO!$C$27</f>
        <v>8.77993158494869E-2</v>
      </c>
      <c r="AD18" s="66"/>
      <c r="AH18" s="13" t="s">
        <v>55</v>
      </c>
      <c r="AI18" s="14">
        <f>IF(M59=0%,0%,N67/SUM(N60:N67))</f>
        <v>1</v>
      </c>
      <c r="AJ18" s="13" t="str">
        <f t="shared" si="4"/>
        <v>secchio</v>
      </c>
      <c r="AK18" s="15">
        <f t="shared" si="4"/>
        <v>0</v>
      </c>
      <c r="AL18" s="13" t="str">
        <f t="shared" si="7"/>
        <v>tubi</v>
      </c>
      <c r="AM18" s="15">
        <f t="shared" si="7"/>
        <v>0</v>
      </c>
      <c r="AN18" s="15"/>
      <c r="AO18" s="15"/>
      <c r="AP18" s="24" t="s">
        <v>46</v>
      </c>
      <c r="AQ18" s="24">
        <f>S2</f>
        <v>0</v>
      </c>
      <c r="AR18" s="26">
        <f>SUM(AI12:AI18)</f>
        <v>1</v>
      </c>
    </row>
    <row r="19" spans="1:44" ht="15" thickBot="1" x14ac:dyDescent="0.35">
      <c r="A19" s="61"/>
      <c r="B19" s="62"/>
      <c r="C19" s="63"/>
      <c r="D19" s="67" t="s">
        <v>58</v>
      </c>
      <c r="E19" s="29" t="s">
        <v>22</v>
      </c>
      <c r="F19" s="28">
        <v>0.8</v>
      </c>
      <c r="H19" s="66">
        <v>12</v>
      </c>
      <c r="L19" s="61"/>
      <c r="M19" s="62"/>
      <c r="N19" s="63"/>
      <c r="O19" s="67" t="s">
        <v>58</v>
      </c>
      <c r="P19" s="29" t="s">
        <v>22</v>
      </c>
      <c r="Q19" s="28">
        <v>0.8</v>
      </c>
      <c r="S19" s="66">
        <v>12</v>
      </c>
      <c r="W19" s="61"/>
      <c r="X19" s="62"/>
      <c r="Y19" s="63"/>
      <c r="Z19" s="67" t="s">
        <v>58</v>
      </c>
      <c r="AA19" s="29" t="s">
        <v>22</v>
      </c>
      <c r="AB19" s="28">
        <v>0.8</v>
      </c>
      <c r="AD19" s="66">
        <v>12</v>
      </c>
      <c r="AH19" s="59" t="str">
        <f>W1</f>
        <v>SITO O4</v>
      </c>
      <c r="AI19" s="59"/>
      <c r="AJ19" s="59"/>
      <c r="AK19" s="59"/>
      <c r="AL19" s="59"/>
      <c r="AM19" s="59"/>
      <c r="AN19" s="59"/>
      <c r="AO19" s="59"/>
      <c r="AP19" s="59"/>
      <c r="AQ19" s="59"/>
    </row>
    <row r="20" spans="1:44" x14ac:dyDescent="0.3">
      <c r="A20" s="61"/>
      <c r="B20" s="62"/>
      <c r="C20" s="63"/>
      <c r="D20" s="67"/>
      <c r="E20" s="29" t="s">
        <v>13</v>
      </c>
      <c r="F20" s="28">
        <v>0.2</v>
      </c>
      <c r="H20" s="66"/>
      <c r="L20" s="61"/>
      <c r="M20" s="62"/>
      <c r="N20" s="63"/>
      <c r="O20" s="67"/>
      <c r="P20" s="29" t="s">
        <v>13</v>
      </c>
      <c r="Q20" s="28">
        <v>0.2</v>
      </c>
      <c r="S20" s="66"/>
      <c r="W20" s="61"/>
      <c r="X20" s="62"/>
      <c r="Y20" s="63"/>
      <c r="Z20" s="67"/>
      <c r="AA20" s="29" t="s">
        <v>13</v>
      </c>
      <c r="AB20" s="28">
        <v>0.2</v>
      </c>
      <c r="AD20" s="66"/>
      <c r="AH20" s="60" t="s">
        <v>27</v>
      </c>
      <c r="AI20" s="60"/>
      <c r="AJ20" s="60" t="s">
        <v>28</v>
      </c>
      <c r="AK20" s="60"/>
      <c r="AL20" s="60"/>
      <c r="AM20" s="60"/>
      <c r="AN20" s="60"/>
      <c r="AO20" s="60"/>
      <c r="AP20" s="60" t="s">
        <v>29</v>
      </c>
      <c r="AQ20" s="60"/>
    </row>
    <row r="21" spans="1:44" x14ac:dyDescent="0.3">
      <c r="A21" s="61"/>
      <c r="B21" s="33">
        <v>0.15</v>
      </c>
      <c r="C21" s="63"/>
      <c r="D21" s="64" t="s">
        <v>59</v>
      </c>
      <c r="E21" s="29" t="s">
        <v>50</v>
      </c>
      <c r="F21" s="28">
        <v>1</v>
      </c>
      <c r="G21">
        <v>550</v>
      </c>
      <c r="H21" s="32"/>
      <c r="L21" s="61"/>
      <c r="M21" s="33"/>
      <c r="N21" s="31"/>
      <c r="O21" s="64" t="s">
        <v>59</v>
      </c>
      <c r="P21" s="29" t="s">
        <v>50</v>
      </c>
      <c r="Q21" s="28">
        <v>1</v>
      </c>
      <c r="R21">
        <v>550</v>
      </c>
      <c r="S21" s="32"/>
      <c r="W21" s="61"/>
      <c r="X21" s="33">
        <v>0.02</v>
      </c>
      <c r="Y21" s="31"/>
      <c r="Z21" s="64" t="s">
        <v>59</v>
      </c>
      <c r="AA21" s="29" t="s">
        <v>50</v>
      </c>
      <c r="AB21" s="28">
        <v>1</v>
      </c>
      <c r="AC21">
        <v>550</v>
      </c>
      <c r="AD21" s="32"/>
      <c r="AH21" s="8" t="s">
        <v>14</v>
      </c>
      <c r="AI21" s="9">
        <f>IF(X59=0%,0%,Y60/SUM(Y60:Y67))</f>
        <v>0</v>
      </c>
      <c r="AJ21" s="8" t="str">
        <f t="shared" ref="AJ21:AK27" si="8">AA60</f>
        <v>lavatrice</v>
      </c>
      <c r="AK21" s="10">
        <f t="shared" si="8"/>
        <v>0</v>
      </c>
      <c r="AL21" s="8" t="str">
        <f>AA67</f>
        <v>sedie</v>
      </c>
      <c r="AM21" s="10">
        <f>AB67</f>
        <v>0</v>
      </c>
      <c r="AN21" s="8" t="str">
        <f t="shared" ref="AN21:AO23" si="9">AC65</f>
        <v>guaina</v>
      </c>
      <c r="AO21" s="11">
        <f t="shared" si="9"/>
        <v>0</v>
      </c>
      <c r="AP21" s="10" t="s">
        <v>33</v>
      </c>
      <c r="AQ21" s="10">
        <f>Y3</f>
        <v>0</v>
      </c>
    </row>
    <row r="22" spans="1:44" x14ac:dyDescent="0.3">
      <c r="A22" s="61"/>
      <c r="B22" s="33"/>
      <c r="C22" s="63"/>
      <c r="D22" s="64"/>
      <c r="E22" s="29" t="s">
        <v>14</v>
      </c>
      <c r="F22" s="28">
        <v>1</v>
      </c>
      <c r="G22" s="34">
        <v>1400</v>
      </c>
      <c r="H22" s="32"/>
      <c r="L22" s="61"/>
      <c r="M22" s="30"/>
      <c r="N22" s="31"/>
      <c r="O22" s="64"/>
      <c r="P22" s="29" t="s">
        <v>14</v>
      </c>
      <c r="Q22" s="28">
        <v>1</v>
      </c>
      <c r="R22" s="34">
        <v>1400</v>
      </c>
      <c r="S22" s="32"/>
      <c r="W22" s="61"/>
      <c r="Y22" s="31"/>
      <c r="Z22" s="64"/>
      <c r="AA22" s="29" t="s">
        <v>14</v>
      </c>
      <c r="AB22" s="28">
        <v>1</v>
      </c>
      <c r="AC22" s="34">
        <v>1400</v>
      </c>
      <c r="AD22" s="32"/>
      <c r="AH22" s="13" t="s">
        <v>39</v>
      </c>
      <c r="AI22" s="14">
        <f>IF(X59=0%,0%,Y61/SUM(Y60:Y67))</f>
        <v>0</v>
      </c>
      <c r="AJ22" s="13" t="str">
        <f t="shared" si="8"/>
        <v>frigorifero</v>
      </c>
      <c r="AK22" s="15">
        <f t="shared" si="8"/>
        <v>0</v>
      </c>
      <c r="AL22" s="13" t="str">
        <f>AA68</f>
        <v>materasso</v>
      </c>
      <c r="AM22" s="15">
        <f>AB68</f>
        <v>0</v>
      </c>
      <c r="AN22" s="13" t="str">
        <f t="shared" si="9"/>
        <v>lamiere</v>
      </c>
      <c r="AO22" s="16">
        <f t="shared" si="9"/>
        <v>0</v>
      </c>
      <c r="AP22" s="15" t="str">
        <f t="shared" ref="AP22:AQ24" si="10">Z2</f>
        <v>altezza cumulo</v>
      </c>
      <c r="AQ22" s="15">
        <f t="shared" si="10"/>
        <v>30</v>
      </c>
    </row>
    <row r="23" spans="1:44" x14ac:dyDescent="0.3">
      <c r="A23" s="61"/>
      <c r="B23" s="30"/>
      <c r="C23" s="31"/>
      <c r="D23" s="64"/>
      <c r="E23" s="29" t="s">
        <v>22</v>
      </c>
      <c r="F23" s="28">
        <v>1</v>
      </c>
      <c r="G23" s="34">
        <v>7500</v>
      </c>
      <c r="H23" s="32"/>
      <c r="L23" s="61"/>
      <c r="M23" s="30"/>
      <c r="N23" s="31"/>
      <c r="O23" s="64"/>
      <c r="P23" s="29" t="s">
        <v>22</v>
      </c>
      <c r="Q23" s="28">
        <v>1</v>
      </c>
      <c r="R23" s="34">
        <v>7500</v>
      </c>
      <c r="S23" s="32"/>
      <c r="T23" s="3"/>
      <c r="W23" s="61"/>
      <c r="Y23" s="31"/>
      <c r="Z23" s="64"/>
      <c r="AA23" s="29" t="s">
        <v>22</v>
      </c>
      <c r="AB23" s="28">
        <v>1</v>
      </c>
      <c r="AC23" s="34">
        <v>7500</v>
      </c>
      <c r="AD23" s="32"/>
      <c r="AH23" s="13" t="s">
        <v>47</v>
      </c>
      <c r="AI23" s="14">
        <f>IF(X59=0%,0%,(Y62+Y63)/SUM(Y60:Y67))</f>
        <v>0</v>
      </c>
      <c r="AJ23" s="13" t="str">
        <f t="shared" si="8"/>
        <v>forno</v>
      </c>
      <c r="AK23" s="15">
        <f t="shared" si="8"/>
        <v>0</v>
      </c>
      <c r="AL23" s="13" t="str">
        <f t="shared" ref="AL23:AM27" si="11">AC60</f>
        <v>brandina</v>
      </c>
      <c r="AM23" s="15">
        <f t="shared" si="11"/>
        <v>0</v>
      </c>
      <c r="AN23" s="13" t="str">
        <f t="shared" si="9"/>
        <v>buste</v>
      </c>
      <c r="AO23" s="16">
        <f t="shared" si="9"/>
        <v>0</v>
      </c>
      <c r="AP23" s="15" t="str">
        <f t="shared" si="10"/>
        <v>combustione</v>
      </c>
      <c r="AQ23" s="15" t="str">
        <f t="shared" si="10"/>
        <v>no</v>
      </c>
    </row>
    <row r="24" spans="1:44" x14ac:dyDescent="0.3">
      <c r="A24" s="61"/>
      <c r="B24" s="33"/>
      <c r="C24" s="3"/>
      <c r="D24" s="20" t="s">
        <v>60</v>
      </c>
      <c r="E24" s="29" t="s">
        <v>14</v>
      </c>
      <c r="F24" s="28">
        <v>1</v>
      </c>
      <c r="G24" s="34">
        <v>1400</v>
      </c>
      <c r="H24" s="32"/>
      <c r="L24" s="61"/>
      <c r="M24" s="33"/>
      <c r="N24" s="3"/>
      <c r="O24" s="20" t="s">
        <v>60</v>
      </c>
      <c r="P24" s="29" t="s">
        <v>14</v>
      </c>
      <c r="Q24" s="28">
        <v>1</v>
      </c>
      <c r="R24" s="34">
        <v>1400</v>
      </c>
      <c r="S24" s="32"/>
      <c r="T24" s="3"/>
      <c r="W24" s="61"/>
      <c r="Y24" s="3"/>
      <c r="Z24" s="20" t="s">
        <v>60</v>
      </c>
      <c r="AA24" s="29" t="s">
        <v>14</v>
      </c>
      <c r="AB24" s="28">
        <v>1</v>
      </c>
      <c r="AC24" s="34">
        <v>1400</v>
      </c>
      <c r="AD24" s="32"/>
      <c r="AH24" s="13" t="s">
        <v>50</v>
      </c>
      <c r="AI24" s="14">
        <f>IF(X59=0%,0%,Y64/SUM(Y60:Y67))</f>
        <v>0.02</v>
      </c>
      <c r="AJ24" s="13" t="str">
        <f t="shared" si="8"/>
        <v>televisore</v>
      </c>
      <c r="AK24" s="15">
        <f t="shared" si="8"/>
        <v>0</v>
      </c>
      <c r="AL24" s="13" t="str">
        <f t="shared" si="11"/>
        <v>Scatoloni</v>
      </c>
      <c r="AM24" s="15">
        <f t="shared" si="11"/>
        <v>0</v>
      </c>
      <c r="AN24" s="15"/>
      <c r="AO24" s="16"/>
      <c r="AP24" s="15" t="str">
        <f t="shared" si="10"/>
        <v>bonifica</v>
      </c>
      <c r="AQ24" s="15" t="str">
        <f t="shared" si="10"/>
        <v>no</v>
      </c>
    </row>
    <row r="25" spans="1:44" x14ac:dyDescent="0.3">
      <c r="A25" s="61"/>
      <c r="B25" s="30"/>
      <c r="C25" s="31"/>
      <c r="D25" s="20" t="s">
        <v>61</v>
      </c>
      <c r="E25" s="29" t="s">
        <v>50</v>
      </c>
      <c r="F25" s="28">
        <v>1</v>
      </c>
      <c r="G25" s="34">
        <v>550</v>
      </c>
      <c r="H25" s="32"/>
      <c r="L25" s="61"/>
      <c r="M25" s="30"/>
      <c r="N25" s="31"/>
      <c r="O25" s="20" t="s">
        <v>61</v>
      </c>
      <c r="P25" s="29" t="s">
        <v>50</v>
      </c>
      <c r="Q25" s="28">
        <v>1</v>
      </c>
      <c r="R25" s="34">
        <v>550</v>
      </c>
      <c r="S25" s="32"/>
      <c r="T25" s="3"/>
      <c r="W25" s="61"/>
      <c r="Y25" s="31"/>
      <c r="Z25" s="20" t="s">
        <v>61</v>
      </c>
      <c r="AA25" s="29" t="s">
        <v>50</v>
      </c>
      <c r="AB25" s="28">
        <v>1</v>
      </c>
      <c r="AC25" s="34">
        <v>550</v>
      </c>
      <c r="AD25" s="32"/>
      <c r="AH25" s="13" t="s">
        <v>51</v>
      </c>
      <c r="AI25" s="14">
        <f>IF(X59=0%,0%,Y65/SUM(Y60:Y67))</f>
        <v>0</v>
      </c>
      <c r="AJ25" s="13" t="str">
        <f t="shared" si="8"/>
        <v>scaldabagno</v>
      </c>
      <c r="AK25" s="15">
        <f t="shared" si="8"/>
        <v>0</v>
      </c>
      <c r="AL25" s="13" t="str">
        <f t="shared" si="11"/>
        <v>divano</v>
      </c>
      <c r="AM25" s="15">
        <f t="shared" si="11"/>
        <v>0</v>
      </c>
      <c r="AN25" s="15"/>
      <c r="AO25" s="16"/>
      <c r="AP25" s="15" t="str">
        <f>AB4</f>
        <v>substrato</v>
      </c>
      <c r="AQ25" s="15" t="str">
        <f>AC4</f>
        <v>suolo</v>
      </c>
    </row>
    <row r="26" spans="1:44" ht="14.4" customHeight="1" x14ac:dyDescent="0.3">
      <c r="A26" s="61"/>
      <c r="B26" s="30"/>
      <c r="C26" s="31"/>
      <c r="D26" s="20" t="s">
        <v>62</v>
      </c>
      <c r="E26" s="29" t="s">
        <v>52</v>
      </c>
      <c r="F26" s="28">
        <v>1</v>
      </c>
      <c r="H26" s="32">
        <v>20</v>
      </c>
      <c r="L26" s="61"/>
      <c r="M26" s="30"/>
      <c r="N26" s="31"/>
      <c r="O26" s="20" t="s">
        <v>62</v>
      </c>
      <c r="P26" s="29" t="s">
        <v>52</v>
      </c>
      <c r="Q26" s="28">
        <v>1</v>
      </c>
      <c r="S26" s="32">
        <v>20</v>
      </c>
      <c r="T26" s="3"/>
      <c r="W26" s="61"/>
      <c r="Y26" s="31"/>
      <c r="Z26" s="20" t="s">
        <v>62</v>
      </c>
      <c r="AA26" s="29" t="s">
        <v>52</v>
      </c>
      <c r="AB26" s="28">
        <v>1</v>
      </c>
      <c r="AD26" s="32">
        <v>20</v>
      </c>
      <c r="AH26" s="13" t="s">
        <v>52</v>
      </c>
      <c r="AI26" s="14">
        <f>IF(X59=0%,0%,Y66/SUM(Y60:Y67))</f>
        <v>0</v>
      </c>
      <c r="AJ26" s="13" t="str">
        <f t="shared" si="8"/>
        <v>mobile</v>
      </c>
      <c r="AK26" s="15">
        <f t="shared" si="8"/>
        <v>0</v>
      </c>
      <c r="AL26" s="13" t="str">
        <f t="shared" si="11"/>
        <v>sanitari</v>
      </c>
      <c r="AM26" s="15">
        <f t="shared" si="11"/>
        <v>0</v>
      </c>
      <c r="AN26" s="15"/>
      <c r="AO26" s="16"/>
      <c r="AP26" s="15" t="s">
        <v>53</v>
      </c>
      <c r="AQ26" s="15">
        <f>X4</f>
        <v>0</v>
      </c>
    </row>
    <row r="27" spans="1:44" x14ac:dyDescent="0.3">
      <c r="A27" s="61"/>
      <c r="B27" s="30"/>
      <c r="C27" s="31"/>
      <c r="D27" s="20" t="s">
        <v>63</v>
      </c>
      <c r="E27" s="29" t="s">
        <v>22</v>
      </c>
      <c r="F27" s="28">
        <v>1</v>
      </c>
      <c r="H27" s="32"/>
      <c r="L27" s="61"/>
      <c r="M27" s="30"/>
      <c r="N27" s="31"/>
      <c r="O27" s="20" t="s">
        <v>63</v>
      </c>
      <c r="P27" s="29" t="s">
        <v>22</v>
      </c>
      <c r="Q27" s="28">
        <v>1</v>
      </c>
      <c r="S27" s="32"/>
      <c r="T27" s="3"/>
      <c r="W27" s="61"/>
      <c r="Y27" s="31"/>
      <c r="Z27" s="20" t="s">
        <v>63</v>
      </c>
      <c r="AA27" s="29" t="s">
        <v>22</v>
      </c>
      <c r="AB27" s="28">
        <v>1</v>
      </c>
      <c r="AD27" s="32"/>
      <c r="AH27" s="22" t="s">
        <v>55</v>
      </c>
      <c r="AI27" s="23">
        <f>IF(X59=0%,0%,Y67/SUM(Y60:Y67))</f>
        <v>0.98</v>
      </c>
      <c r="AJ27" s="22" t="str">
        <f t="shared" si="8"/>
        <v>secchio</v>
      </c>
      <c r="AK27" s="24">
        <f t="shared" si="8"/>
        <v>0</v>
      </c>
      <c r="AL27" s="22" t="str">
        <f t="shared" si="11"/>
        <v>tubi</v>
      </c>
      <c r="AM27" s="24">
        <f t="shared" si="11"/>
        <v>0</v>
      </c>
      <c r="AN27" s="24"/>
      <c r="AO27" s="25"/>
      <c r="AP27" s="24" t="s">
        <v>46</v>
      </c>
      <c r="AQ27" s="24">
        <f>AD2</f>
        <v>0</v>
      </c>
      <c r="AR27" s="26">
        <f>SUM(AI21:AI27)</f>
        <v>1</v>
      </c>
    </row>
    <row r="28" spans="1:44" x14ac:dyDescent="0.3">
      <c r="A28" s="61"/>
      <c r="B28" s="62"/>
      <c r="C28" s="63"/>
      <c r="D28" s="64" t="s">
        <v>64</v>
      </c>
      <c r="E28" s="29" t="s">
        <v>52</v>
      </c>
      <c r="F28" s="28">
        <v>0.8</v>
      </c>
      <c r="H28" s="66">
        <v>50</v>
      </c>
      <c r="L28" s="61"/>
      <c r="M28" s="62"/>
      <c r="N28" s="63"/>
      <c r="O28" s="64" t="s">
        <v>64</v>
      </c>
      <c r="P28" s="29" t="s">
        <v>52</v>
      </c>
      <c r="Q28" s="28">
        <v>0.8</v>
      </c>
      <c r="S28" s="66">
        <v>50</v>
      </c>
      <c r="T28" s="3"/>
      <c r="W28" s="61"/>
      <c r="Y28" s="63"/>
      <c r="Z28" s="64" t="s">
        <v>64</v>
      </c>
      <c r="AA28" s="29" t="s">
        <v>52</v>
      </c>
      <c r="AB28" s="28">
        <v>0.8</v>
      </c>
      <c r="AD28" s="66">
        <v>50</v>
      </c>
    </row>
    <row r="29" spans="1:44" ht="14.4" customHeight="1" x14ac:dyDescent="0.3">
      <c r="A29" s="61"/>
      <c r="B29" s="62"/>
      <c r="C29" s="63"/>
      <c r="D29" s="64"/>
      <c r="E29" s="29" t="s">
        <v>50</v>
      </c>
      <c r="F29" s="28">
        <v>0.2</v>
      </c>
      <c r="H29" s="66"/>
      <c r="L29" s="61"/>
      <c r="M29" s="62"/>
      <c r="N29" s="63"/>
      <c r="O29" s="64"/>
      <c r="P29" s="29" t="s">
        <v>50</v>
      </c>
      <c r="Q29" s="28">
        <v>0.2</v>
      </c>
      <c r="S29" s="66"/>
      <c r="T29" s="3"/>
      <c r="W29" s="61"/>
      <c r="Y29" s="63"/>
      <c r="Z29" s="64"/>
      <c r="AA29" s="29" t="s">
        <v>50</v>
      </c>
      <c r="AB29" s="28">
        <v>0.2</v>
      </c>
      <c r="AD29" s="66"/>
      <c r="AG29" s="26"/>
    </row>
    <row r="30" spans="1:44" x14ac:dyDescent="0.3">
      <c r="A30" s="17" t="s">
        <v>65</v>
      </c>
      <c r="B30" s="36"/>
      <c r="C30" s="3"/>
      <c r="D30" s="29" t="s">
        <v>66</v>
      </c>
      <c r="E30" s="16" t="s">
        <v>51</v>
      </c>
      <c r="F30" s="28">
        <v>1</v>
      </c>
      <c r="G30" s="34">
        <v>1000</v>
      </c>
      <c r="H30" s="32"/>
      <c r="L30" s="17" t="s">
        <v>65</v>
      </c>
      <c r="M30" s="36"/>
      <c r="N30" s="3"/>
      <c r="O30" s="29" t="s">
        <v>66</v>
      </c>
      <c r="P30" s="16" t="s">
        <v>51</v>
      </c>
      <c r="Q30" s="28">
        <v>1</v>
      </c>
      <c r="R30" s="34">
        <v>1000</v>
      </c>
      <c r="S30" s="32"/>
      <c r="T30" s="3"/>
      <c r="W30" s="17" t="s">
        <v>65</v>
      </c>
      <c r="Y30" s="3"/>
      <c r="Z30" s="29" t="s">
        <v>66</v>
      </c>
      <c r="AA30" s="16" t="s">
        <v>51</v>
      </c>
      <c r="AB30" s="28">
        <v>1</v>
      </c>
      <c r="AC30" s="34">
        <v>1000</v>
      </c>
      <c r="AD30" s="32"/>
      <c r="AG30" s="26"/>
    </row>
    <row r="31" spans="1:44" ht="14.4" customHeight="1" x14ac:dyDescent="0.3">
      <c r="A31" s="61" t="s">
        <v>67</v>
      </c>
      <c r="B31" s="33"/>
      <c r="C31" s="3"/>
      <c r="D31" s="29" t="s">
        <v>14</v>
      </c>
      <c r="E31" s="20"/>
      <c r="F31" s="28">
        <v>1</v>
      </c>
      <c r="G31" s="34">
        <v>900</v>
      </c>
      <c r="H31" s="32"/>
      <c r="L31" s="61" t="s">
        <v>67</v>
      </c>
      <c r="M31" s="33"/>
      <c r="N31" s="3"/>
      <c r="O31" s="29" t="s">
        <v>14</v>
      </c>
      <c r="P31" s="20"/>
      <c r="Q31" s="28">
        <v>1</v>
      </c>
      <c r="R31" s="34">
        <v>900</v>
      </c>
      <c r="S31" s="32"/>
      <c r="T31" s="3"/>
      <c r="W31" s="61" t="s">
        <v>67</v>
      </c>
      <c r="Y31" s="3"/>
      <c r="Z31" s="29" t="s">
        <v>14</v>
      </c>
      <c r="AA31" s="20"/>
      <c r="AB31" s="28">
        <v>1</v>
      </c>
      <c r="AC31" s="34">
        <v>900</v>
      </c>
      <c r="AD31" s="32"/>
      <c r="AG31" s="26"/>
    </row>
    <row r="32" spans="1:44" x14ac:dyDescent="0.3">
      <c r="A32" s="61"/>
      <c r="B32" s="30"/>
      <c r="C32" s="31"/>
      <c r="D32" s="29" t="s">
        <v>39</v>
      </c>
      <c r="E32" s="20"/>
      <c r="F32" s="28">
        <v>1</v>
      </c>
      <c r="G32" s="34">
        <v>2600</v>
      </c>
      <c r="H32" s="32"/>
      <c r="L32" s="61"/>
      <c r="M32" s="30"/>
      <c r="N32" s="31"/>
      <c r="O32" s="29" t="s">
        <v>39</v>
      </c>
      <c r="P32" s="20"/>
      <c r="Q32" s="28">
        <v>1</v>
      </c>
      <c r="R32" s="34">
        <v>2600</v>
      </c>
      <c r="S32" s="32"/>
      <c r="T32" s="3"/>
      <c r="W32" s="61"/>
      <c r="Y32" s="31"/>
      <c r="Z32" s="29" t="s">
        <v>39</v>
      </c>
      <c r="AA32" s="20"/>
      <c r="AB32" s="28">
        <v>1</v>
      </c>
      <c r="AC32" s="34">
        <v>2600</v>
      </c>
      <c r="AD32" s="32"/>
      <c r="AH32" s="3"/>
      <c r="AJ32" s="3"/>
    </row>
    <row r="33" spans="1:34" ht="14.4" customHeight="1" x14ac:dyDescent="0.3">
      <c r="A33" s="61"/>
      <c r="B33" s="62"/>
      <c r="C33" s="31"/>
      <c r="D33" s="29" t="s">
        <v>13</v>
      </c>
      <c r="E33" s="20"/>
      <c r="F33" s="28">
        <v>0.2</v>
      </c>
      <c r="G33" s="34">
        <v>2700</v>
      </c>
      <c r="H33" s="32"/>
      <c r="L33" s="61"/>
      <c r="M33" s="62"/>
      <c r="N33" s="31"/>
      <c r="O33" s="29" t="s">
        <v>13</v>
      </c>
      <c r="P33" s="20"/>
      <c r="Q33" s="28">
        <v>0.2</v>
      </c>
      <c r="R33" s="34">
        <v>2700</v>
      </c>
      <c r="S33" s="32"/>
      <c r="T33" s="3"/>
      <c r="W33" s="61"/>
      <c r="Y33" s="31"/>
      <c r="Z33" s="29" t="s">
        <v>13</v>
      </c>
      <c r="AA33" s="20"/>
      <c r="AB33" s="28">
        <v>0.2</v>
      </c>
      <c r="AC33" s="34">
        <v>2700</v>
      </c>
      <c r="AD33" s="32"/>
      <c r="AH33" s="3"/>
    </row>
    <row r="34" spans="1:34" x14ac:dyDescent="0.3">
      <c r="A34" s="61"/>
      <c r="B34" s="62"/>
      <c r="C34" s="31"/>
      <c r="D34" s="29" t="s">
        <v>12</v>
      </c>
      <c r="E34" s="20"/>
      <c r="F34" s="28">
        <v>0.8</v>
      </c>
      <c r="G34" s="34">
        <v>7500</v>
      </c>
      <c r="H34" s="32"/>
      <c r="L34" s="61"/>
      <c r="M34" s="62"/>
      <c r="N34" s="31"/>
      <c r="O34" s="29" t="s">
        <v>12</v>
      </c>
      <c r="P34" s="20"/>
      <c r="Q34" s="28">
        <v>0.8</v>
      </c>
      <c r="R34" s="34">
        <v>7500</v>
      </c>
      <c r="S34" s="32"/>
      <c r="T34" s="3"/>
      <c r="W34" s="61"/>
      <c r="Y34" s="31"/>
      <c r="Z34" s="29" t="s">
        <v>12</v>
      </c>
      <c r="AA34" s="20"/>
      <c r="AB34" s="28">
        <v>0.8</v>
      </c>
      <c r="AC34" s="34">
        <v>7500</v>
      </c>
      <c r="AD34" s="32"/>
      <c r="AH34" s="26"/>
    </row>
    <row r="35" spans="1:34" x14ac:dyDescent="0.3">
      <c r="A35" s="61"/>
      <c r="B35" s="30"/>
      <c r="C35" s="31"/>
      <c r="D35" s="29" t="s">
        <v>51</v>
      </c>
      <c r="E35" s="20"/>
      <c r="F35" s="28">
        <v>1</v>
      </c>
      <c r="G35" s="34">
        <v>1000</v>
      </c>
      <c r="H35" s="32"/>
      <c r="L35" s="61"/>
      <c r="M35" s="30"/>
      <c r="N35" s="31"/>
      <c r="O35" s="29" t="s">
        <v>51</v>
      </c>
      <c r="P35" s="20"/>
      <c r="Q35" s="28">
        <v>1</v>
      </c>
      <c r="R35" s="34">
        <v>1000</v>
      </c>
      <c r="S35" s="32"/>
      <c r="T35" s="3"/>
      <c r="W35" s="61"/>
      <c r="Y35" s="31"/>
      <c r="Z35" s="29" t="s">
        <v>51</v>
      </c>
      <c r="AA35" s="20"/>
      <c r="AB35" s="28">
        <v>1</v>
      </c>
      <c r="AC35" s="34">
        <v>1000</v>
      </c>
      <c r="AD35" s="32"/>
    </row>
    <row r="36" spans="1:34" ht="14.4" customHeight="1" x14ac:dyDescent="0.3">
      <c r="A36" s="61"/>
      <c r="B36" s="30"/>
      <c r="C36" s="31"/>
      <c r="D36" s="29" t="s">
        <v>68</v>
      </c>
      <c r="E36" s="20"/>
      <c r="F36" s="28">
        <v>1</v>
      </c>
      <c r="G36" s="34">
        <v>800</v>
      </c>
      <c r="H36" s="32"/>
      <c r="L36" s="61"/>
      <c r="M36" s="30"/>
      <c r="N36" s="31"/>
      <c r="O36" s="29" t="s">
        <v>68</v>
      </c>
      <c r="P36" s="20"/>
      <c r="Q36" s="28">
        <v>1</v>
      </c>
      <c r="R36" s="34">
        <v>800</v>
      </c>
      <c r="S36" s="32"/>
      <c r="T36" s="3"/>
      <c r="W36" s="61"/>
      <c r="Y36" s="31"/>
      <c r="Z36" s="29" t="s">
        <v>68</v>
      </c>
      <c r="AA36" s="20"/>
      <c r="AB36" s="28">
        <v>1</v>
      </c>
      <c r="AC36" s="34">
        <v>800</v>
      </c>
      <c r="AD36" s="32"/>
    </row>
    <row r="37" spans="1:34" x14ac:dyDescent="0.3">
      <c r="A37" s="61"/>
      <c r="B37" s="30"/>
      <c r="C37" s="31"/>
      <c r="D37" s="29" t="s">
        <v>69</v>
      </c>
      <c r="E37" s="20"/>
      <c r="F37" s="28">
        <v>1</v>
      </c>
      <c r="G37" s="34">
        <v>170</v>
      </c>
      <c r="H37" s="32"/>
      <c r="L37" s="61"/>
      <c r="M37" s="30"/>
      <c r="N37" s="31"/>
      <c r="O37" s="29" t="s">
        <v>69</v>
      </c>
      <c r="P37" s="20"/>
      <c r="Q37" s="28">
        <v>1</v>
      </c>
      <c r="R37" s="34">
        <v>170</v>
      </c>
      <c r="S37" s="32"/>
      <c r="T37" s="3"/>
      <c r="W37" s="61"/>
      <c r="Y37" s="31"/>
      <c r="Z37" s="29" t="s">
        <v>69</v>
      </c>
      <c r="AA37" s="20"/>
      <c r="AB37" s="28">
        <v>1</v>
      </c>
      <c r="AC37" s="34">
        <v>170</v>
      </c>
      <c r="AD37" s="32"/>
    </row>
    <row r="38" spans="1:34" x14ac:dyDescent="0.3">
      <c r="A38" s="61"/>
      <c r="B38" s="30"/>
      <c r="C38" s="31"/>
      <c r="D38" s="29" t="s">
        <v>70</v>
      </c>
      <c r="E38" s="20"/>
      <c r="F38" s="28">
        <v>1</v>
      </c>
      <c r="G38" s="34">
        <v>550</v>
      </c>
      <c r="H38" s="32"/>
      <c r="L38" s="61"/>
      <c r="M38" s="30"/>
      <c r="N38" s="31"/>
      <c r="O38" s="29" t="s">
        <v>70</v>
      </c>
      <c r="P38" s="20"/>
      <c r="Q38" s="28">
        <v>1</v>
      </c>
      <c r="R38" s="34">
        <v>550</v>
      </c>
      <c r="S38" s="32"/>
      <c r="T38" s="3"/>
      <c r="W38" s="61"/>
      <c r="Y38" s="31"/>
      <c r="Z38" s="29" t="s">
        <v>70</v>
      </c>
      <c r="AA38" s="20"/>
      <c r="AB38" s="28">
        <v>1</v>
      </c>
      <c r="AC38" s="34">
        <v>550</v>
      </c>
      <c r="AD38" s="32"/>
    </row>
    <row r="39" spans="1:34" ht="14.4" customHeight="1" x14ac:dyDescent="0.3">
      <c r="A39" s="61" t="s">
        <v>71</v>
      </c>
      <c r="B39" s="62"/>
      <c r="C39" s="63"/>
      <c r="D39" s="20" t="s">
        <v>14</v>
      </c>
      <c r="E39" s="20"/>
      <c r="F39" s="37">
        <f>INFO!$B$17/SUM(INFO!$B$17:$B$21)</f>
        <v>0.10158092896850507</v>
      </c>
      <c r="G39" s="34">
        <v>900</v>
      </c>
      <c r="H39" s="32"/>
      <c r="L39" s="61" t="s">
        <v>71</v>
      </c>
      <c r="M39" s="62"/>
      <c r="N39" s="63"/>
      <c r="O39" s="20" t="s">
        <v>14</v>
      </c>
      <c r="P39" s="20"/>
      <c r="Q39" s="37">
        <f>INFO!$B$17/SUM(INFO!$B$17:$B$21)</f>
        <v>0.10158092896850507</v>
      </c>
      <c r="R39" s="34">
        <v>900</v>
      </c>
      <c r="S39" s="32"/>
      <c r="T39" s="3"/>
      <c r="W39" s="61" t="s">
        <v>71</v>
      </c>
      <c r="Y39" s="63"/>
      <c r="Z39" s="20" t="s">
        <v>14</v>
      </c>
      <c r="AA39" s="20"/>
      <c r="AB39" s="37">
        <f>INFO!$B$17/SUM(INFO!$B$17:$B$21)</f>
        <v>0.10158092896850507</v>
      </c>
      <c r="AC39" s="34">
        <v>900</v>
      </c>
      <c r="AD39" s="32"/>
    </row>
    <row r="40" spans="1:34" x14ac:dyDescent="0.3">
      <c r="A40" s="61"/>
      <c r="B40" s="62"/>
      <c r="C40" s="63"/>
      <c r="D40" s="20" t="s">
        <v>39</v>
      </c>
      <c r="E40" s="20"/>
      <c r="F40" s="37">
        <f>INFO!$B$18/SUM(INFO!$B$17:$B$21)</f>
        <v>0.31432872946259083</v>
      </c>
      <c r="G40" s="34">
        <v>2600</v>
      </c>
      <c r="H40" s="32"/>
      <c r="L40" s="61"/>
      <c r="M40" s="62"/>
      <c r="N40" s="63"/>
      <c r="O40" s="20" t="s">
        <v>39</v>
      </c>
      <c r="P40" s="20"/>
      <c r="Q40" s="37">
        <f>INFO!$B$18/SUM(INFO!$B$17:$B$21)</f>
        <v>0.31432872946259083</v>
      </c>
      <c r="R40" s="34">
        <v>2600</v>
      </c>
      <c r="S40" s="32"/>
      <c r="T40" s="3"/>
      <c r="W40" s="61"/>
      <c r="Y40" s="63"/>
      <c r="Z40" s="20" t="s">
        <v>39</v>
      </c>
      <c r="AA40" s="20"/>
      <c r="AB40" s="37">
        <f>INFO!$B$18/SUM(INFO!$B$17:$B$21)</f>
        <v>0.31432872946259083</v>
      </c>
      <c r="AC40" s="34">
        <v>2600</v>
      </c>
      <c r="AD40" s="32"/>
    </row>
    <row r="41" spans="1:34" x14ac:dyDescent="0.3">
      <c r="A41" s="61"/>
      <c r="B41" s="62"/>
      <c r="C41" s="63"/>
      <c r="D41" s="20" t="s">
        <v>13</v>
      </c>
      <c r="E41" s="20"/>
      <c r="F41" s="37">
        <f>INFO!$B$19/SUM(INFO!$B$17:$B$21)*0.2</f>
        <v>4.3997391382349163E-3</v>
      </c>
      <c r="G41" s="34">
        <v>2700</v>
      </c>
      <c r="H41" s="32"/>
      <c r="L41" s="61"/>
      <c r="M41" s="62"/>
      <c r="N41" s="63"/>
      <c r="O41" s="20" t="s">
        <v>13</v>
      </c>
      <c r="P41" s="20"/>
      <c r="Q41" s="37">
        <f>INFO!$B$19/SUM(INFO!$B$17:$B$21)*0.2</f>
        <v>4.3997391382349163E-3</v>
      </c>
      <c r="R41" s="34">
        <v>2700</v>
      </c>
      <c r="S41" s="32"/>
      <c r="T41" s="3"/>
      <c r="W41" s="61"/>
      <c r="Y41" s="63"/>
      <c r="Z41" s="20" t="s">
        <v>13</v>
      </c>
      <c r="AA41" s="20"/>
      <c r="AB41" s="37">
        <f>INFO!$B$19/SUM(INFO!$B$17:$B$21)*0.2</f>
        <v>4.3997391382349163E-3</v>
      </c>
      <c r="AC41" s="34">
        <v>2700</v>
      </c>
      <c r="AD41" s="32"/>
    </row>
    <row r="42" spans="1:34" x14ac:dyDescent="0.3">
      <c r="A42" s="61"/>
      <c r="B42" s="62"/>
      <c r="C42" s="63"/>
      <c r="D42" s="20" t="s">
        <v>12</v>
      </c>
      <c r="E42" s="20"/>
      <c r="F42" s="37">
        <f>INFO!$B$19/SUM(INFO!$B$17:$B$21)*0.8</f>
        <v>1.7598956552939665E-2</v>
      </c>
      <c r="G42" s="34">
        <v>7500</v>
      </c>
      <c r="H42" s="32"/>
      <c r="L42" s="61"/>
      <c r="M42" s="62"/>
      <c r="N42" s="63"/>
      <c r="O42" s="20" t="s">
        <v>12</v>
      </c>
      <c r="P42" s="20"/>
      <c r="Q42" s="37">
        <f>INFO!$B$19/SUM(INFO!$B$17:$B$21)*0.8</f>
        <v>1.7598956552939665E-2</v>
      </c>
      <c r="R42" s="34">
        <v>7500</v>
      </c>
      <c r="S42" s="32"/>
      <c r="T42" s="3"/>
      <c r="W42" s="61"/>
      <c r="Y42" s="63"/>
      <c r="Z42" s="20" t="s">
        <v>12</v>
      </c>
      <c r="AA42" s="20"/>
      <c r="AB42" s="37">
        <f>INFO!$B$19/SUM(INFO!$B$17:$B$21)*0.8</f>
        <v>1.7598956552939665E-2</v>
      </c>
      <c r="AC42" s="34">
        <v>7500</v>
      </c>
      <c r="AD42" s="32"/>
    </row>
    <row r="43" spans="1:34" x14ac:dyDescent="0.3">
      <c r="A43" s="61"/>
      <c r="B43" s="62"/>
      <c r="C43" s="63"/>
      <c r="D43" s="20" t="s">
        <v>50</v>
      </c>
      <c r="E43" s="20"/>
      <c r="F43" s="37">
        <f>INFO!$B$20/SUM(INFO!$B$17:$B$21)</f>
        <v>2.2620545530802783E-2</v>
      </c>
      <c r="G43" s="34">
        <v>1000</v>
      </c>
      <c r="H43" s="32"/>
      <c r="L43" s="61"/>
      <c r="M43" s="62"/>
      <c r="N43" s="63"/>
      <c r="O43" s="20" t="s">
        <v>50</v>
      </c>
      <c r="P43" s="20"/>
      <c r="Q43" s="37">
        <f>INFO!$B$20/SUM(INFO!$B$17:$B$21)</f>
        <v>2.2620545530802783E-2</v>
      </c>
      <c r="R43" s="34">
        <v>1000</v>
      </c>
      <c r="S43" s="32"/>
      <c r="T43" s="3"/>
      <c r="W43" s="61"/>
      <c r="Y43" s="63"/>
      <c r="Z43" s="20" t="s">
        <v>50</v>
      </c>
      <c r="AA43" s="20"/>
      <c r="AB43" s="37">
        <f>INFO!$B$20/SUM(INFO!$B$17:$B$21)</f>
        <v>2.2620545530802783E-2</v>
      </c>
      <c r="AC43" s="34">
        <v>1000</v>
      </c>
      <c r="AD43" s="32"/>
    </row>
    <row r="44" spans="1:34" x14ac:dyDescent="0.3">
      <c r="A44" s="61"/>
      <c r="B44" s="62"/>
      <c r="C44" s="63"/>
      <c r="D44" s="20" t="s">
        <v>51</v>
      </c>
      <c r="E44" s="20"/>
      <c r="F44" s="37">
        <f>INFO!$B$21/SUM(INFO!$B$17:$B$21)</f>
        <v>0.5394711003469268</v>
      </c>
      <c r="G44" s="34">
        <v>550</v>
      </c>
      <c r="H44" s="32"/>
      <c r="L44" s="61"/>
      <c r="M44" s="62"/>
      <c r="N44" s="63"/>
      <c r="O44" s="20" t="s">
        <v>51</v>
      </c>
      <c r="P44" s="20"/>
      <c r="Q44" s="37">
        <f>INFO!$B$21/SUM(INFO!$B$17:$B$21)</f>
        <v>0.5394711003469268</v>
      </c>
      <c r="R44" s="34">
        <v>550</v>
      </c>
      <c r="S44" s="32"/>
      <c r="T44" s="3"/>
      <c r="W44" s="61"/>
      <c r="Y44" s="63"/>
      <c r="Z44" s="20" t="s">
        <v>51</v>
      </c>
      <c r="AA44" s="20"/>
      <c r="AB44" s="37">
        <f>INFO!$B$21/SUM(INFO!$B$17:$B$21)</f>
        <v>0.5394711003469268</v>
      </c>
      <c r="AC44" s="34">
        <v>550</v>
      </c>
      <c r="AD44" s="32"/>
    </row>
    <row r="45" spans="1:34" x14ac:dyDescent="0.3">
      <c r="A45" s="68" t="s">
        <v>72</v>
      </c>
      <c r="B45" s="30"/>
      <c r="C45" s="31"/>
      <c r="D45" s="20" t="s">
        <v>73</v>
      </c>
      <c r="E45" s="29" t="s">
        <v>55</v>
      </c>
      <c r="F45" s="28">
        <v>1</v>
      </c>
      <c r="G45" s="34">
        <v>1700</v>
      </c>
      <c r="H45" s="32"/>
      <c r="L45" s="68" t="s">
        <v>156</v>
      </c>
      <c r="M45" s="30">
        <v>0.6</v>
      </c>
      <c r="N45" s="31"/>
      <c r="O45" s="20" t="s">
        <v>73</v>
      </c>
      <c r="P45" s="29" t="s">
        <v>55</v>
      </c>
      <c r="Q45" s="28">
        <v>1</v>
      </c>
      <c r="R45" s="34">
        <v>1700</v>
      </c>
      <c r="S45" s="32"/>
      <c r="T45" s="3"/>
      <c r="W45" s="68" t="s">
        <v>72</v>
      </c>
      <c r="Y45" s="31"/>
      <c r="Z45" s="20" t="s">
        <v>73</v>
      </c>
      <c r="AA45" s="29" t="s">
        <v>55</v>
      </c>
      <c r="AB45" s="28">
        <v>1</v>
      </c>
      <c r="AC45" s="34">
        <v>1700</v>
      </c>
      <c r="AD45" s="32"/>
    </row>
    <row r="46" spans="1:34" x14ac:dyDescent="0.3">
      <c r="A46" s="68"/>
      <c r="B46" s="33"/>
      <c r="C46" s="31"/>
      <c r="D46" s="20" t="s">
        <v>74</v>
      </c>
      <c r="E46" s="29" t="s">
        <v>55</v>
      </c>
      <c r="F46" s="28">
        <v>1</v>
      </c>
      <c r="G46" s="34">
        <v>1500</v>
      </c>
      <c r="H46" s="32"/>
      <c r="L46" s="68"/>
      <c r="M46" s="33">
        <v>0.4</v>
      </c>
      <c r="N46" s="31"/>
      <c r="O46" s="20" t="s">
        <v>74</v>
      </c>
      <c r="P46" s="29" t="s">
        <v>55</v>
      </c>
      <c r="Q46" s="28">
        <v>1</v>
      </c>
      <c r="R46" s="34">
        <v>1500</v>
      </c>
      <c r="S46" s="32"/>
      <c r="T46" s="3"/>
      <c r="W46" s="68"/>
      <c r="X46" s="33">
        <v>0.98</v>
      </c>
      <c r="Y46" s="31"/>
      <c r="Z46" s="20" t="s">
        <v>74</v>
      </c>
      <c r="AA46" s="29" t="s">
        <v>55</v>
      </c>
      <c r="AB46" s="28">
        <v>1</v>
      </c>
      <c r="AC46" s="34">
        <v>1500</v>
      </c>
      <c r="AD46" s="32"/>
    </row>
    <row r="47" spans="1:34" x14ac:dyDescent="0.3">
      <c r="A47" s="68"/>
      <c r="B47" s="30"/>
      <c r="C47" s="31"/>
      <c r="D47" s="20" t="s">
        <v>75</v>
      </c>
      <c r="E47" s="29" t="s">
        <v>55</v>
      </c>
      <c r="F47" s="28">
        <v>1</v>
      </c>
      <c r="G47" s="34">
        <v>2300</v>
      </c>
      <c r="H47" s="32"/>
      <c r="L47" s="68"/>
      <c r="M47" s="30"/>
      <c r="N47" s="31"/>
      <c r="O47" s="20" t="s">
        <v>75</v>
      </c>
      <c r="P47" s="29" t="s">
        <v>55</v>
      </c>
      <c r="Q47" s="28">
        <v>1</v>
      </c>
      <c r="R47" s="34">
        <v>2300</v>
      </c>
      <c r="S47" s="32"/>
      <c r="W47" s="68"/>
      <c r="X47" s="30"/>
      <c r="Y47" s="31"/>
      <c r="Z47" s="20" t="s">
        <v>75</v>
      </c>
      <c r="AA47" s="29" t="s">
        <v>55</v>
      </c>
      <c r="AB47" s="28">
        <v>1</v>
      </c>
      <c r="AC47" s="34">
        <v>2300</v>
      </c>
      <c r="AD47" s="32"/>
    </row>
    <row r="48" spans="1:34" x14ac:dyDescent="0.3">
      <c r="A48" s="68"/>
      <c r="B48" s="30"/>
      <c r="C48" s="31"/>
      <c r="D48" s="20" t="s">
        <v>76</v>
      </c>
      <c r="E48" s="29" t="s">
        <v>77</v>
      </c>
      <c r="F48" s="28">
        <v>1</v>
      </c>
      <c r="G48" s="34">
        <v>1400</v>
      </c>
      <c r="H48" s="32"/>
      <c r="L48" s="68"/>
      <c r="M48" s="30"/>
      <c r="N48" s="31"/>
      <c r="O48" s="20" t="s">
        <v>76</v>
      </c>
      <c r="P48" s="29" t="s">
        <v>77</v>
      </c>
      <c r="Q48" s="28">
        <v>1</v>
      </c>
      <c r="R48" s="34">
        <v>1400</v>
      </c>
      <c r="S48" s="32"/>
      <c r="W48" s="68"/>
      <c r="X48" s="30"/>
      <c r="Y48" s="31"/>
      <c r="Z48" s="20" t="s">
        <v>76</v>
      </c>
      <c r="AA48" s="29" t="s">
        <v>77</v>
      </c>
      <c r="AB48" s="28">
        <v>1</v>
      </c>
      <c r="AC48" s="34">
        <v>1400</v>
      </c>
      <c r="AD48" s="32"/>
    </row>
    <row r="49" spans="1:30" x14ac:dyDescent="0.3">
      <c r="A49" s="68"/>
      <c r="B49" s="30"/>
      <c r="C49" s="31"/>
      <c r="D49" s="20" t="s">
        <v>78</v>
      </c>
      <c r="E49" s="29" t="s">
        <v>14</v>
      </c>
      <c r="F49" s="28">
        <v>1</v>
      </c>
      <c r="G49" s="34">
        <v>1400</v>
      </c>
      <c r="H49" s="32"/>
      <c r="L49" s="68"/>
      <c r="M49" s="30"/>
      <c r="N49" s="31"/>
      <c r="O49" s="20" t="s">
        <v>78</v>
      </c>
      <c r="P49" s="29" t="s">
        <v>14</v>
      </c>
      <c r="Q49" s="28">
        <v>1</v>
      </c>
      <c r="R49" s="34">
        <v>1400</v>
      </c>
      <c r="S49" s="32"/>
      <c r="W49" s="68"/>
      <c r="X49" s="30"/>
      <c r="Y49" s="31"/>
      <c r="Z49" s="20" t="s">
        <v>78</v>
      </c>
      <c r="AA49" s="29" t="s">
        <v>14</v>
      </c>
      <c r="AB49" s="28">
        <v>1</v>
      </c>
      <c r="AC49" s="34">
        <v>1400</v>
      </c>
      <c r="AD49" s="32"/>
    </row>
    <row r="50" spans="1:30" x14ac:dyDescent="0.3">
      <c r="A50" s="68"/>
      <c r="B50" s="30"/>
      <c r="C50" s="31"/>
      <c r="D50" s="64" t="s">
        <v>79</v>
      </c>
      <c r="E50" s="29" t="s">
        <v>14</v>
      </c>
      <c r="F50" s="28">
        <v>1</v>
      </c>
      <c r="G50" s="38">
        <v>1500</v>
      </c>
      <c r="H50" s="32"/>
      <c r="L50" s="68"/>
      <c r="M50" s="30"/>
      <c r="N50" s="31"/>
      <c r="O50" s="64" t="s">
        <v>79</v>
      </c>
      <c r="P50" s="29" t="s">
        <v>14</v>
      </c>
      <c r="Q50" s="28">
        <v>1</v>
      </c>
      <c r="R50" s="38">
        <v>1500</v>
      </c>
      <c r="S50" s="32"/>
      <c r="W50" s="68"/>
      <c r="X50" s="30"/>
      <c r="Y50" s="31"/>
      <c r="Z50" s="64" t="s">
        <v>79</v>
      </c>
      <c r="AA50" s="29" t="s">
        <v>14</v>
      </c>
      <c r="AB50" s="28">
        <v>1</v>
      </c>
      <c r="AC50" s="38">
        <v>1500</v>
      </c>
      <c r="AD50" s="32"/>
    </row>
    <row r="51" spans="1:30" x14ac:dyDescent="0.3">
      <c r="A51" s="68"/>
      <c r="B51" s="30"/>
      <c r="C51" s="31"/>
      <c r="D51" s="64"/>
      <c r="E51" s="29" t="s">
        <v>22</v>
      </c>
      <c r="F51" s="28">
        <v>1</v>
      </c>
      <c r="G51" s="34">
        <v>7850</v>
      </c>
      <c r="H51" s="32"/>
      <c r="L51" s="68"/>
      <c r="M51" s="30"/>
      <c r="N51" s="31"/>
      <c r="O51" s="64"/>
      <c r="P51" s="29" t="s">
        <v>22</v>
      </c>
      <c r="Q51" s="28">
        <v>1</v>
      </c>
      <c r="R51" s="34">
        <v>7850</v>
      </c>
      <c r="S51" s="32"/>
      <c r="W51" s="68"/>
      <c r="X51" s="30"/>
      <c r="Y51" s="31"/>
      <c r="Z51" s="64"/>
      <c r="AA51" s="29" t="s">
        <v>22</v>
      </c>
      <c r="AB51" s="28">
        <v>1</v>
      </c>
      <c r="AC51" s="34">
        <v>7850</v>
      </c>
      <c r="AD51" s="32"/>
    </row>
    <row r="52" spans="1:30" x14ac:dyDescent="0.3">
      <c r="A52" s="68"/>
      <c r="B52" s="30"/>
      <c r="C52" s="31"/>
      <c r="D52" s="64"/>
      <c r="E52" s="29" t="s">
        <v>80</v>
      </c>
      <c r="F52" s="28">
        <v>1</v>
      </c>
      <c r="G52" s="38">
        <v>2000</v>
      </c>
      <c r="H52" s="32"/>
      <c r="L52" s="68"/>
      <c r="M52" s="30"/>
      <c r="N52" s="31"/>
      <c r="O52" s="64"/>
      <c r="P52" s="29" t="s">
        <v>80</v>
      </c>
      <c r="Q52" s="28">
        <v>1</v>
      </c>
      <c r="R52" s="38">
        <v>2000</v>
      </c>
      <c r="S52" s="32"/>
      <c r="W52" s="68"/>
      <c r="X52" s="30"/>
      <c r="Y52" s="31"/>
      <c r="Z52" s="64"/>
      <c r="AA52" s="29" t="s">
        <v>80</v>
      </c>
      <c r="AB52" s="28">
        <v>1</v>
      </c>
      <c r="AC52" s="38">
        <v>2000</v>
      </c>
      <c r="AD52" s="32"/>
    </row>
    <row r="53" spans="1:30" x14ac:dyDescent="0.3">
      <c r="A53" s="68" t="s">
        <v>81</v>
      </c>
      <c r="B53" s="30"/>
      <c r="C53" s="31"/>
      <c r="D53" s="20" t="s">
        <v>82</v>
      </c>
      <c r="E53" s="29" t="s">
        <v>39</v>
      </c>
      <c r="F53" s="28">
        <v>1</v>
      </c>
      <c r="H53" s="32"/>
      <c r="L53" s="68" t="s">
        <v>81</v>
      </c>
      <c r="M53" s="30"/>
      <c r="N53" s="31"/>
      <c r="O53" s="20" t="s">
        <v>82</v>
      </c>
      <c r="P53" s="29" t="s">
        <v>39</v>
      </c>
      <c r="Q53" s="28">
        <v>1</v>
      </c>
      <c r="S53" s="32"/>
      <c r="W53" s="68" t="s">
        <v>81</v>
      </c>
      <c r="X53" s="30"/>
      <c r="Y53" s="31"/>
      <c r="Z53" s="20" t="s">
        <v>82</v>
      </c>
      <c r="AA53" s="29" t="s">
        <v>39</v>
      </c>
      <c r="AB53" s="28">
        <v>1</v>
      </c>
      <c r="AD53" s="32"/>
    </row>
    <row r="54" spans="1:30" x14ac:dyDescent="0.3">
      <c r="A54" s="68"/>
      <c r="B54" s="30"/>
      <c r="C54" s="31"/>
      <c r="D54" s="20" t="s">
        <v>83</v>
      </c>
      <c r="E54" s="29" t="s">
        <v>14</v>
      </c>
      <c r="F54" s="28">
        <v>1</v>
      </c>
      <c r="H54" s="32"/>
      <c r="L54" s="68"/>
      <c r="M54" s="30"/>
      <c r="N54" s="31"/>
      <c r="O54" s="20" t="s">
        <v>83</v>
      </c>
      <c r="P54" s="29" t="s">
        <v>14</v>
      </c>
      <c r="Q54" s="28">
        <v>1</v>
      </c>
      <c r="S54" s="32"/>
      <c r="W54" s="68"/>
      <c r="X54" s="30"/>
      <c r="Y54" s="31"/>
      <c r="Z54" s="20" t="s">
        <v>83</v>
      </c>
      <c r="AA54" s="29" t="s">
        <v>14</v>
      </c>
      <c r="AB54" s="28">
        <v>1</v>
      </c>
      <c r="AD54" s="32"/>
    </row>
    <row r="55" spans="1:30" x14ac:dyDescent="0.3">
      <c r="A55" s="68"/>
      <c r="B55" s="30"/>
      <c r="C55" s="31"/>
      <c r="D55" s="20" t="s">
        <v>84</v>
      </c>
      <c r="E55" s="29" t="s">
        <v>22</v>
      </c>
      <c r="F55" s="28">
        <v>1</v>
      </c>
      <c r="H55" s="32"/>
      <c r="L55" s="68"/>
      <c r="M55" s="30"/>
      <c r="N55" s="31"/>
      <c r="O55" s="20" t="s">
        <v>84</v>
      </c>
      <c r="P55" s="29" t="s">
        <v>22</v>
      </c>
      <c r="Q55" s="28">
        <v>1</v>
      </c>
      <c r="S55" s="32"/>
      <c r="W55" s="68"/>
      <c r="X55" s="30"/>
      <c r="Y55" s="31"/>
      <c r="Z55" s="20" t="s">
        <v>84</v>
      </c>
      <c r="AA55" s="29" t="s">
        <v>22</v>
      </c>
      <c r="AB55" s="28">
        <v>1</v>
      </c>
      <c r="AD55" s="32"/>
    </row>
    <row r="56" spans="1:30" x14ac:dyDescent="0.3">
      <c r="A56" s="68"/>
      <c r="B56" s="30"/>
      <c r="C56" s="31"/>
      <c r="D56" s="20" t="s">
        <v>85</v>
      </c>
      <c r="E56" s="29" t="s">
        <v>51</v>
      </c>
      <c r="F56" s="28">
        <v>1</v>
      </c>
      <c r="H56" s="32"/>
      <c r="L56" s="68"/>
      <c r="M56" s="30"/>
      <c r="N56" s="31"/>
      <c r="O56" s="20" t="s">
        <v>85</v>
      </c>
      <c r="P56" s="29" t="s">
        <v>51</v>
      </c>
      <c r="Q56" s="28">
        <v>1</v>
      </c>
      <c r="S56" s="32"/>
      <c r="W56" s="68"/>
      <c r="X56" s="30"/>
      <c r="Y56" s="31"/>
      <c r="Z56" s="20" t="s">
        <v>85</v>
      </c>
      <c r="AA56" s="29" t="s">
        <v>51</v>
      </c>
      <c r="AB56" s="28">
        <v>1</v>
      </c>
      <c r="AD56" s="32"/>
    </row>
    <row r="57" spans="1:30" x14ac:dyDescent="0.3">
      <c r="A57" s="68"/>
      <c r="B57" s="36">
        <v>0.7</v>
      </c>
      <c r="C57" s="31"/>
      <c r="D57" s="20" t="s">
        <v>86</v>
      </c>
      <c r="E57" s="29" t="s">
        <v>87</v>
      </c>
      <c r="F57" s="28">
        <v>1</v>
      </c>
      <c r="G57" s="38">
        <v>400</v>
      </c>
      <c r="H57" s="32"/>
      <c r="L57" s="68"/>
      <c r="M57" s="30"/>
      <c r="N57" s="31"/>
      <c r="O57" s="20" t="s">
        <v>86</v>
      </c>
      <c r="P57" s="29" t="s">
        <v>87</v>
      </c>
      <c r="Q57" s="28">
        <v>1</v>
      </c>
      <c r="R57" s="38">
        <v>400</v>
      </c>
      <c r="S57" s="32"/>
      <c r="W57" s="68"/>
      <c r="X57" s="30"/>
      <c r="Y57" s="31"/>
      <c r="Z57" s="20" t="s">
        <v>86</v>
      </c>
      <c r="AA57" s="29" t="s">
        <v>87</v>
      </c>
      <c r="AB57" s="28">
        <v>1</v>
      </c>
      <c r="AC57" s="38">
        <v>400</v>
      </c>
      <c r="AD57" s="32"/>
    </row>
    <row r="58" spans="1:30" x14ac:dyDescent="0.3">
      <c r="A58" s="68"/>
      <c r="B58" s="39"/>
      <c r="C58" s="40"/>
      <c r="D58" s="20" t="s">
        <v>88</v>
      </c>
      <c r="E58" s="29" t="s">
        <v>55</v>
      </c>
      <c r="F58" s="28">
        <v>1</v>
      </c>
      <c r="G58" s="38">
        <v>1000</v>
      </c>
      <c r="H58" s="41"/>
      <c r="L58" s="68"/>
      <c r="M58" s="39"/>
      <c r="N58" s="40"/>
      <c r="O58" s="20" t="s">
        <v>88</v>
      </c>
      <c r="P58" s="29" t="s">
        <v>55</v>
      </c>
      <c r="Q58" s="28">
        <v>1</v>
      </c>
      <c r="R58" s="38">
        <v>1000</v>
      </c>
      <c r="S58" s="41"/>
      <c r="W58" s="68"/>
      <c r="X58" s="39"/>
      <c r="Y58" s="40"/>
      <c r="Z58" s="20" t="s">
        <v>88</v>
      </c>
      <c r="AA58" s="29" t="s">
        <v>55</v>
      </c>
      <c r="AB58" s="28">
        <v>1</v>
      </c>
      <c r="AC58" s="38">
        <v>1000</v>
      </c>
      <c r="AD58" s="41"/>
    </row>
    <row r="59" spans="1:30" x14ac:dyDescent="0.3">
      <c r="B59" s="7">
        <f>SUM(B6:B58)</f>
        <v>1</v>
      </c>
      <c r="M59" s="7">
        <f>SUM(M6:M58)</f>
        <v>1</v>
      </c>
      <c r="X59" s="7">
        <f>SUM(X6:X58)</f>
        <v>1</v>
      </c>
    </row>
    <row r="60" spans="1:30" ht="14.4" customHeight="1" x14ac:dyDescent="0.3">
      <c r="A60" s="61" t="s">
        <v>89</v>
      </c>
      <c r="B60" s="20" t="s">
        <v>14</v>
      </c>
      <c r="C60" s="21">
        <f>B6*F8+B9*F11+B12*F14+B15*F16+B22*F22+B24*F24+B31*F31+B39*F39+B48*F48+B49*F49+B50*F50+B54*F54</f>
        <v>2.5079617834394902E-2</v>
      </c>
      <c r="D60" s="61" t="s">
        <v>90</v>
      </c>
      <c r="E60" s="20" t="str">
        <f>D6</f>
        <v>lavatrice</v>
      </c>
      <c r="F60" s="20">
        <f>C6</f>
        <v>0</v>
      </c>
      <c r="G60" s="20" t="str">
        <f>D27</f>
        <v>brandina</v>
      </c>
      <c r="H60" s="20">
        <f>C27</f>
        <v>0</v>
      </c>
      <c r="L60" s="61" t="s">
        <v>89</v>
      </c>
      <c r="M60" s="20" t="s">
        <v>14</v>
      </c>
      <c r="N60" s="21">
        <f>M6*Q8+M9*Q11+M12*Q14+M15*Q16+M22*Q22+M24*Q24+M31*Q31+M39*Q39+M48*Q48+M49*Q49+M50*Q50+M54*Q54</f>
        <v>0</v>
      </c>
      <c r="O60" s="61" t="s">
        <v>90</v>
      </c>
      <c r="P60" s="20" t="str">
        <f>O6</f>
        <v>lavatrice</v>
      </c>
      <c r="Q60" s="20">
        <f>N6</f>
        <v>0</v>
      </c>
      <c r="R60" s="20" t="str">
        <f>O27</f>
        <v>brandina</v>
      </c>
      <c r="S60" s="20">
        <f>N27</f>
        <v>0</v>
      </c>
      <c r="W60" s="61" t="s">
        <v>89</v>
      </c>
      <c r="X60" s="20" t="s">
        <v>14</v>
      </c>
      <c r="Y60" s="21">
        <f>X6*AB8+X9*AB11+X12*AB14+X15*AB16+X22*AB22+X24*AB24+X31*AB31+X39*AB39+X48*AB48+X49*AB49+X50*AB50+X54*AB54</f>
        <v>0</v>
      </c>
      <c r="Z60" s="61" t="s">
        <v>90</v>
      </c>
      <c r="AA60" s="20" t="str">
        <f>Z6</f>
        <v>lavatrice</v>
      </c>
      <c r="AB60" s="20">
        <f>Y6</f>
        <v>0</v>
      </c>
      <c r="AC60" s="20" t="str">
        <f>Z27</f>
        <v>brandina</v>
      </c>
      <c r="AD60" s="20">
        <f>Y27</f>
        <v>0</v>
      </c>
    </row>
    <row r="61" spans="1:30" x14ac:dyDescent="0.3">
      <c r="A61" s="61"/>
      <c r="B61" s="20" t="s">
        <v>39</v>
      </c>
      <c r="C61" s="21">
        <f>B15*F15+B32*F32+B39*F40</f>
        <v>0</v>
      </c>
      <c r="D61" s="61"/>
      <c r="E61" s="20" t="str">
        <f>D9</f>
        <v>frigorifero</v>
      </c>
      <c r="F61" s="20">
        <f>C9</f>
        <v>1</v>
      </c>
      <c r="G61" s="20" t="str">
        <f>A30</f>
        <v>Scatoloni</v>
      </c>
      <c r="H61" s="20">
        <f>C30</f>
        <v>0</v>
      </c>
      <c r="L61" s="61"/>
      <c r="M61" s="20" t="s">
        <v>39</v>
      </c>
      <c r="N61" s="21">
        <f>M15*Q15+M32*Q32+M39*Q40</f>
        <v>0</v>
      </c>
      <c r="O61" s="61"/>
      <c r="P61" s="20" t="str">
        <f>O9</f>
        <v>frigorifero</v>
      </c>
      <c r="Q61" s="20">
        <f>N9</f>
        <v>0</v>
      </c>
      <c r="R61" s="20" t="str">
        <f>L30</f>
        <v>Scatoloni</v>
      </c>
      <c r="S61" s="20">
        <f>N30</f>
        <v>0</v>
      </c>
      <c r="W61" s="61"/>
      <c r="X61" s="20" t="s">
        <v>39</v>
      </c>
      <c r="Y61" s="21">
        <f>X15*AB15+X32*AB32+X39*AB40</f>
        <v>0</v>
      </c>
      <c r="Z61" s="61"/>
      <c r="AA61" s="20" t="str">
        <f>Z9</f>
        <v>frigorifero</v>
      </c>
      <c r="AB61" s="20">
        <f>Y9</f>
        <v>0</v>
      </c>
      <c r="AC61" s="20" t="str">
        <f>W30</f>
        <v>Scatoloni</v>
      </c>
      <c r="AD61" s="20">
        <f>Y30</f>
        <v>0</v>
      </c>
    </row>
    <row r="62" spans="1:30" x14ac:dyDescent="0.3">
      <c r="A62" s="61"/>
      <c r="B62" s="20" t="s">
        <v>91</v>
      </c>
      <c r="C62" s="21">
        <f>B6*F7+B9*F10+B12*F13+B15*F18+B19*F20+B33*F33+B39*F41</f>
        <v>1.2181528662420379E-2</v>
      </c>
      <c r="D62" s="61"/>
      <c r="E62" s="20" t="str">
        <f>D12</f>
        <v>forno</v>
      </c>
      <c r="F62" s="20">
        <f>C12</f>
        <v>0</v>
      </c>
      <c r="G62" s="20" t="str">
        <f>D28</f>
        <v>divano</v>
      </c>
      <c r="H62" s="20">
        <f>C28</f>
        <v>0</v>
      </c>
      <c r="L62" s="61"/>
      <c r="M62" s="20" t="s">
        <v>91</v>
      </c>
      <c r="N62" s="21">
        <f>M6*Q7+M9*Q10+M12*Q13+M15*Q18+M19*Q20+M33*Q33+M39*Q41</f>
        <v>0</v>
      </c>
      <c r="O62" s="61"/>
      <c r="P62" s="20" t="str">
        <f>O12</f>
        <v>forno</v>
      </c>
      <c r="Q62" s="20">
        <f>N12</f>
        <v>0</v>
      </c>
      <c r="R62" s="20" t="str">
        <f>O28</f>
        <v>divano</v>
      </c>
      <c r="S62" s="20">
        <f>N28</f>
        <v>0</v>
      </c>
      <c r="W62" s="61"/>
      <c r="X62" s="20" t="s">
        <v>91</v>
      </c>
      <c r="Y62" s="21">
        <f>X6*AB7+X9*AB10+X12*AB13+X15*AB18+X19*AB20+X33*AB33+X39*AB41</f>
        <v>0</v>
      </c>
      <c r="Z62" s="61"/>
      <c r="AA62" s="20" t="str">
        <f>Z12</f>
        <v>forno</v>
      </c>
      <c r="AB62" s="20">
        <f>Y12</f>
        <v>0</v>
      </c>
      <c r="AC62" s="20" t="str">
        <f>Z28</f>
        <v>divano</v>
      </c>
      <c r="AD62" s="20">
        <f>Y28</f>
        <v>0</v>
      </c>
    </row>
    <row r="63" spans="1:30" x14ac:dyDescent="0.3">
      <c r="A63" s="61"/>
      <c r="B63" s="20" t="s">
        <v>12</v>
      </c>
      <c r="C63" s="21">
        <f>B6*F6+B9*F9+B12*F12+B15*F17+B19*F19+B23*F23+B27*F27+B33*F34+B39*F42+B51*F51+B55*F55</f>
        <v>0.1127388535031847</v>
      </c>
      <c r="D63" s="61"/>
      <c r="E63" s="20" t="str">
        <f>D15</f>
        <v>televisore</v>
      </c>
      <c r="F63" s="20">
        <f>C15</f>
        <v>0</v>
      </c>
      <c r="G63" s="20" t="str">
        <f>D47</f>
        <v>sanitari</v>
      </c>
      <c r="H63" s="20">
        <f>C47</f>
        <v>0</v>
      </c>
      <c r="L63" s="61"/>
      <c r="M63" s="20" t="s">
        <v>12</v>
      </c>
      <c r="N63" s="21">
        <f>M6*Q6+M9*Q9+M12*Q12+M15*Q17+M19*Q19+M23*Q23+M27*Q27+M33*Q34+M39*Q42+M51*Q51+M55*Q55</f>
        <v>0</v>
      </c>
      <c r="O63" s="61"/>
      <c r="P63" s="20" t="str">
        <f>O15</f>
        <v>televisore</v>
      </c>
      <c r="Q63" s="20">
        <f>N15</f>
        <v>0</v>
      </c>
      <c r="R63" s="20" t="str">
        <f>O47</f>
        <v>sanitari</v>
      </c>
      <c r="S63" s="20">
        <f>N47</f>
        <v>0</v>
      </c>
      <c r="W63" s="61"/>
      <c r="X63" s="20" t="s">
        <v>12</v>
      </c>
      <c r="Y63" s="21">
        <f>X6*AB6+X9*AB9+X12*AB12+X15*AB17+X19*AB19+X23*AB23+X27*AB27+X33*AB34+X39*AB42+X51*AB51+X55*AB55</f>
        <v>0</v>
      </c>
      <c r="Z63" s="61"/>
      <c r="AA63" s="20" t="str">
        <f>Z15</f>
        <v>televisore</v>
      </c>
      <c r="AB63" s="20">
        <f>Y15</f>
        <v>0</v>
      </c>
      <c r="AC63" s="20" t="str">
        <f>Z47</f>
        <v>sanitari</v>
      </c>
      <c r="AD63" s="20">
        <f>Y47</f>
        <v>0</v>
      </c>
    </row>
    <row r="64" spans="1:30" x14ac:dyDescent="0.3">
      <c r="A64" s="61"/>
      <c r="B64" s="20" t="s">
        <v>50</v>
      </c>
      <c r="C64" s="21">
        <f>B21*F21+B25*F25+B28*F29+B38*F38+B39*F43</f>
        <v>0.15</v>
      </c>
      <c r="D64" s="61"/>
      <c r="E64" s="20" t="str">
        <f>D19</f>
        <v>scaldabagno</v>
      </c>
      <c r="F64" s="20">
        <f>C19</f>
        <v>0</v>
      </c>
      <c r="G64" s="20" t="str">
        <f>D48</f>
        <v>tubi</v>
      </c>
      <c r="H64" s="20">
        <f>C48</f>
        <v>0</v>
      </c>
      <c r="L64" s="61"/>
      <c r="M64" s="20" t="s">
        <v>50</v>
      </c>
      <c r="N64" s="21">
        <f>M21*Q21+M25*Q25+M28*Q29+M38*Q38+M39*Q43</f>
        <v>0</v>
      </c>
      <c r="O64" s="61"/>
      <c r="P64" s="20" t="str">
        <f>O19</f>
        <v>scaldabagno</v>
      </c>
      <c r="Q64" s="20">
        <f>N19</f>
        <v>0</v>
      </c>
      <c r="R64" s="20" t="str">
        <f>O48</f>
        <v>tubi</v>
      </c>
      <c r="S64" s="20">
        <f>N48</f>
        <v>0</v>
      </c>
      <c r="W64" s="61"/>
      <c r="X64" s="20" t="s">
        <v>50</v>
      </c>
      <c r="Y64" s="21">
        <f>X21*AB21+X25*AB25+X28*AB29+X38*AB38+X39*AB43</f>
        <v>0.02</v>
      </c>
      <c r="Z64" s="61"/>
      <c r="AA64" s="20" t="str">
        <f>Z19</f>
        <v>scaldabagno</v>
      </c>
      <c r="AB64" s="20">
        <f>Y19</f>
        <v>0</v>
      </c>
      <c r="AC64" s="20" t="str">
        <f>Z48</f>
        <v>tubi</v>
      </c>
      <c r="AD64" s="20">
        <f>Y48</f>
        <v>0</v>
      </c>
    </row>
    <row r="65" spans="1:32" x14ac:dyDescent="0.3">
      <c r="A65" s="61"/>
      <c r="B65" s="20" t="s">
        <v>51</v>
      </c>
      <c r="C65" s="21">
        <f>B30*F30+B35*F35+B39*F44+B56*F56</f>
        <v>0</v>
      </c>
      <c r="D65" s="61"/>
      <c r="E65" s="20" t="str">
        <f>D21</f>
        <v>mobile</v>
      </c>
      <c r="F65" s="20">
        <f>SUM(C21:C23)</f>
        <v>0</v>
      </c>
      <c r="G65" s="20" t="str">
        <f>D49</f>
        <v>guaina</v>
      </c>
      <c r="H65" s="20">
        <f>C49</f>
        <v>0</v>
      </c>
      <c r="L65" s="61"/>
      <c r="M65" s="20" t="s">
        <v>51</v>
      </c>
      <c r="N65" s="21">
        <f>M30*Q30+M35*Q35+M39*Q44+M56*Q56</f>
        <v>0</v>
      </c>
      <c r="O65" s="61"/>
      <c r="P65" s="20" t="str">
        <f>O21</f>
        <v>mobile</v>
      </c>
      <c r="Q65" s="20">
        <f>SUM(N21:N23)</f>
        <v>0</v>
      </c>
      <c r="R65" s="20" t="str">
        <f>O49</f>
        <v>guaina</v>
      </c>
      <c r="S65" s="20">
        <f>N49</f>
        <v>0</v>
      </c>
      <c r="W65" s="61"/>
      <c r="X65" s="20" t="s">
        <v>51</v>
      </c>
      <c r="Y65" s="21">
        <f>X30*AB30+X35*AB35+X39*AB44+X56*AB56</f>
        <v>0</v>
      </c>
      <c r="Z65" s="61"/>
      <c r="AA65" s="20" t="str">
        <f>Z21</f>
        <v>mobile</v>
      </c>
      <c r="AB65" s="20">
        <f>SUM(Y21:Y23)</f>
        <v>0</v>
      </c>
      <c r="AC65" s="20" t="str">
        <f>Z49</f>
        <v>guaina</v>
      </c>
      <c r="AD65" s="20">
        <f>Y49</f>
        <v>0</v>
      </c>
    </row>
    <row r="66" spans="1:32" x14ac:dyDescent="0.3">
      <c r="A66" s="61"/>
      <c r="B66" s="20" t="s">
        <v>52</v>
      </c>
      <c r="C66" s="28">
        <f>B26*F26+B28*F28+B37*F37</f>
        <v>0</v>
      </c>
      <c r="D66" s="61"/>
      <c r="E66" s="20" t="str">
        <f>D24</f>
        <v>secchio</v>
      </c>
      <c r="F66" s="20">
        <f>C24</f>
        <v>0</v>
      </c>
      <c r="G66" s="20" t="str">
        <f>D50</f>
        <v>lamiere</v>
      </c>
      <c r="H66" s="20">
        <f>SUM(C50:C52)</f>
        <v>0</v>
      </c>
      <c r="L66" s="61"/>
      <c r="M66" s="20" t="s">
        <v>52</v>
      </c>
      <c r="N66" s="28">
        <f>M26*Q26+M28*Q28+M37*Q37</f>
        <v>0</v>
      </c>
      <c r="O66" s="61"/>
      <c r="P66" s="20" t="str">
        <f>O24</f>
        <v>secchio</v>
      </c>
      <c r="Q66" s="20">
        <f>N24</f>
        <v>0</v>
      </c>
      <c r="R66" s="20" t="str">
        <f>O50</f>
        <v>lamiere</v>
      </c>
      <c r="S66" s="20">
        <f>SUM(N50:N52)</f>
        <v>0</v>
      </c>
      <c r="W66" s="61"/>
      <c r="X66" s="20" t="s">
        <v>52</v>
      </c>
      <c r="Y66" s="28">
        <f>X26*AB26+X28*AB28+X37*AB37</f>
        <v>0</v>
      </c>
      <c r="Z66" s="61"/>
      <c r="AA66" s="20" t="str">
        <f>Z24</f>
        <v>secchio</v>
      </c>
      <c r="AB66" s="20">
        <f>Y24</f>
        <v>0</v>
      </c>
      <c r="AC66" s="20" t="str">
        <f>Z50</f>
        <v>lamiere</v>
      </c>
      <c r="AD66" s="20">
        <f>SUM(Y50:Y52)</f>
        <v>0</v>
      </c>
    </row>
    <row r="67" spans="1:32" x14ac:dyDescent="0.3">
      <c r="A67" s="61"/>
      <c r="B67" s="20" t="s">
        <v>55</v>
      </c>
      <c r="C67" s="28">
        <f>B45*F45+B46*F46+B47*F47+B58*F58</f>
        <v>0</v>
      </c>
      <c r="D67" s="61"/>
      <c r="E67" s="20" t="str">
        <f>D25</f>
        <v>sedie</v>
      </c>
      <c r="F67" s="20">
        <f>C25</f>
        <v>0</v>
      </c>
      <c r="G67" s="20" t="s">
        <v>92</v>
      </c>
      <c r="H67" s="20">
        <f>SUM(C31:C44)</f>
        <v>0</v>
      </c>
      <c r="L67" s="61"/>
      <c r="M67" s="20" t="s">
        <v>55</v>
      </c>
      <c r="N67" s="28">
        <f>M45*Q45+M46*Q46+M47*Q47+M58*Q58</f>
        <v>1</v>
      </c>
      <c r="O67" s="61"/>
      <c r="P67" s="20" t="str">
        <f>O25</f>
        <v>sedie</v>
      </c>
      <c r="Q67" s="20">
        <f>N25</f>
        <v>0</v>
      </c>
      <c r="R67" s="20" t="s">
        <v>92</v>
      </c>
      <c r="S67" s="20">
        <f>SUM(N31:N44)</f>
        <v>0</v>
      </c>
      <c r="W67" s="61"/>
      <c r="X67" s="20" t="s">
        <v>55</v>
      </c>
      <c r="Y67" s="28">
        <f>X45*AB45+X46*AB46+X47*AB47+X58*AB58</f>
        <v>0.98</v>
      </c>
      <c r="Z67" s="61"/>
      <c r="AA67" s="20" t="str">
        <f>Z25</f>
        <v>sedie</v>
      </c>
      <c r="AB67" s="20">
        <f>Y25</f>
        <v>0</v>
      </c>
      <c r="AC67" s="20" t="s">
        <v>92</v>
      </c>
      <c r="AD67" s="20">
        <f>SUM(Y31:Y44)</f>
        <v>0</v>
      </c>
    </row>
    <row r="68" spans="1:32" x14ac:dyDescent="0.3">
      <c r="A68" s="61"/>
      <c r="B68" s="20" t="s">
        <v>93</v>
      </c>
      <c r="C68" s="28">
        <f>B36*F36+B57*F57</f>
        <v>0.7</v>
      </c>
      <c r="D68" s="61"/>
      <c r="E68" s="20" t="str">
        <f>D26</f>
        <v>materasso</v>
      </c>
      <c r="F68" s="20">
        <f>C26</f>
        <v>0</v>
      </c>
      <c r="G68" s="20" t="s">
        <v>94</v>
      </c>
      <c r="H68" s="20" t="s">
        <v>8</v>
      </c>
      <c r="L68" s="61"/>
      <c r="M68" s="20" t="s">
        <v>93</v>
      </c>
      <c r="N68" s="28">
        <f>M36*Q36+M57*Q57</f>
        <v>0</v>
      </c>
      <c r="O68" s="61"/>
      <c r="P68" s="20" t="str">
        <f>O26</f>
        <v>materasso</v>
      </c>
      <c r="Q68" s="20">
        <f>N26</f>
        <v>0</v>
      </c>
      <c r="R68" s="20" t="s">
        <v>94</v>
      </c>
      <c r="S68" s="20" t="s">
        <v>8</v>
      </c>
      <c r="W68" s="61"/>
      <c r="X68" s="20" t="s">
        <v>93</v>
      </c>
      <c r="Y68" s="28">
        <f>X36*AB36+X57*AB57</f>
        <v>0</v>
      </c>
      <c r="Z68" s="61"/>
      <c r="AA68" s="20" t="str">
        <f>Z26</f>
        <v>materasso</v>
      </c>
      <c r="AB68" s="20">
        <f>Y26</f>
        <v>0</v>
      </c>
      <c r="AC68" s="20" t="s">
        <v>94</v>
      </c>
      <c r="AD68" s="20" t="s">
        <v>10</v>
      </c>
    </row>
    <row r="70" spans="1:32" x14ac:dyDescent="0.3">
      <c r="A70" s="10"/>
      <c r="B70" s="42" t="s">
        <v>14</v>
      </c>
      <c r="C70" s="20" t="s">
        <v>39</v>
      </c>
      <c r="D70" s="20" t="s">
        <v>91</v>
      </c>
      <c r="E70" s="20" t="s">
        <v>12</v>
      </c>
      <c r="F70" s="20" t="s">
        <v>50</v>
      </c>
      <c r="G70" s="20" t="s">
        <v>51</v>
      </c>
      <c r="H70" s="20" t="s">
        <v>52</v>
      </c>
      <c r="I70" s="20" t="s">
        <v>55</v>
      </c>
      <c r="J70" s="20" t="s">
        <v>93</v>
      </c>
      <c r="L70" s="10"/>
      <c r="M70" s="42" t="s">
        <v>14</v>
      </c>
      <c r="N70" s="20" t="s">
        <v>39</v>
      </c>
      <c r="O70" s="20" t="s">
        <v>91</v>
      </c>
      <c r="P70" s="20" t="s">
        <v>12</v>
      </c>
      <c r="Q70" s="20" t="s">
        <v>50</v>
      </c>
      <c r="R70" s="20" t="s">
        <v>51</v>
      </c>
      <c r="S70" s="20" t="s">
        <v>52</v>
      </c>
      <c r="T70" s="20" t="s">
        <v>55</v>
      </c>
      <c r="U70" s="20" t="s">
        <v>93</v>
      </c>
      <c r="W70" s="10"/>
      <c r="X70" s="42" t="s">
        <v>14</v>
      </c>
      <c r="Y70" s="20" t="s">
        <v>39</v>
      </c>
      <c r="Z70" s="20" t="s">
        <v>91</v>
      </c>
      <c r="AA70" s="20" t="s">
        <v>12</v>
      </c>
      <c r="AB70" s="20" t="s">
        <v>50</v>
      </c>
      <c r="AC70" s="20" t="s">
        <v>51</v>
      </c>
      <c r="AD70" s="20" t="s">
        <v>52</v>
      </c>
      <c r="AE70" s="20" t="s">
        <v>55</v>
      </c>
      <c r="AF70" s="20" t="s">
        <v>93</v>
      </c>
    </row>
    <row r="71" spans="1:32" x14ac:dyDescent="0.3">
      <c r="A71" s="13" t="s">
        <v>95</v>
      </c>
      <c r="B71" s="12">
        <f>H6*F8*C6+H9*F11*C9+H12*F14*C12+H15*F16*C15</f>
        <v>8.3598726114649669</v>
      </c>
      <c r="C71" s="12">
        <f>H15*F15*C15</f>
        <v>0</v>
      </c>
      <c r="D71" s="12">
        <f>H6*F7*C6+H9*F10*C9+H12*F13*C12+H15*F18*C15+C19*F20*H19</f>
        <v>4.0605095541401264</v>
      </c>
      <c r="E71" s="12">
        <f>H6*F6*C6+H9*F9*C9+H12*F12*C12+H15*F17*C15+H19*F19*C19</f>
        <v>37.579617834394902</v>
      </c>
      <c r="F71" s="12">
        <f>C28*F29*H28</f>
        <v>0</v>
      </c>
      <c r="H71" s="12">
        <f>C26*H26+C28*F28*H28</f>
        <v>0</v>
      </c>
      <c r="J71" s="32"/>
      <c r="L71" s="13" t="s">
        <v>95</v>
      </c>
      <c r="M71" s="12">
        <f>S6*Q8*N6+S9*Q11*N9+S12*Q14*N12+S15*Q16*N15</f>
        <v>0</v>
      </c>
      <c r="N71" s="12">
        <f>S15*Q15*N15</f>
        <v>0</v>
      </c>
      <c r="O71" s="12">
        <f>S6*Q7*N6+S9*Q10*N9+S12*Q13*N12+S15*Q18*N15+N19*Q20*S19</f>
        <v>0</v>
      </c>
      <c r="P71" s="12">
        <f>S6*Q6*N6+S9*Q9*N9+S12*Q12*N12+S15*Q17*N15+S19*Q19*N19</f>
        <v>0</v>
      </c>
      <c r="Q71" s="12">
        <f>N28*Q29*S28</f>
        <v>0</v>
      </c>
      <c r="S71" s="12">
        <f>N26*S26+N28*Q28*S28</f>
        <v>0</v>
      </c>
      <c r="U71" s="32"/>
      <c r="W71" s="13" t="s">
        <v>95</v>
      </c>
      <c r="X71" s="12">
        <f>AD6*AB8*Y6+AD9*AB11*Y9+AD12*AB14*Y12+AD15*AB16*Y15</f>
        <v>0</v>
      </c>
      <c r="Y71" s="12">
        <f>AD15*AB15*Y15</f>
        <v>0</v>
      </c>
      <c r="Z71" s="12">
        <f>AD6*AB7*Y6+AD9*AB10*Y9+AD12*AB13*Y12+AD15*AB18*Y15+Y19*AB20*AD19</f>
        <v>0</v>
      </c>
      <c r="AA71" s="12">
        <f>AD6*AB6*Y6+AD9*AB9*Y9+AD12*AB12*Y12+AD15*AB17*Y15+AD19*AB19*Y19</f>
        <v>0</v>
      </c>
      <c r="AB71" s="12">
        <f>Y28*AB29*AD28</f>
        <v>0</v>
      </c>
      <c r="AD71" s="12">
        <f>Y26*AD26+Y28*AB28*AD28</f>
        <v>0</v>
      </c>
      <c r="AF71" s="32"/>
    </row>
    <row r="72" spans="1:32" x14ac:dyDescent="0.3">
      <c r="A72" s="22" t="s">
        <v>96</v>
      </c>
      <c r="B72" s="43">
        <f>IF(B4=100%,0,(B22*G22+B24*G24+B31*G31+B39*F39*G39+B48*G48+B49*G49+B50*G50)/(1-B4))</f>
        <v>0</v>
      </c>
      <c r="C72" s="43">
        <f>IF(B4=100%,0,(B32*G32+B39*F40*G40)/(1-B4))</f>
        <v>0</v>
      </c>
      <c r="D72" s="43">
        <f>IF(B4=100%,0,(B39*F41*G41+B33*F33*G33)/(1-B4))</f>
        <v>0</v>
      </c>
      <c r="E72" s="43">
        <f>IF(B4=100%,0,(B23*G23+B33*G34*F34+B39*F42*G42+B51*G51)/(1-B4))</f>
        <v>0</v>
      </c>
      <c r="F72" s="43">
        <f>IF(B4=100%,0,(B21*G21+B25*G25+B38*G38+B39*F43*G43)/(1-B4))</f>
        <v>97.058823529411768</v>
      </c>
      <c r="G72" s="44">
        <f>IF(B4=100%,0,(B30*G30+B35*G35+B39*F44*G44)/(1-B4))</f>
        <v>0</v>
      </c>
      <c r="H72" s="43">
        <f>IF(B4=100%,0,(B37*G37)/(1-B4))</f>
        <v>0</v>
      </c>
      <c r="I72" s="44">
        <f>IF(B4=100%,0,(B45*G45+B46*G46+B47*G47+B58*G58)/(1-B4))</f>
        <v>0</v>
      </c>
      <c r="J72" s="45">
        <f>IF(B4=100%,0,(B36*G36+B57*G57)/(1-B4))</f>
        <v>329.41176470588238</v>
      </c>
      <c r="L72" s="22" t="s">
        <v>96</v>
      </c>
      <c r="M72" s="43">
        <f>IF(M4=100%,0,(M22*R22+M24*R24+M31*R31+M39*Q39*R39+M48*R48+M49*R49+M50*R50)/(1-M4))</f>
        <v>0</v>
      </c>
      <c r="N72" s="43">
        <f>IF(M4=100%,0,(M32*R32+M39*Q40*R40)/(1-M4))</f>
        <v>0</v>
      </c>
      <c r="O72" s="43">
        <f>IF(M4=100%,0,(M39*Q41*R41+M33*Q33*R33)/(1-M4))</f>
        <v>0</v>
      </c>
      <c r="P72" s="43">
        <f>IF(M4=100%,0,(M23*R23+M33*R34*Q34+M39*Q42*R42+M51*R51)/(1-M4))</f>
        <v>0</v>
      </c>
      <c r="Q72" s="43">
        <f>IF(M4=100%,0,(M21*R21+M25*R25+M38*R38+M39*Q43*R43)/(1-M4))</f>
        <v>0</v>
      </c>
      <c r="R72" s="44">
        <f>IF(M4=100%,0,(M30*R30+M35*R35+M39*Q44*R44)/(1-M4))</f>
        <v>0</v>
      </c>
      <c r="S72" s="43">
        <f>IF(M4=100%,0,(M37*R37)/(1-M4))</f>
        <v>0</v>
      </c>
      <c r="T72" s="44">
        <f>IF(M4=100%,0,(M45*R45+M46*R46+M47*R47+M58*R58)/(1-M4))</f>
        <v>1620</v>
      </c>
      <c r="U72" s="45">
        <f>IF(M4=100%,0,(M36*R36+M57*R57)/(1-M4))</f>
        <v>0</v>
      </c>
      <c r="W72" s="22" t="s">
        <v>96</v>
      </c>
      <c r="X72" s="43">
        <f>IF(X4=100%,0,(X22*AC22+X24*AC24+X31*AC31+X39*AB39*AC39+X48*AC48+X49*AC49+X50*AC50)/(1-X4))</f>
        <v>0</v>
      </c>
      <c r="Y72" s="43">
        <f>IF(X4=100%,0,(X32*AC32+X39*AB40*AC40)/(1-X4))</f>
        <v>0</v>
      </c>
      <c r="Z72" s="43">
        <f>IF(X4=100%,0,(X39*AB41*AC41+X33*AB33*AC33)/(1-X4))</f>
        <v>0</v>
      </c>
      <c r="AA72" s="43">
        <f>IF(X4=100%,0,(X23*AC23+X33*AC34*AB34+X39*AB42*AC42+X51*AC51)/(1-X4))</f>
        <v>0</v>
      </c>
      <c r="AB72" s="43">
        <f>IF(X4=100%,0,(X21*AC21+X25*AC25+X38*AC38+X39*AB43*AC43)/(1-X4))</f>
        <v>11</v>
      </c>
      <c r="AC72" s="44">
        <f>IF(X4=100%,0,(X30*AC30+X35*AC35+X39*AB44*AC44)/(1-X4))</f>
        <v>0</v>
      </c>
      <c r="AD72" s="43">
        <f>IF(X4=100%,0,(X37*AC37)/(1-X4))</f>
        <v>0</v>
      </c>
      <c r="AE72" s="44">
        <f>IF(X4=100%,0,(X45*AC45+X46*AC46+X47*AC47+X58*AC58)/(1-X4))</f>
        <v>1470</v>
      </c>
      <c r="AF72" s="45">
        <f>IF(X4=100%,0,(X36*AC36+X57*AC57)/(1-X4))</f>
        <v>0</v>
      </c>
    </row>
    <row r="74" spans="1:32" ht="14.4" customHeight="1" x14ac:dyDescent="0.3"/>
  </sheetData>
  <mergeCells count="124">
    <mergeCell ref="A60:A68"/>
    <mergeCell ref="D60:D68"/>
    <mergeCell ref="L60:L68"/>
    <mergeCell ref="O60:O68"/>
    <mergeCell ref="W60:W68"/>
    <mergeCell ref="Z60:Z68"/>
    <mergeCell ref="Y39:Y44"/>
    <mergeCell ref="A45:A52"/>
    <mergeCell ref="L45:L52"/>
    <mergeCell ref="W45:W52"/>
    <mergeCell ref="D50:D52"/>
    <mergeCell ref="O50:O52"/>
    <mergeCell ref="Z50:Z52"/>
    <mergeCell ref="A53:A58"/>
    <mergeCell ref="L53:L58"/>
    <mergeCell ref="W53:W58"/>
    <mergeCell ref="A39:A44"/>
    <mergeCell ref="B39:B44"/>
    <mergeCell ref="C39:C44"/>
    <mergeCell ref="L39:L44"/>
    <mergeCell ref="M39:M44"/>
    <mergeCell ref="N39:N44"/>
    <mergeCell ref="W39:W44"/>
    <mergeCell ref="A31:A38"/>
    <mergeCell ref="L31:L38"/>
    <mergeCell ref="W31:W38"/>
    <mergeCell ref="B33:B34"/>
    <mergeCell ref="M33:M34"/>
    <mergeCell ref="AH19:AQ19"/>
    <mergeCell ref="AH20:AI20"/>
    <mergeCell ref="AJ20:AO20"/>
    <mergeCell ref="AP20:AQ20"/>
    <mergeCell ref="C21:C22"/>
    <mergeCell ref="D21:D23"/>
    <mergeCell ref="O21:O23"/>
    <mergeCell ref="Z21:Z23"/>
    <mergeCell ref="B28:B29"/>
    <mergeCell ref="C28:C29"/>
    <mergeCell ref="D28:D29"/>
    <mergeCell ref="H28:H29"/>
    <mergeCell ref="M28:M29"/>
    <mergeCell ref="N28:N29"/>
    <mergeCell ref="O28:O29"/>
    <mergeCell ref="S28:S29"/>
    <mergeCell ref="Y28:Y29"/>
    <mergeCell ref="Z28:Z29"/>
    <mergeCell ref="AD28:AD29"/>
    <mergeCell ref="X15:X18"/>
    <mergeCell ref="Y15:Y18"/>
    <mergeCell ref="Z15:Z18"/>
    <mergeCell ref="AD15:AD18"/>
    <mergeCell ref="B19:B20"/>
    <mergeCell ref="C19:C20"/>
    <mergeCell ref="D19:D20"/>
    <mergeCell ref="H19:H20"/>
    <mergeCell ref="M19:M20"/>
    <mergeCell ref="N19:N20"/>
    <mergeCell ref="O19:O20"/>
    <mergeCell ref="S19:S20"/>
    <mergeCell ref="X19:X20"/>
    <mergeCell ref="Y19:Y20"/>
    <mergeCell ref="Z19:Z20"/>
    <mergeCell ref="AD19:AD20"/>
    <mergeCell ref="B15:B18"/>
    <mergeCell ref="C15:C18"/>
    <mergeCell ref="D15:D18"/>
    <mergeCell ref="H15:H18"/>
    <mergeCell ref="M15:M18"/>
    <mergeCell ref="N15:N18"/>
    <mergeCell ref="O15:O18"/>
    <mergeCell ref="S15:S18"/>
    <mergeCell ref="T15:T18"/>
    <mergeCell ref="Z9:Z11"/>
    <mergeCell ref="AD9:AD11"/>
    <mergeCell ref="AH10:AQ10"/>
    <mergeCell ref="AH11:AI11"/>
    <mergeCell ref="AJ11:AO11"/>
    <mergeCell ref="AP11:AQ11"/>
    <mergeCell ref="B12:B14"/>
    <mergeCell ref="C12:C14"/>
    <mergeCell ref="D12:D14"/>
    <mergeCell ref="H12:H14"/>
    <mergeCell ref="M12:M14"/>
    <mergeCell ref="N12:N14"/>
    <mergeCell ref="O12:O14"/>
    <mergeCell ref="S12:S14"/>
    <mergeCell ref="T12:T14"/>
    <mergeCell ref="X12:X14"/>
    <mergeCell ref="Y12:Y14"/>
    <mergeCell ref="Z12:Z14"/>
    <mergeCell ref="AD12:AD14"/>
    <mergeCell ref="C9:C11"/>
    <mergeCell ref="D9:D11"/>
    <mergeCell ref="H9:H11"/>
    <mergeCell ref="M9:M11"/>
    <mergeCell ref="N9:N11"/>
    <mergeCell ref="O9:O11"/>
    <mergeCell ref="S9:S11"/>
    <mergeCell ref="X9:X11"/>
    <mergeCell ref="Y9:Y11"/>
    <mergeCell ref="AH1:AQ1"/>
    <mergeCell ref="AH2:AI2"/>
    <mergeCell ref="AJ2:AO2"/>
    <mergeCell ref="AP2:AQ2"/>
    <mergeCell ref="A6:A29"/>
    <mergeCell ref="B6:B8"/>
    <mergeCell ref="C6:C8"/>
    <mergeCell ref="D6:D8"/>
    <mergeCell ref="H6:H8"/>
    <mergeCell ref="L6:L29"/>
    <mergeCell ref="M6:M8"/>
    <mergeCell ref="N6:N8"/>
    <mergeCell ref="O6:O8"/>
    <mergeCell ref="S6:S8"/>
    <mergeCell ref="T6:T8"/>
    <mergeCell ref="W6:W29"/>
    <mergeCell ref="X6:X8"/>
    <mergeCell ref="Y6:Y8"/>
    <mergeCell ref="Z6:Z8"/>
    <mergeCell ref="AD6:AD8"/>
    <mergeCell ref="A1:G1"/>
    <mergeCell ref="L1:R1"/>
    <mergeCell ref="W1:AC1"/>
    <mergeCell ref="B9:B11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9586-FDEC-4401-B060-9336043A7D3A}">
  <dimension ref="A1:AA55"/>
  <sheetViews>
    <sheetView zoomScale="71" zoomScaleNormal="55" workbookViewId="0">
      <pane xSplit="2" ySplit="2" topLeftCell="C3" activePane="bottomRight" state="frozen"/>
      <selection pane="topRight" activeCell="DB1" sqref="DB1"/>
      <selection pane="bottomLeft" activeCell="A51" sqref="A51"/>
      <selection pane="bottomRight" activeCell="B10" sqref="B10"/>
    </sheetView>
  </sheetViews>
  <sheetFormatPr defaultColWidth="8.5546875" defaultRowHeight="14.4" x14ac:dyDescent="0.3"/>
  <cols>
    <col min="1" max="1" width="11" customWidth="1"/>
    <col min="2" max="2" width="37" style="6" customWidth="1"/>
    <col min="3" max="3" width="11.6640625" customWidth="1"/>
    <col min="4" max="4" width="11" customWidth="1"/>
    <col min="5" max="5" width="12.6640625" customWidth="1"/>
    <col min="6" max="9" width="9.109375" bestFit="1" customWidth="1"/>
    <col min="10" max="10" width="10.33203125" bestFit="1" customWidth="1"/>
    <col min="11" max="11" width="9.109375" bestFit="1" customWidth="1"/>
    <col min="12" max="14" width="9" customWidth="1"/>
    <col min="15" max="15" width="10.109375" customWidth="1"/>
    <col min="16" max="16" width="10.5546875" bestFit="1" customWidth="1"/>
    <col min="17" max="17" width="9.33203125" customWidth="1"/>
    <col min="18" max="18" width="10.33203125" bestFit="1" customWidth="1"/>
    <col min="19" max="19" width="9" customWidth="1"/>
    <col min="20" max="20" width="10.33203125" bestFit="1" customWidth="1"/>
    <col min="21" max="21" width="12.88671875" bestFit="1" customWidth="1"/>
    <col min="22" max="22" width="10.5546875" bestFit="1" customWidth="1"/>
    <col min="23" max="23" width="11.6640625" customWidth="1"/>
    <col min="24" max="24" width="11.44140625" customWidth="1"/>
    <col min="25" max="26" width="10.33203125" bestFit="1" customWidth="1"/>
    <col min="27" max="29" width="9.109375" bestFit="1" customWidth="1"/>
    <col min="30" max="30" width="8.77734375" bestFit="1" customWidth="1"/>
    <col min="31" max="31" width="10.33203125" bestFit="1" customWidth="1"/>
    <col min="32" max="32" width="9.44140625" customWidth="1"/>
    <col min="33" max="33" width="10.33203125" bestFit="1" customWidth="1"/>
    <col min="34" max="35" width="9.109375" bestFit="1" customWidth="1"/>
    <col min="36" max="36" width="8.77734375" bestFit="1" customWidth="1"/>
    <col min="37" max="37" width="9.109375" bestFit="1" customWidth="1"/>
    <col min="38" max="38" width="9.21875" customWidth="1"/>
    <col min="39" max="39" width="10.33203125" bestFit="1" customWidth="1"/>
    <col min="40" max="43" width="9.109375" bestFit="1" customWidth="1"/>
    <col min="44" max="45" width="8.77734375" bestFit="1" customWidth="1"/>
    <col min="46" max="47" width="9.109375" bestFit="1" customWidth="1"/>
    <col min="48" max="48" width="10.33203125" bestFit="1" customWidth="1"/>
    <col min="49" max="50" width="9.109375" bestFit="1" customWidth="1"/>
    <col min="51" max="51" width="10.33203125" bestFit="1" customWidth="1"/>
    <col min="52" max="55" width="9.109375" bestFit="1" customWidth="1"/>
    <col min="56" max="56" width="9" bestFit="1" customWidth="1"/>
    <col min="57" max="57" width="8.77734375" bestFit="1" customWidth="1"/>
    <col min="58" max="58" width="10.77734375" customWidth="1"/>
    <col min="59" max="61" width="9.109375" bestFit="1" customWidth="1"/>
    <col min="62" max="63" width="8.77734375" bestFit="1" customWidth="1"/>
    <col min="64" max="64" width="9.109375" bestFit="1" customWidth="1"/>
    <col min="65" max="67" width="10.109375" customWidth="1"/>
    <col min="68" max="68" width="9.109375" bestFit="1" customWidth="1"/>
    <col min="69" max="69" width="10.21875" customWidth="1"/>
    <col min="70" max="71" width="9.109375" bestFit="1" customWidth="1"/>
    <col min="72" max="72" width="13.44140625" customWidth="1"/>
    <col min="73" max="73" width="10" customWidth="1"/>
    <col min="74" max="74" width="12.5546875" customWidth="1"/>
    <col min="75" max="76" width="12.88671875" bestFit="1" customWidth="1"/>
    <col min="77" max="79" width="11.44140625" bestFit="1" customWidth="1"/>
    <col min="80" max="80" width="12.88671875" bestFit="1" customWidth="1"/>
    <col min="81" max="81" width="11.44140625" bestFit="1" customWidth="1"/>
    <col min="82" max="83" width="12.88671875" bestFit="1" customWidth="1"/>
    <col min="84" max="84" width="11.5546875" customWidth="1"/>
    <col min="85" max="85" width="10.44140625" customWidth="1"/>
    <col min="86" max="86" width="9.109375" bestFit="1" customWidth="1"/>
    <col min="87" max="87" width="15.88671875" bestFit="1" customWidth="1"/>
    <col min="88" max="88" width="15.109375" bestFit="1" customWidth="1"/>
    <col min="89" max="89" width="9.109375" bestFit="1" customWidth="1"/>
    <col min="90" max="90" width="10.33203125" bestFit="1" customWidth="1"/>
    <col min="91" max="91" width="15.21875" bestFit="1" customWidth="1"/>
    <col min="92" max="93" width="9.109375" bestFit="1" customWidth="1"/>
    <col min="94" max="94" width="10.33203125" bestFit="1" customWidth="1"/>
    <col min="95" max="95" width="11" bestFit="1" customWidth="1"/>
    <col min="96" max="96" width="10.33203125" bestFit="1" customWidth="1"/>
    <col min="97" max="100" width="9.109375" bestFit="1" customWidth="1"/>
    <col min="101" max="101" width="9.44140625" customWidth="1"/>
    <col min="102" max="102" width="11.5546875" customWidth="1"/>
    <col min="103" max="103" width="9.44140625" customWidth="1"/>
    <col min="104" max="105" width="9.109375" bestFit="1" customWidth="1"/>
    <col min="106" max="106" width="13.21875" customWidth="1"/>
    <col min="107" max="107" width="16.5546875" customWidth="1"/>
    <col min="108" max="108" width="15.88671875" customWidth="1"/>
    <col min="109" max="109" width="17.21875" customWidth="1"/>
    <col min="110" max="110" width="15.6640625" customWidth="1"/>
    <col min="111" max="111" width="16" customWidth="1"/>
    <col min="112" max="112" width="11" bestFit="1" customWidth="1"/>
    <col min="113" max="113" width="20.6640625" customWidth="1"/>
    <col min="114" max="114" width="9.109375" bestFit="1" customWidth="1"/>
    <col min="115" max="115" width="14.44140625" customWidth="1"/>
    <col min="116" max="116" width="13.109375" customWidth="1"/>
    <col min="117" max="117" width="15.88671875" bestFit="1" customWidth="1"/>
    <col min="118" max="120" width="9.109375" bestFit="1" customWidth="1"/>
    <col min="121" max="121" width="8.77734375" bestFit="1" customWidth="1"/>
    <col min="122" max="122" width="10.109375" customWidth="1"/>
    <col min="123" max="123" width="10.88671875" customWidth="1"/>
    <col min="124" max="124" width="10.44140625" customWidth="1"/>
    <col min="125" max="125" width="12.109375" customWidth="1"/>
    <col min="126" max="126" width="9.109375" bestFit="1" customWidth="1"/>
    <col min="127" max="127" width="10.33203125" bestFit="1" customWidth="1"/>
    <col min="128" max="128" width="11" bestFit="1" customWidth="1"/>
    <col min="129" max="129" width="8.77734375" bestFit="1" customWidth="1"/>
    <col min="130" max="130" width="15" customWidth="1"/>
    <col min="131" max="136" width="9.109375" bestFit="1" customWidth="1"/>
    <col min="137" max="137" width="8.77734375" bestFit="1" customWidth="1"/>
    <col min="138" max="138" width="8.6640625" bestFit="1" customWidth="1"/>
    <col min="139" max="141" width="10.33203125" bestFit="1" customWidth="1"/>
    <col min="142" max="142" width="9.109375" bestFit="1" customWidth="1"/>
    <col min="143" max="144" width="8.6640625" bestFit="1" customWidth="1"/>
    <col min="145" max="146" width="9.109375" bestFit="1" customWidth="1"/>
    <col min="147" max="147" width="8.6640625" bestFit="1" customWidth="1"/>
    <col min="148" max="148" width="10.33203125" bestFit="1" customWidth="1"/>
    <col min="149" max="153" width="9.109375" bestFit="1" customWidth="1"/>
    <col min="154" max="154" width="9.88671875" bestFit="1" customWidth="1"/>
    <col min="155" max="155" width="10.33203125" bestFit="1" customWidth="1"/>
    <col min="156" max="158" width="9.109375" bestFit="1" customWidth="1"/>
    <col min="159" max="159" width="8.6640625" bestFit="1" customWidth="1"/>
    <col min="160" max="160" width="9.109375" bestFit="1" customWidth="1"/>
    <col min="161" max="162" width="10.33203125" bestFit="1" customWidth="1"/>
    <col min="163" max="166" width="9.109375" bestFit="1" customWidth="1"/>
    <col min="167" max="167" width="8.6640625" bestFit="1" customWidth="1"/>
    <col min="168" max="171" width="9.109375" bestFit="1" customWidth="1"/>
    <col min="172" max="174" width="10.33203125" bestFit="1" customWidth="1"/>
  </cols>
  <sheetData>
    <row r="1" spans="1:12" ht="15" thickBot="1" x14ac:dyDescent="0.35">
      <c r="A1" s="68" t="s">
        <v>104</v>
      </c>
      <c r="B1" s="68"/>
      <c r="C1" s="48" t="s">
        <v>100</v>
      </c>
      <c r="D1" s="47"/>
      <c r="E1" s="47"/>
      <c r="J1" s="56" t="s">
        <v>100</v>
      </c>
    </row>
    <row r="2" spans="1:12" x14ac:dyDescent="0.3">
      <c r="A2" s="68"/>
      <c r="B2" s="68"/>
      <c r="C2" s="3" t="str">
        <f>Cropani!B3</f>
        <v>O2</v>
      </c>
      <c r="D2" s="3" t="str">
        <f>Cropani!M3</f>
        <v>O3</v>
      </c>
      <c r="E2" s="3" t="str">
        <f>Cropani!X3</f>
        <v>O4</v>
      </c>
      <c r="F2" s="3"/>
      <c r="H2" s="56"/>
      <c r="I2" s="56"/>
      <c r="K2" s="56"/>
      <c r="L2" s="56"/>
    </row>
    <row r="3" spans="1:12" x14ac:dyDescent="0.3">
      <c r="A3" s="68" t="s">
        <v>105</v>
      </c>
      <c r="B3" s="20" t="s">
        <v>106</v>
      </c>
      <c r="C3" s="26">
        <f>Cropani!C60</f>
        <v>2.5079617834394902E-2</v>
      </c>
      <c r="D3" s="26">
        <f>Cropani!N60</f>
        <v>0</v>
      </c>
      <c r="E3" s="26">
        <f>Cropani!Y60</f>
        <v>0</v>
      </c>
      <c r="F3" s="26"/>
      <c r="J3" s="56" t="s">
        <v>101</v>
      </c>
      <c r="K3" s="56" t="s">
        <v>102</v>
      </c>
      <c r="L3" s="56" t="s">
        <v>103</v>
      </c>
    </row>
    <row r="4" spans="1:12" x14ac:dyDescent="0.3">
      <c r="A4" s="68"/>
      <c r="B4" s="20" t="s">
        <v>107</v>
      </c>
      <c r="C4" s="26">
        <f>Cropani!C61</f>
        <v>0</v>
      </c>
      <c r="D4" s="26">
        <f>Cropani!N61</f>
        <v>0</v>
      </c>
      <c r="E4" s="26">
        <f>Cropani!Y61</f>
        <v>0</v>
      </c>
      <c r="F4" s="26"/>
      <c r="H4" t="s">
        <v>105</v>
      </c>
      <c r="I4" t="s">
        <v>106</v>
      </c>
      <c r="J4">
        <v>2.5079617834394899E-2</v>
      </c>
      <c r="K4">
        <v>0</v>
      </c>
      <c r="L4">
        <v>0</v>
      </c>
    </row>
    <row r="5" spans="1:12" x14ac:dyDescent="0.3">
      <c r="A5" s="68"/>
      <c r="B5" s="20" t="s">
        <v>108</v>
      </c>
      <c r="C5" s="26">
        <f>Cropani!C62+Cropani!C63</f>
        <v>0.12492038216560508</v>
      </c>
      <c r="D5" s="26">
        <f>Cropani!N62+Cropani!N63</f>
        <v>0</v>
      </c>
      <c r="E5" s="26">
        <f>Cropani!Y62+Cropani!Y63</f>
        <v>0</v>
      </c>
      <c r="F5" s="26"/>
      <c r="I5" t="s">
        <v>107</v>
      </c>
      <c r="J5">
        <v>0</v>
      </c>
      <c r="K5">
        <v>0</v>
      </c>
      <c r="L5">
        <v>0</v>
      </c>
    </row>
    <row r="6" spans="1:12" x14ac:dyDescent="0.3">
      <c r="A6" s="68"/>
      <c r="B6" s="20" t="s">
        <v>109</v>
      </c>
      <c r="C6" s="26">
        <f>Cropani!C64</f>
        <v>0.15</v>
      </c>
      <c r="D6" s="26">
        <f>Cropani!N64</f>
        <v>0</v>
      </c>
      <c r="E6" s="26">
        <f>Cropani!Y64</f>
        <v>0.02</v>
      </c>
      <c r="F6" s="26"/>
      <c r="I6" t="s">
        <v>108</v>
      </c>
      <c r="J6">
        <v>0.124920382165605</v>
      </c>
      <c r="K6">
        <v>0</v>
      </c>
      <c r="L6">
        <v>0</v>
      </c>
    </row>
    <row r="7" spans="1:12" x14ac:dyDescent="0.3">
      <c r="A7" s="68"/>
      <c r="B7" s="20" t="s">
        <v>110</v>
      </c>
      <c r="C7" s="26">
        <f>Cropani!C65</f>
        <v>0</v>
      </c>
      <c r="D7" s="26">
        <f>Cropani!N65</f>
        <v>0</v>
      </c>
      <c r="E7" s="26">
        <f>Cropani!Y65</f>
        <v>0</v>
      </c>
      <c r="F7" s="26"/>
      <c r="I7" t="s">
        <v>109</v>
      </c>
      <c r="J7">
        <v>0.15</v>
      </c>
      <c r="K7">
        <v>0</v>
      </c>
      <c r="L7">
        <v>0.02</v>
      </c>
    </row>
    <row r="8" spans="1:12" x14ac:dyDescent="0.3">
      <c r="A8" s="68"/>
      <c r="B8" s="20" t="s">
        <v>111</v>
      </c>
      <c r="C8" s="26">
        <f>Cropani!C66</f>
        <v>0</v>
      </c>
      <c r="D8" s="26">
        <f>Cropani!N66</f>
        <v>0</v>
      </c>
      <c r="E8" s="26">
        <f>Cropani!Y66</f>
        <v>0</v>
      </c>
      <c r="F8" s="26"/>
      <c r="I8" t="s">
        <v>110</v>
      </c>
      <c r="J8">
        <v>0</v>
      </c>
      <c r="K8">
        <v>0</v>
      </c>
      <c r="L8">
        <v>0</v>
      </c>
    </row>
    <row r="9" spans="1:12" x14ac:dyDescent="0.3">
      <c r="A9" s="68"/>
      <c r="B9" s="20" t="s">
        <v>112</v>
      </c>
      <c r="C9" s="26">
        <f>Cropani!C67</f>
        <v>0</v>
      </c>
      <c r="D9" s="26">
        <f>Cropani!N67</f>
        <v>1</v>
      </c>
      <c r="E9" s="26">
        <f>Cropani!Y67</f>
        <v>0.98</v>
      </c>
      <c r="F9" s="26"/>
      <c r="I9" t="s">
        <v>111</v>
      </c>
      <c r="J9">
        <v>0</v>
      </c>
      <c r="K9">
        <v>0</v>
      </c>
      <c r="L9">
        <v>0</v>
      </c>
    </row>
    <row r="10" spans="1:12" x14ac:dyDescent="0.3">
      <c r="A10" s="68"/>
      <c r="B10" s="20" t="s">
        <v>113</v>
      </c>
      <c r="C10" s="26">
        <f>Cropani!C68</f>
        <v>0.7</v>
      </c>
      <c r="D10" s="26">
        <f>Cropani!N68</f>
        <v>0</v>
      </c>
      <c r="E10" s="26">
        <f>Cropani!Y68</f>
        <v>0</v>
      </c>
      <c r="F10" s="26"/>
      <c r="I10" t="s">
        <v>112</v>
      </c>
      <c r="J10">
        <v>0</v>
      </c>
      <c r="K10">
        <v>1</v>
      </c>
      <c r="L10">
        <v>0.98</v>
      </c>
    </row>
    <row r="11" spans="1:12" x14ac:dyDescent="0.3">
      <c r="A11" s="68" t="s">
        <v>29</v>
      </c>
      <c r="B11" s="20" t="s">
        <v>33</v>
      </c>
      <c r="C11">
        <f>Cropani!C3</f>
        <v>0</v>
      </c>
      <c r="D11">
        <f>Cropani!N3</f>
        <v>0</v>
      </c>
      <c r="E11">
        <f>Cropani!Y3</f>
        <v>0</v>
      </c>
      <c r="I11" t="s">
        <v>113</v>
      </c>
      <c r="J11">
        <v>0.7</v>
      </c>
      <c r="K11">
        <v>0</v>
      </c>
      <c r="L11">
        <v>0</v>
      </c>
    </row>
    <row r="12" spans="1:12" x14ac:dyDescent="0.3">
      <c r="A12" s="68"/>
      <c r="B12" s="20" t="s">
        <v>31</v>
      </c>
      <c r="C12" t="str">
        <f>Cropani!E3</f>
        <v>no</v>
      </c>
      <c r="D12" t="str">
        <f>Cropani!P3</f>
        <v>no</v>
      </c>
      <c r="E12" t="str">
        <f>Cropani!AA3</f>
        <v>no</v>
      </c>
      <c r="H12" t="s">
        <v>29</v>
      </c>
      <c r="I12" t="s">
        <v>33</v>
      </c>
      <c r="J12">
        <v>0</v>
      </c>
      <c r="K12">
        <v>0</v>
      </c>
      <c r="L12">
        <v>0</v>
      </c>
    </row>
    <row r="13" spans="1:12" x14ac:dyDescent="0.3">
      <c r="A13" s="68"/>
      <c r="B13" s="20" t="s">
        <v>34</v>
      </c>
      <c r="C13" t="str">
        <f>Cropani!E4</f>
        <v>no</v>
      </c>
      <c r="D13" t="str">
        <f>Cropani!P4</f>
        <v>no</v>
      </c>
      <c r="E13" t="str">
        <f>Cropani!AA4</f>
        <v>no</v>
      </c>
      <c r="I13" t="s">
        <v>31</v>
      </c>
      <c r="J13" t="s">
        <v>32</v>
      </c>
      <c r="K13" t="s">
        <v>32</v>
      </c>
      <c r="L13" t="s">
        <v>32</v>
      </c>
    </row>
    <row r="14" spans="1:12" x14ac:dyDescent="0.3">
      <c r="A14" s="68"/>
      <c r="B14" s="20" t="s">
        <v>35</v>
      </c>
      <c r="C14" t="str">
        <f>Cropani!G4</f>
        <v>battistrada</v>
      </c>
      <c r="D14" t="str">
        <f>Cropani!R4</f>
        <v>battistrada</v>
      </c>
      <c r="E14" t="str">
        <f>Cropani!AC4</f>
        <v>suolo</v>
      </c>
      <c r="I14" t="s">
        <v>34</v>
      </c>
      <c r="J14" t="s">
        <v>32</v>
      </c>
      <c r="K14" t="s">
        <v>32</v>
      </c>
      <c r="L14" t="s">
        <v>32</v>
      </c>
    </row>
    <row r="15" spans="1:12" s="50" customFormat="1" x14ac:dyDescent="0.3">
      <c r="A15" s="68"/>
      <c r="B15" s="49" t="s">
        <v>114</v>
      </c>
      <c r="C15" s="50">
        <v>3.7</v>
      </c>
      <c r="D15" s="50">
        <v>9.16</v>
      </c>
      <c r="E15" s="50">
        <v>9.75</v>
      </c>
      <c r="I15" s="50" t="s">
        <v>35</v>
      </c>
      <c r="J15" s="50" t="s">
        <v>38</v>
      </c>
      <c r="K15" s="50" t="s">
        <v>38</v>
      </c>
      <c r="L15" s="50" t="s">
        <v>36</v>
      </c>
    </row>
    <row r="16" spans="1:12" x14ac:dyDescent="0.3">
      <c r="A16" s="68"/>
      <c r="B16" s="20" t="s">
        <v>115</v>
      </c>
      <c r="C16">
        <v>35</v>
      </c>
      <c r="D16">
        <f>Cropani!P2</f>
        <v>40</v>
      </c>
      <c r="E16">
        <v>40</v>
      </c>
      <c r="I16" t="s">
        <v>114</v>
      </c>
      <c r="J16">
        <v>3.7</v>
      </c>
      <c r="K16">
        <v>9.16</v>
      </c>
      <c r="L16">
        <v>9.75</v>
      </c>
    </row>
    <row r="17" spans="1:12" x14ac:dyDescent="0.3">
      <c r="A17" s="68"/>
      <c r="B17" s="20" t="s">
        <v>116</v>
      </c>
      <c r="C17">
        <f t="shared" ref="C17:E17" si="0">C16/10^3</f>
        <v>3.5000000000000003E-2</v>
      </c>
      <c r="D17">
        <f t="shared" si="0"/>
        <v>0.04</v>
      </c>
      <c r="E17">
        <f t="shared" si="0"/>
        <v>0.04</v>
      </c>
      <c r="I17" t="s">
        <v>115</v>
      </c>
      <c r="J17">
        <v>35</v>
      </c>
      <c r="K17">
        <v>40</v>
      </c>
      <c r="L17">
        <v>40</v>
      </c>
    </row>
    <row r="18" spans="1:12" x14ac:dyDescent="0.3">
      <c r="A18" s="68"/>
      <c r="B18" s="51" t="s">
        <v>117</v>
      </c>
      <c r="C18">
        <f>Cropani!B4</f>
        <v>0.15</v>
      </c>
      <c r="D18">
        <f>Cropani!M4</f>
        <v>0</v>
      </c>
      <c r="E18">
        <f>Cropani!X4</f>
        <v>0</v>
      </c>
      <c r="I18" t="s">
        <v>116</v>
      </c>
      <c r="J18">
        <v>3.5000000000000003E-2</v>
      </c>
      <c r="K18">
        <v>0.04</v>
      </c>
      <c r="L18">
        <v>0.04</v>
      </c>
    </row>
    <row r="19" spans="1:12" s="53" customFormat="1" x14ac:dyDescent="0.3">
      <c r="A19" s="68"/>
      <c r="B19" s="52" t="s">
        <v>118</v>
      </c>
      <c r="C19" s="53">
        <f t="shared" ref="C19:E19" si="1">C17*C15</f>
        <v>0.12950000000000003</v>
      </c>
      <c r="D19" s="53">
        <f t="shared" si="1"/>
        <v>0.3664</v>
      </c>
      <c r="E19" s="53">
        <f t="shared" si="1"/>
        <v>0.39</v>
      </c>
      <c r="I19" s="53" t="s">
        <v>117</v>
      </c>
      <c r="J19" s="53">
        <v>0.15</v>
      </c>
      <c r="K19" s="53">
        <v>0</v>
      </c>
      <c r="L19" s="53">
        <v>0</v>
      </c>
    </row>
    <row r="20" spans="1:12" x14ac:dyDescent="0.3">
      <c r="A20" s="68"/>
      <c r="B20" s="54" t="s">
        <v>119</v>
      </c>
      <c r="C20">
        <f t="shared" ref="C20:E20" si="2">C19*(1-C18)</f>
        <v>0.11007500000000002</v>
      </c>
      <c r="D20">
        <f t="shared" si="2"/>
        <v>0.3664</v>
      </c>
      <c r="E20">
        <f t="shared" si="2"/>
        <v>0.39</v>
      </c>
      <c r="I20" t="s">
        <v>118</v>
      </c>
      <c r="J20">
        <v>0.1295</v>
      </c>
      <c r="K20">
        <v>0.3664</v>
      </c>
      <c r="L20">
        <v>0.39</v>
      </c>
    </row>
    <row r="21" spans="1:12" x14ac:dyDescent="0.3">
      <c r="A21" s="68"/>
      <c r="B21" s="20" t="s">
        <v>120</v>
      </c>
      <c r="C21">
        <f>Cropani!C4</f>
        <v>362.5</v>
      </c>
      <c r="D21">
        <f>Cropani!N4</f>
        <v>1620</v>
      </c>
      <c r="E21">
        <f>Cropani!Y4</f>
        <v>1481</v>
      </c>
      <c r="I21" t="s">
        <v>119</v>
      </c>
      <c r="J21">
        <v>0.11007500000000001</v>
      </c>
      <c r="K21">
        <v>0.3664</v>
      </c>
      <c r="L21">
        <v>0.39</v>
      </c>
    </row>
    <row r="22" spans="1:12" x14ac:dyDescent="0.3">
      <c r="A22" s="68"/>
      <c r="B22" s="51" t="s">
        <v>121</v>
      </c>
      <c r="C22">
        <f>Cropani!H2</f>
        <v>50</v>
      </c>
      <c r="D22">
        <f>Cropani!S2</f>
        <v>0</v>
      </c>
      <c r="E22">
        <f>Cropani!AD2</f>
        <v>0</v>
      </c>
      <c r="I22" t="s">
        <v>120</v>
      </c>
      <c r="J22">
        <v>362.5</v>
      </c>
      <c r="K22">
        <v>1620</v>
      </c>
      <c r="L22">
        <v>1481</v>
      </c>
    </row>
    <row r="23" spans="1:12" x14ac:dyDescent="0.3">
      <c r="A23" s="68"/>
      <c r="B23" s="55" t="s">
        <v>122</v>
      </c>
      <c r="C23">
        <f t="shared" ref="C23:E23" si="3">C21*C20+C22</f>
        <v>89.902187500000011</v>
      </c>
      <c r="D23">
        <f t="shared" si="3"/>
        <v>593.56799999999998</v>
      </c>
      <c r="E23">
        <f t="shared" si="3"/>
        <v>577.59</v>
      </c>
      <c r="I23" t="s">
        <v>121</v>
      </c>
      <c r="J23">
        <v>50</v>
      </c>
      <c r="K23">
        <v>0</v>
      </c>
      <c r="L23">
        <v>0</v>
      </c>
    </row>
    <row r="24" spans="1:12" ht="14.4" customHeight="1" x14ac:dyDescent="0.3">
      <c r="A24" s="70" t="s">
        <v>124</v>
      </c>
      <c r="B24" s="35" t="s">
        <v>125</v>
      </c>
      <c r="C24">
        <f>Cropani!F60</f>
        <v>0</v>
      </c>
      <c r="D24">
        <f>Cropani!Q60</f>
        <v>0</v>
      </c>
      <c r="E24">
        <f>Cropani!AB60</f>
        <v>0</v>
      </c>
      <c r="I24" t="s">
        <v>122</v>
      </c>
      <c r="J24">
        <v>89.902187499999997</v>
      </c>
      <c r="K24">
        <v>593.56799999999998</v>
      </c>
      <c r="L24">
        <v>577.59</v>
      </c>
    </row>
    <row r="25" spans="1:12" x14ac:dyDescent="0.3">
      <c r="A25" s="70"/>
      <c r="B25" s="6" t="s">
        <v>126</v>
      </c>
      <c r="C25">
        <f>Cropani!F61</f>
        <v>1</v>
      </c>
      <c r="D25">
        <f>Cropani!Q61</f>
        <v>0</v>
      </c>
      <c r="E25">
        <f>Cropani!AB61</f>
        <v>0</v>
      </c>
      <c r="H25" t="s">
        <v>124</v>
      </c>
      <c r="I25" t="s">
        <v>125</v>
      </c>
      <c r="J25">
        <v>0</v>
      </c>
      <c r="K25">
        <v>0</v>
      </c>
      <c r="L25">
        <v>0</v>
      </c>
    </row>
    <row r="26" spans="1:12" x14ac:dyDescent="0.3">
      <c r="A26" s="70"/>
      <c r="B26" s="6" t="s">
        <v>127</v>
      </c>
      <c r="C26">
        <f>Cropani!F62</f>
        <v>0</v>
      </c>
      <c r="D26">
        <f>Cropani!Q62</f>
        <v>0</v>
      </c>
      <c r="E26">
        <f>Cropani!AB62</f>
        <v>0</v>
      </c>
      <c r="I26" t="s">
        <v>126</v>
      </c>
      <c r="J26">
        <v>1</v>
      </c>
      <c r="K26">
        <v>0</v>
      </c>
      <c r="L26">
        <v>0</v>
      </c>
    </row>
    <row r="27" spans="1:12" x14ac:dyDescent="0.3">
      <c r="A27" s="70"/>
      <c r="B27" s="6" t="s">
        <v>128</v>
      </c>
      <c r="C27">
        <f>Cropani!F63</f>
        <v>0</v>
      </c>
      <c r="D27">
        <f>Cropani!Q63</f>
        <v>0</v>
      </c>
      <c r="E27">
        <f>Cropani!AB63</f>
        <v>0</v>
      </c>
      <c r="I27" t="s">
        <v>127</v>
      </c>
      <c r="J27">
        <v>0</v>
      </c>
      <c r="K27">
        <v>0</v>
      </c>
      <c r="L27">
        <v>0</v>
      </c>
    </row>
    <row r="28" spans="1:12" x14ac:dyDescent="0.3">
      <c r="A28" s="70"/>
      <c r="B28" s="6" t="s">
        <v>129</v>
      </c>
      <c r="C28">
        <f>Cropani!F64</f>
        <v>0</v>
      </c>
      <c r="D28">
        <f>Cropani!Q64</f>
        <v>0</v>
      </c>
      <c r="E28">
        <f>Cropani!AB64</f>
        <v>0</v>
      </c>
      <c r="I28" t="s">
        <v>128</v>
      </c>
      <c r="J28">
        <v>0</v>
      </c>
      <c r="K28">
        <v>0</v>
      </c>
      <c r="L28">
        <v>0</v>
      </c>
    </row>
    <row r="29" spans="1:12" x14ac:dyDescent="0.3">
      <c r="A29" s="70"/>
      <c r="B29" s="6" t="s">
        <v>130</v>
      </c>
      <c r="C29">
        <f>Cropani!F66</f>
        <v>0</v>
      </c>
      <c r="D29">
        <f>Cropani!Q66</f>
        <v>0</v>
      </c>
      <c r="E29">
        <f>Cropani!AB66</f>
        <v>0</v>
      </c>
      <c r="I29" t="s">
        <v>129</v>
      </c>
      <c r="J29">
        <v>0</v>
      </c>
      <c r="K29">
        <v>0</v>
      </c>
      <c r="L29">
        <v>0</v>
      </c>
    </row>
    <row r="30" spans="1:12" x14ac:dyDescent="0.3">
      <c r="A30" s="70"/>
      <c r="B30" s="6" t="s">
        <v>131</v>
      </c>
      <c r="C30">
        <f>Cropani!F68</f>
        <v>0</v>
      </c>
      <c r="D30">
        <f>Cropani!Q68</f>
        <v>0</v>
      </c>
      <c r="E30">
        <f>Cropani!AB68</f>
        <v>0</v>
      </c>
      <c r="I30" t="s">
        <v>130</v>
      </c>
      <c r="J30">
        <v>0</v>
      </c>
      <c r="K30">
        <v>0</v>
      </c>
      <c r="L30">
        <v>0</v>
      </c>
    </row>
    <row r="31" spans="1:12" x14ac:dyDescent="0.3">
      <c r="A31" s="70"/>
      <c r="B31" s="6" t="s">
        <v>132</v>
      </c>
      <c r="C31">
        <f>Cropani!H61</f>
        <v>0</v>
      </c>
      <c r="D31">
        <f>Cropani!S61</f>
        <v>0</v>
      </c>
      <c r="E31">
        <f>Cropani!AD61</f>
        <v>0</v>
      </c>
      <c r="I31" t="s">
        <v>131</v>
      </c>
      <c r="J31">
        <v>0</v>
      </c>
      <c r="K31">
        <v>0</v>
      </c>
      <c r="L31">
        <v>0</v>
      </c>
    </row>
    <row r="32" spans="1:12" x14ac:dyDescent="0.3">
      <c r="A32" s="70"/>
      <c r="B32" s="6" t="s">
        <v>133</v>
      </c>
      <c r="C32">
        <f>Cropani!H62</f>
        <v>0</v>
      </c>
      <c r="D32">
        <f>Cropani!S62</f>
        <v>0</v>
      </c>
      <c r="E32">
        <f>Cropani!AD62</f>
        <v>0</v>
      </c>
      <c r="I32" t="s">
        <v>132</v>
      </c>
      <c r="J32">
        <v>0</v>
      </c>
      <c r="K32">
        <v>0</v>
      </c>
      <c r="L32">
        <v>0</v>
      </c>
    </row>
    <row r="33" spans="1:27" ht="14.4" customHeight="1" x14ac:dyDescent="0.3">
      <c r="A33" s="70"/>
      <c r="B33" s="6" t="s">
        <v>134</v>
      </c>
      <c r="C33">
        <f>Cropani!H63</f>
        <v>0</v>
      </c>
      <c r="D33">
        <f>Cropani!S63</f>
        <v>0</v>
      </c>
      <c r="E33">
        <f>Cropani!AD63</f>
        <v>0</v>
      </c>
      <c r="I33" t="s">
        <v>133</v>
      </c>
      <c r="J33">
        <v>0</v>
      </c>
      <c r="K33">
        <v>0</v>
      </c>
      <c r="L33">
        <v>0</v>
      </c>
    </row>
    <row r="34" spans="1:27" x14ac:dyDescent="0.3">
      <c r="A34" s="70"/>
      <c r="B34" s="6" t="s">
        <v>135</v>
      </c>
      <c r="C34">
        <f>Cropani!H64</f>
        <v>0</v>
      </c>
      <c r="D34">
        <f>Cropani!S64</f>
        <v>0</v>
      </c>
      <c r="E34">
        <f>Cropani!AD64</f>
        <v>0</v>
      </c>
      <c r="I34" t="s">
        <v>134</v>
      </c>
      <c r="J34">
        <v>0</v>
      </c>
      <c r="K34">
        <v>0</v>
      </c>
      <c r="L34">
        <v>0</v>
      </c>
    </row>
    <row r="35" spans="1:27" x14ac:dyDescent="0.3">
      <c r="A35" s="70"/>
      <c r="B35" s="6" t="s">
        <v>136</v>
      </c>
      <c r="C35">
        <f>Cropani!H65</f>
        <v>0</v>
      </c>
      <c r="D35">
        <f>Cropani!S65</f>
        <v>0</v>
      </c>
      <c r="E35">
        <f>Cropani!AD65</f>
        <v>0</v>
      </c>
      <c r="I35" t="s">
        <v>135</v>
      </c>
      <c r="J35">
        <v>0</v>
      </c>
      <c r="K35">
        <v>0</v>
      </c>
      <c r="L35">
        <v>0</v>
      </c>
    </row>
    <row r="36" spans="1:27" x14ac:dyDescent="0.3">
      <c r="A36" s="70"/>
      <c r="B36" s="6" t="s">
        <v>137</v>
      </c>
      <c r="C36">
        <f>Cropani!H66</f>
        <v>0</v>
      </c>
      <c r="D36">
        <f>Cropani!S66</f>
        <v>0</v>
      </c>
      <c r="E36">
        <f>Cropani!AD66</f>
        <v>0</v>
      </c>
      <c r="I36" t="s">
        <v>136</v>
      </c>
      <c r="J36">
        <v>0</v>
      </c>
      <c r="K36">
        <v>0</v>
      </c>
      <c r="L36">
        <v>0</v>
      </c>
    </row>
    <row r="37" spans="1:27" x14ac:dyDescent="0.3">
      <c r="A37" s="46"/>
      <c r="B37" s="6" t="s">
        <v>138</v>
      </c>
      <c r="C37">
        <f>Cropani!H67</f>
        <v>0</v>
      </c>
      <c r="D37">
        <f>Cropani!S67</f>
        <v>0</v>
      </c>
      <c r="E37">
        <f>Cropani!AD67</f>
        <v>0</v>
      </c>
      <c r="I37" t="s">
        <v>137</v>
      </c>
      <c r="J37">
        <v>0</v>
      </c>
      <c r="K37">
        <v>0</v>
      </c>
      <c r="L37">
        <v>0</v>
      </c>
    </row>
    <row r="38" spans="1:27" x14ac:dyDescent="0.3">
      <c r="A38" s="46"/>
      <c r="C38" s="12"/>
      <c r="D38" s="12"/>
      <c r="E38" s="12"/>
      <c r="I38" t="s">
        <v>138</v>
      </c>
      <c r="J38">
        <v>0</v>
      </c>
      <c r="K38">
        <v>0</v>
      </c>
      <c r="L38">
        <v>0</v>
      </c>
    </row>
    <row r="39" spans="1:27" x14ac:dyDescent="0.3">
      <c r="A39" s="46"/>
      <c r="C39" s="12"/>
      <c r="D39" s="12"/>
      <c r="E39" s="12"/>
    </row>
    <row r="40" spans="1:27" x14ac:dyDescent="0.3">
      <c r="A40" s="46"/>
      <c r="C40" s="2"/>
      <c r="D40" s="2"/>
    </row>
    <row r="41" spans="1:27" ht="15" thickBot="1" x14ac:dyDescent="0.35"/>
    <row r="42" spans="1:27" ht="14.4" customHeight="1" thickBot="1" x14ac:dyDescent="0.35">
      <c r="A42" s="69" t="s">
        <v>100</v>
      </c>
      <c r="B42" s="57" t="s">
        <v>101</v>
      </c>
      <c r="C42" s="12">
        <v>2.5079617834394899E-2</v>
      </c>
      <c r="D42">
        <v>0</v>
      </c>
      <c r="E42">
        <v>0.124920382165605</v>
      </c>
      <c r="F42">
        <v>0.15</v>
      </c>
      <c r="G42">
        <v>0</v>
      </c>
      <c r="H42">
        <v>0</v>
      </c>
      <c r="I42">
        <v>0</v>
      </c>
      <c r="J42">
        <v>0.7</v>
      </c>
      <c r="K42">
        <v>0</v>
      </c>
      <c r="L42" t="s">
        <v>32</v>
      </c>
      <c r="M42" t="s">
        <v>32</v>
      </c>
      <c r="N42" t="s">
        <v>38</v>
      </c>
      <c r="O42">
        <v>3.7</v>
      </c>
      <c r="P42">
        <v>35</v>
      </c>
      <c r="Q42">
        <v>3.5000000000000003E-2</v>
      </c>
      <c r="R42">
        <v>0.15</v>
      </c>
      <c r="S42">
        <v>0.1295</v>
      </c>
      <c r="T42">
        <v>0.11007500000000001</v>
      </c>
      <c r="U42">
        <v>362.5</v>
      </c>
      <c r="V42">
        <v>50</v>
      </c>
      <c r="W42">
        <v>89.902187499999997</v>
      </c>
      <c r="X42">
        <f t="shared" ref="X42:X44" si="4">IF(M42=1,O42,0)</f>
        <v>0</v>
      </c>
      <c r="Z42" t="s">
        <v>123</v>
      </c>
      <c r="AA42">
        <f>[1]sellia!E2</f>
        <v>8.8409778611789402</v>
      </c>
    </row>
    <row r="43" spans="1:27" ht="15" thickBot="1" x14ac:dyDescent="0.35">
      <c r="A43" s="69"/>
      <c r="B43" s="58" t="s">
        <v>102</v>
      </c>
      <c r="C43" s="12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 t="s">
        <v>32</v>
      </c>
      <c r="M43" t="s">
        <v>32</v>
      </c>
      <c r="N43" t="s">
        <v>38</v>
      </c>
      <c r="O43">
        <v>9.16</v>
      </c>
      <c r="P43">
        <v>40</v>
      </c>
      <c r="Q43">
        <v>0.04</v>
      </c>
      <c r="R43">
        <v>0</v>
      </c>
      <c r="S43">
        <v>0.3664</v>
      </c>
      <c r="T43">
        <v>0.3664</v>
      </c>
      <c r="U43">
        <v>1620</v>
      </c>
      <c r="V43">
        <v>0</v>
      </c>
      <c r="W43">
        <v>593.56799999999998</v>
      </c>
      <c r="X43">
        <f t="shared" si="4"/>
        <v>0</v>
      </c>
      <c r="Z43" t="s">
        <v>123</v>
      </c>
      <c r="AA43">
        <f>[1]sellia!E3</f>
        <v>8.6749797883780193</v>
      </c>
    </row>
    <row r="44" spans="1:27" ht="15" thickBot="1" x14ac:dyDescent="0.35">
      <c r="A44" s="69"/>
      <c r="B44" s="58" t="s">
        <v>103</v>
      </c>
      <c r="C44" s="12">
        <v>0</v>
      </c>
      <c r="D44">
        <v>0</v>
      </c>
      <c r="E44">
        <v>0</v>
      </c>
      <c r="F44">
        <v>0.02</v>
      </c>
      <c r="G44">
        <v>0</v>
      </c>
      <c r="H44">
        <v>0</v>
      </c>
      <c r="I44">
        <v>0.98</v>
      </c>
      <c r="J44">
        <v>0</v>
      </c>
      <c r="K44">
        <v>0</v>
      </c>
      <c r="L44" t="s">
        <v>32</v>
      </c>
      <c r="M44" t="s">
        <v>32</v>
      </c>
      <c r="N44" t="s">
        <v>36</v>
      </c>
      <c r="O44">
        <v>9.75</v>
      </c>
      <c r="P44">
        <v>40</v>
      </c>
      <c r="Q44">
        <v>0.04</v>
      </c>
      <c r="R44">
        <v>0</v>
      </c>
      <c r="S44">
        <v>0.39</v>
      </c>
      <c r="T44">
        <v>0.39</v>
      </c>
      <c r="U44">
        <v>1481</v>
      </c>
      <c r="V44">
        <v>0</v>
      </c>
      <c r="W44">
        <v>577.59</v>
      </c>
      <c r="X44">
        <f t="shared" si="4"/>
        <v>0</v>
      </c>
      <c r="Z44" t="s">
        <v>123</v>
      </c>
      <c r="AA44">
        <f>[1]sellia!E4</f>
        <v>8.5600726106074294</v>
      </c>
    </row>
    <row r="45" spans="1:27" x14ac:dyDescent="0.3">
      <c r="B45" s="58"/>
      <c r="W45" s="12">
        <f>SUM(W42:W44)</f>
        <v>1261.0601875</v>
      </c>
    </row>
    <row r="50" spans="1:22" x14ac:dyDescent="0.3">
      <c r="A50" s="56" t="s">
        <v>144</v>
      </c>
      <c r="B50" s="58" t="s">
        <v>145</v>
      </c>
      <c r="C50" t="s">
        <v>146</v>
      </c>
      <c r="L50" t="s">
        <v>147</v>
      </c>
    </row>
    <row r="51" spans="1:22" x14ac:dyDescent="0.3">
      <c r="B51" s="58"/>
      <c r="C51" t="s">
        <v>148</v>
      </c>
      <c r="D51" t="s">
        <v>16</v>
      </c>
      <c r="E51" t="s">
        <v>139</v>
      </c>
      <c r="F51" t="s">
        <v>12</v>
      </c>
      <c r="G51" t="s">
        <v>18</v>
      </c>
      <c r="H51" t="s">
        <v>19</v>
      </c>
      <c r="I51" t="s">
        <v>140</v>
      </c>
      <c r="J51" t="s">
        <v>141</v>
      </c>
      <c r="K51" t="s">
        <v>142</v>
      </c>
      <c r="L51" t="s">
        <v>114</v>
      </c>
      <c r="M51" t="s">
        <v>149</v>
      </c>
      <c r="N51" t="s">
        <v>150</v>
      </c>
      <c r="O51" t="s">
        <v>151</v>
      </c>
      <c r="P51" t="s">
        <v>152</v>
      </c>
      <c r="Q51" t="s">
        <v>153</v>
      </c>
      <c r="R51" t="s">
        <v>154</v>
      </c>
      <c r="S51" t="s">
        <v>155</v>
      </c>
    </row>
    <row r="52" spans="1:22" x14ac:dyDescent="0.3">
      <c r="A52" s="56" t="s">
        <v>100</v>
      </c>
      <c r="B52" s="58" t="s">
        <v>101</v>
      </c>
      <c r="C52" s="2">
        <v>8.6234260707523297E-2</v>
      </c>
      <c r="D52" s="2">
        <v>0</v>
      </c>
      <c r="E52" s="2">
        <v>4.18852123436542E-2</v>
      </c>
      <c r="F52" s="2">
        <v>0.387643533847153</v>
      </c>
      <c r="G52" s="2">
        <v>0.110205660499001</v>
      </c>
      <c r="H52" s="2">
        <v>0</v>
      </c>
      <c r="I52" s="2">
        <v>0</v>
      </c>
      <c r="J52" s="2">
        <v>0</v>
      </c>
      <c r="K52" s="2">
        <v>0.37403133260266902</v>
      </c>
      <c r="L52" s="12">
        <v>3.7</v>
      </c>
      <c r="M52" s="12">
        <v>3.5000000000000003E-2</v>
      </c>
      <c r="N52" s="12">
        <v>0.1295</v>
      </c>
      <c r="O52" s="12">
        <v>89.902187499999997</v>
      </c>
      <c r="P52" s="12" t="s">
        <v>32</v>
      </c>
      <c r="Q52" s="12" t="s">
        <v>123</v>
      </c>
      <c r="R52" s="12" t="s">
        <v>143</v>
      </c>
      <c r="S52" s="12">
        <v>8.8409778611789402</v>
      </c>
      <c r="V52" s="26"/>
    </row>
    <row r="53" spans="1:22" x14ac:dyDescent="0.3">
      <c r="B53" s="58" t="s">
        <v>102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12">
        <v>9.16</v>
      </c>
      <c r="M53" s="12">
        <v>0.04</v>
      </c>
      <c r="N53" s="12">
        <v>0.3664</v>
      </c>
      <c r="O53" s="12">
        <v>593.56799999999998</v>
      </c>
      <c r="P53" s="12" t="s">
        <v>32</v>
      </c>
      <c r="Q53" s="12" t="s">
        <v>123</v>
      </c>
      <c r="R53" s="12" t="s">
        <v>143</v>
      </c>
      <c r="S53" s="12">
        <v>8.6749797883780193</v>
      </c>
      <c r="V53" s="26"/>
    </row>
    <row r="54" spans="1:22" x14ac:dyDescent="0.3">
      <c r="B54" s="58" t="s">
        <v>103</v>
      </c>
      <c r="C54" s="2">
        <v>0</v>
      </c>
      <c r="D54" s="2">
        <v>0</v>
      </c>
      <c r="E54" s="2">
        <v>0</v>
      </c>
      <c r="F54" s="2">
        <v>0</v>
      </c>
      <c r="G54" s="2">
        <v>7.4274139095205898E-3</v>
      </c>
      <c r="H54" s="2">
        <v>0</v>
      </c>
      <c r="I54" s="2">
        <v>0</v>
      </c>
      <c r="J54" s="2">
        <v>0.99257258609048005</v>
      </c>
      <c r="K54" s="2">
        <v>0</v>
      </c>
      <c r="L54" s="12">
        <v>9.75</v>
      </c>
      <c r="M54" s="12">
        <v>0.04</v>
      </c>
      <c r="N54" s="12">
        <v>0.39</v>
      </c>
      <c r="O54" s="12">
        <v>577.59</v>
      </c>
      <c r="P54" s="12" t="s">
        <v>32</v>
      </c>
      <c r="Q54" s="12" t="s">
        <v>123</v>
      </c>
      <c r="R54" s="12" t="s">
        <v>143</v>
      </c>
      <c r="S54" s="12">
        <v>8.5600726106074294</v>
      </c>
      <c r="V54" s="26"/>
    </row>
    <row r="55" spans="1:22" x14ac:dyDescent="0.3">
      <c r="B55" s="58"/>
    </row>
  </sheetData>
  <mergeCells count="5">
    <mergeCell ref="A42:A44"/>
    <mergeCell ref="A1:B2"/>
    <mergeCell ref="A3:A10"/>
    <mergeCell ref="A11:A23"/>
    <mergeCell ref="A24:A3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INFO</vt:lpstr>
      <vt:lpstr>Cropani</vt:lpstr>
      <vt:lpstr>Summary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 Mattei</dc:creator>
  <dc:description/>
  <cp:lastModifiedBy>ALFONSO VALERIO RAGAZZO</cp:lastModifiedBy>
  <cp:revision>2</cp:revision>
  <dcterms:created xsi:type="dcterms:W3CDTF">2015-06-05T18:17:20Z</dcterms:created>
  <dcterms:modified xsi:type="dcterms:W3CDTF">2025-03-23T00:26:13Z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