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mec\Documents\David\Škola\Praktika\Úloha_13\"/>
    </mc:Choice>
  </mc:AlternateContent>
  <xr:revisionPtr revIDLastSave="0" documentId="13_ncr:1_{29028D37-7D74-4C46-AC2D-CFE717B608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P30" i="1"/>
  <c r="O30" i="1"/>
  <c r="H25" i="1" s="1"/>
  <c r="N30" i="1"/>
  <c r="H24" i="1" s="1"/>
  <c r="M30" i="1"/>
  <c r="H23" i="1" s="1"/>
  <c r="L30" i="1"/>
  <c r="H37" i="1" s="1"/>
  <c r="H26" i="1"/>
  <c r="H41" i="1"/>
  <c r="H40" i="1"/>
  <c r="H39" i="1"/>
  <c r="H38" i="1"/>
  <c r="H36" i="1"/>
  <c r="H35" i="1"/>
  <c r="H34" i="1"/>
  <c r="H33" i="1"/>
  <c r="H31" i="1"/>
  <c r="H30" i="1"/>
  <c r="H29" i="1"/>
  <c r="H28" i="1"/>
  <c r="H27" i="1"/>
  <c r="G22" i="1"/>
  <c r="K17" i="1"/>
  <c r="P17" i="1"/>
  <c r="O17" i="1"/>
  <c r="N17" i="1"/>
  <c r="M17" i="1"/>
  <c r="I20" i="1"/>
  <c r="I18" i="1"/>
  <c r="O13" i="1"/>
  <c r="O12" i="1"/>
  <c r="M13" i="1"/>
  <c r="M12" i="1"/>
  <c r="K13" i="1"/>
  <c r="K12" i="1"/>
  <c r="J13" i="1"/>
  <c r="J12" i="1"/>
  <c r="E22" i="1" s="1"/>
  <c r="A15" i="1"/>
  <c r="B10" i="1"/>
  <c r="C11" i="1"/>
  <c r="P11" i="1"/>
  <c r="O11" i="1"/>
  <c r="N11" i="1"/>
  <c r="M11" i="1"/>
  <c r="L11" i="1"/>
  <c r="K11" i="1"/>
  <c r="J1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2" i="1"/>
  <c r="D40" i="1"/>
  <c r="D39" i="1"/>
  <c r="D38" i="1"/>
  <c r="D37" i="1"/>
  <c r="D24" i="1"/>
  <c r="D23" i="1"/>
  <c r="D22" i="1"/>
  <c r="M28" i="1"/>
  <c r="D28" i="1" s="1"/>
  <c r="N28" i="1"/>
  <c r="D34" i="1" s="1"/>
  <c r="O28" i="1"/>
  <c r="D35" i="1" s="1"/>
  <c r="P28" i="1"/>
  <c r="D36" i="1" s="1"/>
  <c r="L28" i="1"/>
  <c r="L29" i="1" s="1"/>
  <c r="K10" i="1"/>
  <c r="K9" i="1"/>
  <c r="L9" i="1"/>
  <c r="L10" i="1" s="1"/>
  <c r="M9" i="1"/>
  <c r="M10" i="1" s="1"/>
  <c r="N9" i="1"/>
  <c r="N10" i="1" s="1"/>
  <c r="O9" i="1"/>
  <c r="O10" i="1" s="1"/>
  <c r="P9" i="1"/>
  <c r="P10" i="1" s="1"/>
  <c r="J9" i="1"/>
  <c r="H19" i="1"/>
  <c r="H20" i="1" s="1"/>
  <c r="H18" i="1"/>
  <c r="D13" i="1"/>
  <c r="D14" i="1" s="1"/>
  <c r="D15" i="1" s="1"/>
  <c r="C9" i="1"/>
  <c r="C10" i="1" s="1"/>
  <c r="B8" i="1"/>
  <c r="B9" i="1" s="1"/>
  <c r="A13" i="1"/>
  <c r="A14" i="1" s="1"/>
  <c r="H32" i="1" l="1"/>
  <c r="C19" i="1"/>
  <c r="F28" i="1"/>
  <c r="F38" i="1"/>
  <c r="F37" i="1"/>
  <c r="E23" i="1"/>
  <c r="E24" i="1"/>
  <c r="E26" i="1"/>
  <c r="E25" i="1"/>
  <c r="E31" i="1"/>
  <c r="E30" i="1"/>
  <c r="E29" i="1"/>
  <c r="E28" i="1"/>
  <c r="G28" i="1" s="1"/>
  <c r="E27" i="1"/>
  <c r="D29" i="1"/>
  <c r="D30" i="1"/>
  <c r="O29" i="1"/>
  <c r="D31" i="1"/>
  <c r="D25" i="1"/>
  <c r="J10" i="1"/>
  <c r="P29" i="1"/>
  <c r="D32" i="1"/>
  <c r="D27" i="1"/>
  <c r="D26" i="1"/>
  <c r="N29" i="1"/>
  <c r="M29" i="1"/>
  <c r="D33" i="1"/>
  <c r="G23" i="1"/>
  <c r="D41" i="1"/>
  <c r="C18" i="1"/>
  <c r="J17" i="1" s="1"/>
  <c r="F27" i="1" l="1"/>
  <c r="F39" i="1"/>
  <c r="F41" i="1"/>
  <c r="F40" i="1"/>
  <c r="F29" i="1"/>
  <c r="F31" i="1"/>
  <c r="F30" i="1"/>
  <c r="F34" i="1"/>
  <c r="F32" i="1"/>
  <c r="F36" i="1"/>
  <c r="F35" i="1"/>
  <c r="F33" i="1"/>
  <c r="F22" i="1"/>
  <c r="F26" i="1"/>
  <c r="F25" i="1"/>
  <c r="F24" i="1"/>
  <c r="F23" i="1"/>
  <c r="E38" i="1"/>
  <c r="E37" i="1"/>
  <c r="E40" i="1"/>
  <c r="E39" i="1"/>
  <c r="E41" i="1"/>
  <c r="G24" i="1"/>
  <c r="G26" i="1"/>
  <c r="G41" i="1"/>
  <c r="G33" i="1"/>
  <c r="G30" i="1"/>
  <c r="E32" i="1"/>
  <c r="G32" i="1" s="1"/>
  <c r="E36" i="1"/>
  <c r="E34" i="1"/>
  <c r="E33" i="1"/>
  <c r="E35" i="1"/>
  <c r="G29" i="1"/>
  <c r="G27" i="1"/>
  <c r="G25" i="1"/>
  <c r="G31" i="1"/>
  <c r="G35" i="1" l="1"/>
  <c r="G39" i="1"/>
  <c r="G34" i="1"/>
  <c r="G40" i="1"/>
  <c r="G36" i="1"/>
  <c r="G37" i="1"/>
  <c r="G38" i="1"/>
</calcChain>
</file>

<file path=xl/sharedStrings.xml><?xml version="1.0" encoding="utf-8"?>
<sst xmlns="http://schemas.openxmlformats.org/spreadsheetml/2006/main" count="75" uniqueCount="67">
  <si>
    <t>kulička</t>
  </si>
  <si>
    <t>osa</t>
  </si>
  <si>
    <t>vršek kuličky-spodek osy</t>
  </si>
  <si>
    <t>cm</t>
  </si>
  <si>
    <t>kývání</t>
  </si>
  <si>
    <t>5T / s</t>
  </si>
  <si>
    <t>g</t>
  </si>
  <si>
    <t>závaží (g)</t>
  </si>
  <si>
    <t>A</t>
  </si>
  <si>
    <t>B</t>
  </si>
  <si>
    <t>C</t>
  </si>
  <si>
    <t>D</t>
  </si>
  <si>
    <t>E</t>
  </si>
  <si>
    <t>kladka (cm)</t>
  </si>
  <si>
    <t>kraj</t>
  </si>
  <si>
    <t>průměr</t>
  </si>
  <si>
    <t>odchylka</t>
  </si>
  <si>
    <t>hodnota</t>
  </si>
  <si>
    <t>2 hPa</t>
  </si>
  <si>
    <t>veličina</t>
  </si>
  <si>
    <t>tlak</t>
  </si>
  <si>
    <t>vlhkost</t>
  </si>
  <si>
    <t>teplota</t>
  </si>
  <si>
    <t>0.4 °C</t>
  </si>
  <si>
    <t>999.6 hPa</t>
  </si>
  <si>
    <t>23.1 °C</t>
  </si>
  <si>
    <t>průměr bez kraje</t>
  </si>
  <si>
    <t>l/cm</t>
  </si>
  <si>
    <t>moment setrvačnosti kývání</t>
  </si>
  <si>
    <t>g / m/s^2</t>
  </si>
  <si>
    <t>ax+b</t>
  </si>
  <si>
    <t>A60</t>
  </si>
  <si>
    <t>B60</t>
  </si>
  <si>
    <t>C60</t>
  </si>
  <si>
    <t>D60</t>
  </si>
  <si>
    <t>E60</t>
  </si>
  <si>
    <t>A100</t>
  </si>
  <si>
    <t>B100</t>
  </si>
  <si>
    <t>C100</t>
  </si>
  <si>
    <t>D100</t>
  </si>
  <si>
    <t>E100</t>
  </si>
  <si>
    <t>A140</t>
  </si>
  <si>
    <t>B140</t>
  </si>
  <si>
    <t>C140</t>
  </si>
  <si>
    <t>D140</t>
  </si>
  <si>
    <t>E140</t>
  </si>
  <si>
    <t>A180</t>
  </si>
  <si>
    <t>B180</t>
  </si>
  <si>
    <t>C180</t>
  </si>
  <si>
    <t>D180</t>
  </si>
  <si>
    <t>E180</t>
  </si>
  <si>
    <t>m</t>
  </si>
  <si>
    <t>r</t>
  </si>
  <si>
    <r>
      <t>a (</t>
    </r>
    <r>
      <rPr>
        <sz val="11"/>
        <color theme="1"/>
        <rFont val="Aptos Narrow"/>
        <family val="2"/>
      </rPr>
      <t>ε</t>
    </r>
    <r>
      <rPr>
        <sz val="11"/>
        <color theme="1"/>
        <rFont val="Calibri"/>
        <family val="2"/>
        <charset val="238"/>
      </rPr>
      <t>)</t>
    </r>
  </si>
  <si>
    <t>I* otáčení</t>
  </si>
  <si>
    <r>
      <rPr>
        <sz val="11"/>
        <color theme="1"/>
        <rFont val="Aptos Narrow"/>
        <family val="2"/>
      </rPr>
      <t>σ</t>
    </r>
    <r>
      <rPr>
        <sz val="11"/>
        <color theme="1"/>
        <rFont val="Calibri"/>
        <family val="2"/>
        <charset val="238"/>
      </rPr>
      <t>(</t>
    </r>
    <r>
      <rPr>
        <sz val="11"/>
        <color theme="1"/>
        <rFont val="Calibri"/>
        <family val="2"/>
        <charset val="238"/>
        <scheme val="minor"/>
      </rPr>
      <t>I*)</t>
    </r>
  </si>
  <si>
    <t>α</t>
  </si>
  <si>
    <t>σ(α)</t>
  </si>
  <si>
    <t>σ r</t>
  </si>
  <si>
    <t>poloměr</t>
  </si>
  <si>
    <t>nejistota</t>
  </si>
  <si>
    <t>podle m</t>
  </si>
  <si>
    <t>podle g</t>
  </si>
  <si>
    <t>podle T</t>
  </si>
  <si>
    <t>podle l</t>
  </si>
  <si>
    <t>I_k</t>
  </si>
  <si>
    <t>M_t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</si>
</sst>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1" xfId="0" applyFill="1" applyBorder="1"/>
    <xf numFmtId="11" fontId="0" fillId="0" borderId="0" xfId="0" applyNumberFormat="1"/>
    <xf numFmtId="0" fontId="0" fillId="0" borderId="2" xfId="0" applyBorder="1"/>
    <xf numFmtId="11" fontId="0" fillId="0" borderId="2" xfId="0" applyNumberFormat="1" applyBorder="1"/>
    <xf numFmtId="0" fontId="2" fillId="0" borderId="0" xfId="0" applyFont="1"/>
    <xf numFmtId="0" fontId="0" fillId="2" borderId="0" xfId="0" applyFill="1"/>
    <xf numFmtId="164" fontId="0" fillId="0" borderId="2" xfId="0" applyNumberFormat="1" applyBorder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A20" zoomScale="85" zoomScaleNormal="85" workbookViewId="0">
      <selection activeCell="Q39" sqref="Q39"/>
    </sheetView>
  </sheetViews>
  <sheetFormatPr defaultRowHeight="14.4" x14ac:dyDescent="0.3"/>
  <cols>
    <col min="3" max="3" width="11" customWidth="1"/>
    <col min="7" max="7" width="9.109375" customWidth="1"/>
    <col min="8" max="8" width="10.88671875" customWidth="1"/>
    <col min="10" max="10" width="10" bestFit="1" customWidth="1"/>
    <col min="16" max="16" width="10" customWidth="1"/>
  </cols>
  <sheetData>
    <row r="1" spans="1:16" x14ac:dyDescent="0.3">
      <c r="A1" t="s">
        <v>0</v>
      </c>
      <c r="C1" t="s">
        <v>1</v>
      </c>
      <c r="D1" t="s">
        <v>2</v>
      </c>
      <c r="H1" t="s">
        <v>4</v>
      </c>
      <c r="J1" t="s">
        <v>13</v>
      </c>
    </row>
    <row r="2" spans="1:16" x14ac:dyDescent="0.3">
      <c r="A2" t="s">
        <v>3</v>
      </c>
      <c r="B2" t="s">
        <v>6</v>
      </c>
      <c r="C2" t="s">
        <v>3</v>
      </c>
      <c r="D2" t="s">
        <v>3</v>
      </c>
      <c r="H2" t="s">
        <v>5</v>
      </c>
      <c r="J2">
        <v>1</v>
      </c>
      <c r="L2">
        <v>2</v>
      </c>
      <c r="N2">
        <v>3</v>
      </c>
      <c r="P2">
        <v>4</v>
      </c>
    </row>
    <row r="3" spans="1:16" x14ac:dyDescent="0.3">
      <c r="A3">
        <v>2.3439999999999999</v>
      </c>
      <c r="B3">
        <v>146.99250000000001</v>
      </c>
      <c r="C3">
        <v>1.232</v>
      </c>
      <c r="D3">
        <v>21.6</v>
      </c>
      <c r="H3">
        <v>12.13</v>
      </c>
      <c r="J3" t="s">
        <v>26</v>
      </c>
      <c r="K3" t="s">
        <v>15</v>
      </c>
      <c r="L3" t="s">
        <v>14</v>
      </c>
      <c r="M3" t="s">
        <v>15</v>
      </c>
      <c r="N3" t="s">
        <v>14</v>
      </c>
      <c r="O3" t="s">
        <v>15</v>
      </c>
      <c r="P3" t="s">
        <v>14</v>
      </c>
    </row>
    <row r="4" spans="1:16" x14ac:dyDescent="0.3">
      <c r="A4">
        <v>2.3639999999999999</v>
      </c>
      <c r="B4">
        <v>146.9923</v>
      </c>
      <c r="C4">
        <v>1.202</v>
      </c>
      <c r="D4">
        <v>21.7</v>
      </c>
      <c r="H4">
        <v>12.14</v>
      </c>
      <c r="J4">
        <v>5.976</v>
      </c>
      <c r="K4">
        <v>10.228</v>
      </c>
      <c r="L4">
        <v>0.14799999999999999</v>
      </c>
      <c r="M4">
        <v>14.022</v>
      </c>
      <c r="N4">
        <v>4.3999999999999997E-2</v>
      </c>
      <c r="O4">
        <v>18.02</v>
      </c>
      <c r="P4">
        <v>4.2000000000000003E-2</v>
      </c>
    </row>
    <row r="5" spans="1:16" x14ac:dyDescent="0.3">
      <c r="A5">
        <v>2.3279999999999998</v>
      </c>
      <c r="B5">
        <v>146.99260000000001</v>
      </c>
      <c r="C5">
        <v>1.206</v>
      </c>
      <c r="D5">
        <v>21.6</v>
      </c>
      <c r="H5">
        <v>12.07</v>
      </c>
      <c r="J5">
        <v>5.9720000000000004</v>
      </c>
      <c r="K5">
        <v>10.231999999999999</v>
      </c>
      <c r="L5">
        <v>0.14599999999999999</v>
      </c>
      <c r="M5">
        <v>14.023999999999999</v>
      </c>
      <c r="N5">
        <v>4.2000000000000003E-2</v>
      </c>
      <c r="O5">
        <v>18.018000000000001</v>
      </c>
      <c r="P5">
        <v>4.5999999999999999E-2</v>
      </c>
    </row>
    <row r="6" spans="1:16" x14ac:dyDescent="0.3">
      <c r="A6">
        <v>2.3180000000000001</v>
      </c>
      <c r="B6">
        <v>146.9923</v>
      </c>
      <c r="C6">
        <v>1.202</v>
      </c>
      <c r="D6">
        <v>21.6</v>
      </c>
      <c r="H6">
        <v>12.09</v>
      </c>
      <c r="J6">
        <v>5.9740000000000002</v>
      </c>
      <c r="K6">
        <v>10.231999999999999</v>
      </c>
      <c r="L6">
        <v>0.14199999999999999</v>
      </c>
      <c r="M6">
        <v>14.018000000000001</v>
      </c>
      <c r="N6">
        <v>0.04</v>
      </c>
      <c r="O6">
        <v>18.02</v>
      </c>
      <c r="P6">
        <v>0.05</v>
      </c>
    </row>
    <row r="7" spans="1:16" x14ac:dyDescent="0.3">
      <c r="A7">
        <v>2.33</v>
      </c>
      <c r="B7">
        <v>146.99260000000001</v>
      </c>
      <c r="C7">
        <v>1.204</v>
      </c>
      <c r="D7">
        <v>21.7</v>
      </c>
      <c r="H7">
        <v>12.11</v>
      </c>
      <c r="J7">
        <v>5.9720000000000004</v>
      </c>
      <c r="K7">
        <v>10.23</v>
      </c>
      <c r="L7">
        <v>0.14199999999999999</v>
      </c>
      <c r="M7">
        <v>14.022</v>
      </c>
      <c r="N7">
        <v>3.4000000000000002E-2</v>
      </c>
      <c r="O7">
        <v>18.02</v>
      </c>
      <c r="P7">
        <v>4.8000000000000001E-2</v>
      </c>
    </row>
    <row r="8" spans="1:16" x14ac:dyDescent="0.3">
      <c r="A8">
        <v>2.34</v>
      </c>
      <c r="B8" s="3">
        <f>AVERAGE(B3:B7)</f>
        <v>146.99245999999999</v>
      </c>
      <c r="C8">
        <v>1.214</v>
      </c>
      <c r="D8">
        <v>21.7</v>
      </c>
      <c r="H8">
        <v>11.99</v>
      </c>
      <c r="J8">
        <v>5.97</v>
      </c>
      <c r="K8">
        <v>10.234</v>
      </c>
      <c r="L8">
        <v>0.14399999999999999</v>
      </c>
      <c r="M8">
        <v>14.026</v>
      </c>
      <c r="N8">
        <v>4.2000000000000003E-2</v>
      </c>
      <c r="O8">
        <v>18.015999999999998</v>
      </c>
      <c r="P8">
        <v>0.05</v>
      </c>
    </row>
    <row r="9" spans="1:16" x14ac:dyDescent="0.3">
      <c r="A9">
        <v>2.3660000000000001</v>
      </c>
      <c r="B9">
        <f>SUMSQ(B3-B8,B4-B8,B5-B8,B6-B8,B7-B8)^0.5</f>
        <v>3.0331501777213106E-4</v>
      </c>
      <c r="C9" s="3">
        <f>AVERAGE(C3:C8)</f>
        <v>1.21</v>
      </c>
      <c r="D9">
        <v>21.6</v>
      </c>
      <c r="H9">
        <v>12.11</v>
      </c>
      <c r="J9" s="3">
        <f>AVERAGE(J4:J8)</f>
        <v>5.9728000000000003</v>
      </c>
      <c r="K9" s="3">
        <f t="shared" ref="K9:P9" si="0">AVERAGE(K4:K8)</f>
        <v>10.231199999999999</v>
      </c>
      <c r="L9" s="3">
        <f t="shared" si="0"/>
        <v>0.1444</v>
      </c>
      <c r="M9" s="3">
        <f t="shared" si="0"/>
        <v>14.022399999999999</v>
      </c>
      <c r="N9" s="3">
        <f t="shared" si="0"/>
        <v>4.0400000000000005E-2</v>
      </c>
      <c r="O9" s="3">
        <f t="shared" si="0"/>
        <v>18.018799999999999</v>
      </c>
      <c r="P9" s="3">
        <f t="shared" si="0"/>
        <v>4.7199999999999999E-2</v>
      </c>
    </row>
    <row r="10" spans="1:16" x14ac:dyDescent="0.3">
      <c r="A10">
        <v>2.3639999999999999</v>
      </c>
      <c r="B10">
        <f>(B9^2+0.0001^2)^0.5</f>
        <v>3.1937438846298897E-4</v>
      </c>
      <c r="C10">
        <f>SUMSQ(C3-C9,C4-C9,C5-C9,C6-C9,C7-C9,C8-C9)^0.5</f>
        <v>2.6076809620810618E-2</v>
      </c>
      <c r="D10">
        <v>21.6</v>
      </c>
      <c r="H10">
        <v>12.03</v>
      </c>
      <c r="J10">
        <f>SUMSQ(J4-J9,J5-J9,J6-J9,J7-J9,J8-J9)^0.5</f>
        <v>4.5607017003965944E-3</v>
      </c>
      <c r="K10">
        <f t="shared" ref="K10:P10" si="1">SUMSQ(K4-K9,K5-K9,K6-K9,K7-K9,K8-K9)^0.5</f>
        <v>4.560701700396361E-3</v>
      </c>
      <c r="L10">
        <f t="shared" si="1"/>
        <v>5.2153619241621235E-3</v>
      </c>
      <c r="M10">
        <f t="shared" si="1"/>
        <v>5.9329587896756377E-3</v>
      </c>
      <c r="N10">
        <f t="shared" si="1"/>
        <v>7.6941536246685352E-3</v>
      </c>
      <c r="O10">
        <f t="shared" si="1"/>
        <v>3.5777087640004612E-3</v>
      </c>
      <c r="P10">
        <f t="shared" si="1"/>
        <v>6.6932802122726051E-3</v>
      </c>
    </row>
    <row r="11" spans="1:16" x14ac:dyDescent="0.3">
      <c r="A11">
        <v>2.3540000000000001</v>
      </c>
      <c r="C11">
        <f>(C10^2+0.0002^2)^0.5</f>
        <v>2.6077576574520898E-2</v>
      </c>
      <c r="D11">
        <v>21.6</v>
      </c>
      <c r="H11">
        <v>11.97</v>
      </c>
      <c r="J11">
        <f>(J10^2+0.0002^2)^0.5</f>
        <v>4.5650848842053735E-3</v>
      </c>
      <c r="K11">
        <f t="shared" ref="K11:P11" si="2">(K10^2+0.0002^2)^0.5</f>
        <v>4.5650848842051402E-3</v>
      </c>
      <c r="L11">
        <f t="shared" si="2"/>
        <v>5.2191953402799598E-3</v>
      </c>
      <c r="M11">
        <f t="shared" si="2"/>
        <v>5.9363288318614402E-3</v>
      </c>
      <c r="N11">
        <f t="shared" si="2"/>
        <v>7.6967525619575407E-3</v>
      </c>
      <c r="O11">
        <f t="shared" si="2"/>
        <v>3.5832945734345801E-3</v>
      </c>
      <c r="P11">
        <f t="shared" si="2"/>
        <v>6.6962676171132838E-3</v>
      </c>
    </row>
    <row r="12" spans="1:16" x14ac:dyDescent="0.3">
      <c r="A12">
        <v>2.3479999999999999</v>
      </c>
      <c r="D12">
        <v>21.6</v>
      </c>
      <c r="H12">
        <v>12.13</v>
      </c>
      <c r="I12" t="s">
        <v>59</v>
      </c>
      <c r="J12" s="3">
        <f>J9/2</f>
        <v>2.9864000000000002</v>
      </c>
      <c r="K12" s="3">
        <f>(K9-2*L9)/2</f>
        <v>4.9711999999999996</v>
      </c>
      <c r="M12" s="3">
        <f>(M9-2*N9)/2</f>
        <v>6.9707999999999997</v>
      </c>
      <c r="O12" s="3">
        <f>(O9-2*P9)/2</f>
        <v>8.9621999999999993</v>
      </c>
    </row>
    <row r="13" spans="1:16" x14ac:dyDescent="0.3">
      <c r="A13" s="3">
        <f>AVERAGE(A3:A12)</f>
        <v>2.3456000000000001</v>
      </c>
      <c r="D13" s="3">
        <f>AVERAGE(D3:D12)</f>
        <v>21.63</v>
      </c>
      <c r="H13">
        <v>12.11</v>
      </c>
      <c r="I13" t="s">
        <v>60</v>
      </c>
      <c r="J13">
        <f>J11/2</f>
        <v>2.2825424421026867E-3</v>
      </c>
      <c r="K13">
        <f>SUMSQ(K11,2*L11)^0.5/2</f>
        <v>5.6964901474504115E-3</v>
      </c>
      <c r="M13">
        <f>SUMSQ(M11,2*N11)^0.5/2</f>
        <v>8.2492423894559748E-3</v>
      </c>
      <c r="O13">
        <f>SUMSQ(O11,2*P11)^0.5/2</f>
        <v>6.9318107302494521E-3</v>
      </c>
    </row>
    <row r="14" spans="1:16" x14ac:dyDescent="0.3">
      <c r="A14">
        <f>SUMSQ(A3-A13,A4-A13,A5-A13,A6-A13,A7-A13,A8-A13,A9-A13,A10-A13,A11-A13,A12-A13)^0.5</f>
        <v>5.0183662680199005E-2</v>
      </c>
      <c r="D14">
        <f>SUMSQ(D3-D13,D4-D13,D5-D13,D6-D13,D7-D13,D8-D13,D9-D13,D10-D13,D11-D13,D12-D13)^0.5</f>
        <v>0.1449137674618913</v>
      </c>
      <c r="H14">
        <v>12.17</v>
      </c>
    </row>
    <row r="15" spans="1:16" x14ac:dyDescent="0.3">
      <c r="A15">
        <f>(A14^2+0.0002^2)^0.5</f>
        <v>5.0184061214692446E-2</v>
      </c>
      <c r="D15">
        <f>(D14^2+0.1^2)^0.5</f>
        <v>0.17606816861658756</v>
      </c>
      <c r="H15">
        <v>12.05</v>
      </c>
    </row>
    <row r="16" spans="1:16" x14ac:dyDescent="0.3">
      <c r="H16">
        <v>12.05</v>
      </c>
      <c r="J16" t="s">
        <v>28</v>
      </c>
      <c r="M16" t="s">
        <v>61</v>
      </c>
      <c r="N16" t="s">
        <v>62</v>
      </c>
      <c r="O16" t="s">
        <v>63</v>
      </c>
      <c r="P16" t="s">
        <v>64</v>
      </c>
    </row>
    <row r="17" spans="1:16" x14ac:dyDescent="0.3">
      <c r="C17" t="s">
        <v>27</v>
      </c>
      <c r="D17" t="s">
        <v>29</v>
      </c>
      <c r="H17">
        <v>12.16</v>
      </c>
      <c r="J17">
        <f>B8/1000*C18/100*(D18*(H18/5)^2/4/3.14159265358979^2-C18/100)</f>
        <v>4.1932216741671108E-2</v>
      </c>
      <c r="K17">
        <f>SUMSQ(M17*B10/1000,N17*D19,O17*I20,P17*C19/100)^0.5</f>
        <v>2.4904354286807246E-3</v>
      </c>
      <c r="M17">
        <f>C18/100*(D18*I18^2/4/3.1415926536^2-C18/100)</f>
        <v>0.28526780721505168</v>
      </c>
      <c r="N17">
        <f>B8/1000*C18/100*I18^2/4/3.1415926536^2</f>
        <v>5.0935070139659609E-3</v>
      </c>
      <c r="O17">
        <f>B8/1000*C18/100*I18*D18/2/3.1415926536^2</f>
        <v>4.1354284861426414E-2</v>
      </c>
      <c r="P17">
        <f>B8/1000*(D18*I18^2/4/3.1415926536^2-2*C18/100)</f>
        <v>0.14473009379148929</v>
      </c>
    </row>
    <row r="18" spans="1:16" x14ac:dyDescent="0.3">
      <c r="C18" s="3">
        <f>D13+C9/2+A13/2</f>
        <v>23.407799999999998</v>
      </c>
      <c r="D18">
        <v>9.8137299999999996</v>
      </c>
      <c r="H18" s="3">
        <f>AVERAGE(H3:H17)</f>
        <v>12.087333333333333</v>
      </c>
      <c r="I18">
        <f>H18/5</f>
        <v>2.4174666666666669</v>
      </c>
    </row>
    <row r="19" spans="1:16" x14ac:dyDescent="0.3">
      <c r="C19">
        <f>SUMSQ(A15/2,C11/2,D15)^0.5</f>
        <v>0.17832447953099179</v>
      </c>
      <c r="D19">
        <v>1.0000000000000001E-5</v>
      </c>
      <c r="H19">
        <f>SUMSQ(H3-H18,H4-H18,H5-H18,H6-H18,H7-H18,H8-H18,H9-H18,H10-H18,H11-H18,H12-H18,H13-H18,H14-H18,H15-H18,H16-H18,H17-H18)^0.5</f>
        <v>0.22292001555116853</v>
      </c>
    </row>
    <row r="20" spans="1:16" x14ac:dyDescent="0.3">
      <c r="A20" t="s">
        <v>30</v>
      </c>
      <c r="H20">
        <f>(H19^2+0.2^2)^0.5</f>
        <v>0.29948845275458152</v>
      </c>
      <c r="I20">
        <f>H20/5</f>
        <v>5.9897690550916302E-2</v>
      </c>
    </row>
    <row r="21" spans="1:16" x14ac:dyDescent="0.3">
      <c r="A21" t="s">
        <v>53</v>
      </c>
      <c r="D21" t="s">
        <v>51</v>
      </c>
      <c r="E21" t="s">
        <v>52</v>
      </c>
      <c r="F21" s="7" t="s">
        <v>58</v>
      </c>
      <c r="G21" t="s">
        <v>54</v>
      </c>
      <c r="H21" t="s">
        <v>55</v>
      </c>
      <c r="I21" s="7" t="s">
        <v>56</v>
      </c>
      <c r="J21" s="7" t="s">
        <v>57</v>
      </c>
      <c r="L21" t="s">
        <v>7</v>
      </c>
    </row>
    <row r="22" spans="1:16" x14ac:dyDescent="0.3">
      <c r="A22" s="9">
        <v>6.8650000000000003E-2</v>
      </c>
      <c r="B22" s="6">
        <v>2.9582799999999999E-4</v>
      </c>
      <c r="C22" s="5" t="s">
        <v>31</v>
      </c>
      <c r="D22" s="5">
        <f>L28</f>
        <v>11.944520000000001</v>
      </c>
      <c r="E22" s="5">
        <f>J12</f>
        <v>2.9864000000000002</v>
      </c>
      <c r="F22" s="5">
        <f>J13</f>
        <v>2.2825424421026867E-3</v>
      </c>
      <c r="G22" s="5">
        <f>D22/1000*E22/100*E22/100*($D$18/(E22/100*A22)-1)</f>
        <v>5.0982309563917375E-2</v>
      </c>
      <c r="H22" s="5">
        <f>SUMSQ(D22/1000*($D$18/A22-2*E22/100)*F22/100,E22^2/10000*($D$18/E22*100/A22-1)*L30,D22/1000*E22/100/A22*$D$19,D22/1000*$D$18*E22/100/A22^2*B22)^0.5</f>
        <v>2.2615079026431597E-3</v>
      </c>
      <c r="I22" s="5">
        <f>1/A22</f>
        <v>14.566642388929351</v>
      </c>
      <c r="J22" s="5">
        <f>B22/A22^2</f>
        <v>6.277087668801444E-2</v>
      </c>
      <c r="L22" t="s">
        <v>8</v>
      </c>
      <c r="M22" t="s">
        <v>9</v>
      </c>
      <c r="N22" t="s">
        <v>10</v>
      </c>
      <c r="O22" t="s">
        <v>11</v>
      </c>
      <c r="P22" t="s">
        <v>12</v>
      </c>
    </row>
    <row r="23" spans="1:16" x14ac:dyDescent="0.3">
      <c r="A23" s="10">
        <v>8.7279999999999996E-2</v>
      </c>
      <c r="B23" s="4">
        <v>1.9542E-4</v>
      </c>
      <c r="C23" t="s">
        <v>32</v>
      </c>
      <c r="D23">
        <f>M28</f>
        <v>16.8855</v>
      </c>
      <c r="E23">
        <f>J12</f>
        <v>2.9864000000000002</v>
      </c>
      <c r="F23">
        <f>J13</f>
        <v>2.2825424421026867E-3</v>
      </c>
      <c r="G23">
        <f t="shared" ref="G23:G41" si="3">D23/1000*E23/100*E23/100*($D$18/(E23/100*A23)-1)</f>
        <v>5.6684706942861221E-2</v>
      </c>
      <c r="H23">
        <f>SUMSQ(D23/1000*($D$18/A23-2*E23/100)*F23/100,E23^2/10000*($D$18/E23*100/A23-1)*M30,D23/1000*E23/100/A23*$D$19,D23/1000*$D$18*E23/100/A23^2*B23)^0.5</f>
        <v>2.2054183041050604E-3</v>
      </c>
      <c r="I23">
        <f t="shared" ref="I23:I41" si="4">1/A23</f>
        <v>11.457378551787352</v>
      </c>
      <c r="J23">
        <f t="shared" ref="J23:J41" si="5">B23/A23^2</f>
        <v>2.5653081079173742E-2</v>
      </c>
      <c r="L23">
        <v>11.9445</v>
      </c>
      <c r="M23">
        <v>16.8857</v>
      </c>
      <c r="N23">
        <v>24.678000000000001</v>
      </c>
      <c r="O23">
        <v>34.348100000000002</v>
      </c>
      <c r="P23">
        <v>49.070300000000003</v>
      </c>
    </row>
    <row r="24" spans="1:16" x14ac:dyDescent="0.3">
      <c r="A24" s="10">
        <v>0.15969</v>
      </c>
      <c r="B24" s="4">
        <v>3.1797900000000003E-4</v>
      </c>
      <c r="C24" t="s">
        <v>33</v>
      </c>
      <c r="D24">
        <f>N28</f>
        <v>24.678319999999999</v>
      </c>
      <c r="E24">
        <f>J12</f>
        <v>2.9864000000000002</v>
      </c>
      <c r="F24">
        <f>J13</f>
        <v>2.2825424421026867E-3</v>
      </c>
      <c r="G24">
        <f t="shared" si="3"/>
        <v>4.5269829204381558E-2</v>
      </c>
      <c r="H24">
        <f>SUMSQ(D24/1000*($D$18/A24-2*E24/100)*F24/100,E24^2/10000*($D$18/E24*100/A24-1)*N30,D24/1000*E24/100/A24*$D$19,D24/1000*$D$18*E24/100/A24^2*B24)^0.5</f>
        <v>1.2451926655533284E-3</v>
      </c>
      <c r="I24">
        <f t="shared" si="4"/>
        <v>6.262132882459766</v>
      </c>
      <c r="J24">
        <f t="shared" si="5"/>
        <v>1.2469326519078677E-2</v>
      </c>
      <c r="L24">
        <v>11.944599999999999</v>
      </c>
      <c r="M24">
        <v>16.8857</v>
      </c>
      <c r="N24">
        <v>24.678599999999999</v>
      </c>
      <c r="O24">
        <v>34.348100000000002</v>
      </c>
      <c r="P24">
        <v>49.0702</v>
      </c>
    </row>
    <row r="25" spans="1:16" x14ac:dyDescent="0.3">
      <c r="A25" s="10">
        <v>0.20510999999999999</v>
      </c>
      <c r="B25" s="4">
        <v>3.33133E-4</v>
      </c>
      <c r="C25" t="s">
        <v>34</v>
      </c>
      <c r="D25">
        <f>O28</f>
        <v>34.348020000000005</v>
      </c>
      <c r="E25">
        <f>J12</f>
        <v>2.9864000000000002</v>
      </c>
      <c r="F25">
        <f>J13</f>
        <v>2.2825424421026867E-3</v>
      </c>
      <c r="G25">
        <f t="shared" si="3"/>
        <v>4.9048507624003181E-2</v>
      </c>
      <c r="H25">
        <f>SUMSQ(D25/1000*($D$18/A25-2*E25/100)*F25/100,E25^2/10000*($D$18/E25*100/A25-1)*O30,D25/1000*E25/100/A25*$D$19,D25/1000*$D$18*E25/100/A25^2*B25)^0.5</f>
        <v>7.8448904390249717E-4</v>
      </c>
      <c r="I25">
        <f t="shared" si="4"/>
        <v>4.8754326946516509</v>
      </c>
      <c r="J25">
        <f t="shared" si="5"/>
        <v>7.9185194279527502E-3</v>
      </c>
      <c r="L25">
        <v>11.944599999999999</v>
      </c>
      <c r="M25">
        <v>16.885400000000001</v>
      </c>
      <c r="N25">
        <v>24.6784</v>
      </c>
      <c r="O25">
        <v>34.347900000000003</v>
      </c>
      <c r="P25">
        <v>49.0702</v>
      </c>
    </row>
    <row r="26" spans="1:16" x14ac:dyDescent="0.3">
      <c r="A26" s="10">
        <v>0.34048</v>
      </c>
      <c r="B26" s="4">
        <v>7.6372199999999999E-4</v>
      </c>
      <c r="C26" t="s">
        <v>35</v>
      </c>
      <c r="D26">
        <f>P28</f>
        <v>49.0702</v>
      </c>
      <c r="E26">
        <f>J12</f>
        <v>2.9864000000000002</v>
      </c>
      <c r="F26">
        <f>J13</f>
        <v>2.2825424421026867E-3</v>
      </c>
      <c r="G26">
        <f t="shared" si="3"/>
        <v>4.2194718541562239E-2</v>
      </c>
      <c r="H26">
        <f>SUMSQ(D26/1000*($D$18/A26-2*E26/100)*F26/100,E26^2/10000*($D$18/E26*100/A26-1)*P30,D26/1000*E26/100/A26*$D$19,D26/1000*$D$18*E26/100/A26^2*B26)^0.5</f>
        <v>4.5787863127738382E-4</v>
      </c>
      <c r="I26">
        <f t="shared" si="4"/>
        <v>2.9370300751879701</v>
      </c>
      <c r="J26">
        <f t="shared" si="5"/>
        <v>6.5879772177006189E-3</v>
      </c>
      <c r="L26">
        <v>11.9444</v>
      </c>
      <c r="M26">
        <v>16.8855</v>
      </c>
      <c r="N26">
        <v>24.6782</v>
      </c>
      <c r="O26">
        <v>34.348100000000002</v>
      </c>
      <c r="P26">
        <v>49.0702</v>
      </c>
    </row>
    <row r="27" spans="1:16" x14ac:dyDescent="0.3">
      <c r="A27" s="9">
        <v>0.11677</v>
      </c>
      <c r="B27" s="6">
        <v>2.4852199999999999E-4</v>
      </c>
      <c r="C27" s="5" t="s">
        <v>36</v>
      </c>
      <c r="D27" s="5">
        <f>L28</f>
        <v>11.944520000000001</v>
      </c>
      <c r="E27" s="5">
        <f>K12</f>
        <v>4.9711999999999996</v>
      </c>
      <c r="F27" s="5">
        <f>K13</f>
        <v>5.6964901474504115E-3</v>
      </c>
      <c r="G27" s="5">
        <f t="shared" si="3"/>
        <v>4.9874183588928832E-2</v>
      </c>
      <c r="H27" s="5">
        <f>SUMSQ(D27/1000*($D$18/A27-2*E27/100)*F27/100,E27^2/10000*($D$18/E27*100/A27-1)*L30,D27/1000*E27/100/A27*$D$19,D27/1000*$D$18*E27/100/A27^2*B27)^0.5</f>
        <v>2.2048551862465203E-3</v>
      </c>
      <c r="I27" s="5">
        <f t="shared" si="4"/>
        <v>8.5638434529416809</v>
      </c>
      <c r="J27" s="5">
        <f t="shared" si="5"/>
        <v>1.8226458016716383E-2</v>
      </c>
      <c r="L27">
        <v>11.9445</v>
      </c>
      <c r="M27">
        <v>16.885200000000001</v>
      </c>
      <c r="N27">
        <v>24.6784</v>
      </c>
      <c r="O27">
        <v>34.347900000000003</v>
      </c>
      <c r="P27">
        <v>49.070099999999996</v>
      </c>
    </row>
    <row r="28" spans="1:16" x14ac:dyDescent="0.3">
      <c r="A28" s="10">
        <v>0.19023000000000001</v>
      </c>
      <c r="B28" s="4">
        <v>4.36518E-4</v>
      </c>
      <c r="C28" t="s">
        <v>37</v>
      </c>
      <c r="D28">
        <f>M28</f>
        <v>16.8855</v>
      </c>
      <c r="E28">
        <f>K12</f>
        <v>4.9711999999999996</v>
      </c>
      <c r="F28">
        <f>K13</f>
        <v>5.6964901474504115E-3</v>
      </c>
      <c r="G28">
        <f t="shared" si="3"/>
        <v>4.3262494940055352E-2</v>
      </c>
      <c r="H28">
        <f>SUMSQ(D28/1000*($D$18/A28-2*E28/100)*F28/100,E28^2/10000*($D$18/E28*100/A28-1)*M30,D28/1000*E28/100/A28*$D$19,D28/1000*$D$18*E28/100/A28^2*B28)^0.5</f>
        <v>1.6837519803607221E-3</v>
      </c>
      <c r="I28" s="8">
        <f t="shared" si="4"/>
        <v>5.2567944067707506</v>
      </c>
      <c r="J28">
        <f t="shared" si="5"/>
        <v>1.2062689275375883E-2</v>
      </c>
      <c r="L28" s="3">
        <f>AVERAGE(L23:L27)</f>
        <v>11.944520000000001</v>
      </c>
      <c r="M28" s="3">
        <f t="shared" ref="M28:P28" si="6">AVERAGE(M23:M27)</f>
        <v>16.8855</v>
      </c>
      <c r="N28" s="3">
        <f t="shared" si="6"/>
        <v>24.678319999999999</v>
      </c>
      <c r="O28" s="3">
        <f t="shared" si="6"/>
        <v>34.348020000000005</v>
      </c>
      <c r="P28" s="3">
        <f t="shared" si="6"/>
        <v>49.0702</v>
      </c>
    </row>
    <row r="29" spans="1:16" x14ac:dyDescent="0.3">
      <c r="A29" s="10">
        <v>0.28824</v>
      </c>
      <c r="B29" s="4">
        <v>6.4586299999999999E-4</v>
      </c>
      <c r="C29" t="s">
        <v>38</v>
      </c>
      <c r="D29">
        <f>N28</f>
        <v>24.678319999999999</v>
      </c>
      <c r="E29">
        <f>K12</f>
        <v>4.9711999999999996</v>
      </c>
      <c r="F29">
        <f>K13</f>
        <v>5.6964901474504115E-3</v>
      </c>
      <c r="G29">
        <f t="shared" si="3"/>
        <v>4.1708263486504527E-2</v>
      </c>
      <c r="H29">
        <f>SUMSQ(D29/1000*($D$18/A29-2*E29/100)*F29/100,E29^2/10000*($D$18/E29*100/A29-1)*N30,D29/1000*E29/100/A29*$D$19,D29/1000*$D$18*E29/100/A29^2*B29)^0.5</f>
        <v>1.1485862279294286E-3</v>
      </c>
      <c r="I29">
        <f t="shared" si="4"/>
        <v>3.469331112961421</v>
      </c>
      <c r="J29">
        <f t="shared" si="5"/>
        <v>7.7737739405030612E-3</v>
      </c>
      <c r="L29">
        <f>SUMSQ(L23-L28,L24-L28,L25-L28,L26-L28,L27-L28)^0.5</f>
        <v>1.6733200530642513E-4</v>
      </c>
      <c r="M29">
        <f t="shared" ref="M29:P29" si="7">SUMSQ(M23-M28,M24-M28,M25-M28,M26-M28,M27-M28)^0.5</f>
        <v>4.242640687109397E-4</v>
      </c>
      <c r="N29">
        <f t="shared" si="7"/>
        <v>4.560701700385923E-4</v>
      </c>
      <c r="O29">
        <f t="shared" si="7"/>
        <v>2.1908902300155585E-4</v>
      </c>
      <c r="P29">
        <f t="shared" si="7"/>
        <v>1.4142135624200421E-4</v>
      </c>
    </row>
    <row r="30" spans="1:16" x14ac:dyDescent="0.3">
      <c r="A30" s="10">
        <v>0.39416000000000001</v>
      </c>
      <c r="B30" s="4">
        <v>6.9796500000000004E-4</v>
      </c>
      <c r="C30" t="s">
        <v>39</v>
      </c>
      <c r="D30">
        <f>O28</f>
        <v>34.348020000000005</v>
      </c>
      <c r="E30">
        <f>K12</f>
        <v>4.9711999999999996</v>
      </c>
      <c r="F30">
        <f>K13</f>
        <v>5.6964901474504115E-3</v>
      </c>
      <c r="G30">
        <f t="shared" si="3"/>
        <v>4.2428385158414565E-2</v>
      </c>
      <c r="H30">
        <f>SUMSQ(D30/1000*($D$18/A30-2*E30/100)*F30/100,E30^2/10000*($D$18/E30*100/A30-1)*O30,D30/1000*E30/100/A30*$D$19,D30/1000*$D$18*E30/100/A30^2*B30)^0.5</f>
        <v>6.8023709193868181E-4</v>
      </c>
      <c r="I30">
        <f t="shared" si="4"/>
        <v>2.5370407956159933</v>
      </c>
      <c r="J30">
        <f t="shared" si="5"/>
        <v>4.4925047668766928E-3</v>
      </c>
      <c r="L30">
        <f>(L29^2+0.0005^2)^0.5</f>
        <v>5.2725705305843888E-4</v>
      </c>
      <c r="M30">
        <f>(M29^2+0.0005^2)^0.5</f>
        <v>6.5574385242956029E-4</v>
      </c>
      <c r="N30">
        <f>(N29^2+0.0005^2)^0.5</f>
        <v>6.7675697262682894E-4</v>
      </c>
      <c r="O30">
        <f>(O29^2+0.0005^2)^0.5</f>
        <v>5.458937625580423E-4</v>
      </c>
      <c r="P30">
        <f>(P29^2+0.0005^2)^0.5</f>
        <v>5.1961524227194086E-4</v>
      </c>
    </row>
    <row r="31" spans="1:16" x14ac:dyDescent="0.3">
      <c r="A31" s="10">
        <v>0.57611999999999997</v>
      </c>
      <c r="B31">
        <v>1.32E-3</v>
      </c>
      <c r="C31" t="s">
        <v>40</v>
      </c>
      <c r="D31">
        <f>P28</f>
        <v>49.0702</v>
      </c>
      <c r="E31">
        <f>K12</f>
        <v>4.9711999999999996</v>
      </c>
      <c r="F31">
        <f>K13</f>
        <v>5.6964901474504115E-3</v>
      </c>
      <c r="G31">
        <f t="shared" si="3"/>
        <v>4.1431526341524333E-2</v>
      </c>
      <c r="H31">
        <f>SUMSQ(D31/1000*($D$18/A31-2*E31/100)*F31/100,E31^2/10000*($D$18/E31*100/A31-1)*P30,D31/1000*E31/100/A31*$D$19,D31/1000*$D$18*E31/100/A31^2*B31)^0.5</f>
        <v>4.5142752886645357E-4</v>
      </c>
      <c r="I31">
        <f t="shared" si="4"/>
        <v>1.7357494966326461</v>
      </c>
      <c r="J31">
        <f t="shared" si="5"/>
        <v>3.9769307358798398E-3</v>
      </c>
    </row>
    <row r="32" spans="1:16" x14ac:dyDescent="0.3">
      <c r="A32" s="9">
        <v>0.18540999999999999</v>
      </c>
      <c r="B32" s="6">
        <v>3.9791700000000002E-4</v>
      </c>
      <c r="C32" s="5" t="s">
        <v>41</v>
      </c>
      <c r="D32" s="5">
        <f>L28</f>
        <v>11.944520000000001</v>
      </c>
      <c r="E32" s="5">
        <f>M12</f>
        <v>6.9707999999999997</v>
      </c>
      <c r="F32" s="5">
        <f>M13</f>
        <v>8.2492423894559748E-3</v>
      </c>
      <c r="G32" s="5">
        <f t="shared" si="3"/>
        <v>4.4012895279189786E-2</v>
      </c>
      <c r="H32" s="5">
        <f>SUMSQ(D32/1000*($D$18/A32-2*E32/100)*F32/100,E32^2/10000*($D$18/E32*100/A32-1)*L30,D32/1000*E32/100/A32*$D$19,D32/1000*$D$18*E32/100/A32^2*B32)^0.5</f>
        <v>1.9458210859822635E-3</v>
      </c>
      <c r="I32" s="5">
        <f t="shared" si="4"/>
        <v>5.3934523488484984</v>
      </c>
      <c r="J32" s="5">
        <f t="shared" si="5"/>
        <v>1.1575138224997292E-2</v>
      </c>
      <c r="M32" t="s">
        <v>17</v>
      </c>
      <c r="N32" t="s">
        <v>16</v>
      </c>
    </row>
    <row r="33" spans="1:14" x14ac:dyDescent="0.3">
      <c r="A33" s="10">
        <v>0.26179000000000002</v>
      </c>
      <c r="B33" s="4">
        <v>5.8684199999999996E-4</v>
      </c>
      <c r="C33" t="s">
        <v>42</v>
      </c>
      <c r="D33">
        <f>M28</f>
        <v>16.8855</v>
      </c>
      <c r="E33">
        <f>M12</f>
        <v>6.9707999999999997</v>
      </c>
      <c r="F33">
        <f>M13</f>
        <v>8.2492423894559748E-3</v>
      </c>
      <c r="G33">
        <f t="shared" si="3"/>
        <v>4.4042226640264644E-2</v>
      </c>
      <c r="H33">
        <f>SUMSQ(D33/1000*($D$18/A33-2*E33/100)*F33/100,E33^2/10000*($D$18/E33*100/A33-1)*M30,D33/1000*E33/100/A33*$D$19,D33/1000*$D$18*E33/100/A33^2*B33)^0.5</f>
        <v>1.7140153362314107E-3</v>
      </c>
      <c r="I33">
        <f t="shared" si="4"/>
        <v>3.8198556094579623</v>
      </c>
      <c r="J33">
        <f t="shared" si="5"/>
        <v>8.5627858419554947E-3</v>
      </c>
      <c r="L33" t="s">
        <v>65</v>
      </c>
      <c r="M33">
        <v>3.8960000000000002E-2</v>
      </c>
      <c r="N33" s="4">
        <v>5.6459900000000005E-4</v>
      </c>
    </row>
    <row r="34" spans="1:14" x14ac:dyDescent="0.3">
      <c r="A34" s="10">
        <v>0.37658999999999998</v>
      </c>
      <c r="B34" s="4">
        <v>5.2960699999999997E-4</v>
      </c>
      <c r="C34" t="s">
        <v>43</v>
      </c>
      <c r="D34">
        <f>N28</f>
        <v>24.678319999999999</v>
      </c>
      <c r="E34">
        <f>M12</f>
        <v>6.9707999999999997</v>
      </c>
      <c r="F34">
        <f>M13</f>
        <v>8.2492423894559748E-3</v>
      </c>
      <c r="G34">
        <f t="shared" si="3"/>
        <v>4.4709545877537608E-2</v>
      </c>
      <c r="H34">
        <f>SUMSQ(D34/1000*($D$18/A34-2*E34/100)*F34/100,E34^2/10000*($D$18/E34*100/A34-1)*N30,D34/1000*E34/100/A34*$D$19,D34/1000*$D$18*E34/100/A34^2*B34)^0.5</f>
        <v>1.2288293164917888E-3</v>
      </c>
      <c r="I34" s="8">
        <f t="shared" si="4"/>
        <v>2.6554077378581482</v>
      </c>
      <c r="J34">
        <f t="shared" si="5"/>
        <v>3.7343597169968408E-3</v>
      </c>
      <c r="L34" t="s">
        <v>66</v>
      </c>
      <c r="M34">
        <v>1.3500000000000001E-3</v>
      </c>
      <c r="N34" s="4">
        <v>2.1846800000000001E-4</v>
      </c>
    </row>
    <row r="35" spans="1:14" x14ac:dyDescent="0.3">
      <c r="A35" s="10">
        <v>0.55140999999999996</v>
      </c>
      <c r="B35">
        <v>1.07E-3</v>
      </c>
      <c r="C35" t="s">
        <v>44</v>
      </c>
      <c r="D35">
        <f>O28</f>
        <v>34.348020000000005</v>
      </c>
      <c r="E35">
        <f>M12</f>
        <v>6.9707999999999997</v>
      </c>
      <c r="F35">
        <f>M13</f>
        <v>8.2492423894559748E-3</v>
      </c>
      <c r="G35">
        <f t="shared" si="3"/>
        <v>4.2446261443851815E-2</v>
      </c>
      <c r="H35">
        <f>SUMSQ(D35/1000*($D$18/A35-2*E35/100)*F35/100,E35^2/10000*($D$18/E35*100/A35-1)*O30,D35/1000*E35/100/A35*$D$19,D35/1000*$D$18*E35/100/A35^2*B35)^0.5</f>
        <v>6.8148745843507597E-4</v>
      </c>
      <c r="I35" s="8">
        <f t="shared" si="4"/>
        <v>1.8135325801128019</v>
      </c>
      <c r="J35">
        <f t="shared" si="5"/>
        <v>3.5191234484697373E-3</v>
      </c>
    </row>
    <row r="36" spans="1:14" x14ac:dyDescent="0.3">
      <c r="A36" s="10">
        <v>0.83745000000000003</v>
      </c>
      <c r="B36">
        <v>2.5699999999999998E-3</v>
      </c>
      <c r="C36" t="s">
        <v>45</v>
      </c>
      <c r="D36">
        <f>P28</f>
        <v>49.0702</v>
      </c>
      <c r="E36">
        <f>M12</f>
        <v>6.9707999999999997</v>
      </c>
      <c r="F36">
        <f>M13</f>
        <v>8.2492423894559748E-3</v>
      </c>
      <c r="G36">
        <f t="shared" si="3"/>
        <v>3.984598382694942E-2</v>
      </c>
      <c r="H36">
        <f>SUMSQ(D36/1000*($D$18/A36-2*E36/100)*F36/100,E36^2/10000*($D$18/E36*100/A36-1)*P30,D36/1000*E36/100/A36*$D$19,D36/1000*$D$18*E36/100/A36^2*B36)^0.5</f>
        <v>4.4199628405424015E-4</v>
      </c>
      <c r="I36">
        <f t="shared" si="4"/>
        <v>1.1941011403665891</v>
      </c>
      <c r="J36">
        <f t="shared" si="5"/>
        <v>3.6645052609017058E-3</v>
      </c>
    </row>
    <row r="37" spans="1:14" x14ac:dyDescent="0.3">
      <c r="A37" s="9">
        <v>0.24238999999999999</v>
      </c>
      <c r="B37" s="6">
        <v>5.4607400000000002E-4</v>
      </c>
      <c r="C37" s="5" t="s">
        <v>46</v>
      </c>
      <c r="D37" s="5">
        <f>L28</f>
        <v>11.944520000000001</v>
      </c>
      <c r="E37" s="5">
        <f>O12</f>
        <v>8.9621999999999993</v>
      </c>
      <c r="F37" s="5">
        <f>O13</f>
        <v>6.9318107302494521E-3</v>
      </c>
      <c r="G37" s="5">
        <f t="shared" si="3"/>
        <v>4.3245440856503607E-2</v>
      </c>
      <c r="H37" s="5">
        <f>SUMSQ(D37/1000*($D$18/A37-2*E37/100)*F37/100,E37^2/10000*($D$18/E37*100/A37-1)*L30,D37/1000*E37/100/A37*$D$19,D37/1000*$D$18*E37/100/A37^2*B37)^0.5</f>
        <v>1.9117345900269706E-3</v>
      </c>
      <c r="I37" s="5">
        <f t="shared" si="4"/>
        <v>4.125582738561822</v>
      </c>
      <c r="J37" s="5">
        <f t="shared" si="5"/>
        <v>9.2944158933017385E-3</v>
      </c>
    </row>
    <row r="38" spans="1:14" x14ac:dyDescent="0.3">
      <c r="A38" s="10">
        <v>0.33951999999999999</v>
      </c>
      <c r="B38" s="4">
        <v>5.7260600000000003E-4</v>
      </c>
      <c r="C38" t="s">
        <v>47</v>
      </c>
      <c r="D38">
        <f>M28</f>
        <v>16.8855</v>
      </c>
      <c r="E38">
        <f>O12</f>
        <v>8.9621999999999993</v>
      </c>
      <c r="F38">
        <f>O13</f>
        <v>6.9318107302494521E-3</v>
      </c>
      <c r="G38">
        <f t="shared" si="3"/>
        <v>4.3606239299684976E-2</v>
      </c>
      <c r="H38">
        <f>SUMSQ(D38/1000*($D$18/A38-2*E38/100)*F38/100,E38^2/10000*($D$18/E38*100/A38-1)*M30,D38/1000*E38/100/A38*$D$19,D38/1000*$D$18*E38/100/A38^2*B38)^0.5</f>
        <v>1.6953761009334124E-3</v>
      </c>
      <c r="I38">
        <f t="shared" si="4"/>
        <v>2.9453345900094252</v>
      </c>
      <c r="J38">
        <f t="shared" si="5"/>
        <v>4.9673546720279725E-3</v>
      </c>
    </row>
    <row r="39" spans="1:14" x14ac:dyDescent="0.3">
      <c r="A39" s="10">
        <v>0.53239000000000003</v>
      </c>
      <c r="B39">
        <v>1.32E-3</v>
      </c>
      <c r="C39" t="s">
        <v>48</v>
      </c>
      <c r="D39">
        <f>N28</f>
        <v>24.678319999999999</v>
      </c>
      <c r="E39">
        <f>O12</f>
        <v>8.9621999999999993</v>
      </c>
      <c r="F39">
        <f>O13</f>
        <v>6.9318107302494521E-3</v>
      </c>
      <c r="G39">
        <f t="shared" si="3"/>
        <v>4.0571192326474756E-2</v>
      </c>
      <c r="H39">
        <f>SUMSQ(D39/1000*($D$18/A39-2*E39/100)*F39/100,E39^2/10000*($D$18/E39*100/A39-1)*N30,D39/1000*E39/100/A39*$D$19,D39/1000*$D$18*E39/100/A39^2*B39)^0.5</f>
        <v>1.1176081877079431E-3</v>
      </c>
      <c r="I39">
        <f t="shared" si="4"/>
        <v>1.8783222825372377</v>
      </c>
      <c r="J39">
        <f t="shared" si="5"/>
        <v>4.6570848681401853E-3</v>
      </c>
    </row>
    <row r="40" spans="1:14" x14ac:dyDescent="0.3">
      <c r="A40" s="10">
        <v>0.71367999999999998</v>
      </c>
      <c r="B40">
        <v>1.48E-3</v>
      </c>
      <c r="C40" t="s">
        <v>49</v>
      </c>
      <c r="D40">
        <f>O28</f>
        <v>34.348020000000005</v>
      </c>
      <c r="E40">
        <f>O12</f>
        <v>8.9621999999999993</v>
      </c>
      <c r="F40">
        <f>O13</f>
        <v>6.9318107302494521E-3</v>
      </c>
      <c r="G40">
        <f t="shared" si="3"/>
        <v>4.2053981484237529E-2</v>
      </c>
      <c r="H40">
        <f>SUMSQ(D40/1000*($D$18/A40-2*E40/100)*F40/100,E40^2/10000*($D$18/E40*100/A40-1)*O30,D40/1000*E40/100/A40*$D$19,D40/1000*$D$18*E40/100/A40^2*B40)^0.5</f>
        <v>6.7487870669464037E-4</v>
      </c>
      <c r="I40">
        <f t="shared" si="4"/>
        <v>1.4011882076000448</v>
      </c>
      <c r="J40">
        <f t="shared" si="5"/>
        <v>2.9057260218137908E-3</v>
      </c>
    </row>
    <row r="41" spans="1:14" x14ac:dyDescent="0.3">
      <c r="A41" s="10">
        <v>1.0617099999999999</v>
      </c>
      <c r="B41">
        <v>2.66E-3</v>
      </c>
      <c r="C41" t="s">
        <v>50</v>
      </c>
      <c r="D41">
        <f>P28</f>
        <v>49.0702</v>
      </c>
      <c r="E41">
        <f>O12</f>
        <v>8.9621999999999993</v>
      </c>
      <c r="F41">
        <f>O13</f>
        <v>6.9318107302494521E-3</v>
      </c>
      <c r="G41">
        <f t="shared" si="3"/>
        <v>4.0255873113318234E-2</v>
      </c>
      <c r="H41">
        <f>SUMSQ(D41/1000*($D$18/A41-2*E41/100)*F41/100,E41^2/10000*($D$18/E41*100/A41-1)*P30,D41/1000*E41/100/A41*$D$19,D41/1000*$D$18*E41/100/A41^2*B41)^0.5</f>
        <v>4.3935868693410166E-4</v>
      </c>
      <c r="I41">
        <f t="shared" si="4"/>
        <v>0.94187678367915917</v>
      </c>
      <c r="J41">
        <f t="shared" si="5"/>
        <v>2.3597707891859013E-3</v>
      </c>
    </row>
    <row r="45" spans="1:14" x14ac:dyDescent="0.3">
      <c r="A45" s="1" t="s">
        <v>19</v>
      </c>
      <c r="B45" s="1" t="s">
        <v>17</v>
      </c>
      <c r="C45" s="1" t="s">
        <v>16</v>
      </c>
    </row>
    <row r="46" spans="1:14" x14ac:dyDescent="0.3">
      <c r="A46" s="1" t="s">
        <v>22</v>
      </c>
      <c r="B46" s="1" t="s">
        <v>25</v>
      </c>
      <c r="C46" s="1" t="s">
        <v>23</v>
      </c>
    </row>
    <row r="47" spans="1:14" x14ac:dyDescent="0.3">
      <c r="A47" s="1" t="s">
        <v>20</v>
      </c>
      <c r="B47" s="1" t="s">
        <v>24</v>
      </c>
      <c r="C47" s="1" t="s">
        <v>18</v>
      </c>
    </row>
    <row r="48" spans="1:14" x14ac:dyDescent="0.3">
      <c r="A48" s="1" t="s">
        <v>21</v>
      </c>
      <c r="B48" s="2">
        <v>0.24299999999999999</v>
      </c>
      <c r="C48" s="2">
        <v>2.5000000000000001E-2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David Němec</cp:lastModifiedBy>
  <cp:lastPrinted>2025-03-17T15:56:15Z</cp:lastPrinted>
  <dcterms:created xsi:type="dcterms:W3CDTF">2025-03-17T13:40:33Z</dcterms:created>
  <dcterms:modified xsi:type="dcterms:W3CDTF">2025-03-24T08:33:22Z</dcterms:modified>
</cp:coreProperties>
</file>