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emec\David\Škola\Praktika\Úloha_19\"/>
    </mc:Choice>
  </mc:AlternateContent>
  <xr:revisionPtr revIDLastSave="0" documentId="13_ncr:1_{1501DCE2-5C4D-40D4-8870-C54DAD5BC733}" xr6:coauthVersionLast="47" xr6:coauthVersionMax="47" xr10:uidLastSave="{00000000-0000-0000-0000-000000000000}"/>
  <bookViews>
    <workbookView xWindow="-108" yWindow="-108" windowWidth="23256" windowHeight="12456" xr2:uid="{3D4D1B19-F44B-4908-9DD5-A8BC95BCDD9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7" i="1" l="1"/>
  <c r="X27" i="1"/>
  <c r="Y20" i="1"/>
  <c r="X20" i="1"/>
  <c r="S25" i="1"/>
  <c r="R25" i="1"/>
  <c r="M25" i="1"/>
  <c r="L25" i="1"/>
  <c r="G25" i="1"/>
  <c r="F25" i="1"/>
  <c r="Y23" i="1"/>
  <c r="Y24" i="1"/>
  <c r="Y25" i="1"/>
  <c r="Y26" i="1"/>
  <c r="Y22" i="1"/>
  <c r="Y16" i="1"/>
  <c r="Y17" i="1"/>
  <c r="Y18" i="1"/>
  <c r="Y19" i="1"/>
  <c r="Y15" i="1"/>
  <c r="S16" i="1"/>
  <c r="S17" i="1"/>
  <c r="S18" i="1"/>
  <c r="S19" i="1"/>
  <c r="S20" i="1"/>
  <c r="S21" i="1"/>
  <c r="S22" i="1"/>
  <c r="S23" i="1"/>
  <c r="S24" i="1"/>
  <c r="S15" i="1"/>
  <c r="M16" i="1"/>
  <c r="M17" i="1"/>
  <c r="M18" i="1"/>
  <c r="M19" i="1"/>
  <c r="M20" i="1"/>
  <c r="M21" i="1"/>
  <c r="M22" i="1"/>
  <c r="M23" i="1"/>
  <c r="M24" i="1"/>
  <c r="M15" i="1"/>
  <c r="G16" i="1"/>
  <c r="G17" i="1"/>
  <c r="G18" i="1"/>
  <c r="G19" i="1"/>
  <c r="G20" i="1"/>
  <c r="G21" i="1"/>
  <c r="G22" i="1"/>
  <c r="G23" i="1"/>
  <c r="G24" i="1"/>
  <c r="G15" i="1"/>
  <c r="R21" i="1"/>
  <c r="R23" i="1"/>
  <c r="L21" i="1"/>
  <c r="L22" i="1"/>
  <c r="L15" i="1"/>
  <c r="F16" i="1"/>
  <c r="F17" i="1"/>
  <c r="F18" i="1"/>
  <c r="F19" i="1"/>
  <c r="F20" i="1"/>
  <c r="F21" i="1"/>
  <c r="F22" i="1"/>
  <c r="F23" i="1"/>
  <c r="F24" i="1"/>
  <c r="F15" i="1"/>
  <c r="L32" i="1"/>
  <c r="M32" i="1"/>
  <c r="M33" i="1" s="1"/>
  <c r="N32" i="1"/>
  <c r="N33" i="1" s="1"/>
  <c r="K32" i="1"/>
  <c r="K33" i="1" s="1"/>
  <c r="L30" i="1"/>
  <c r="L31" i="1" s="1"/>
  <c r="M30" i="1"/>
  <c r="M31" i="1" s="1"/>
  <c r="N30" i="1"/>
  <c r="K30" i="1"/>
  <c r="K31" i="1" s="1"/>
  <c r="L28" i="1"/>
  <c r="M28" i="1"/>
  <c r="M29" i="1" s="1"/>
  <c r="N28" i="1"/>
  <c r="K28" i="1"/>
  <c r="K29" i="1" s="1"/>
  <c r="U11" i="1"/>
  <c r="U10" i="1"/>
  <c r="K11" i="1"/>
  <c r="J2" i="1"/>
  <c r="J3" i="1"/>
  <c r="J20" i="1"/>
  <c r="L20" i="1" s="1"/>
  <c r="J16" i="1"/>
  <c r="L16" i="1" s="1"/>
  <c r="J17" i="1"/>
  <c r="L17" i="1" s="1"/>
  <c r="J18" i="1"/>
  <c r="L18" i="1" s="1"/>
  <c r="J19" i="1"/>
  <c r="L19" i="1" s="1"/>
  <c r="J21" i="1"/>
  <c r="J22" i="1"/>
  <c r="J23" i="1"/>
  <c r="L23" i="1" s="1"/>
  <c r="J24" i="1"/>
  <c r="L24" i="1" s="1"/>
  <c r="J15" i="1"/>
  <c r="V23" i="1"/>
  <c r="X23" i="1" s="1"/>
  <c r="V24" i="1"/>
  <c r="X24" i="1" s="1"/>
  <c r="V25" i="1"/>
  <c r="X25" i="1" s="1"/>
  <c r="V26" i="1"/>
  <c r="X26" i="1" s="1"/>
  <c r="V22" i="1"/>
  <c r="X22" i="1" s="1"/>
  <c r="V16" i="1"/>
  <c r="X16" i="1" s="1"/>
  <c r="V17" i="1"/>
  <c r="X17" i="1" s="1"/>
  <c r="V18" i="1"/>
  <c r="X18" i="1" s="1"/>
  <c r="V19" i="1"/>
  <c r="X19" i="1" s="1"/>
  <c r="V15" i="1"/>
  <c r="X15" i="1" s="1"/>
  <c r="P16" i="1"/>
  <c r="R16" i="1" s="1"/>
  <c r="P17" i="1"/>
  <c r="R17" i="1" s="1"/>
  <c r="P18" i="1"/>
  <c r="R18" i="1" s="1"/>
  <c r="P19" i="1"/>
  <c r="R19" i="1" s="1"/>
  <c r="P20" i="1"/>
  <c r="R20" i="1" s="1"/>
  <c r="P21" i="1"/>
  <c r="P22" i="1"/>
  <c r="R22" i="1" s="1"/>
  <c r="P23" i="1"/>
  <c r="P24" i="1"/>
  <c r="R24" i="1" s="1"/>
  <c r="P15" i="1"/>
  <c r="R15" i="1" s="1"/>
  <c r="D16" i="1"/>
  <c r="D17" i="1"/>
  <c r="D18" i="1"/>
  <c r="D19" i="1"/>
  <c r="D20" i="1"/>
  <c r="D21" i="1"/>
  <c r="D22" i="1"/>
  <c r="D23" i="1"/>
  <c r="D24" i="1"/>
  <c r="D15" i="1"/>
  <c r="L11" i="1"/>
  <c r="L10" i="1"/>
  <c r="K10" i="1" s="1"/>
  <c r="M11" i="1"/>
  <c r="N11" i="1" s="1"/>
  <c r="M10" i="1"/>
  <c r="N10" i="1" s="1"/>
  <c r="L9" i="1"/>
  <c r="K9" i="1" s="1"/>
  <c r="M9" i="1"/>
  <c r="N9" i="1" s="1"/>
  <c r="F3" i="1"/>
  <c r="F4" i="1"/>
  <c r="F5" i="1"/>
  <c r="F6" i="1"/>
  <c r="F7" i="1"/>
  <c r="F8" i="1"/>
  <c r="F9" i="1"/>
  <c r="F10" i="1"/>
  <c r="F11" i="1"/>
  <c r="F2" i="1"/>
  <c r="C7" i="1"/>
  <c r="C6" i="1"/>
  <c r="C4" i="1"/>
  <c r="C5" i="1"/>
  <c r="C3" i="1"/>
  <c r="C2" i="1"/>
  <c r="C8" i="1" s="1"/>
  <c r="J11" i="1" s="1"/>
  <c r="P28" i="1" l="1"/>
  <c r="O28" i="1"/>
  <c r="M38" i="1" s="1"/>
  <c r="P30" i="1"/>
  <c r="L40" i="1" s="1"/>
  <c r="U9" i="1"/>
  <c r="N31" i="1"/>
  <c r="J4" i="1"/>
  <c r="O9" i="1" s="1"/>
  <c r="V10" i="1"/>
  <c r="W10" i="1" s="1"/>
  <c r="O32" i="1"/>
  <c r="O42" i="1" s="1"/>
  <c r="V11" i="1"/>
  <c r="T11" i="1" s="1"/>
  <c r="S11" i="1" s="1"/>
  <c r="P32" i="1"/>
  <c r="M42" i="1" s="1"/>
  <c r="W11" i="1"/>
  <c r="O11" i="1"/>
  <c r="X11" i="1" s="1"/>
  <c r="L38" i="1"/>
  <c r="O38" i="1"/>
  <c r="N38" i="1"/>
  <c r="J9" i="1"/>
  <c r="F12" i="1"/>
  <c r="V9" i="1"/>
  <c r="W9" i="1" s="1"/>
  <c r="L42" i="1"/>
  <c r="N29" i="1"/>
  <c r="L29" i="1"/>
  <c r="L33" i="1"/>
  <c r="O30" i="1"/>
  <c r="K42" i="1" l="1"/>
  <c r="N42" i="1"/>
  <c r="P42" i="1" s="1"/>
  <c r="T10" i="1"/>
  <c r="K38" i="1"/>
  <c r="T9" i="1"/>
  <c r="S9" i="1" s="1"/>
  <c r="X9" i="1"/>
  <c r="O40" i="1"/>
  <c r="N40" i="1"/>
  <c r="K40" i="1"/>
  <c r="M40" i="1"/>
  <c r="P40" i="1" s="1"/>
  <c r="P38" i="1"/>
  <c r="O10" i="1"/>
  <c r="X10" i="1" s="1"/>
  <c r="J10" i="1"/>
  <c r="S10" i="1" l="1"/>
</calcChain>
</file>

<file path=xl/sharedStrings.xml><?xml version="1.0" encoding="utf-8"?>
<sst xmlns="http://schemas.openxmlformats.org/spreadsheetml/2006/main" count="114" uniqueCount="52">
  <si>
    <t>žlutá</t>
  </si>
  <si>
    <t>zelená</t>
  </si>
  <si>
    <t>průhledná</t>
  </si>
  <si>
    <t>olivový</t>
  </si>
  <si>
    <t>ricinový</t>
  </si>
  <si>
    <t>olivový 18,2</t>
  </si>
  <si>
    <t>ricinový 10,4</t>
  </si>
  <si>
    <t>pr</t>
  </si>
  <si>
    <t>zel</t>
  </si>
  <si>
    <t>žlut</t>
  </si>
  <si>
    <t>d</t>
  </si>
  <si>
    <t>t</t>
  </si>
  <si>
    <t>hmotnosti</t>
  </si>
  <si>
    <t>m1</t>
  </si>
  <si>
    <t>m2</t>
  </si>
  <si>
    <t>m3</t>
  </si>
  <si>
    <t>m4</t>
  </si>
  <si>
    <t>veličina</t>
  </si>
  <si>
    <t>hodnota</t>
  </si>
  <si>
    <t>odchylka</t>
  </si>
  <si>
    <t>teplota</t>
  </si>
  <si>
    <t>0.4 °C</t>
  </si>
  <si>
    <t>tlak</t>
  </si>
  <si>
    <t>2 hPa</t>
  </si>
  <si>
    <t>vlhkost</t>
  </si>
  <si>
    <t>23.6 °C</t>
  </si>
  <si>
    <t>24,0 °C</t>
  </si>
  <si>
    <t>916    24,0 °C</t>
  </si>
  <si>
    <t>l (gumičky) cm</t>
  </si>
  <si>
    <t>delta rho</t>
  </si>
  <si>
    <t>rho kg/m^3</t>
  </si>
  <si>
    <t>20°C</t>
  </si>
  <si>
    <t>delta eta</t>
  </si>
  <si>
    <t>Re</t>
  </si>
  <si>
    <t>rychlost m/s</t>
  </si>
  <si>
    <t>rychl. m/s</t>
  </si>
  <si>
    <t>doba pádu/s</t>
  </si>
  <si>
    <t>delta t</t>
  </si>
  <si>
    <t>delta v</t>
  </si>
  <si>
    <t>delta Re</t>
  </si>
  <si>
    <t>hustota</t>
  </si>
  <si>
    <r>
      <t>destilovaná voda (23,6</t>
    </r>
    <r>
      <rPr>
        <sz val="11"/>
        <color theme="1"/>
        <rFont val="Aptos Narrow"/>
        <family val="2"/>
      </rPr>
      <t>±</t>
    </r>
    <r>
      <rPr>
        <sz val="11"/>
        <color theme="1"/>
        <rFont val="Aptos Narrow"/>
        <family val="2"/>
        <charset val="238"/>
      </rPr>
      <t>0,5 °C)</t>
    </r>
  </si>
  <si>
    <t>delta podle m1</t>
  </si>
  <si>
    <t>m2-m1</t>
  </si>
  <si>
    <t>m4-m3+m2-m1</t>
  </si>
  <si>
    <t>podle m2</t>
  </si>
  <si>
    <t>podle m3</t>
  </si>
  <si>
    <t>podle m4</t>
  </si>
  <si>
    <t>celkem</t>
  </si>
  <si>
    <t>eta</t>
  </si>
  <si>
    <t>tíhové zrychlení</t>
  </si>
  <si>
    <t>eta Pa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</si>
</sst>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</font>
    <font>
      <sz val="11"/>
      <color theme="1"/>
      <name val="Aptos Narrow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10" fontId="0" fillId="2" borderId="0" xfId="0" applyNumberFormat="1" applyFill="1" applyAlignment="1">
      <alignment horizontal="center"/>
    </xf>
    <xf numFmtId="0" fontId="0" fillId="3" borderId="0" xfId="0" applyFill="1" applyAlignment="1">
      <alignment horizontal="left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30A52-2B35-4182-B34A-668348B61163}">
  <dimension ref="A1:Y42"/>
  <sheetViews>
    <sheetView tabSelected="1" topLeftCell="E1" zoomScale="98" zoomScaleNormal="100" workbookViewId="0">
      <selection activeCell="V28" sqref="V28"/>
    </sheetView>
  </sheetViews>
  <sheetFormatPr defaultRowHeight="14.4" x14ac:dyDescent="0.3"/>
  <cols>
    <col min="7" max="7" width="15.44140625" customWidth="1"/>
    <col min="11" max="11" width="11.33203125" customWidth="1"/>
    <col min="12" max="12" width="11.88671875" customWidth="1"/>
    <col min="13" max="13" width="11.109375" customWidth="1"/>
    <col min="14" max="14" width="9.44140625" customWidth="1"/>
    <col min="19" max="19" width="11.44140625" customWidth="1"/>
    <col min="22" max="22" width="12" bestFit="1" customWidth="1"/>
  </cols>
  <sheetData>
    <row r="1" spans="1:25" x14ac:dyDescent="0.3">
      <c r="A1" t="s">
        <v>0</v>
      </c>
      <c r="D1" t="s">
        <v>1</v>
      </c>
      <c r="H1" t="s">
        <v>2</v>
      </c>
      <c r="J1">
        <v>8.4000000000000005E-2</v>
      </c>
      <c r="K1" t="s">
        <v>27</v>
      </c>
      <c r="L1" t="s">
        <v>5</v>
      </c>
      <c r="M1" t="s">
        <v>6</v>
      </c>
      <c r="N1">
        <v>965</v>
      </c>
      <c r="O1">
        <v>0.98599999999999999</v>
      </c>
      <c r="P1" t="s">
        <v>26</v>
      </c>
      <c r="T1" t="s">
        <v>31</v>
      </c>
      <c r="V1" t="s">
        <v>31</v>
      </c>
    </row>
    <row r="2" spans="1:25" x14ac:dyDescent="0.3">
      <c r="A2">
        <v>10.050000000000001</v>
      </c>
      <c r="B2">
        <v>7.25</v>
      </c>
      <c r="C2">
        <f>A2-B2</f>
        <v>2.8000000000000007</v>
      </c>
      <c r="D2">
        <v>10.89</v>
      </c>
      <c r="E2">
        <v>8.7100000000000009</v>
      </c>
      <c r="F2">
        <f>D2-E2</f>
        <v>2.1799999999999997</v>
      </c>
      <c r="H2">
        <v>10.39</v>
      </c>
      <c r="I2">
        <v>8.81</v>
      </c>
      <c r="J2">
        <f>H2-I2</f>
        <v>1.58</v>
      </c>
      <c r="K2" t="s">
        <v>7</v>
      </c>
      <c r="L2">
        <v>7.72</v>
      </c>
      <c r="M2">
        <v>31.82</v>
      </c>
      <c r="S2" t="s">
        <v>28</v>
      </c>
      <c r="T2" t="s">
        <v>30</v>
      </c>
      <c r="U2" t="s">
        <v>29</v>
      </c>
      <c r="V2" t="s">
        <v>51</v>
      </c>
      <c r="W2" t="s">
        <v>32</v>
      </c>
    </row>
    <row r="3" spans="1:25" x14ac:dyDescent="0.3">
      <c r="A3">
        <v>11.54</v>
      </c>
      <c r="B3">
        <v>8.65</v>
      </c>
      <c r="C3">
        <f>A3-B3</f>
        <v>2.8899999999999988</v>
      </c>
      <c r="D3">
        <v>12.72</v>
      </c>
      <c r="E3">
        <v>10.58</v>
      </c>
      <c r="F3">
        <f t="shared" ref="F3:F11" si="0">D3-E3</f>
        <v>2.1400000000000006</v>
      </c>
      <c r="H3">
        <v>14.81</v>
      </c>
      <c r="I3">
        <v>13.21</v>
      </c>
      <c r="J3">
        <f>H3-I3</f>
        <v>1.5999999999999996</v>
      </c>
      <c r="L3">
        <v>7.53</v>
      </c>
      <c r="M3">
        <v>32.31</v>
      </c>
      <c r="R3" t="s">
        <v>3</v>
      </c>
      <c r="S3">
        <v>18.2</v>
      </c>
      <c r="T3">
        <v>916</v>
      </c>
      <c r="U3">
        <v>2</v>
      </c>
      <c r="V3">
        <v>8.4000000000000005E-2</v>
      </c>
      <c r="W3">
        <v>1E-3</v>
      </c>
    </row>
    <row r="4" spans="1:25" x14ac:dyDescent="0.3">
      <c r="A4">
        <v>9.5299999999999994</v>
      </c>
      <c r="B4">
        <v>6.63</v>
      </c>
      <c r="C4">
        <f t="shared" ref="C4:C7" si="1">A4-B4</f>
        <v>2.8999999999999995</v>
      </c>
      <c r="D4">
        <v>11.23</v>
      </c>
      <c r="E4">
        <v>9.09</v>
      </c>
      <c r="F4">
        <f t="shared" si="0"/>
        <v>2.1400000000000006</v>
      </c>
      <c r="J4" s="1">
        <f>AVERAGE(J2:J3)/1000</f>
        <v>1.5899999999999998E-3</v>
      </c>
      <c r="K4" t="s">
        <v>8</v>
      </c>
      <c r="L4">
        <v>4.3099999999999996</v>
      </c>
      <c r="M4">
        <v>16.440000000000001</v>
      </c>
      <c r="R4" t="s">
        <v>4</v>
      </c>
      <c r="S4">
        <v>10.4</v>
      </c>
      <c r="T4">
        <v>965</v>
      </c>
      <c r="U4">
        <v>2</v>
      </c>
      <c r="V4">
        <v>0.98599999999999999</v>
      </c>
      <c r="W4">
        <v>1E-3</v>
      </c>
    </row>
    <row r="5" spans="1:25" x14ac:dyDescent="0.3">
      <c r="A5">
        <v>12.63</v>
      </c>
      <c r="B5">
        <v>9.7200000000000006</v>
      </c>
      <c r="C5">
        <f t="shared" si="1"/>
        <v>2.91</v>
      </c>
      <c r="D5">
        <v>11.96</v>
      </c>
      <c r="E5">
        <v>9.82</v>
      </c>
      <c r="F5">
        <f t="shared" si="0"/>
        <v>2.1400000000000006</v>
      </c>
      <c r="J5">
        <v>1.0000000000000001E-5</v>
      </c>
      <c r="L5">
        <v>4.29</v>
      </c>
      <c r="M5">
        <v>16.63</v>
      </c>
    </row>
    <row r="6" spans="1:25" x14ac:dyDescent="0.3">
      <c r="A6">
        <v>14.01</v>
      </c>
      <c r="B6">
        <v>11.22</v>
      </c>
      <c r="C6">
        <f t="shared" si="1"/>
        <v>2.7899999999999991</v>
      </c>
      <c r="D6">
        <v>13.82</v>
      </c>
      <c r="E6">
        <v>11.67</v>
      </c>
      <c r="F6">
        <f t="shared" si="0"/>
        <v>2.1500000000000004</v>
      </c>
      <c r="K6" t="s">
        <v>9</v>
      </c>
      <c r="L6">
        <v>2.75</v>
      </c>
      <c r="M6">
        <v>9.9700000000000006</v>
      </c>
    </row>
    <row r="7" spans="1:25" x14ac:dyDescent="0.3">
      <c r="A7">
        <v>9.9</v>
      </c>
      <c r="B7">
        <v>7</v>
      </c>
      <c r="C7">
        <f t="shared" si="1"/>
        <v>2.9000000000000004</v>
      </c>
      <c r="D7">
        <v>11.76</v>
      </c>
      <c r="E7">
        <v>9.6199999999999992</v>
      </c>
      <c r="F7">
        <f t="shared" si="0"/>
        <v>2.1400000000000006</v>
      </c>
      <c r="L7">
        <v>2.75</v>
      </c>
      <c r="M7">
        <v>9.69</v>
      </c>
      <c r="U7" t="s">
        <v>3</v>
      </c>
      <c r="V7" t="s">
        <v>4</v>
      </c>
    </row>
    <row r="8" spans="1:25" x14ac:dyDescent="0.3">
      <c r="C8" s="1">
        <f>AVERAGE(C2:C7)/1000</f>
        <v>2.8649999999999999E-3</v>
      </c>
      <c r="D8">
        <v>12.01</v>
      </c>
      <c r="E8">
        <v>9.85</v>
      </c>
      <c r="F8">
        <f t="shared" si="0"/>
        <v>2.16</v>
      </c>
      <c r="J8" t="s">
        <v>33</v>
      </c>
      <c r="K8" t="s">
        <v>34</v>
      </c>
      <c r="L8" t="s">
        <v>36</v>
      </c>
      <c r="M8" t="s">
        <v>36</v>
      </c>
      <c r="N8" t="s">
        <v>35</v>
      </c>
      <c r="O8" t="s">
        <v>33</v>
      </c>
      <c r="S8" t="s">
        <v>39</v>
      </c>
      <c r="T8" t="s">
        <v>38</v>
      </c>
      <c r="U8" t="s">
        <v>37</v>
      </c>
      <c r="V8" t="s">
        <v>37</v>
      </c>
      <c r="W8" t="s">
        <v>38</v>
      </c>
      <c r="X8" t="s">
        <v>39</v>
      </c>
    </row>
    <row r="9" spans="1:25" x14ac:dyDescent="0.3">
      <c r="C9">
        <v>1.0000000000000001E-5</v>
      </c>
      <c r="D9">
        <v>12.86</v>
      </c>
      <c r="E9">
        <v>10.81</v>
      </c>
      <c r="F9">
        <f t="shared" si="0"/>
        <v>2.0499999999999989</v>
      </c>
      <c r="I9" t="s">
        <v>2</v>
      </c>
      <c r="J9" s="1">
        <f>$J$4*$T$3*K9/$V$3</f>
        <v>0.41385180327868848</v>
      </c>
      <c r="K9">
        <f>$S$3/100/L9</f>
        <v>2.3868852459016394E-2</v>
      </c>
      <c r="L9">
        <f>AVERAGE(L2:L3)</f>
        <v>7.625</v>
      </c>
      <c r="M9">
        <f>AVERAGE(M2:M3)</f>
        <v>32.064999999999998</v>
      </c>
      <c r="N9">
        <f>$S$4/100/M9</f>
        <v>3.2434118197411511E-3</v>
      </c>
      <c r="O9" s="1">
        <f>J4*T4*N9/V4</f>
        <v>5.0471895797361416E-3</v>
      </c>
      <c r="P9" t="s">
        <v>2</v>
      </c>
      <c r="R9" t="s">
        <v>2</v>
      </c>
      <c r="S9" s="1">
        <f>J9*SUMSQ($J$5/$J$4,$U$3/$T$3,T9/K9,$W$3/$V$3)^0.5</f>
        <v>2.9360168615427052E-2</v>
      </c>
      <c r="T9">
        <f>K9*SUMSQ(0.1/$S$3,V9/L9)^0.5</f>
        <v>1.661752058307985E-3</v>
      </c>
      <c r="U9">
        <f>(SUMSQ(L2-L9,L3-L9)+0.4^2)^0.5</f>
        <v>0.42195971371684282</v>
      </c>
      <c r="V9">
        <f>(SUMSQ(M2-M9,M3-M9)+0.4^2)^0.5</f>
        <v>0.52919750566305679</v>
      </c>
      <c r="W9">
        <f>N9*SUMSQ(0.1/$S$4,V9/M9)^0.5</f>
        <v>6.1951227859202877E-5</v>
      </c>
      <c r="X9" s="1">
        <f>O9*SUMSQ($J$5/$J$4,$U$4/$T$4,W9/N9,$W$4/$V$4)^0.5</f>
        <v>1.0216211173800797E-4</v>
      </c>
      <c r="Y9" t="s">
        <v>2</v>
      </c>
    </row>
    <row r="10" spans="1:25" x14ac:dyDescent="0.3">
      <c r="D10">
        <v>13.99</v>
      </c>
      <c r="E10">
        <v>11.79</v>
      </c>
      <c r="F10">
        <f t="shared" si="0"/>
        <v>2.2000000000000011</v>
      </c>
      <c r="I10" t="s">
        <v>1</v>
      </c>
      <c r="J10" s="1">
        <f>F12*T3*K10/V3</f>
        <v>0.98910248062015538</v>
      </c>
      <c r="K10">
        <f t="shared" ref="K10:K11" si="2">$S$3/100/L10</f>
        <v>4.2325581395348838E-2</v>
      </c>
      <c r="L10">
        <f>AVERAGE(L4:L5)</f>
        <v>4.3</v>
      </c>
      <c r="M10">
        <f>AVERAGE(M4:M5)</f>
        <v>16.535</v>
      </c>
      <c r="N10">
        <f t="shared" ref="N10:N11" si="3">$S$4/100/M10</f>
        <v>6.2896885394617486E-3</v>
      </c>
      <c r="O10" s="1">
        <f>F12*T4*N10/V4</f>
        <v>1.3191728652296352E-2</v>
      </c>
      <c r="P10" t="s">
        <v>1</v>
      </c>
      <c r="R10" t="s">
        <v>1</v>
      </c>
      <c r="S10" s="1">
        <f>J10*SUMSQ($G$12/$F$12,$U$3/$T$3,T10/K10,$W$3/$V$3)^0.5</f>
        <v>9.8055853398452381E-2</v>
      </c>
      <c r="T10">
        <f>K10*SUMSQ(0.1/$S$3,V10/L10)^0.5</f>
        <v>4.1599219317497325E-3</v>
      </c>
      <c r="U10">
        <f>(SUMSQ(L4-L10,L5-L10)+0.4^2)^0.5</f>
        <v>0.40024992192379</v>
      </c>
      <c r="V10">
        <f>(SUMSQ(M4-M10,M5-M10)+0.4^2)^0.5</f>
        <v>0.42195971371684238</v>
      </c>
      <c r="W10">
        <f>N10*SUMSQ(0.1/$S$4,V10/M10)^0.5</f>
        <v>1.7152343824947803E-4</v>
      </c>
      <c r="X10" s="1">
        <f>O10*SUMSQ(G12/F12,$U$4/$T$4,W10/N10,$W$4/$V$4)^0.5</f>
        <v>3.6624175221413138E-4</v>
      </c>
      <c r="Y10" t="s">
        <v>1</v>
      </c>
    </row>
    <row r="11" spans="1:25" x14ac:dyDescent="0.3">
      <c r="D11">
        <v>11.74</v>
      </c>
      <c r="E11">
        <v>9.61</v>
      </c>
      <c r="F11">
        <f t="shared" si="0"/>
        <v>2.1300000000000008</v>
      </c>
      <c r="I11" t="s">
        <v>0</v>
      </c>
      <c r="J11" s="1">
        <f>C8*T3*K11/V3</f>
        <v>2.067661818181818</v>
      </c>
      <c r="K11">
        <f t="shared" si="2"/>
        <v>6.6181818181818175E-2</v>
      </c>
      <c r="L11">
        <f>AVERAGE(L6:L7)</f>
        <v>2.75</v>
      </c>
      <c r="M11">
        <f>AVERAGE(M6:M7)</f>
        <v>9.83</v>
      </c>
      <c r="N11">
        <f t="shared" si="3"/>
        <v>1.0579857578840286E-2</v>
      </c>
      <c r="O11" s="1">
        <f>C8*T4*N11/V4</f>
        <v>2.9665716779573238E-2</v>
      </c>
      <c r="P11" t="s">
        <v>0</v>
      </c>
      <c r="R11" t="s">
        <v>0</v>
      </c>
      <c r="S11" s="1">
        <f>J11*SUMSQ($C$9/$C$8,$U$3/$T$3,T11/K11,$W$3/$V$3)^0.5</f>
        <v>0.33677735850478174</v>
      </c>
      <c r="T11">
        <f>K11*SUMSQ(0.1/$S$3,V11/L11)^0.5</f>
        <v>1.0747300780474103E-2</v>
      </c>
      <c r="U11">
        <f>(SUMSQ(L6-L11,L7-L11)+0.4^2)^0.5</f>
        <v>0.4</v>
      </c>
      <c r="V11">
        <f>(SUMSQ(M6-M11,M7-M11)+0.4^2)^0.5</f>
        <v>0.44631827208842834</v>
      </c>
      <c r="W11">
        <f>N11*SUMSQ(0.1/$S$4,V11/M11)^0.5</f>
        <v>4.9101832335288046E-4</v>
      </c>
      <c r="X11" s="1">
        <f>O11*SUMSQ(C9/C8,$U$4/$T$4,W11/N11,$W$4/$V$4)^0.5</f>
        <v>1.3823898073473994E-3</v>
      </c>
      <c r="Y11" t="s">
        <v>0</v>
      </c>
    </row>
    <row r="12" spans="1:25" x14ac:dyDescent="0.3">
      <c r="F12" s="1">
        <f>AVERAGE(F2:F11)/1000</f>
        <v>2.1430000000000008E-3</v>
      </c>
      <c r="G12">
        <v>1.0000000000000001E-5</v>
      </c>
    </row>
    <row r="14" spans="1:25" x14ac:dyDescent="0.3">
      <c r="A14" t="s">
        <v>2</v>
      </c>
      <c r="B14" t="s">
        <v>3</v>
      </c>
      <c r="D14" t="s">
        <v>10</v>
      </c>
      <c r="E14" t="s">
        <v>11</v>
      </c>
      <c r="F14" t="s">
        <v>49</v>
      </c>
      <c r="G14" t="s">
        <v>32</v>
      </c>
      <c r="H14" t="s">
        <v>1</v>
      </c>
      <c r="I14" t="s">
        <v>3</v>
      </c>
      <c r="J14" t="s">
        <v>10</v>
      </c>
      <c r="K14" t="s">
        <v>11</v>
      </c>
      <c r="L14" t="s">
        <v>49</v>
      </c>
      <c r="M14" t="s">
        <v>32</v>
      </c>
      <c r="N14" t="s">
        <v>2</v>
      </c>
      <c r="O14" t="s">
        <v>4</v>
      </c>
      <c r="P14" t="s">
        <v>10</v>
      </c>
      <c r="Q14" t="s">
        <v>11</v>
      </c>
      <c r="R14" t="s">
        <v>49</v>
      </c>
      <c r="S14" t="s">
        <v>32</v>
      </c>
      <c r="T14" t="s">
        <v>1</v>
      </c>
      <c r="U14" t="s">
        <v>4</v>
      </c>
      <c r="V14" t="s">
        <v>10</v>
      </c>
      <c r="W14" t="s">
        <v>11</v>
      </c>
      <c r="X14" t="s">
        <v>49</v>
      </c>
      <c r="Y14" t="s">
        <v>32</v>
      </c>
    </row>
    <row r="15" spans="1:25" x14ac:dyDescent="0.3">
      <c r="A15">
        <v>1</v>
      </c>
      <c r="B15">
        <v>14.81</v>
      </c>
      <c r="C15">
        <v>13.19</v>
      </c>
      <c r="D15">
        <f>B15-C15</f>
        <v>1.620000000000001</v>
      </c>
      <c r="E15">
        <v>7.32</v>
      </c>
      <c r="F15">
        <f>(D15/1000)^2*($K$38-$T$3)*$A$33/18/$S$3*100*E15</f>
        <v>9.2887839934070779E-2</v>
      </c>
      <c r="G15">
        <f>F15*(SUMSQ(2*0.01/D15,0.01*$K$38/($K$38-$T$3),0.1/$S$3,0.4/E15,$B$33/$A$33))^0.5</f>
        <v>5.4276276024081711E-3</v>
      </c>
      <c r="H15">
        <v>14.67</v>
      </c>
      <c r="I15">
        <v>12.51</v>
      </c>
      <c r="J15">
        <f>H15-I15</f>
        <v>2.16</v>
      </c>
      <c r="K15">
        <v>4.0599999999999996</v>
      </c>
      <c r="L15">
        <f t="shared" ref="L15:L24" si="4">(J15/1000)^2*($K$40-$T$3)*$A$33/18/$S$3*100*K15</f>
        <v>9.7315873490931223E-2</v>
      </c>
      <c r="M15">
        <f>L15*(SUMSQ(2*0.01/J15,0.01*$K$40/($K$40-$T$3),0.1/$S$3,0.4/K15,$B$33/$A$33))^0.5</f>
        <v>9.7596882688612951E-3</v>
      </c>
      <c r="N15">
        <v>14.9</v>
      </c>
      <c r="O15">
        <v>13.26</v>
      </c>
      <c r="P15">
        <f>N15-O15</f>
        <v>1.6400000000000006</v>
      </c>
      <c r="Q15">
        <v>31.47</v>
      </c>
      <c r="R15">
        <f t="shared" ref="R15:R24" si="5">(P15/1000)^2*($K$38-$T$4)*$A$33/18/$S$4*100*Q15</f>
        <v>0.69447483803621979</v>
      </c>
      <c r="S15">
        <f>R15*(SUMSQ(2*0.01/P15,0.01*$K$38/($K$38-$T$4),0.1/$S$4,0.4/Q15,$B$33/$A$33))^0.5</f>
        <v>1.7895299989219265E-2</v>
      </c>
      <c r="T15">
        <v>9.89</v>
      </c>
      <c r="U15">
        <v>7.75</v>
      </c>
      <c r="V15">
        <f>T15-U15</f>
        <v>2.1400000000000006</v>
      </c>
      <c r="W15">
        <v>16.5</v>
      </c>
      <c r="X15">
        <f>(V15/1000)^2*($K$40-$T$4)*$A$33/18/$S$4*100*W15</f>
        <v>0.65995582098136563</v>
      </c>
      <c r="Y15">
        <f>X15*(SUMSQ(2*0.01/V15,0.01*$K$40/($K$40-$T$4),0.1/$S$4,0.4/W15,$B$33/$A$33))^0.5</f>
        <v>2.1044504934698081E-2</v>
      </c>
    </row>
    <row r="16" spans="1:25" x14ac:dyDescent="0.3">
      <c r="A16">
        <v>2</v>
      </c>
      <c r="B16">
        <v>15.06</v>
      </c>
      <c r="C16">
        <v>13.5</v>
      </c>
      <c r="D16">
        <f t="shared" ref="D16:D24" si="6">B16-C16</f>
        <v>1.5600000000000005</v>
      </c>
      <c r="E16">
        <v>7.79</v>
      </c>
      <c r="F16">
        <f t="shared" ref="F16:F24" si="7">(D16/1000)^2*($K$38-$T$3)*$A$33/18/$S$3*100*E16</f>
        <v>9.1665182600315878E-2</v>
      </c>
      <c r="G16">
        <f t="shared" ref="G16:G24" si="8">F16*(SUMSQ(2*0.01/D16,0.01*$K$38/($K$38-$T$3),0.1/$S$3,0.4/E16,$B$33/$A$33))^0.5</f>
        <v>5.0845718759334434E-3</v>
      </c>
      <c r="H16">
        <v>14.82</v>
      </c>
      <c r="I16">
        <v>12.71</v>
      </c>
      <c r="J16">
        <f t="shared" ref="J16:J24" si="9">H16-I16</f>
        <v>2.1099999999999994</v>
      </c>
      <c r="K16">
        <v>4.0599999999999996</v>
      </c>
      <c r="L16">
        <f t="shared" si="4"/>
        <v>9.2862654400071729E-2</v>
      </c>
      <c r="M16">
        <f t="shared" ref="M16:M24" si="10">L16*(SUMSQ(2*0.01/J16,0.01*$K$40/($K$40-$T$3),0.1/$S$3,0.4/K16,$B$33/$A$33))^0.5</f>
        <v>9.3149837166580894E-3</v>
      </c>
      <c r="N16">
        <v>12.62</v>
      </c>
      <c r="O16">
        <v>11.04</v>
      </c>
      <c r="P16">
        <f t="shared" ref="P16:P24" si="11">N16-O16</f>
        <v>1.58</v>
      </c>
      <c r="Q16">
        <v>31.25</v>
      </c>
      <c r="R16">
        <f t="shared" si="5"/>
        <v>0.64008296881212134</v>
      </c>
      <c r="S16">
        <f t="shared" ref="S16:S24" si="12">R16*(SUMSQ(2*0.01/P16,0.01*$K$38/($K$38-$T$4),0.1/$S$4,0.4/Q16,$B$33/$A$33))^0.5</f>
        <v>1.6664147483887552E-2</v>
      </c>
      <c r="T16">
        <v>8.9600000000000009</v>
      </c>
      <c r="U16">
        <v>6.83</v>
      </c>
      <c r="V16">
        <f>T16-U16</f>
        <v>2.1300000000000008</v>
      </c>
      <c r="W16">
        <v>16.63</v>
      </c>
      <c r="X16">
        <f>(V16/1000)^2*($K$40-$T$4)*$A$33/18/$S$4*100*W16</f>
        <v>0.65895359092918337</v>
      </c>
      <c r="Y16">
        <f t="shared" ref="Y16:Y19" si="13">X16*(SUMSQ(2*0.01/V16,0.01*$K$40/($K$40-$T$4),0.1/$S$4,0.4/W16,$B$33/$A$33))^0.5</f>
        <v>2.0926297226236412E-2</v>
      </c>
    </row>
    <row r="17" spans="1:25" x14ac:dyDescent="0.3">
      <c r="A17">
        <v>3</v>
      </c>
      <c r="B17">
        <v>10.36</v>
      </c>
      <c r="C17">
        <v>8.7100000000000009</v>
      </c>
      <c r="D17">
        <f t="shared" si="6"/>
        <v>1.6499999999999986</v>
      </c>
      <c r="E17">
        <v>7.5</v>
      </c>
      <c r="F17">
        <f t="shared" si="7"/>
        <v>9.872949266643731E-2</v>
      </c>
      <c r="G17">
        <f t="shared" si="8"/>
        <v>5.6433234410019281E-3</v>
      </c>
      <c r="H17">
        <v>12.05</v>
      </c>
      <c r="I17">
        <v>9.92</v>
      </c>
      <c r="J17">
        <f t="shared" si="9"/>
        <v>2.1300000000000008</v>
      </c>
      <c r="K17">
        <v>4.16</v>
      </c>
      <c r="L17">
        <f t="shared" si="4"/>
        <v>9.6962250463437344E-2</v>
      </c>
      <c r="M17">
        <f t="shared" si="10"/>
        <v>9.4999316245384293E-3</v>
      </c>
      <c r="N17">
        <v>14.1</v>
      </c>
      <c r="O17">
        <v>12.54</v>
      </c>
      <c r="P17">
        <f t="shared" si="11"/>
        <v>1.5600000000000005</v>
      </c>
      <c r="Q17">
        <v>31.59</v>
      </c>
      <c r="R17">
        <f t="shared" si="5"/>
        <v>0.63076980981955777</v>
      </c>
      <c r="S17">
        <f t="shared" si="12"/>
        <v>1.6429279337840254E-2</v>
      </c>
      <c r="T17">
        <v>9.4499999999999993</v>
      </c>
      <c r="U17">
        <v>7.33</v>
      </c>
      <c r="V17">
        <f>T17-U17</f>
        <v>2.1199999999999992</v>
      </c>
      <c r="W17">
        <v>16.16</v>
      </c>
      <c r="X17">
        <f>(V17/1000)^2*($K$40-$T$4)*$A$33/18/$S$4*100*W17</f>
        <v>0.63433175240644724</v>
      </c>
      <c r="Y17">
        <f t="shared" si="13"/>
        <v>2.0490723699799967E-2</v>
      </c>
    </row>
    <row r="18" spans="1:25" x14ac:dyDescent="0.3">
      <c r="A18">
        <v>4</v>
      </c>
      <c r="B18">
        <v>9.92</v>
      </c>
      <c r="C18">
        <v>8.32</v>
      </c>
      <c r="D18">
        <f t="shared" si="6"/>
        <v>1.5999999999999996</v>
      </c>
      <c r="E18">
        <v>7.81</v>
      </c>
      <c r="F18">
        <f t="shared" si="7"/>
        <v>9.6673791714756485E-2</v>
      </c>
      <c r="G18">
        <f t="shared" si="8"/>
        <v>5.3435365643198377E-3</v>
      </c>
      <c r="H18">
        <v>14.04</v>
      </c>
      <c r="I18">
        <v>11.9</v>
      </c>
      <c r="J18">
        <f t="shared" si="9"/>
        <v>2.1399999999999988</v>
      </c>
      <c r="K18">
        <v>4.16</v>
      </c>
      <c r="L18">
        <f t="shared" si="4"/>
        <v>9.7874831321465516E-2</v>
      </c>
      <c r="M18">
        <f t="shared" si="10"/>
        <v>9.5889316391198597E-3</v>
      </c>
      <c r="N18">
        <v>11.88</v>
      </c>
      <c r="O18">
        <v>10.24</v>
      </c>
      <c r="P18">
        <f t="shared" si="11"/>
        <v>1.6400000000000006</v>
      </c>
      <c r="Q18">
        <v>29.87</v>
      </c>
      <c r="R18">
        <f t="shared" si="5"/>
        <v>0.6591662984474701</v>
      </c>
      <c r="S18">
        <f t="shared" si="12"/>
        <v>1.7211266511135463E-2</v>
      </c>
      <c r="T18">
        <v>10.33</v>
      </c>
      <c r="U18">
        <v>8.27</v>
      </c>
      <c r="V18">
        <f>T18-U18</f>
        <v>2.0600000000000005</v>
      </c>
      <c r="W18">
        <v>16.5</v>
      </c>
      <c r="X18">
        <f>(V18/1000)^2*($K$40-$T$4)*$A$33/18/$S$4*100*W18</f>
        <v>0.61153561924983046</v>
      </c>
      <c r="Y18">
        <f t="shared" si="13"/>
        <v>1.9566695364314931E-2</v>
      </c>
    </row>
    <row r="19" spans="1:25" x14ac:dyDescent="0.3">
      <c r="A19">
        <v>5</v>
      </c>
      <c r="B19">
        <v>8.6300000000000008</v>
      </c>
      <c r="C19">
        <v>7.07</v>
      </c>
      <c r="D19">
        <f t="shared" si="6"/>
        <v>1.5600000000000005</v>
      </c>
      <c r="E19">
        <v>7.5</v>
      </c>
      <c r="F19">
        <f t="shared" si="7"/>
        <v>8.8252743196709768E-2</v>
      </c>
      <c r="G19">
        <f t="shared" si="8"/>
        <v>5.0579251096548299E-3</v>
      </c>
      <c r="H19">
        <v>14.53</v>
      </c>
      <c r="I19">
        <v>12.45</v>
      </c>
      <c r="J19">
        <f t="shared" si="9"/>
        <v>2.08</v>
      </c>
      <c r="K19">
        <v>4.12</v>
      </c>
      <c r="L19">
        <f t="shared" si="4"/>
        <v>9.157439017517166E-2</v>
      </c>
      <c r="M19">
        <f t="shared" si="10"/>
        <v>9.0579518765484274E-3</v>
      </c>
      <c r="N19">
        <v>12.84</v>
      </c>
      <c r="O19">
        <v>11.23</v>
      </c>
      <c r="P19">
        <f t="shared" si="11"/>
        <v>1.6099999999999994</v>
      </c>
      <c r="Q19">
        <v>31.31</v>
      </c>
      <c r="R19">
        <f t="shared" si="5"/>
        <v>0.665896750865141</v>
      </c>
      <c r="S19">
        <f t="shared" si="12"/>
        <v>1.7252312095984844E-2</v>
      </c>
      <c r="T19">
        <v>13.65</v>
      </c>
      <c r="U19">
        <v>11.47</v>
      </c>
      <c r="V19">
        <f>T19-U19</f>
        <v>2.1799999999999997</v>
      </c>
      <c r="W19">
        <v>16.28</v>
      </c>
      <c r="X19">
        <f>(V19/1000)^2*($K$40-$T$4)*$A$33/18/$S$4*100*W19</f>
        <v>0.67572620382786308</v>
      </c>
      <c r="Y19">
        <f t="shared" si="13"/>
        <v>2.168274277193637E-2</v>
      </c>
    </row>
    <row r="20" spans="1:25" x14ac:dyDescent="0.3">
      <c r="A20">
        <v>6</v>
      </c>
      <c r="B20">
        <v>8.9</v>
      </c>
      <c r="C20">
        <v>7.33</v>
      </c>
      <c r="D20">
        <f t="shared" si="6"/>
        <v>1.5700000000000003</v>
      </c>
      <c r="E20">
        <v>7.63</v>
      </c>
      <c r="F20">
        <f t="shared" si="7"/>
        <v>9.0937203844153991E-2</v>
      </c>
      <c r="G20">
        <f t="shared" si="8"/>
        <v>5.1332868748190609E-3</v>
      </c>
      <c r="H20">
        <v>15.62</v>
      </c>
      <c r="I20">
        <v>13.46</v>
      </c>
      <c r="J20">
        <f t="shared" si="9"/>
        <v>2.1599999999999984</v>
      </c>
      <c r="K20">
        <v>4.0999999999999996</v>
      </c>
      <c r="L20">
        <f t="shared" si="4"/>
        <v>9.8274650569659477E-2</v>
      </c>
      <c r="M20">
        <f t="shared" si="10"/>
        <v>9.7630619269232569E-3</v>
      </c>
      <c r="N20">
        <v>12.1</v>
      </c>
      <c r="O20">
        <v>10.46</v>
      </c>
      <c r="P20">
        <f t="shared" si="11"/>
        <v>1.6399999999999988</v>
      </c>
      <c r="Q20">
        <v>31.06</v>
      </c>
      <c r="R20">
        <f t="shared" si="5"/>
        <v>0.68542702476660122</v>
      </c>
      <c r="S20">
        <f t="shared" si="12"/>
        <v>1.7719164110059915E-2</v>
      </c>
      <c r="X20" s="1">
        <f>AVERAGE(X15:X19)</f>
        <v>0.648100597478938</v>
      </c>
      <c r="Y20" s="1">
        <f>(SUMSQ(X15-X20,X16-X20,X17-X20,X18-X20,X19-X20)/9)^0.5</f>
        <v>1.6826192032379863E-2</v>
      </c>
    </row>
    <row r="21" spans="1:25" x14ac:dyDescent="0.3">
      <c r="A21">
        <v>7</v>
      </c>
      <c r="B21">
        <v>8.51</v>
      </c>
      <c r="C21">
        <v>6.93</v>
      </c>
      <c r="D21">
        <f t="shared" si="6"/>
        <v>1.58</v>
      </c>
      <c r="E21">
        <v>7.68</v>
      </c>
      <c r="F21">
        <f t="shared" si="7"/>
        <v>9.2702863112695835E-2</v>
      </c>
      <c r="G21">
        <f t="shared" si="8"/>
        <v>5.2018935826887835E-3</v>
      </c>
      <c r="H21">
        <v>16.420000000000002</v>
      </c>
      <c r="I21">
        <v>14.3</v>
      </c>
      <c r="J21">
        <f t="shared" si="9"/>
        <v>2.120000000000001</v>
      </c>
      <c r="K21">
        <v>4.1900000000000004</v>
      </c>
      <c r="L21">
        <f t="shared" si="4"/>
        <v>9.6746640700276818E-2</v>
      </c>
      <c r="M21">
        <f t="shared" si="10"/>
        <v>9.4138632793579757E-3</v>
      </c>
      <c r="N21">
        <v>8.64</v>
      </c>
      <c r="O21">
        <v>7.04</v>
      </c>
      <c r="P21">
        <f t="shared" si="11"/>
        <v>1.6000000000000005</v>
      </c>
      <c r="Q21">
        <v>30.56</v>
      </c>
      <c r="R21">
        <f t="shared" si="5"/>
        <v>0.64189706712206374</v>
      </c>
      <c r="S21">
        <f t="shared" si="12"/>
        <v>1.6754484704360501E-2</v>
      </c>
      <c r="T21" t="s">
        <v>0</v>
      </c>
      <c r="U21" t="s">
        <v>4</v>
      </c>
      <c r="V21" t="s">
        <v>10</v>
      </c>
      <c r="W21" t="s">
        <v>11</v>
      </c>
      <c r="X21" t="s">
        <v>49</v>
      </c>
      <c r="Y21" t="s">
        <v>32</v>
      </c>
    </row>
    <row r="22" spans="1:25" x14ac:dyDescent="0.3">
      <c r="A22">
        <v>8</v>
      </c>
      <c r="B22">
        <v>8.32</v>
      </c>
      <c r="C22">
        <v>6.72</v>
      </c>
      <c r="D22">
        <f t="shared" si="6"/>
        <v>1.6000000000000005</v>
      </c>
      <c r="E22">
        <v>7.59</v>
      </c>
      <c r="F22">
        <f t="shared" si="7"/>
        <v>9.3950586314340903E-2</v>
      </c>
      <c r="G22">
        <f t="shared" si="8"/>
        <v>5.322507299521502E-3</v>
      </c>
      <c r="H22">
        <v>10.48</v>
      </c>
      <c r="I22">
        <v>8.41</v>
      </c>
      <c r="J22">
        <f t="shared" si="9"/>
        <v>2.0700000000000003</v>
      </c>
      <c r="K22">
        <v>4.22</v>
      </c>
      <c r="L22">
        <f t="shared" si="4"/>
        <v>9.2897342665437366E-2</v>
      </c>
      <c r="M22">
        <f t="shared" si="10"/>
        <v>8.9795549867275545E-3</v>
      </c>
      <c r="N22">
        <v>10.34</v>
      </c>
      <c r="O22">
        <v>8.77</v>
      </c>
      <c r="P22">
        <f t="shared" si="11"/>
        <v>1.5700000000000003</v>
      </c>
      <c r="Q22">
        <v>31.66</v>
      </c>
      <c r="R22">
        <f t="shared" si="5"/>
        <v>0.64029821555596156</v>
      </c>
      <c r="S22">
        <f t="shared" si="12"/>
        <v>1.6643065298855172E-2</v>
      </c>
      <c r="T22">
        <v>14.31</v>
      </c>
      <c r="U22">
        <v>11.32</v>
      </c>
      <c r="V22">
        <f>T22-U22</f>
        <v>2.99</v>
      </c>
      <c r="W22">
        <v>9.1300000000000008</v>
      </c>
      <c r="X22">
        <f>(V22/1000)^2*($K$42-$T$4)*$A$33/18/$S$4*100*W22</f>
        <v>0.67413094875030299</v>
      </c>
      <c r="Y22">
        <f>X22*(SUMSQ(2*0.01/V22,0.01*$K$42/($K$42-$T$4),0.1/$S$4,0.4/W22,$B$33/$A$33))^0.5</f>
        <v>3.2446718640258262E-2</v>
      </c>
    </row>
    <row r="23" spans="1:25" x14ac:dyDescent="0.3">
      <c r="A23">
        <v>9</v>
      </c>
      <c r="B23">
        <v>10.89</v>
      </c>
      <c r="C23">
        <v>9.33</v>
      </c>
      <c r="D23">
        <f t="shared" si="6"/>
        <v>1.5600000000000005</v>
      </c>
      <c r="E23">
        <v>7.29</v>
      </c>
      <c r="F23">
        <f t="shared" si="7"/>
        <v>8.5781666387201902E-2</v>
      </c>
      <c r="G23">
        <f t="shared" si="8"/>
        <v>5.0391762581605912E-3</v>
      </c>
      <c r="H23">
        <v>9.32</v>
      </c>
      <c r="I23">
        <v>7.21</v>
      </c>
      <c r="J23">
        <f t="shared" si="9"/>
        <v>2.1100000000000003</v>
      </c>
      <c r="K23">
        <v>4.12</v>
      </c>
      <c r="L23">
        <f t="shared" si="4"/>
        <v>9.4235008898595082E-2</v>
      </c>
      <c r="M23">
        <f t="shared" si="10"/>
        <v>9.3198796939622883E-3</v>
      </c>
      <c r="N23">
        <v>9.69</v>
      </c>
      <c r="O23">
        <v>8.1</v>
      </c>
      <c r="P23">
        <f t="shared" si="11"/>
        <v>1.5899999999999999</v>
      </c>
      <c r="Q23">
        <v>31.65</v>
      </c>
      <c r="R23">
        <f t="shared" si="5"/>
        <v>0.65650802495518912</v>
      </c>
      <c r="S23">
        <f t="shared" si="12"/>
        <v>1.7014370202560525E-2</v>
      </c>
      <c r="T23">
        <v>10.01</v>
      </c>
      <c r="U23">
        <v>7.1</v>
      </c>
      <c r="V23">
        <f t="shared" ref="V23:V26" si="14">T23-U23</f>
        <v>2.91</v>
      </c>
      <c r="W23">
        <v>10.14</v>
      </c>
      <c r="X23">
        <f>(V23/1000)^2*($K$42-$T$4)*$A$33/18/$S$4*100*W23</f>
        <v>0.70917765696243595</v>
      </c>
      <c r="Y23">
        <f t="shared" ref="Y23:Y26" si="15">X23*(SUMSQ(2*0.01/V23,0.01*$K$42/($K$42-$T$4),0.1/$S$4,0.4/W23,$B$33/$A$33))^0.5</f>
        <v>3.1362741899648564E-2</v>
      </c>
    </row>
    <row r="24" spans="1:25" x14ac:dyDescent="0.3">
      <c r="A24">
        <v>10</v>
      </c>
      <c r="B24">
        <v>10.15</v>
      </c>
      <c r="C24">
        <v>8.58</v>
      </c>
      <c r="D24">
        <f t="shared" si="6"/>
        <v>1.5700000000000003</v>
      </c>
      <c r="E24">
        <v>7.82</v>
      </c>
      <c r="F24">
        <f t="shared" si="7"/>
        <v>9.3201695158752859E-2</v>
      </c>
      <c r="G24">
        <f t="shared" si="8"/>
        <v>5.1510502649913595E-3</v>
      </c>
      <c r="H24">
        <v>13.67</v>
      </c>
      <c r="I24">
        <v>11.54</v>
      </c>
      <c r="J24">
        <f t="shared" si="9"/>
        <v>2.1300000000000008</v>
      </c>
      <c r="K24">
        <v>4.01</v>
      </c>
      <c r="L24">
        <f t="shared" si="4"/>
        <v>9.3466015470765329E-2</v>
      </c>
      <c r="M24">
        <f t="shared" si="10"/>
        <v>9.4875311400336795E-3</v>
      </c>
      <c r="N24">
        <v>10.199999999999999</v>
      </c>
      <c r="O24">
        <v>8.64</v>
      </c>
      <c r="P24">
        <f t="shared" si="11"/>
        <v>1.5599999999999987</v>
      </c>
      <c r="Q24">
        <v>31.34</v>
      </c>
      <c r="R24">
        <f t="shared" si="5"/>
        <v>0.62577796263833174</v>
      </c>
      <c r="S24">
        <f t="shared" si="12"/>
        <v>1.6330081141771591E-2</v>
      </c>
      <c r="T24">
        <v>9.3800000000000008</v>
      </c>
      <c r="U24">
        <v>6.59</v>
      </c>
      <c r="V24">
        <f t="shared" si="14"/>
        <v>2.7900000000000009</v>
      </c>
      <c r="W24">
        <v>10.5</v>
      </c>
      <c r="X24">
        <f>(V24/1000)^2*($K$42-$T$4)*$A$33/18/$S$4*100*W24</f>
        <v>0.67503892605463311</v>
      </c>
      <c r="Y24">
        <f t="shared" si="15"/>
        <v>2.9074085114618411E-2</v>
      </c>
    </row>
    <row r="25" spans="1:25" x14ac:dyDescent="0.3">
      <c r="F25" s="1">
        <f>AVERAGE(F15:F24)</f>
        <v>9.2478306492943571E-2</v>
      </c>
      <c r="G25" s="1">
        <f>(SUMSQ(F15-F25,F16-F25,F17-F25,F18-F25,F19-F25,F20-F25,F21-F25,F22-F25,F23-F25,F24-F25)/9)^0.5</f>
        <v>3.7316217637092287E-3</v>
      </c>
      <c r="L25" s="1">
        <f>AVERAGE(L15:L24)</f>
        <v>9.5220965815581149E-2</v>
      </c>
      <c r="M25" s="1">
        <f>(SUMSQ(L15-L25,L16-L25,L17-L25,L18-L25,L19-L25,L20-L25,L21-L25,L22-L25,L23-L25,L24-L25)/9)^0.5</f>
        <v>2.4591489015524737E-3</v>
      </c>
      <c r="R25" s="1">
        <f>AVERAGE(R15:R24)</f>
        <v>0.65402989610186579</v>
      </c>
      <c r="S25" s="1">
        <f>(SUMSQ(R15-R25,R16-R25,R17-R25,R18-R25,R19-R25,R20-R25,R21-R25,R22-R25,R23-R25,R24-R25)/9)^0.5</f>
        <v>2.2765480054208691E-2</v>
      </c>
      <c r="T25">
        <v>11.41</v>
      </c>
      <c r="U25">
        <v>8.4600000000000009</v>
      </c>
      <c r="V25">
        <f t="shared" si="14"/>
        <v>2.9499999999999993</v>
      </c>
      <c r="W25">
        <v>9.6199999999999992</v>
      </c>
      <c r="X25">
        <f>(V25/1000)^2*($K$42-$T$4)*$A$33/18/$S$4*100*W25</f>
        <v>0.69143317866380893</v>
      </c>
      <c r="Y25">
        <f t="shared" si="15"/>
        <v>3.1890550499326077E-2</v>
      </c>
    </row>
    <row r="26" spans="1:25" x14ac:dyDescent="0.3">
      <c r="T26">
        <v>14.62</v>
      </c>
      <c r="U26">
        <v>11.68</v>
      </c>
      <c r="V26">
        <f t="shared" si="14"/>
        <v>2.9399999999999995</v>
      </c>
      <c r="W26">
        <v>9.75</v>
      </c>
      <c r="X26">
        <f>(V26/1000)^2*($K$42-$T$4)*$A$33/18/$S$4*100*W26</f>
        <v>0.69603389323103404</v>
      </c>
      <c r="Y26">
        <f t="shared" si="15"/>
        <v>3.1757696462411306E-2</v>
      </c>
    </row>
    <row r="27" spans="1:25" x14ac:dyDescent="0.3">
      <c r="A27" s="2" t="s">
        <v>17</v>
      </c>
      <c r="B27" s="2" t="s">
        <v>18</v>
      </c>
      <c r="C27" s="2" t="s">
        <v>19</v>
      </c>
      <c r="E27" t="s">
        <v>12</v>
      </c>
      <c r="F27" t="s">
        <v>13</v>
      </c>
      <c r="G27" t="s">
        <v>14</v>
      </c>
      <c r="H27" t="s">
        <v>15</v>
      </c>
      <c r="I27" t="s">
        <v>16</v>
      </c>
      <c r="K27" t="s">
        <v>13</v>
      </c>
      <c r="L27" t="s">
        <v>14</v>
      </c>
      <c r="M27" t="s">
        <v>15</v>
      </c>
      <c r="N27" t="s">
        <v>16</v>
      </c>
      <c r="O27" t="s">
        <v>43</v>
      </c>
      <c r="P27" t="s">
        <v>44</v>
      </c>
      <c r="X27" s="1">
        <f>AVERAGE(X22:X26)</f>
        <v>0.68916292073244301</v>
      </c>
      <c r="Y27" s="1">
        <f>(SUMSQ(X22-X27,X23-X27,X24-X27,X25-X27,X26-X27)/9)^0.5</f>
        <v>9.8792791450825149E-3</v>
      </c>
    </row>
    <row r="28" spans="1:25" x14ac:dyDescent="0.3">
      <c r="A28" s="2" t="s">
        <v>20</v>
      </c>
      <c r="B28" s="2" t="s">
        <v>25</v>
      </c>
      <c r="C28" s="2" t="s">
        <v>21</v>
      </c>
      <c r="E28" t="s">
        <v>2</v>
      </c>
      <c r="F28">
        <v>9.1464999999999996</v>
      </c>
      <c r="G28">
        <v>17.315799999999999</v>
      </c>
      <c r="H28">
        <v>24.350999999999999</v>
      </c>
      <c r="I28">
        <v>19.401399999999999</v>
      </c>
      <c r="J28" t="s">
        <v>2</v>
      </c>
      <c r="K28" s="1">
        <f>AVERAGE(F28:F32)</f>
        <v>9.1466799999999999</v>
      </c>
      <c r="L28" s="1">
        <f t="shared" ref="L28:N28" si="16">AVERAGE(G28:G32)</f>
        <v>17.315899999999999</v>
      </c>
      <c r="M28" s="1">
        <f t="shared" si="16"/>
        <v>24.350919999999995</v>
      </c>
      <c r="N28" s="1">
        <f t="shared" si="16"/>
        <v>19.401420000000002</v>
      </c>
      <c r="O28" s="1">
        <f>L28-K28</f>
        <v>8.1692199999999993</v>
      </c>
      <c r="P28" s="1">
        <f>N28-M28+L28-K28</f>
        <v>3.2197200000000059</v>
      </c>
    </row>
    <row r="29" spans="1:25" x14ac:dyDescent="0.3">
      <c r="A29" s="2" t="s">
        <v>22</v>
      </c>
      <c r="B29" s="2">
        <v>992</v>
      </c>
      <c r="C29" s="2" t="s">
        <v>23</v>
      </c>
      <c r="F29">
        <v>9.1469000000000005</v>
      </c>
      <c r="G29">
        <v>17.315999999999999</v>
      </c>
      <c r="H29">
        <v>24.350999999999999</v>
      </c>
      <c r="I29">
        <v>19.401399999999999</v>
      </c>
      <c r="K29">
        <f>(SUMSQ(F28-K28,F29-K28,F30-K28,F31-K28,F32-K28)/4+0.0001^2)^0.5</f>
        <v>2.0493901531956483E-4</v>
      </c>
      <c r="L29">
        <f t="shared" ref="L29:N29" si="17">(SUMSQ(G28-L28,G29-L28,G30-L28,G31-L28,G32-L28)/4+0.0001^2)^0.5</f>
        <v>1.4142135623714471E-4</v>
      </c>
      <c r="M29">
        <f t="shared" si="17"/>
        <v>1.3038404810392784E-4</v>
      </c>
      <c r="N29">
        <f t="shared" si="17"/>
        <v>2.8635642126580954E-4</v>
      </c>
    </row>
    <row r="30" spans="1:25" x14ac:dyDescent="0.3">
      <c r="A30" s="2" t="s">
        <v>24</v>
      </c>
      <c r="B30" s="3">
        <v>0.36499999999999999</v>
      </c>
      <c r="C30" s="3">
        <v>2.5000000000000001E-2</v>
      </c>
      <c r="F30">
        <v>9.1466999999999992</v>
      </c>
      <c r="G30">
        <v>17.315999999999999</v>
      </c>
      <c r="H30">
        <v>24.350899999999999</v>
      </c>
      <c r="I30">
        <v>19.401</v>
      </c>
      <c r="J30" t="s">
        <v>1</v>
      </c>
      <c r="K30" s="1">
        <f>AVERAGE(F33:F37)</f>
        <v>8.9517600000000002</v>
      </c>
      <c r="L30" s="1">
        <f t="shared" ref="L30:N30" si="18">AVERAGE(G33:G37)</f>
        <v>13.887380000000002</v>
      </c>
      <c r="M30" s="1">
        <f t="shared" si="18"/>
        <v>21.37886</v>
      </c>
      <c r="N30" s="1">
        <f t="shared" si="18"/>
        <v>18.3139</v>
      </c>
      <c r="O30" s="1">
        <f>L30-K30</f>
        <v>4.9356200000000019</v>
      </c>
      <c r="P30" s="1">
        <f>N30-M30+L30-K30</f>
        <v>1.8706600000000027</v>
      </c>
    </row>
    <row r="31" spans="1:25" x14ac:dyDescent="0.3">
      <c r="F31">
        <v>9.1464999999999996</v>
      </c>
      <c r="G31">
        <v>17.315899999999999</v>
      </c>
      <c r="H31">
        <v>24.3508</v>
      </c>
      <c r="I31">
        <v>19.401599999999998</v>
      </c>
      <c r="K31">
        <f>(SUMSQ(F33-K30,F34-K30,F35-K30,F36-K30,F37-K30)/4+0.0001^2)^0.5</f>
        <v>1.5165750888129976E-4</v>
      </c>
      <c r="L31">
        <f t="shared" ref="L31:N31" si="19">(SUMSQ(G33-L30,G34-L30,G35-L30,G36-L30,G37-L30)/4+0.0001^2)^0.5</f>
        <v>3.2710854467596454E-4</v>
      </c>
      <c r="M31">
        <f t="shared" si="19"/>
        <v>2.5099800796121675E-4</v>
      </c>
      <c r="N31">
        <f t="shared" si="19"/>
        <v>1.8708286933838566E-4</v>
      </c>
    </row>
    <row r="32" spans="1:25" x14ac:dyDescent="0.3">
      <c r="A32" s="4" t="s">
        <v>50</v>
      </c>
      <c r="F32">
        <v>9.1468000000000007</v>
      </c>
      <c r="G32">
        <v>17.315799999999999</v>
      </c>
      <c r="H32">
        <v>24.350899999999999</v>
      </c>
      <c r="I32">
        <v>19.401700000000002</v>
      </c>
      <c r="J32" t="s">
        <v>0</v>
      </c>
      <c r="K32" s="1">
        <f>AVERAGE(F38:F42)</f>
        <v>19.038439999999998</v>
      </c>
      <c r="L32" s="1">
        <f t="shared" ref="L32:N32" si="20">AVERAGE(G38:G42)</f>
        <v>23.5228</v>
      </c>
      <c r="M32" s="1">
        <f t="shared" si="20"/>
        <v>32.086460000000002</v>
      </c>
      <c r="N32" s="1">
        <f t="shared" si="20"/>
        <v>29.36232</v>
      </c>
      <c r="O32" s="1">
        <f>L32-K32</f>
        <v>4.4843600000000023</v>
      </c>
      <c r="P32" s="1">
        <f>N32-M32+L32-K32</f>
        <v>1.7602200000000003</v>
      </c>
    </row>
    <row r="33" spans="1:16" x14ac:dyDescent="0.3">
      <c r="A33">
        <v>9.8103300000000004</v>
      </c>
      <c r="B33">
        <v>1.0000000000000001E-5</v>
      </c>
      <c r="E33" t="s">
        <v>1</v>
      </c>
      <c r="F33">
        <v>8.9519000000000002</v>
      </c>
      <c r="G33">
        <v>13.887600000000001</v>
      </c>
      <c r="H33">
        <v>21.379100000000001</v>
      </c>
      <c r="I33">
        <v>18.3141</v>
      </c>
      <c r="K33">
        <f>(SUMSQ(F38-K32,F39-K32,F40-K32,F41-K32,F42-K32)/4+0.0001^2)^0.5</f>
        <v>3.3615472627871812E-4</v>
      </c>
      <c r="L33">
        <f t="shared" ref="L33:N33" si="21">(SUMSQ(G38-L32,G39-L32,G40-L32,G41-L32,G42-L32)/4+0.0001^2)^0.5</f>
        <v>2.7386127875202989E-4</v>
      </c>
      <c r="M33">
        <f t="shared" si="21"/>
        <v>3.8470768123471493E-4</v>
      </c>
      <c r="N33">
        <f t="shared" si="21"/>
        <v>4.2071367935942529E-4</v>
      </c>
    </row>
    <row r="34" spans="1:16" x14ac:dyDescent="0.3">
      <c r="F34">
        <v>8.9517000000000007</v>
      </c>
      <c r="G34">
        <v>13.8874</v>
      </c>
      <c r="H34">
        <v>21.379000000000001</v>
      </c>
      <c r="I34">
        <v>18.314</v>
      </c>
    </row>
    <row r="35" spans="1:16" x14ac:dyDescent="0.3">
      <c r="F35">
        <v>8.9518000000000004</v>
      </c>
      <c r="G35">
        <v>13.886900000000001</v>
      </c>
      <c r="H35">
        <v>21.378900000000002</v>
      </c>
      <c r="I35">
        <v>18.3139</v>
      </c>
      <c r="N35" t="s">
        <v>30</v>
      </c>
      <c r="O35" t="s">
        <v>29</v>
      </c>
    </row>
    <row r="36" spans="1:16" x14ac:dyDescent="0.3">
      <c r="F36">
        <v>8.9515999999999991</v>
      </c>
      <c r="G36">
        <v>13.887700000000001</v>
      </c>
      <c r="H36">
        <v>21.378799999999998</v>
      </c>
      <c r="I36">
        <v>18.313800000000001</v>
      </c>
      <c r="K36" t="s">
        <v>41</v>
      </c>
      <c r="N36" s="1">
        <v>997.4</v>
      </c>
      <c r="O36">
        <v>0.1</v>
      </c>
    </row>
    <row r="37" spans="1:16" x14ac:dyDescent="0.3">
      <c r="F37">
        <v>8.9518000000000004</v>
      </c>
      <c r="G37">
        <v>13.8873</v>
      </c>
      <c r="H37">
        <v>21.378499999999999</v>
      </c>
      <c r="I37">
        <v>18.313700000000001</v>
      </c>
      <c r="K37" t="s">
        <v>40</v>
      </c>
      <c r="L37" t="s">
        <v>42</v>
      </c>
      <c r="M37" t="s">
        <v>45</v>
      </c>
      <c r="N37" t="s">
        <v>46</v>
      </c>
      <c r="O37" t="s">
        <v>47</v>
      </c>
      <c r="P37" t="s">
        <v>48</v>
      </c>
    </row>
    <row r="38" spans="1:16" x14ac:dyDescent="0.3">
      <c r="E38" t="s">
        <v>0</v>
      </c>
      <c r="F38">
        <v>19.038799999999998</v>
      </c>
      <c r="G38">
        <v>23.5229</v>
      </c>
      <c r="H38">
        <v>32.087000000000003</v>
      </c>
      <c r="I38">
        <v>29.3629</v>
      </c>
      <c r="J38" t="s">
        <v>2</v>
      </c>
      <c r="K38" s="1">
        <f>$N$36*O28/P28</f>
        <v>2530.648636527395</v>
      </c>
      <c r="L38">
        <f>(-P28+O28)/P28^2</f>
        <v>0.47744694407022126</v>
      </c>
      <c r="M38">
        <f>(P28-O28)/P28^2</f>
        <v>-0.47744694407022126</v>
      </c>
      <c r="N38">
        <f>O28/P28^2</f>
        <v>0.78803295776085214</v>
      </c>
      <c r="O38">
        <f>-O28/P28^2</f>
        <v>-0.78803295776085214</v>
      </c>
      <c r="P38" s="1">
        <f>SUMSQ(L38*K29,M38*L29,N38*M29,O38*N29,O36*O28/P28)^0.5</f>
        <v>0.25372469647993595</v>
      </c>
    </row>
    <row r="39" spans="1:16" x14ac:dyDescent="0.3">
      <c r="F39">
        <v>19.038699999999999</v>
      </c>
      <c r="G39">
        <v>23.5228</v>
      </c>
      <c r="H39">
        <v>32.086599999999997</v>
      </c>
      <c r="I39">
        <v>29.362400000000001</v>
      </c>
    </row>
    <row r="40" spans="1:16" x14ac:dyDescent="0.3">
      <c r="F40">
        <v>19.038399999999999</v>
      </c>
      <c r="G40">
        <v>23.523099999999999</v>
      </c>
      <c r="H40">
        <v>32.086399999999998</v>
      </c>
      <c r="I40">
        <v>29.362400000000001</v>
      </c>
      <c r="J40" t="s">
        <v>1</v>
      </c>
      <c r="K40" s="1">
        <f>$N$36*O30/P30</f>
        <v>2631.5778324227786</v>
      </c>
      <c r="L40">
        <f>(-P30+O30)/P30^2</f>
        <v>0.87586080347385675</v>
      </c>
      <c r="M40">
        <f>(P30-O30)/P30^2</f>
        <v>-0.87586080347385675</v>
      </c>
      <c r="N40">
        <f>O30/P30^2</f>
        <v>1.4104314897557029</v>
      </c>
      <c r="O40">
        <f>-O30/P30^2</f>
        <v>-1.4104314897557029</v>
      </c>
      <c r="P40" s="1">
        <f>SUMSQ(L40*K31,M40*L31,N40*M31,O40*N31,O38*O30/P30)^0.5</f>
        <v>2.0791759911193486</v>
      </c>
    </row>
    <row r="41" spans="1:16" x14ac:dyDescent="0.3">
      <c r="F41">
        <v>19.038</v>
      </c>
      <c r="G41">
        <v>23.522400000000001</v>
      </c>
      <c r="H41">
        <v>32.086300000000001</v>
      </c>
      <c r="I41">
        <v>29.362100000000002</v>
      </c>
    </row>
    <row r="42" spans="1:16" x14ac:dyDescent="0.3">
      <c r="F42">
        <v>19.0383</v>
      </c>
      <c r="G42">
        <v>23.5228</v>
      </c>
      <c r="H42">
        <v>32.085999999999999</v>
      </c>
      <c r="I42">
        <v>29.361799999999999</v>
      </c>
      <c r="J42" t="s">
        <v>0</v>
      </c>
      <c r="K42" s="1">
        <f>$N$36*O32/P32</f>
        <v>2540.9895717580766</v>
      </c>
      <c r="L42">
        <f>(-P32+O32)/P32^2</f>
        <v>0.87921587444240201</v>
      </c>
      <c r="M42">
        <f>(P32-O32)/P32^2</f>
        <v>-0.87921587444240201</v>
      </c>
      <c r="N42">
        <f>O32/P32^2</f>
        <v>1.4473266787736787</v>
      </c>
      <c r="O42">
        <f>-O32/P32^2</f>
        <v>-1.4473266787736787</v>
      </c>
      <c r="P42" s="1">
        <f>SUMSQ(L42*K33,M42*L33,N42*M33,O42*N33,O40*O32/P32)^0.5</f>
        <v>3.5932342308050216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Němec</dc:creator>
  <cp:lastModifiedBy>David Němec</cp:lastModifiedBy>
  <cp:lastPrinted>2025-03-31T14:58:04Z</cp:lastPrinted>
  <dcterms:created xsi:type="dcterms:W3CDTF">2025-03-31T12:21:52Z</dcterms:created>
  <dcterms:modified xsi:type="dcterms:W3CDTF">2025-04-07T11:51:29Z</dcterms:modified>
</cp:coreProperties>
</file>