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Škola\Praktika\Úloha_21\"/>
    </mc:Choice>
  </mc:AlternateContent>
  <xr:revisionPtr revIDLastSave="0" documentId="13_ncr:1_{B1A3B602-2DBD-4155-AA78-CCB3E5B52412}" xr6:coauthVersionLast="47" xr6:coauthVersionMax="47" xr10:uidLastSave="{00000000-0000-0000-0000-000000000000}"/>
  <bookViews>
    <workbookView xWindow="-108" yWindow="-108" windowWidth="23256" windowHeight="12456" xr2:uid="{88386B16-ACAB-44D6-8B30-9016CA39D0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N28" i="1" s="1"/>
  <c r="S11" i="1"/>
  <c r="R11" i="1"/>
  <c r="T8" i="1"/>
  <c r="T7" i="1"/>
  <c r="S8" i="1"/>
  <c r="U5" i="1"/>
  <c r="R8" i="1"/>
  <c r="V3" i="1"/>
  <c r="U3" i="1"/>
  <c r="V2" i="1"/>
  <c r="U2" i="1"/>
  <c r="R7" i="1"/>
  <c r="S7" i="1"/>
  <c r="M28" i="1"/>
  <c r="H28" i="1"/>
  <c r="G28" i="1"/>
  <c r="J11" i="1"/>
  <c r="K28" i="1"/>
  <c r="J28" i="1"/>
  <c r="K20" i="1"/>
  <c r="K25" i="1"/>
  <c r="K24" i="1"/>
  <c r="K22" i="1"/>
  <c r="K23" i="1"/>
  <c r="K21" i="1"/>
  <c r="J20" i="1"/>
  <c r="J17" i="1"/>
  <c r="J14" i="1"/>
  <c r="K8" i="1"/>
  <c r="J8" i="1"/>
  <c r="F15" i="1"/>
  <c r="E15" i="1"/>
  <c r="A9" i="1"/>
  <c r="A10" i="1" s="1"/>
  <c r="B9" i="1"/>
  <c r="B10" i="1" s="1"/>
  <c r="C9" i="1"/>
  <c r="C10" i="1" s="1"/>
  <c r="E9" i="1"/>
  <c r="E10" i="1" s="1"/>
  <c r="D9" i="1"/>
  <c r="D10" i="1"/>
  <c r="I25" i="1"/>
  <c r="I23" i="1"/>
  <c r="H25" i="1"/>
  <c r="H24" i="1"/>
  <c r="H23" i="1"/>
  <c r="B11" i="1"/>
  <c r="A8" i="1"/>
  <c r="B8" i="1"/>
  <c r="C8" i="1"/>
  <c r="D8" i="1"/>
  <c r="E8" i="1"/>
  <c r="C11" i="1" l="1"/>
</calcChain>
</file>

<file path=xl/sharedStrings.xml><?xml version="1.0" encoding="utf-8"?>
<sst xmlns="http://schemas.openxmlformats.org/spreadsheetml/2006/main" count="61" uniqueCount="47">
  <si>
    <t>10T (s)</t>
  </si>
  <si>
    <t>metr 0,1 cm</t>
  </si>
  <si>
    <t>posuvné měřítko 0,02 mm</t>
  </si>
  <si>
    <t>háček (mm)</t>
  </si>
  <si>
    <t>bez háčku (mm)</t>
  </si>
  <si>
    <t>m kulička (g)</t>
  </si>
  <si>
    <t>l  provázek (cm)</t>
  </si>
  <si>
    <t>m provázek (g)</t>
  </si>
  <si>
    <t>L</t>
  </si>
  <si>
    <t>10T nahoře</t>
  </si>
  <si>
    <t>10T dole</t>
  </si>
  <si>
    <t>reverzní kyvadlo</t>
  </si>
  <si>
    <t>matematické kyvadlo</t>
  </si>
  <si>
    <t>D kulička (mm)</t>
  </si>
  <si>
    <t>d břitů (cm)</t>
  </si>
  <si>
    <t>veličina</t>
  </si>
  <si>
    <t>hodnota</t>
  </si>
  <si>
    <t>odchylka</t>
  </si>
  <si>
    <t>teplota</t>
  </si>
  <si>
    <t>0.4 °C</t>
  </si>
  <si>
    <t>tlak</t>
  </si>
  <si>
    <t>2 hPa</t>
  </si>
  <si>
    <t>vlhkost</t>
  </si>
  <si>
    <t>22.9 °C</t>
  </si>
  <si>
    <t>g (m/s^2)</t>
  </si>
  <si>
    <t>g experiment</t>
  </si>
  <si>
    <t>J_koule</t>
  </si>
  <si>
    <t>J_tyč</t>
  </si>
  <si>
    <t>J_celk</t>
  </si>
  <si>
    <t>S kuličky od osy</t>
  </si>
  <si>
    <t>podle mt</t>
  </si>
  <si>
    <t>podle l</t>
  </si>
  <si>
    <t>podle mk</t>
  </si>
  <si>
    <t>podle D</t>
  </si>
  <si>
    <t>podle h</t>
  </si>
  <si>
    <t>J_M</t>
  </si>
  <si>
    <t>g'</t>
  </si>
  <si>
    <t>soucet m_k + m_t</t>
  </si>
  <si>
    <t>d' těžiště</t>
  </si>
  <si>
    <t>průsečík</t>
  </si>
  <si>
    <t>sklon</t>
  </si>
  <si>
    <t>dole</t>
  </si>
  <si>
    <t>nahoře</t>
  </si>
  <si>
    <t>10T</t>
  </si>
  <si>
    <t>delta b</t>
  </si>
  <si>
    <t>delta a</t>
  </si>
  <si>
    <t>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</si>
</sst>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1" xfId="0" applyFill="1" applyBorder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DFB3-F9C3-4E49-A18B-3A57FC3DB828}">
  <dimension ref="A1:V39"/>
  <sheetViews>
    <sheetView tabSelected="1" topLeftCell="C1" zoomScaleNormal="100" workbookViewId="0">
      <selection activeCell="S11" sqref="S11"/>
    </sheetView>
  </sheetViews>
  <sheetFormatPr defaultRowHeight="14.4" x14ac:dyDescent="0.3"/>
  <cols>
    <col min="1" max="1" width="12.109375" customWidth="1"/>
    <col min="2" max="2" width="10.6640625" customWidth="1"/>
    <col min="3" max="4" width="12.109375" customWidth="1"/>
    <col min="5" max="5" width="11.109375" customWidth="1"/>
    <col min="6" max="6" width="7.88671875" customWidth="1"/>
    <col min="7" max="7" width="9.33203125" customWidth="1"/>
    <col min="8" max="8" width="12" bestFit="1" customWidth="1"/>
    <col min="10" max="10" width="11" bestFit="1" customWidth="1"/>
    <col min="11" max="11" width="12" bestFit="1" customWidth="1"/>
    <col min="18" max="18" width="15.44140625" bestFit="1" customWidth="1"/>
    <col min="19" max="19" width="12" bestFit="1" customWidth="1"/>
    <col min="21" max="21" width="11" bestFit="1" customWidth="1"/>
  </cols>
  <sheetData>
    <row r="1" spans="1:22" x14ac:dyDescent="0.3">
      <c r="A1" t="s">
        <v>12</v>
      </c>
      <c r="D1" t="s">
        <v>2</v>
      </c>
      <c r="G1" t="s">
        <v>1</v>
      </c>
      <c r="J1" t="s">
        <v>14</v>
      </c>
      <c r="M1" t="s">
        <v>11</v>
      </c>
      <c r="R1" t="s">
        <v>16</v>
      </c>
      <c r="S1" t="s">
        <v>17</v>
      </c>
      <c r="U1" t="s">
        <v>44</v>
      </c>
      <c r="V1" t="s">
        <v>45</v>
      </c>
    </row>
    <row r="2" spans="1:22" x14ac:dyDescent="0.3">
      <c r="A2" t="s">
        <v>13</v>
      </c>
      <c r="B2" t="s">
        <v>3</v>
      </c>
      <c r="C2" t="s">
        <v>4</v>
      </c>
      <c r="D2" t="s">
        <v>5</v>
      </c>
      <c r="E2" t="s">
        <v>7</v>
      </c>
      <c r="F2" t="s">
        <v>6</v>
      </c>
      <c r="H2" t="s">
        <v>0</v>
      </c>
      <c r="J2">
        <v>99.4</v>
      </c>
      <c r="K2">
        <v>0.1</v>
      </c>
      <c r="M2" t="s">
        <v>8</v>
      </c>
      <c r="N2" t="s">
        <v>9</v>
      </c>
      <c r="O2" t="s">
        <v>10</v>
      </c>
      <c r="P2" t="s">
        <v>41</v>
      </c>
      <c r="Q2" t="s">
        <v>39</v>
      </c>
      <c r="R2">
        <v>19.541889999999999</v>
      </c>
      <c r="S2">
        <v>3.0100000000000001E-3</v>
      </c>
      <c r="U2">
        <f>R2-R4</f>
        <v>2.2922099999999972</v>
      </c>
      <c r="V2">
        <f>R5-R3</f>
        <v>3.5640000000000005E-2</v>
      </c>
    </row>
    <row r="3" spans="1:22" x14ac:dyDescent="0.3">
      <c r="A3">
        <v>32.979999999999997</v>
      </c>
      <c r="B3">
        <v>6.68</v>
      </c>
      <c r="C3">
        <v>26.18</v>
      </c>
      <c r="D3">
        <v>62.256700000000002</v>
      </c>
      <c r="E3">
        <v>0.51619999999999999</v>
      </c>
      <c r="F3">
        <v>99</v>
      </c>
      <c r="G3">
        <v>0.2</v>
      </c>
      <c r="H3">
        <v>20.058800000000002</v>
      </c>
      <c r="J3" t="s">
        <v>24</v>
      </c>
      <c r="M3">
        <v>66.38</v>
      </c>
      <c r="N3">
        <v>20.1648</v>
      </c>
      <c r="O3">
        <v>20.069800000000001</v>
      </c>
      <c r="Q3" t="s">
        <v>40</v>
      </c>
      <c r="R3">
        <v>7.92E-3</v>
      </c>
      <c r="S3" s="6">
        <v>5.15317E-5</v>
      </c>
      <c r="U3">
        <f>SUMSQ(S4,S2)^0.5</f>
        <v>3.1265228289587138E-2</v>
      </c>
      <c r="V3" s="6">
        <f>SUMSQ(S3,S5)^0.5</f>
        <v>5.3475272958713354E-4</v>
      </c>
    </row>
    <row r="4" spans="1:22" x14ac:dyDescent="0.3">
      <c r="A4">
        <v>33</v>
      </c>
      <c r="B4">
        <v>6.74</v>
      </c>
      <c r="C4">
        <v>26.16</v>
      </c>
      <c r="D4">
        <v>62.256799999999998</v>
      </c>
      <c r="E4">
        <v>0.5161</v>
      </c>
      <c r="H4">
        <v>20.0593</v>
      </c>
      <c r="J4">
        <v>9.8103300000000004</v>
      </c>
      <c r="K4">
        <v>1.0000000000000001E-5</v>
      </c>
      <c r="M4">
        <v>75.040000000000006</v>
      </c>
      <c r="N4">
        <v>20.595800000000001</v>
      </c>
      <c r="O4">
        <v>20.135400000000001</v>
      </c>
      <c r="P4" t="s">
        <v>42</v>
      </c>
      <c r="Q4" t="s">
        <v>39</v>
      </c>
      <c r="R4">
        <v>17.249680000000001</v>
      </c>
      <c r="S4">
        <v>3.1119999999999998E-2</v>
      </c>
    </row>
    <row r="5" spans="1:22" x14ac:dyDescent="0.3">
      <c r="A5">
        <v>32.94</v>
      </c>
      <c r="B5">
        <v>6.92</v>
      </c>
      <c r="C5">
        <v>26.2</v>
      </c>
      <c r="D5">
        <v>62.256700000000002</v>
      </c>
      <c r="E5">
        <v>0.51600000000000001</v>
      </c>
      <c r="H5">
        <v>20.050599999999999</v>
      </c>
      <c r="M5">
        <v>26.34</v>
      </c>
      <c r="N5">
        <v>18.4574</v>
      </c>
      <c r="O5">
        <v>19.751899999999999</v>
      </c>
      <c r="Q5" t="s">
        <v>40</v>
      </c>
      <c r="R5">
        <v>4.3560000000000001E-2</v>
      </c>
      <c r="S5" s="6">
        <v>5.3226399999999996E-4</v>
      </c>
      <c r="U5">
        <f>R7*R3*SUMSQ(R8/R7,S3/R3)^0.5</f>
        <v>3.3209062664007888E-3</v>
      </c>
    </row>
    <row r="6" spans="1:22" x14ac:dyDescent="0.3">
      <c r="A6">
        <v>32.979999999999997</v>
      </c>
      <c r="B6">
        <v>6.72</v>
      </c>
      <c r="C6">
        <v>26.16</v>
      </c>
      <c r="D6">
        <v>62.256900000000002</v>
      </c>
      <c r="E6">
        <v>0.51619999999999999</v>
      </c>
      <c r="H6">
        <v>20.048200000000001</v>
      </c>
      <c r="M6">
        <v>30.86</v>
      </c>
      <c r="N6">
        <v>18.607299999999999</v>
      </c>
      <c r="O6">
        <v>19.785</v>
      </c>
      <c r="R6" t="s">
        <v>8</v>
      </c>
      <c r="S6" t="s">
        <v>43</v>
      </c>
    </row>
    <row r="7" spans="1:22" x14ac:dyDescent="0.3">
      <c r="A7">
        <v>32.020000000000003</v>
      </c>
      <c r="B7">
        <v>6.8</v>
      </c>
      <c r="C7">
        <v>26.22</v>
      </c>
      <c r="D7">
        <v>62.256500000000003</v>
      </c>
      <c r="E7">
        <v>0.51649999999999996</v>
      </c>
      <c r="H7">
        <v>20.051500000000001</v>
      </c>
      <c r="J7" t="s">
        <v>25</v>
      </c>
      <c r="M7">
        <v>35.64</v>
      </c>
      <c r="N7">
        <v>18.797799999999999</v>
      </c>
      <c r="O7">
        <v>19.825700000000001</v>
      </c>
      <c r="R7">
        <f>(R2-R4)/(R5-R3)</f>
        <v>64.315656565656482</v>
      </c>
      <c r="S7">
        <f>R7*R3+R2</f>
        <v>20.051269999999999</v>
      </c>
      <c r="T7">
        <f>S7/10</f>
        <v>2.0051269999999999</v>
      </c>
    </row>
    <row r="8" spans="1:22" x14ac:dyDescent="0.3">
      <c r="A8" s="5">
        <f>AVERAGE(A3:A7)</f>
        <v>32.783999999999999</v>
      </c>
      <c r="B8" s="5">
        <f t="shared" ref="B8:E8" si="0">AVERAGE(B3:B7)</f>
        <v>6.7720000000000002</v>
      </c>
      <c r="C8" s="5">
        <f t="shared" si="0"/>
        <v>26.184000000000005</v>
      </c>
      <c r="D8" s="5">
        <f t="shared" si="0"/>
        <v>62.256719999999994</v>
      </c>
      <c r="E8" s="5">
        <f t="shared" si="0"/>
        <v>0.51619999999999988</v>
      </c>
      <c r="H8">
        <v>20.057700000000001</v>
      </c>
      <c r="J8">
        <f>E15/100*(2*3.1415926536/I23)^2</f>
        <v>9.9122268169759309</v>
      </c>
      <c r="K8">
        <f>J8*(SUMSQ(F15/E15,2*I25/I23)^0.5)</f>
        <v>2.0174361981445375E-2</v>
      </c>
      <c r="M8">
        <v>38.94</v>
      </c>
      <c r="N8">
        <v>18.929099999999998</v>
      </c>
      <c r="O8">
        <v>19.849900000000002</v>
      </c>
      <c r="R8">
        <f>R7*SUMSQ(U3/U2,V3/V2)</f>
        <v>2.644479947937288E-2</v>
      </c>
      <c r="S8">
        <f>SUMSQ(S2,U5)^0.5</f>
        <v>4.4820216900657702E-3</v>
      </c>
      <c r="T8">
        <f>S8/10</f>
        <v>4.4820216900657705E-4</v>
      </c>
    </row>
    <row r="9" spans="1:22" x14ac:dyDescent="0.3">
      <c r="A9">
        <f>(SUMSQ(A3-A8,A4-A8,A5-A8,A6-A8,A7-A8)/4)^0.5</f>
        <v>0.42764471234892876</v>
      </c>
      <c r="B9">
        <f>(SUMSQ(B3-B8,B4-B8,B5-B8,B6-B8,B7-B8)/4)^0.5</f>
        <v>9.3380940239430069E-2</v>
      </c>
      <c r="C9">
        <f>(SUMSQ(C3-C8,C4-C8,C5-C8,C6-C8,C7-C8)/4)^0.5</f>
        <v>2.6076809620810038E-2</v>
      </c>
      <c r="D9">
        <f>(SUMSQ(D3-D8,D4-D8,D5-D8,D6-D8,D7-D8)/4)^0.5</f>
        <v>1.4832396974108852E-4</v>
      </c>
      <c r="E9">
        <f>(SUMSQ(E3-E8,E4-E8,E5-E8,E6-E8,E7-E8)/4)^0.5</f>
        <v>1.8708286933867647E-4</v>
      </c>
      <c r="H9">
        <v>20.051600000000001</v>
      </c>
      <c r="M9">
        <v>47.18</v>
      </c>
      <c r="N9">
        <v>19.2669</v>
      </c>
      <c r="O9">
        <v>19.914000000000001</v>
      </c>
    </row>
    <row r="10" spans="1:22" x14ac:dyDescent="0.3">
      <c r="A10">
        <f>(A9^2+0.01^2)^0.5</f>
        <v>0.42776161585630612</v>
      </c>
      <c r="B10">
        <f t="shared" ref="B10:C10" si="1">(B9^2+0.01^2)^0.5</f>
        <v>9.3914855054991211E-2</v>
      </c>
      <c r="C10">
        <f t="shared" si="1"/>
        <v>2.7928480087537365E-2</v>
      </c>
      <c r="D10">
        <f>(D9^2+0.0001^2)^0.5</f>
        <v>1.7888543819929935E-4</v>
      </c>
      <c r="E10">
        <f>(E9^2+0.0001^2)^0.5</f>
        <v>2.1213203435594609E-4</v>
      </c>
      <c r="H10">
        <v>20.059699999999999</v>
      </c>
      <c r="J10" t="s">
        <v>38</v>
      </c>
      <c r="M10">
        <v>55.02</v>
      </c>
      <c r="N10">
        <v>19.613600000000002</v>
      </c>
      <c r="O10">
        <v>19.975999999999999</v>
      </c>
      <c r="R10" t="s">
        <v>46</v>
      </c>
    </row>
    <row r="11" spans="1:22" x14ac:dyDescent="0.3">
      <c r="B11">
        <f>B8+C8</f>
        <v>32.956000000000003</v>
      </c>
      <c r="C11">
        <f>(B10^2+C10^2)^0.5</f>
        <v>9.7979589711327017E-2</v>
      </c>
      <c r="H11">
        <v>20.055</v>
      </c>
      <c r="J11">
        <f>(E8*F3/200+D8*E15/100)/(D8+E8)</f>
        <v>1.005630123404806</v>
      </c>
      <c r="K11">
        <f>SUMSQ((F3/200+C8/1000+B8/1000)*D8/(D8+E8)^2*E10,(E15/100*(D8+E8)-(F3/200*E8+E15/100*D8))/(D8+E8)^2*D10,E15/100*D8/(D8+E8)*F15/100)^0.5</f>
        <v>2.0053759637732016E-3</v>
      </c>
      <c r="M11">
        <v>63.42</v>
      </c>
      <c r="N11">
        <v>20</v>
      </c>
      <c r="O11">
        <v>20.043800000000001</v>
      </c>
      <c r="R11">
        <f>(2*3.1415926536/T7)^2*J2/100</f>
        <v>9.7602816706155586</v>
      </c>
      <c r="S11">
        <f>R11*SUMSQ(2*T8/T7,K2/J2)^0.5</f>
        <v>1.0745037586928815E-2</v>
      </c>
    </row>
    <row r="12" spans="1:22" x14ac:dyDescent="0.3">
      <c r="H12">
        <v>20.057700000000001</v>
      </c>
      <c r="M12">
        <v>61.66</v>
      </c>
      <c r="N12">
        <v>19.932700000000001</v>
      </c>
      <c r="O12">
        <v>20.0349</v>
      </c>
    </row>
    <row r="13" spans="1:22" x14ac:dyDescent="0.3">
      <c r="H13">
        <v>20.0533</v>
      </c>
      <c r="J13" t="s">
        <v>26</v>
      </c>
      <c r="M13">
        <v>61.32</v>
      </c>
      <c r="N13">
        <v>19.855699999999999</v>
      </c>
      <c r="O13">
        <v>20.0183</v>
      </c>
    </row>
    <row r="14" spans="1:22" x14ac:dyDescent="0.3">
      <c r="A14" t="s">
        <v>15</v>
      </c>
      <c r="B14" t="s">
        <v>16</v>
      </c>
      <c r="C14" t="s">
        <v>17</v>
      </c>
      <c r="E14" t="s">
        <v>29</v>
      </c>
      <c r="H14">
        <v>20.044599999999999</v>
      </c>
      <c r="J14">
        <f>1/10*D8*(C8/1000)^2</f>
        <v>4.2683322780472342E-3</v>
      </c>
      <c r="M14">
        <v>57.14</v>
      </c>
      <c r="N14">
        <v>19.7181</v>
      </c>
      <c r="O14">
        <v>19.994800000000001</v>
      </c>
    </row>
    <row r="15" spans="1:22" x14ac:dyDescent="0.3">
      <c r="A15" t="s">
        <v>18</v>
      </c>
      <c r="B15" s="3" t="s">
        <v>23</v>
      </c>
      <c r="C15" s="3" t="s">
        <v>19</v>
      </c>
      <c r="E15">
        <f>F3+B8/10+C8/20</f>
        <v>100.9864</v>
      </c>
      <c r="F15">
        <f>SUMSQ(G3,B10/10,C10/20)^0.5</f>
        <v>0.20022524815816811</v>
      </c>
      <c r="H15">
        <v>20.055499999999999</v>
      </c>
      <c r="M15">
        <v>64.02</v>
      </c>
      <c r="N15">
        <v>20.031300000000002</v>
      </c>
      <c r="O15">
        <v>20.0474</v>
      </c>
    </row>
    <row r="16" spans="1:22" x14ac:dyDescent="0.3">
      <c r="A16" t="s">
        <v>20</v>
      </c>
      <c r="B16" s="3">
        <v>996</v>
      </c>
      <c r="C16" s="3" t="s">
        <v>21</v>
      </c>
      <c r="H16">
        <v>20.060199999999998</v>
      </c>
      <c r="J16" t="s">
        <v>27</v>
      </c>
      <c r="M16">
        <v>64.84</v>
      </c>
      <c r="N16">
        <v>20.0886</v>
      </c>
      <c r="O16">
        <v>20.055</v>
      </c>
    </row>
    <row r="17" spans="1:15" x14ac:dyDescent="0.3">
      <c r="A17" t="s">
        <v>22</v>
      </c>
      <c r="B17" s="4">
        <v>0.24399999999999999</v>
      </c>
      <c r="C17" s="4">
        <v>2.5000000000000001E-2</v>
      </c>
      <c r="H17">
        <v>20.0565</v>
      </c>
      <c r="J17">
        <f>1/12*E8*(F3/100)^2</f>
        <v>4.2160634999999988E-2</v>
      </c>
      <c r="M17">
        <v>64.680000000000007</v>
      </c>
      <c r="N17">
        <v>20.057400000000001</v>
      </c>
      <c r="O17">
        <v>20.0533</v>
      </c>
    </row>
    <row r="18" spans="1:15" x14ac:dyDescent="0.3">
      <c r="H18">
        <v>20.054400000000001</v>
      </c>
      <c r="M18">
        <v>64.48</v>
      </c>
      <c r="N18">
        <v>20.0718</v>
      </c>
      <c r="O18">
        <v>20.0565</v>
      </c>
    </row>
    <row r="19" spans="1:15" x14ac:dyDescent="0.3">
      <c r="H19">
        <v>20.062100000000001</v>
      </c>
      <c r="J19" t="s">
        <v>28</v>
      </c>
      <c r="M19">
        <v>64.28</v>
      </c>
      <c r="N19">
        <v>20.057300000000001</v>
      </c>
      <c r="O19">
        <v>20.054600000000001</v>
      </c>
    </row>
    <row r="20" spans="1:15" x14ac:dyDescent="0.3">
      <c r="H20">
        <v>20.059200000000001</v>
      </c>
      <c r="J20">
        <f>J14+J17+D8*(E15/100)^2+E8*(F3/200)^2</f>
        <v>63.66388892965994</v>
      </c>
      <c r="K20">
        <f>SUMSQ(K21*E10,K22*G3/100,K23*D10,K24*C10/1000,K25*B10/1000)^0.5</f>
        <v>0.252465652493646</v>
      </c>
      <c r="M20">
        <v>64</v>
      </c>
      <c r="N20">
        <v>20.034700000000001</v>
      </c>
      <c r="O20">
        <v>20.046900000000001</v>
      </c>
    </row>
    <row r="21" spans="1:15" x14ac:dyDescent="0.3">
      <c r="H21">
        <v>20.057400000000001</v>
      </c>
      <c r="J21" t="s">
        <v>30</v>
      </c>
      <c r="K21">
        <f>(F3/100)^2/3</f>
        <v>0.32669999999999999</v>
      </c>
      <c r="M21">
        <v>64.180000000000007</v>
      </c>
      <c r="N21">
        <v>20.0425</v>
      </c>
      <c r="O21">
        <v>20.0489</v>
      </c>
    </row>
    <row r="22" spans="1:15" x14ac:dyDescent="0.3">
      <c r="H22">
        <v>20.049499999999998</v>
      </c>
      <c r="J22" t="s">
        <v>31</v>
      </c>
      <c r="K22">
        <f>2/3*E8*F3/100+2*D8*E15/100</f>
        <v>126.08233257216</v>
      </c>
      <c r="M22">
        <v>64.06</v>
      </c>
      <c r="N22">
        <v>20.0322</v>
      </c>
      <c r="O22">
        <v>20.047499999999999</v>
      </c>
    </row>
    <row r="23" spans="1:15" x14ac:dyDescent="0.3">
      <c r="H23" s="5">
        <f>AVERAGE(H3:H22)</f>
        <v>20.055139999999998</v>
      </c>
      <c r="I23">
        <f>H23/10</f>
        <v>2.0055139999999998</v>
      </c>
      <c r="J23" t="s">
        <v>32</v>
      </c>
      <c r="K23">
        <f>((E15/100)^2+(C8/1000)^2/10)</f>
        <v>1.0198938586816002</v>
      </c>
      <c r="M23">
        <v>64.239999999999995</v>
      </c>
      <c r="N23">
        <v>20.056899999999999</v>
      </c>
      <c r="O23">
        <v>20.054099999999998</v>
      </c>
    </row>
    <row r="24" spans="1:15" x14ac:dyDescent="0.3">
      <c r="H24">
        <f>(SUMSQ(H3-H23,H4-H23,H5-H23,H6-H23,H7-H23,H8-H23,H9-H23,H10-H23,H11-H23,H12-H23,H13-H23,H14-H23,H15-H23,H16-H23,H17-H23,H18-H23,H19-H23,H20-H23,H21-H23,H22-H23)/19)^0.5</f>
        <v>4.609075715083245E-3</v>
      </c>
      <c r="J24" t="s">
        <v>33</v>
      </c>
      <c r="K24">
        <f>D8*C8/1000/5+2*D8*E15/100</f>
        <v>126.067666563456</v>
      </c>
    </row>
    <row r="25" spans="1:15" x14ac:dyDescent="0.3">
      <c r="H25">
        <f>(H24^2+0.0001^2)^0.5</f>
        <v>4.6101604036486764E-3</v>
      </c>
      <c r="I25">
        <f>H25/10</f>
        <v>4.6101604036486766E-4</v>
      </c>
      <c r="J25" t="s">
        <v>34</v>
      </c>
      <c r="K25">
        <f>2*D8*E15/100</f>
        <v>125.74164057215999</v>
      </c>
    </row>
    <row r="27" spans="1:15" x14ac:dyDescent="0.3">
      <c r="G27" t="s">
        <v>37</v>
      </c>
      <c r="J27" t="s">
        <v>35</v>
      </c>
      <c r="M27" t="s">
        <v>36</v>
      </c>
    </row>
    <row r="28" spans="1:15" x14ac:dyDescent="0.3">
      <c r="G28">
        <f>D8+E8</f>
        <v>62.772919999999992</v>
      </c>
      <c r="H28">
        <f>SUMSQ(D10,E10)^0.5</f>
        <v>2.7748873850977742E-4</v>
      </c>
      <c r="J28">
        <f>D8*(E15/100)^2</f>
        <v>63.490978057381895</v>
      </c>
      <c r="K28">
        <f>J28*(SUMSQ(2*F15/E15,D10/D8)^0.5)</f>
        <v>0.25176657796950763</v>
      </c>
      <c r="M28">
        <f>(2*3.1415926536/I23)^2*J20/G28/J11</f>
        <v>9.8989903201763045</v>
      </c>
      <c r="N28">
        <f>M28*SUMSQ(2*I25/I23,K20/J20,H28/G28,K11/J11)^0.5</f>
        <v>4.4174367406646937E-2</v>
      </c>
    </row>
    <row r="36" spans="1:3" x14ac:dyDescent="0.3">
      <c r="A36" s="1" t="s">
        <v>15</v>
      </c>
      <c r="B36" s="1" t="s">
        <v>16</v>
      </c>
      <c r="C36" s="1" t="s">
        <v>17</v>
      </c>
    </row>
    <row r="37" spans="1:3" x14ac:dyDescent="0.3">
      <c r="A37" s="1" t="s">
        <v>18</v>
      </c>
      <c r="B37" s="1" t="s">
        <v>23</v>
      </c>
      <c r="C37" s="1" t="s">
        <v>19</v>
      </c>
    </row>
    <row r="38" spans="1:3" x14ac:dyDescent="0.3">
      <c r="A38" s="1" t="s">
        <v>20</v>
      </c>
      <c r="B38" s="1">
        <v>996</v>
      </c>
      <c r="C38" s="1" t="s">
        <v>21</v>
      </c>
    </row>
    <row r="39" spans="1:3" x14ac:dyDescent="0.3">
      <c r="A39" s="1" t="s">
        <v>22</v>
      </c>
      <c r="B39" s="2">
        <v>0.24399999999999999</v>
      </c>
      <c r="C39" s="2">
        <v>2.5000000000000001E-2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cp:lastPrinted>2025-04-07T14:42:38Z</cp:lastPrinted>
  <dcterms:created xsi:type="dcterms:W3CDTF">2025-04-07T11:53:06Z</dcterms:created>
  <dcterms:modified xsi:type="dcterms:W3CDTF">2025-04-14T11:45:49Z</dcterms:modified>
</cp:coreProperties>
</file>