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emec\david\school\praktika\uloha26\"/>
    </mc:Choice>
  </mc:AlternateContent>
  <xr:revisionPtr revIDLastSave="0" documentId="13_ncr:1_{205BA5A4-4FB1-4A45-9DF0-CB2C697DE68B}" xr6:coauthVersionLast="47" xr6:coauthVersionMax="47" xr10:uidLastSave="{00000000-0000-0000-0000-000000000000}"/>
  <bookViews>
    <workbookView xWindow="-108" yWindow="-108" windowWidth="23256" windowHeight="12456" xr2:uid="{FC616D70-4F2F-4504-8E2C-2C67408ED36D}"/>
  </bookViews>
  <sheets>
    <sheet name="List1" sheetId="1" r:id="rId1"/>
    <sheet name="Lis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14" i="1"/>
  <c r="C13" i="1"/>
  <c r="C12" i="1"/>
  <c r="C11" i="1"/>
  <c r="C9" i="1"/>
  <c r="C10" i="1"/>
  <c r="C8" i="1"/>
  <c r="C7" i="1"/>
  <c r="C4" i="1"/>
  <c r="C5" i="1"/>
  <c r="C6" i="1"/>
  <c r="C3" i="1"/>
  <c r="C16" i="1" s="1"/>
  <c r="Z4" i="1"/>
  <c r="Z5" i="1"/>
  <c r="Z6" i="1"/>
  <c r="Z7" i="1"/>
  <c r="Z8" i="1"/>
  <c r="Z3" i="1"/>
  <c r="M3" i="1"/>
  <c r="M4" i="1"/>
  <c r="M5" i="1"/>
  <c r="M6" i="1"/>
  <c r="M7" i="1"/>
  <c r="M2" i="1"/>
  <c r="B26" i="1"/>
  <c r="F7" i="1" l="1"/>
  <c r="F6" i="1"/>
  <c r="F5" i="1"/>
  <c r="S6" i="1" s="1"/>
  <c r="T6" i="1" s="1"/>
  <c r="Q31" i="1" s="1"/>
  <c r="F4" i="1"/>
  <c r="F3" i="1"/>
  <c r="F2" i="1"/>
  <c r="C17" i="1"/>
  <c r="I6" i="1"/>
  <c r="B27" i="1"/>
  <c r="V8" i="1"/>
  <c r="R33" i="1" s="1"/>
  <c r="V7" i="1"/>
  <c r="R32" i="1" s="1"/>
  <c r="V6" i="1"/>
  <c r="R31" i="1" s="1"/>
  <c r="V5" i="1"/>
  <c r="R30" i="1" s="1"/>
  <c r="V4" i="1"/>
  <c r="R29" i="1" s="1"/>
  <c r="B28" i="1"/>
  <c r="G5" i="1"/>
  <c r="G32" i="1" s="1"/>
  <c r="I5" i="1"/>
  <c r="I4" i="1"/>
  <c r="I3" i="1"/>
  <c r="V3" i="1"/>
  <c r="R28" i="1" s="1"/>
  <c r="I2" i="1"/>
  <c r="I7" i="1"/>
  <c r="K5" i="1" l="1"/>
  <c r="K6" i="1"/>
  <c r="K7" i="1"/>
  <c r="K2" i="1"/>
  <c r="X3" i="1" s="1"/>
  <c r="K3" i="1"/>
  <c r="S4" i="1"/>
  <c r="T4" i="1" s="1"/>
  <c r="Q29" i="1" s="1"/>
  <c r="G3" i="1"/>
  <c r="K4" i="1"/>
  <c r="L4" i="1" s="1"/>
  <c r="S5" i="1"/>
  <c r="T5" i="1" s="1"/>
  <c r="Q30" i="1" s="1"/>
  <c r="G4" i="1"/>
  <c r="G31" i="1" s="1"/>
  <c r="S7" i="1"/>
  <c r="T7" i="1" s="1"/>
  <c r="Q32" i="1" s="1"/>
  <c r="G6" i="1"/>
  <c r="S8" i="1"/>
  <c r="T8" i="1" s="1"/>
  <c r="Q33" i="1" s="1"/>
  <c r="G7" i="1"/>
  <c r="F32" i="1"/>
  <c r="B29" i="1"/>
  <c r="X7" i="1"/>
  <c r="L5" i="1"/>
  <c r="X6" i="1"/>
  <c r="Y6" i="1" s="1"/>
  <c r="S31" i="1" s="1"/>
  <c r="L3" i="1"/>
  <c r="X4" i="1"/>
  <c r="Y4" i="1" s="1"/>
  <c r="S29" i="1" s="1"/>
  <c r="G2" i="1"/>
  <c r="S3" i="1"/>
  <c r="T3" i="1" s="1"/>
  <c r="L2" i="1"/>
  <c r="G34" i="1" l="1"/>
  <c r="F34" i="1"/>
  <c r="G33" i="1"/>
  <c r="F33" i="1"/>
  <c r="G30" i="1"/>
  <c r="F30" i="1"/>
  <c r="F31" i="1"/>
  <c r="Y7" i="1"/>
  <c r="S32" i="1" s="1"/>
  <c r="L6" i="1"/>
  <c r="H33" i="1" s="1"/>
  <c r="X8" i="1"/>
  <c r="Y8" i="1" s="1"/>
  <c r="S33" i="1" s="1"/>
  <c r="L7" i="1"/>
  <c r="X5" i="1"/>
  <c r="Y5" i="1" s="1"/>
  <c r="S30" i="1" s="1"/>
  <c r="AA3" i="1"/>
  <c r="T28" i="1" s="1"/>
  <c r="AA8" i="1"/>
  <c r="T33" i="1" s="1"/>
  <c r="AA6" i="1"/>
  <c r="T31" i="1" s="1"/>
  <c r="N3" i="1"/>
  <c r="I30" i="1" s="1"/>
  <c r="AA7" i="1"/>
  <c r="T32" i="1" s="1"/>
  <c r="AA4" i="1"/>
  <c r="T29" i="1" s="1"/>
  <c r="AA5" i="1"/>
  <c r="T30" i="1" s="1"/>
  <c r="N4" i="1"/>
  <c r="N2" i="1"/>
  <c r="N6" i="1"/>
  <c r="N5" i="1"/>
  <c r="I32" i="1" s="1"/>
  <c r="N7" i="1"/>
  <c r="H31" i="1"/>
  <c r="I31" i="1"/>
  <c r="H30" i="1"/>
  <c r="H32" i="1"/>
  <c r="Y3" i="1"/>
  <c r="Q28" i="1"/>
  <c r="S28" i="1" s="1"/>
  <c r="G29" i="1"/>
  <c r="F29" i="1"/>
  <c r="H29" i="1" s="1"/>
  <c r="I34" i="1" l="1"/>
  <c r="I33" i="1"/>
  <c r="I29" i="1"/>
  <c r="H34" i="1"/>
</calcChain>
</file>

<file path=xl/sharedStrings.xml><?xml version="1.0" encoding="utf-8"?>
<sst xmlns="http://schemas.openxmlformats.org/spreadsheetml/2006/main" count="76" uniqueCount="29">
  <si>
    <t>V (ml)</t>
  </si>
  <si>
    <t>m (g)</t>
  </si>
  <si>
    <t>přesnost pipety</t>
  </si>
  <si>
    <t>destilovaná voda</t>
  </si>
  <si>
    <t>teplota (°C)</t>
  </si>
  <si>
    <t>měrná vodivost (10^-6 S/cm)</t>
  </si>
  <si>
    <t>HCl</t>
  </si>
  <si>
    <t>CH3COOH</t>
  </si>
  <si>
    <t>vodivost (10^-6 S/cm)</t>
  </si>
  <si>
    <t>molární vodivost HCl</t>
  </si>
  <si>
    <t>odmocninová závislost vodivosti CH3COOH</t>
  </si>
  <si>
    <t>sqrt(c) (mol/l)^(1/2)</t>
  </si>
  <si>
    <t>lambda 0 = 337 S*cm^2/mol</t>
  </si>
  <si>
    <t>stat. nejistota</t>
  </si>
  <si>
    <t>celkova</t>
  </si>
  <si>
    <t>c zas. mol/l</t>
  </si>
  <si>
    <t>nej. meridla</t>
  </si>
  <si>
    <t>nejistota c</t>
  </si>
  <si>
    <t>nejistota sigma</t>
  </si>
  <si>
    <t>molární vodivost (S*cm^2/mol)</t>
  </si>
  <si>
    <t>nejistota sqrt©</t>
  </si>
  <si>
    <t>nejistota lambda</t>
  </si>
  <si>
    <t>nejistota V</t>
  </si>
  <si>
    <t>c (mmol/l)</t>
  </si>
  <si>
    <t>sqrt(c) (mmol/l)^(1/2)</t>
  </si>
  <si>
    <t>prumer</t>
  </si>
  <si>
    <t>nejistota</t>
  </si>
  <si>
    <t>číslo vzorku</t>
  </si>
  <si>
    <t>číslo měření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</si>
</sst>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Měrná </a:t>
            </a:r>
            <a:r>
              <a:rPr lang="en-US"/>
              <a:t>vodivost </a:t>
            </a:r>
            <a:r>
              <a:rPr lang="cs-CZ"/>
              <a:t>HCl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List1!$H$1</c:f>
              <c:strCache>
                <c:ptCount val="1"/>
                <c:pt idx="0">
                  <c:v>vodivost (10^-6 S/cm)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List1!$G$2:$G$7</c:f>
              <c:numCache>
                <c:formatCode>General</c:formatCode>
                <c:ptCount val="6"/>
                <c:pt idx="0">
                  <c:v>0.10215441025641026</c:v>
                </c:pt>
                <c:pt idx="1">
                  <c:v>0.20430882051282051</c:v>
                </c:pt>
                <c:pt idx="2">
                  <c:v>0.40861764102564102</c:v>
                </c:pt>
                <c:pt idx="3">
                  <c:v>0.61292646153846153</c:v>
                </c:pt>
                <c:pt idx="4">
                  <c:v>0.81723528205128204</c:v>
                </c:pt>
                <c:pt idx="5">
                  <c:v>1.0215441025641026</c:v>
                </c:pt>
              </c:numCache>
            </c:numRef>
          </c:xVal>
          <c:yVal>
            <c:numRef>
              <c:f>List1!$I$2:$I$7</c:f>
              <c:numCache>
                <c:formatCode>General</c:formatCode>
                <c:ptCount val="6"/>
                <c:pt idx="0">
                  <c:v>31.811999999999998</c:v>
                </c:pt>
                <c:pt idx="1">
                  <c:v>65.212000000000003</c:v>
                </c:pt>
                <c:pt idx="2">
                  <c:v>128.21199999999999</c:v>
                </c:pt>
                <c:pt idx="3">
                  <c:v>195.61199999999999</c:v>
                </c:pt>
                <c:pt idx="4">
                  <c:v>258.012</c:v>
                </c:pt>
                <c:pt idx="5">
                  <c:v>312.012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78-482A-B476-30E21F166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050703"/>
        <c:axId val="1828049263"/>
      </c:scatterChart>
      <c:valAx>
        <c:axId val="1828050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00" b="0" i="0" u="none" strike="noStrike" baseline="0">
                    <a:effectLst/>
                  </a:rPr>
                  <a:t>c / (mmol/l) 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28049263"/>
        <c:crosses val="autoZero"/>
        <c:crossBetween val="midCat"/>
      </c:valAx>
      <c:valAx>
        <c:axId val="182804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sigma / (10^-6 S/cm)</a:t>
                </a:r>
              </a:p>
            </c:rich>
          </c:tx>
          <c:layout>
            <c:manualLayout>
              <c:xMode val="edge"/>
              <c:yMode val="edge"/>
              <c:x val="3.2505910165484632E-2"/>
              <c:y val="0.284437239462714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28050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Měrná</a:t>
            </a:r>
            <a:r>
              <a:rPr lang="cs-CZ" baseline="0"/>
              <a:t> vodivost CH3COOH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List1!$T$3:$T$8</c:f>
              <c:numCache>
                <c:formatCode>General</c:formatCode>
                <c:ptCount val="6"/>
                <c:pt idx="0">
                  <c:v>0.51077205128205128</c:v>
                </c:pt>
                <c:pt idx="1">
                  <c:v>1.0215441025641026</c:v>
                </c:pt>
                <c:pt idx="2">
                  <c:v>2.0430882051282051</c:v>
                </c:pt>
                <c:pt idx="3">
                  <c:v>3.0646323076923077</c:v>
                </c:pt>
                <c:pt idx="4">
                  <c:v>4.0861764102564102</c:v>
                </c:pt>
                <c:pt idx="5">
                  <c:v>5.1077205128205128</c:v>
                </c:pt>
              </c:numCache>
            </c:numRef>
          </c:xVal>
          <c:yVal>
            <c:numRef>
              <c:f>List1!$U$3:$U$8</c:f>
              <c:numCache>
                <c:formatCode>General</c:formatCode>
                <c:ptCount val="6"/>
                <c:pt idx="0">
                  <c:v>26.7</c:v>
                </c:pt>
                <c:pt idx="1">
                  <c:v>38.799999999999997</c:v>
                </c:pt>
                <c:pt idx="2">
                  <c:v>55.1</c:v>
                </c:pt>
                <c:pt idx="3">
                  <c:v>69.5</c:v>
                </c:pt>
                <c:pt idx="4">
                  <c:v>80.400000000000006</c:v>
                </c:pt>
                <c:pt idx="5">
                  <c:v>89.4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55-462B-A5C0-36E86B262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171679"/>
        <c:axId val="1838171199"/>
      </c:scatterChart>
      <c:valAx>
        <c:axId val="1838171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c / (mmol/l) </a:t>
                </a:r>
                <a:endParaRPr lang="cs-CZ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38171199"/>
        <c:crosses val="autoZero"/>
        <c:crossBetween val="midCat"/>
      </c:valAx>
      <c:valAx>
        <c:axId val="183817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sigma / (10^-6 S/cm)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291323272090988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38171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Molární vodivost</a:t>
            </a:r>
            <a:r>
              <a:rPr lang="cs-CZ" baseline="0"/>
              <a:t> HCl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List1!$I$29</c:f>
                <c:numCache>
                  <c:formatCode>General</c:formatCode>
                  <c:ptCount val="1"/>
                  <c:pt idx="0">
                    <c:v>5.2687391516333015</c:v>
                  </c:pt>
                </c:numCache>
              </c:numRef>
            </c:plus>
            <c:minus>
              <c:numRef>
                <c:f>List1!$I$29</c:f>
                <c:numCache>
                  <c:formatCode>General</c:formatCode>
                  <c:ptCount val="1"/>
                  <c:pt idx="0">
                    <c:v>5.2687391516333015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List1!$H$30</c:f>
                <c:numCache>
                  <c:formatCode>General</c:formatCode>
                  <c:ptCount val="1"/>
                  <c:pt idx="0">
                    <c:v>7.0348254057865239E-3</c:v>
                  </c:pt>
                </c:numCache>
              </c:numRef>
            </c:plus>
            <c:minus>
              <c:numRef>
                <c:f>List1!$H$30</c:f>
                <c:numCache>
                  <c:formatCode>General</c:formatCode>
                  <c:ptCount val="1"/>
                  <c:pt idx="0">
                    <c:v>7.0348254057865239E-3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List1!$F$29:$F$34</c:f>
              <c:numCache>
                <c:formatCode>General</c:formatCode>
                <c:ptCount val="6"/>
                <c:pt idx="0">
                  <c:v>0.31961603566844116</c:v>
                </c:pt>
                <c:pt idx="1">
                  <c:v>0.45200533239423241</c:v>
                </c:pt>
                <c:pt idx="2">
                  <c:v>0.63923207133688231</c:v>
                </c:pt>
                <c:pt idx="3">
                  <c:v>0.78289620099886903</c:v>
                </c:pt>
                <c:pt idx="4">
                  <c:v>0.90401066478846481</c:v>
                </c:pt>
                <c:pt idx="5">
                  <c:v>1.0107146494258914</c:v>
                </c:pt>
              </c:numCache>
            </c:numRef>
          </c:xVal>
          <c:yVal>
            <c:numRef>
              <c:f>List1!$G$29:$G$34</c:f>
              <c:numCache>
                <c:formatCode>General</c:formatCode>
                <c:ptCount val="6"/>
                <c:pt idx="0">
                  <c:v>321.08256430310877</c:v>
                </c:pt>
                <c:pt idx="1">
                  <c:v>324.01929507417378</c:v>
                </c:pt>
                <c:pt idx="2">
                  <c:v>316.18801301800039</c:v>
                </c:pt>
                <c:pt idx="3">
                  <c:v>320.75626088410155</c:v>
                </c:pt>
                <c:pt idx="4">
                  <c:v>316.92219571076669</c:v>
                </c:pt>
                <c:pt idx="5">
                  <c:v>306.39891044778369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24-4457-9F48-80ADA5895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244495"/>
        <c:axId val="1838238735"/>
      </c:scatterChart>
      <c:valAx>
        <c:axId val="183824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sqrt(c) / (mol/l)^(1/2)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38238735"/>
        <c:crosses val="autoZero"/>
        <c:crossBetween val="midCat"/>
      </c:valAx>
      <c:valAx>
        <c:axId val="183823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molární vodivost (S*cm^2/mol)</a:t>
                </a:r>
              </a:p>
            </c:rich>
          </c:tx>
          <c:layout>
            <c:manualLayout>
              <c:xMode val="edge"/>
              <c:yMode val="edge"/>
              <c:x val="2.5073171363447989E-2"/>
              <c:y val="0.164629629629629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3824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Měrná</a:t>
            </a:r>
            <a:r>
              <a:rPr lang="cs-CZ" baseline="0"/>
              <a:t> v</a:t>
            </a:r>
            <a:r>
              <a:rPr lang="cs-CZ"/>
              <a:t>odivost</a:t>
            </a:r>
            <a:r>
              <a:rPr lang="cs-CZ" baseline="0"/>
              <a:t> CH3COOH</a:t>
            </a:r>
            <a:endParaRPr lang="en-US"/>
          </a:p>
        </c:rich>
      </c:tx>
      <c:layout>
        <c:manualLayout>
          <c:xMode val="edge"/>
          <c:yMode val="edge"/>
          <c:x val="0.33407113173353326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List1!$R$27</c:f>
              <c:strCache>
                <c:ptCount val="1"/>
                <c:pt idx="0">
                  <c:v>vodivost (10^-6 S/cm)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List1!$Q$28:$Q$33</c:f>
              <c:numCache>
                <c:formatCode>General</c:formatCode>
                <c:ptCount val="6"/>
                <c:pt idx="0">
                  <c:v>0.71468318245363183</c:v>
                </c:pt>
                <c:pt idx="1">
                  <c:v>1.0107146494258914</c:v>
                </c:pt>
                <c:pt idx="2">
                  <c:v>1.4293663649072637</c:v>
                </c:pt>
                <c:pt idx="3">
                  <c:v>1.7506091247598099</c:v>
                </c:pt>
                <c:pt idx="4">
                  <c:v>2.0214292988517828</c:v>
                </c:pt>
                <c:pt idx="5">
                  <c:v>2.2600266619711618</c:v>
                </c:pt>
              </c:numCache>
            </c:numRef>
          </c:xVal>
          <c:yVal>
            <c:numRef>
              <c:f>List1!$R$28:$R$33</c:f>
              <c:numCache>
                <c:formatCode>General</c:formatCode>
                <c:ptCount val="6"/>
                <c:pt idx="0">
                  <c:v>25.712</c:v>
                </c:pt>
                <c:pt idx="1">
                  <c:v>37.811999999999998</c:v>
                </c:pt>
                <c:pt idx="2">
                  <c:v>54.112000000000002</c:v>
                </c:pt>
                <c:pt idx="3">
                  <c:v>68.512</c:v>
                </c:pt>
                <c:pt idx="4">
                  <c:v>79.412000000000006</c:v>
                </c:pt>
                <c:pt idx="5">
                  <c:v>88.412000000000006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7C-4CD0-AA55-58CF125E6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444191"/>
        <c:axId val="1837445151"/>
      </c:scatterChart>
      <c:valAx>
        <c:axId val="1837444191"/>
        <c:scaling>
          <c:orientation val="minMax"/>
          <c:min val="2.0000000000000004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sqrt(c) / (mol/l)^(1/2)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37445151"/>
        <c:crosses val="autoZero"/>
        <c:crossBetween val="midCat"/>
      </c:valAx>
      <c:valAx>
        <c:axId val="183744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sigma / (10^-6 S/cm)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3744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464820</xdr:colOff>
      <xdr:row>8</xdr:row>
      <xdr:rowOff>137160</xdr:rowOff>
    </xdr:from>
    <xdr:to>
      <xdr:col>9</xdr:col>
      <xdr:colOff>228600</xdr:colOff>
      <xdr:row>21</xdr:row>
      <xdr:rowOff>53340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4AEF4D3A-4D48-B9BB-CA68-7F1F52C3CF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281940</xdr:colOff>
      <xdr:row>8</xdr:row>
      <xdr:rowOff>57150</xdr:rowOff>
    </xdr:from>
    <xdr:to>
      <xdr:col>24</xdr:col>
      <xdr:colOff>586740</xdr:colOff>
      <xdr:row>23</xdr:row>
      <xdr:rowOff>57150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3B82B06A-F230-9D6C-4365-722321A6F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419100</xdr:colOff>
      <xdr:row>34</xdr:row>
      <xdr:rowOff>72390</xdr:rowOff>
    </xdr:from>
    <xdr:to>
      <xdr:col>11</xdr:col>
      <xdr:colOff>335280</xdr:colOff>
      <xdr:row>49</xdr:row>
      <xdr:rowOff>72390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7FD12F01-CC5E-C4FE-4450-80EB389701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175260</xdr:colOff>
      <xdr:row>34</xdr:row>
      <xdr:rowOff>64770</xdr:rowOff>
    </xdr:from>
    <xdr:to>
      <xdr:col>22</xdr:col>
      <xdr:colOff>419100</xdr:colOff>
      <xdr:row>49</xdr:row>
      <xdr:rowOff>64770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487C3AEF-6B76-E11D-01B8-CDAD41326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5151B-205D-44F7-BA8D-FE2B8A23E7C1}">
  <dimension ref="A1:AA45"/>
  <sheetViews>
    <sheetView tabSelected="1" zoomScaleNormal="100" zoomScaleSheetLayoutView="89" workbookViewId="0">
      <selection activeCell="K28" sqref="K28"/>
    </sheetView>
  </sheetViews>
  <sheetFormatPr defaultRowHeight="14.4" x14ac:dyDescent="0.3"/>
  <cols>
    <col min="3" max="3" width="11.21875" bestFit="1" customWidth="1"/>
    <col min="6" max="6" width="14.5546875" customWidth="1"/>
    <col min="8" max="8" width="12" bestFit="1" customWidth="1"/>
    <col min="10" max="11" width="9.77734375" customWidth="1"/>
    <col min="12" max="12" width="16.88671875" customWidth="1"/>
  </cols>
  <sheetData>
    <row r="1" spans="1:27" x14ac:dyDescent="0.3">
      <c r="A1" t="s">
        <v>2</v>
      </c>
      <c r="D1" t="s">
        <v>15</v>
      </c>
      <c r="E1" t="s">
        <v>6</v>
      </c>
      <c r="F1" t="s">
        <v>0</v>
      </c>
      <c r="G1" t="s">
        <v>23</v>
      </c>
      <c r="H1" t="s">
        <v>8</v>
      </c>
      <c r="J1" t="s">
        <v>4</v>
      </c>
      <c r="K1" t="s">
        <v>22</v>
      </c>
      <c r="L1" t="s">
        <v>17</v>
      </c>
      <c r="M1" t="s">
        <v>18</v>
      </c>
    </row>
    <row r="2" spans="1:27" x14ac:dyDescent="0.3">
      <c r="A2" t="s">
        <v>0</v>
      </c>
      <c r="B2" t="s">
        <v>1</v>
      </c>
      <c r="D2">
        <v>0.01</v>
      </c>
      <c r="E2">
        <v>1</v>
      </c>
      <c r="F2">
        <f>C16</f>
        <v>1.0215441025641026</v>
      </c>
      <c r="G2">
        <f>$D$2*F2*10</f>
        <v>0.10215441025641026</v>
      </c>
      <c r="H2">
        <v>32.799999999999997</v>
      </c>
      <c r="I2">
        <f>H2-$B$26</f>
        <v>31.811999999999998</v>
      </c>
      <c r="J2">
        <v>21.6</v>
      </c>
      <c r="K2">
        <f>$C$17/$C$16*F2</f>
        <v>1.5898892979389644E-2</v>
      </c>
      <c r="L2">
        <f>K2/F2*G2</f>
        <v>1.5898892979389642E-3</v>
      </c>
      <c r="M2">
        <f>0.005*H2</f>
        <v>0.16399999999999998</v>
      </c>
      <c r="N2">
        <f>SQRT(SUMSQ(M2,$B$29))</f>
        <v>0.170559091226472</v>
      </c>
      <c r="Q2" t="s">
        <v>15</v>
      </c>
      <c r="R2" t="s">
        <v>7</v>
      </c>
      <c r="S2" t="s">
        <v>0</v>
      </c>
      <c r="T2" t="s">
        <v>23</v>
      </c>
      <c r="U2" t="s">
        <v>8</v>
      </c>
      <c r="W2" t="s">
        <v>4</v>
      </c>
      <c r="X2" t="s">
        <v>22</v>
      </c>
      <c r="Y2" t="s">
        <v>17</v>
      </c>
      <c r="Z2" t="s">
        <v>18</v>
      </c>
    </row>
    <row r="3" spans="1:27" x14ac:dyDescent="0.3">
      <c r="A3">
        <v>1</v>
      </c>
      <c r="B3">
        <v>1.0467</v>
      </c>
      <c r="C3">
        <f>B3</f>
        <v>1.0467</v>
      </c>
      <c r="E3">
        <v>2</v>
      </c>
      <c r="F3">
        <f>2*C16</f>
        <v>2.0430882051282051</v>
      </c>
      <c r="G3">
        <f t="shared" ref="G3:G7" si="0">$D$2*F3*10</f>
        <v>0.20430882051282051</v>
      </c>
      <c r="H3">
        <v>66.2</v>
      </c>
      <c r="I3">
        <f>H3-$B$26</f>
        <v>65.212000000000003</v>
      </c>
      <c r="J3">
        <v>21.6</v>
      </c>
      <c r="K3">
        <f t="shared" ref="K3:K7" si="1">$C$17/$C$16*F3</f>
        <v>3.1797785958779287E-2</v>
      </c>
      <c r="L3">
        <f t="shared" ref="L3:L7" si="2">K3/F3*G3</f>
        <v>3.1797785958779285E-3</v>
      </c>
      <c r="M3">
        <f t="shared" ref="M3:M7" si="3">0.005*H3</f>
        <v>0.33100000000000002</v>
      </c>
      <c r="N3">
        <f>SQRT(SUMSQ(M3,$B$29))</f>
        <v>0.33429837510822574</v>
      </c>
      <c r="Q3">
        <v>0.05</v>
      </c>
      <c r="R3">
        <v>1</v>
      </c>
      <c r="S3">
        <f>F2</f>
        <v>1.0215441025641026</v>
      </c>
      <c r="T3">
        <f>$Q$3*S3*10</f>
        <v>0.51077205128205128</v>
      </c>
      <c r="U3">
        <v>26.7</v>
      </c>
      <c r="V3">
        <f>U3-$B$26</f>
        <v>25.712</v>
      </c>
      <c r="W3">
        <v>21.4</v>
      </c>
      <c r="X3">
        <f>K2</f>
        <v>1.5898892979389644E-2</v>
      </c>
      <c r="Y3">
        <f>X3/S3*T3</f>
        <v>7.9494464896948218E-3</v>
      </c>
      <c r="Z3">
        <f>0.005*U3</f>
        <v>0.13350000000000001</v>
      </c>
      <c r="AA3">
        <f>SQRT(SUMSQ(Z3,$B$29))</f>
        <v>0.14148022335294783</v>
      </c>
    </row>
    <row r="4" spans="1:27" x14ac:dyDescent="0.3">
      <c r="A4">
        <v>1</v>
      </c>
      <c r="B4">
        <v>1.0462</v>
      </c>
      <c r="C4">
        <f t="shared" ref="C4:C6" si="4">B4</f>
        <v>1.0462</v>
      </c>
      <c r="E4">
        <v>3</v>
      </c>
      <c r="F4">
        <f>4*C16</f>
        <v>4.0861764102564102</v>
      </c>
      <c r="G4">
        <f t="shared" si="0"/>
        <v>0.40861764102564102</v>
      </c>
      <c r="H4">
        <v>129.19999999999999</v>
      </c>
      <c r="I4">
        <f>H4-$B$26</f>
        <v>128.21199999999999</v>
      </c>
      <c r="J4">
        <v>21.5</v>
      </c>
      <c r="K4">
        <f t="shared" si="1"/>
        <v>6.3595571917558574E-2</v>
      </c>
      <c r="L4">
        <f t="shared" si="2"/>
        <v>6.3595571917558569E-3</v>
      </c>
      <c r="M4">
        <f t="shared" si="3"/>
        <v>0.64599999999999991</v>
      </c>
      <c r="N4">
        <f>SQRT(SUMSQ(M4,$B$29))</f>
        <v>0.64769622787229497</v>
      </c>
      <c r="R4">
        <v>2</v>
      </c>
      <c r="S4">
        <f t="shared" ref="S4:S8" si="5">F3</f>
        <v>2.0430882051282051</v>
      </c>
      <c r="T4">
        <f t="shared" ref="T4:T8" si="6">$Q$3*S4*10</f>
        <v>1.0215441025641026</v>
      </c>
      <c r="U4">
        <v>38.799999999999997</v>
      </c>
      <c r="V4">
        <f>U4-$B$26</f>
        <v>37.811999999999998</v>
      </c>
      <c r="W4">
        <v>21.6</v>
      </c>
      <c r="X4">
        <f t="shared" ref="X4:X8" si="7">K3</f>
        <v>3.1797785958779287E-2</v>
      </c>
      <c r="Y4">
        <f t="shared" ref="Y4:Y8" si="8">X4/S4*T4</f>
        <v>1.5898892979389644E-2</v>
      </c>
      <c r="Z4">
        <f t="shared" ref="Z4:Z8" si="9">0.005*U4</f>
        <v>0.19399999999999998</v>
      </c>
      <c r="AA4">
        <f>SQRT(SUMSQ(Z4,$B$29))</f>
        <v>0.19957555862379539</v>
      </c>
    </row>
    <row r="5" spans="1:27" x14ac:dyDescent="0.3">
      <c r="A5">
        <v>1</v>
      </c>
      <c r="B5">
        <v>1.0419</v>
      </c>
      <c r="C5">
        <f t="shared" si="4"/>
        <v>1.0419</v>
      </c>
      <c r="E5">
        <v>4</v>
      </c>
      <c r="F5">
        <f>6*C16</f>
        <v>6.1292646153846153</v>
      </c>
      <c r="G5">
        <f t="shared" si="0"/>
        <v>0.61292646153846153</v>
      </c>
      <c r="H5">
        <v>196.6</v>
      </c>
      <c r="I5">
        <f>H5-$B$26</f>
        <v>195.61199999999999</v>
      </c>
      <c r="J5">
        <v>21.5</v>
      </c>
      <c r="K5">
        <f t="shared" si="1"/>
        <v>9.5393357876337861E-2</v>
      </c>
      <c r="L5">
        <f t="shared" si="2"/>
        <v>9.5393357876337858E-3</v>
      </c>
      <c r="M5">
        <f t="shared" si="3"/>
        <v>0.98299999999999998</v>
      </c>
      <c r="N5">
        <f>SQRT(SUMSQ(M5,$B$29))</f>
        <v>0.98411554382602862</v>
      </c>
      <c r="R5">
        <v>3</v>
      </c>
      <c r="S5">
        <f t="shared" si="5"/>
        <v>4.0861764102564102</v>
      </c>
      <c r="T5">
        <f t="shared" si="6"/>
        <v>2.0430882051282051</v>
      </c>
      <c r="U5">
        <v>55.1</v>
      </c>
      <c r="V5">
        <f>U5-$B$26</f>
        <v>54.112000000000002</v>
      </c>
      <c r="W5">
        <v>21.4</v>
      </c>
      <c r="X5">
        <f t="shared" si="7"/>
        <v>6.3595571917558574E-2</v>
      </c>
      <c r="Y5">
        <f t="shared" si="8"/>
        <v>3.1797785958779287E-2</v>
      </c>
      <c r="Z5">
        <f t="shared" si="9"/>
        <v>0.27550000000000002</v>
      </c>
      <c r="AA5">
        <f>SQRT(SUMSQ(Z5,$B$29))</f>
        <v>0.27945420662426967</v>
      </c>
    </row>
    <row r="6" spans="1:27" x14ac:dyDescent="0.3">
      <c r="A6">
        <v>1</v>
      </c>
      <c r="B6">
        <v>1.0362</v>
      </c>
      <c r="C6">
        <f t="shared" si="4"/>
        <v>1.0362</v>
      </c>
      <c r="E6">
        <v>5</v>
      </c>
      <c r="F6">
        <f>8*C16</f>
        <v>8.1723528205128204</v>
      </c>
      <c r="G6">
        <f t="shared" si="0"/>
        <v>0.81723528205128204</v>
      </c>
      <c r="H6">
        <v>259</v>
      </c>
      <c r="I6">
        <f>H6-$B$26</f>
        <v>258.012</v>
      </c>
      <c r="J6">
        <v>21.4</v>
      </c>
      <c r="K6">
        <f t="shared" si="1"/>
        <v>0.12719114383511715</v>
      </c>
      <c r="L6">
        <f t="shared" si="2"/>
        <v>1.2719114383511714E-2</v>
      </c>
      <c r="M6">
        <f t="shared" si="3"/>
        <v>1.2949999999999999</v>
      </c>
      <c r="N6">
        <f>SQRT(SUMSQ(M6,$B$29))</f>
        <v>1.2958469830963839</v>
      </c>
      <c r="R6">
        <v>4</v>
      </c>
      <c r="S6">
        <f t="shared" si="5"/>
        <v>6.1292646153846153</v>
      </c>
      <c r="T6">
        <f t="shared" si="6"/>
        <v>3.0646323076923077</v>
      </c>
      <c r="U6">
        <v>69.5</v>
      </c>
      <c r="V6">
        <f>U6-$B$26</f>
        <v>68.512</v>
      </c>
      <c r="W6">
        <v>21.6</v>
      </c>
      <c r="X6">
        <f t="shared" si="7"/>
        <v>9.5393357876337861E-2</v>
      </c>
      <c r="Y6">
        <f t="shared" si="8"/>
        <v>4.7696678938168931E-2</v>
      </c>
      <c r="Z6">
        <f t="shared" si="9"/>
        <v>0.34750000000000003</v>
      </c>
      <c r="AA6">
        <f>SQRT(SUMSQ(Z6,$B$29))</f>
        <v>0.350643199848507</v>
      </c>
    </row>
    <row r="7" spans="1:27" x14ac:dyDescent="0.3">
      <c r="A7">
        <v>2</v>
      </c>
      <c r="B7">
        <v>2.0265</v>
      </c>
      <c r="C7">
        <f>B7/2</f>
        <v>1.01325</v>
      </c>
      <c r="E7">
        <v>6</v>
      </c>
      <c r="F7">
        <f>10*C16</f>
        <v>10.215441025641026</v>
      </c>
      <c r="G7">
        <f t="shared" si="0"/>
        <v>1.0215441025641026</v>
      </c>
      <c r="H7">
        <v>313</v>
      </c>
      <c r="I7">
        <f>H7-$B$26</f>
        <v>312.012</v>
      </c>
      <c r="J7">
        <v>21.3</v>
      </c>
      <c r="K7">
        <f t="shared" si="1"/>
        <v>0.15898892979389642</v>
      </c>
      <c r="L7">
        <f t="shared" si="2"/>
        <v>1.589889297938964E-2</v>
      </c>
      <c r="M7">
        <f t="shared" si="3"/>
        <v>1.5649999999999999</v>
      </c>
      <c r="N7">
        <f>SQRT(SUMSQ(M7,$B$29))</f>
        <v>1.5657009304461691</v>
      </c>
      <c r="R7">
        <v>5</v>
      </c>
      <c r="S7">
        <f t="shared" si="5"/>
        <v>8.1723528205128204</v>
      </c>
      <c r="T7">
        <f t="shared" si="6"/>
        <v>4.0861764102564102</v>
      </c>
      <c r="U7">
        <v>80.400000000000006</v>
      </c>
      <c r="V7">
        <f>U7-$B$26</f>
        <v>79.412000000000006</v>
      </c>
      <c r="W7">
        <v>21.4</v>
      </c>
      <c r="X7">
        <f t="shared" si="7"/>
        <v>0.12719114383511715</v>
      </c>
      <c r="Y7">
        <f t="shared" si="8"/>
        <v>6.3595571917558574E-2</v>
      </c>
      <c r="Z7">
        <f t="shared" si="9"/>
        <v>0.40200000000000002</v>
      </c>
      <c r="AA7">
        <f>SQRT(SUMSQ(Z7,$B$29))</f>
        <v>0.40472015467480743</v>
      </c>
    </row>
    <row r="8" spans="1:27" x14ac:dyDescent="0.3">
      <c r="A8">
        <v>2</v>
      </c>
      <c r="B8">
        <v>2.0251999999999999</v>
      </c>
      <c r="C8">
        <f>B8/2</f>
        <v>1.0125999999999999</v>
      </c>
      <c r="R8">
        <v>6</v>
      </c>
      <c r="S8">
        <f t="shared" si="5"/>
        <v>10.215441025641026</v>
      </c>
      <c r="T8">
        <f t="shared" si="6"/>
        <v>5.1077205128205128</v>
      </c>
      <c r="U8">
        <v>89.4</v>
      </c>
      <c r="V8">
        <f>U8-$B$26</f>
        <v>88.412000000000006</v>
      </c>
      <c r="W8">
        <v>21.5</v>
      </c>
      <c r="X8">
        <f t="shared" si="7"/>
        <v>0.15898892979389642</v>
      </c>
      <c r="Y8">
        <f t="shared" si="8"/>
        <v>7.9494464896948211E-2</v>
      </c>
      <c r="Z8">
        <f t="shared" si="9"/>
        <v>0.44700000000000006</v>
      </c>
      <c r="AA8">
        <f>SQRT(SUMSQ(Z8,$B$29))</f>
        <v>0.44944788752423798</v>
      </c>
    </row>
    <row r="9" spans="1:27" x14ac:dyDescent="0.3">
      <c r="A9">
        <v>2</v>
      </c>
      <c r="B9">
        <v>2.0470999999999999</v>
      </c>
      <c r="C9">
        <f t="shared" ref="C9:C10" si="10">B9/2</f>
        <v>1.02355</v>
      </c>
    </row>
    <row r="10" spans="1:27" x14ac:dyDescent="0.3">
      <c r="A10">
        <v>2</v>
      </c>
      <c r="B10">
        <v>2.0432999999999999</v>
      </c>
      <c r="C10">
        <f t="shared" si="10"/>
        <v>1.0216499999999999</v>
      </c>
    </row>
    <row r="11" spans="1:27" x14ac:dyDescent="0.3">
      <c r="A11">
        <v>3</v>
      </c>
      <c r="B11">
        <v>3.0133000000000001</v>
      </c>
      <c r="C11">
        <f>B11/3</f>
        <v>1.0044333333333333</v>
      </c>
    </row>
    <row r="12" spans="1:27" x14ac:dyDescent="0.3">
      <c r="A12">
        <v>4</v>
      </c>
      <c r="B12">
        <v>4.0475000000000003</v>
      </c>
      <c r="C12">
        <f>B12/4</f>
        <v>1.0118750000000001</v>
      </c>
    </row>
    <row r="13" spans="1:27" x14ac:dyDescent="0.3">
      <c r="A13">
        <v>4</v>
      </c>
      <c r="B13">
        <v>4.0391000000000004</v>
      </c>
      <c r="C13">
        <f>B13/4</f>
        <v>1.0097750000000001</v>
      </c>
    </row>
    <row r="14" spans="1:27" x14ac:dyDescent="0.3">
      <c r="A14">
        <v>5</v>
      </c>
      <c r="B14">
        <v>5.0327999999999999</v>
      </c>
      <c r="C14">
        <f>B14/5</f>
        <v>1.0065599999999999</v>
      </c>
    </row>
    <row r="15" spans="1:27" x14ac:dyDescent="0.3">
      <c r="A15">
        <v>5</v>
      </c>
      <c r="B15">
        <v>5.0269000000000004</v>
      </c>
      <c r="C15">
        <f>B15/5</f>
        <v>1.0053800000000002</v>
      </c>
    </row>
    <row r="16" spans="1:27" x14ac:dyDescent="0.3">
      <c r="B16" t="s">
        <v>25</v>
      </c>
      <c r="C16">
        <f>AVERAGE(C3:C15)</f>
        <v>1.0215441025641026</v>
      </c>
    </row>
    <row r="17" spans="1:20" x14ac:dyDescent="0.3">
      <c r="B17" t="s">
        <v>26</v>
      </c>
      <c r="C17">
        <f>SQRT(SUMSQ(C16-C15,C16-C14,C16-C13,C16-C12,C16-C11,C16-C10,C16-C9,C16-C8,C16-C7,C16-C6,C16-C5,C16-C4,C16-C3)/12)</f>
        <v>1.5898892979389644E-2</v>
      </c>
    </row>
    <row r="19" spans="1:20" x14ac:dyDescent="0.3">
      <c r="A19" t="s">
        <v>3</v>
      </c>
    </row>
    <row r="20" spans="1:20" x14ac:dyDescent="0.3">
      <c r="A20" t="s">
        <v>5</v>
      </c>
      <c r="C20" t="s">
        <v>4</v>
      </c>
    </row>
    <row r="21" spans="1:20" x14ac:dyDescent="0.3">
      <c r="A21">
        <v>1</v>
      </c>
      <c r="B21">
        <v>1.05</v>
      </c>
      <c r="C21">
        <v>21.8</v>
      </c>
    </row>
    <row r="22" spans="1:20" x14ac:dyDescent="0.3">
      <c r="A22">
        <v>2</v>
      </c>
      <c r="B22">
        <v>0.94</v>
      </c>
      <c r="C22">
        <v>21.7</v>
      </c>
    </row>
    <row r="23" spans="1:20" x14ac:dyDescent="0.3">
      <c r="A23">
        <v>3</v>
      </c>
      <c r="B23">
        <v>0.98</v>
      </c>
      <c r="C23">
        <v>21.4</v>
      </c>
    </row>
    <row r="24" spans="1:20" x14ac:dyDescent="0.3">
      <c r="A24">
        <v>4</v>
      </c>
      <c r="B24">
        <v>0.95</v>
      </c>
      <c r="C24">
        <v>21.8</v>
      </c>
    </row>
    <row r="25" spans="1:20" x14ac:dyDescent="0.3">
      <c r="A25">
        <v>5</v>
      </c>
      <c r="B25">
        <v>1.02</v>
      </c>
      <c r="C25">
        <v>21.5</v>
      </c>
    </row>
    <row r="26" spans="1:20" x14ac:dyDescent="0.3">
      <c r="B26">
        <f>AVERAGE(B21:B25)</f>
        <v>0.98799999999999988</v>
      </c>
      <c r="Q26" t="s">
        <v>10</v>
      </c>
    </row>
    <row r="27" spans="1:20" x14ac:dyDescent="0.3">
      <c r="B27">
        <f>SQRT(SUMSQ(B26-B21,B26-B22,B26-B23,B26-B24,B26-B25)/4)</f>
        <v>4.6583258795408505E-2</v>
      </c>
      <c r="C27" t="s">
        <v>13</v>
      </c>
      <c r="F27" t="s">
        <v>9</v>
      </c>
      <c r="H27" t="s">
        <v>20</v>
      </c>
      <c r="I27" t="s">
        <v>21</v>
      </c>
      <c r="Q27" t="s">
        <v>11</v>
      </c>
      <c r="R27" t="s">
        <v>8</v>
      </c>
      <c r="S27" t="s">
        <v>17</v>
      </c>
      <c r="T27" t="s">
        <v>18</v>
      </c>
    </row>
    <row r="28" spans="1:20" x14ac:dyDescent="0.3">
      <c r="B28">
        <f>0.005*B26</f>
        <v>4.9399999999999991E-3</v>
      </c>
      <c r="C28" t="s">
        <v>16</v>
      </c>
      <c r="F28" t="s">
        <v>24</v>
      </c>
      <c r="G28" t="s">
        <v>19</v>
      </c>
      <c r="Q28">
        <f t="shared" ref="Q28:Q33" si="11">T3^(1/2)</f>
        <v>0.71468318245363183</v>
      </c>
      <c r="R28">
        <f>V3</f>
        <v>25.712</v>
      </c>
      <c r="S28">
        <f>Y3/Q28</f>
        <v>1.1123035611951841E-2</v>
      </c>
      <c r="T28">
        <f>AA3</f>
        <v>0.14148022335294783</v>
      </c>
    </row>
    <row r="29" spans="1:20" x14ac:dyDescent="0.3">
      <c r="B29">
        <f>SQRT(SUMSQ(B27,B28))</f>
        <v>4.6844461785786419E-2</v>
      </c>
      <c r="C29" t="s">
        <v>14</v>
      </c>
      <c r="E29">
        <v>1</v>
      </c>
      <c r="F29">
        <f t="shared" ref="F29:F34" si="12">G2^(1/2)</f>
        <v>0.31961603566844116</v>
      </c>
      <c r="G29">
        <f>H2/G2</f>
        <v>321.08256430310877</v>
      </c>
      <c r="H29">
        <f>L2/F29</f>
        <v>4.9743727488950574E-3</v>
      </c>
      <c r="I29">
        <f>G29*SQRT(SUMSQ(N2/H2,L2/G2))</f>
        <v>5.2687391516333015</v>
      </c>
      <c r="Q29">
        <f t="shared" si="11"/>
        <v>1.0107146494258914</v>
      </c>
      <c r="R29">
        <f t="shared" ref="R29:R33" si="13">V4</f>
        <v>37.811999999999998</v>
      </c>
      <c r="S29">
        <f t="shared" ref="S29:S33" si="14">Y4/Q29</f>
        <v>1.573034781718121E-2</v>
      </c>
      <c r="T29">
        <f t="shared" ref="T29:T33" si="15">AA4</f>
        <v>0.19957555862379539</v>
      </c>
    </row>
    <row r="30" spans="1:20" x14ac:dyDescent="0.3">
      <c r="E30">
        <v>2</v>
      </c>
      <c r="F30">
        <f t="shared" si="12"/>
        <v>0.45200533239423241</v>
      </c>
      <c r="G30">
        <f t="shared" ref="G30:G34" si="16">H3/G3</f>
        <v>324.01929507417378</v>
      </c>
      <c r="H30">
        <f t="shared" ref="H30:H34" si="17">L3/F30</f>
        <v>7.0348254057865239E-3</v>
      </c>
      <c r="I30">
        <f t="shared" ref="I30:I34" si="18">G30*SQRT(SUMSQ(N3/H3,L3/G3))</f>
        <v>5.3017126010263587</v>
      </c>
      <c r="Q30">
        <f t="shared" si="11"/>
        <v>1.4293663649072637</v>
      </c>
      <c r="R30">
        <f t="shared" si="13"/>
        <v>54.112000000000002</v>
      </c>
      <c r="S30">
        <f t="shared" si="14"/>
        <v>2.2246071223903683E-2</v>
      </c>
      <c r="T30">
        <f t="shared" si="15"/>
        <v>0.27945420662426967</v>
      </c>
    </row>
    <row r="31" spans="1:20" x14ac:dyDescent="0.3">
      <c r="E31">
        <v>3</v>
      </c>
      <c r="F31">
        <f t="shared" si="12"/>
        <v>0.63923207133688231</v>
      </c>
      <c r="G31">
        <f t="shared" si="16"/>
        <v>316.18801301800039</v>
      </c>
      <c r="H31">
        <f t="shared" si="17"/>
        <v>9.9487454977901148E-3</v>
      </c>
      <c r="I31">
        <f t="shared" si="18"/>
        <v>5.1700054171574612</v>
      </c>
      <c r="Q31">
        <f t="shared" si="11"/>
        <v>1.7506091247598099</v>
      </c>
      <c r="R31">
        <f t="shared" si="13"/>
        <v>68.512</v>
      </c>
      <c r="S31">
        <f t="shared" si="14"/>
        <v>2.7245761640088042E-2</v>
      </c>
      <c r="T31">
        <f t="shared" si="15"/>
        <v>0.350643199848507</v>
      </c>
    </row>
    <row r="32" spans="1:20" x14ac:dyDescent="0.3">
      <c r="E32">
        <v>4</v>
      </c>
      <c r="F32">
        <f t="shared" si="12"/>
        <v>0.78289620099886903</v>
      </c>
      <c r="G32">
        <f t="shared" si="16"/>
        <v>320.75626088410155</v>
      </c>
      <c r="H32">
        <f t="shared" si="17"/>
        <v>1.2184675025198604E-2</v>
      </c>
      <c r="I32">
        <f t="shared" si="18"/>
        <v>5.2439684605624386</v>
      </c>
      <c r="Q32">
        <f t="shared" si="11"/>
        <v>2.0214292988517828</v>
      </c>
      <c r="R32">
        <f t="shared" si="13"/>
        <v>79.412000000000006</v>
      </c>
      <c r="S32">
        <f t="shared" si="14"/>
        <v>3.1460695634362421E-2</v>
      </c>
      <c r="T32">
        <f t="shared" si="15"/>
        <v>0.40472015467480743</v>
      </c>
    </row>
    <row r="33" spans="2:20" x14ac:dyDescent="0.3">
      <c r="E33">
        <v>5</v>
      </c>
      <c r="F33">
        <f t="shared" si="12"/>
        <v>0.90401066478846481</v>
      </c>
      <c r="G33">
        <f t="shared" si="16"/>
        <v>316.92219571076669</v>
      </c>
      <c r="H33">
        <f t="shared" si="17"/>
        <v>1.4069650811573048E-2</v>
      </c>
      <c r="I33">
        <f t="shared" si="18"/>
        <v>5.1810530133021802</v>
      </c>
      <c r="Q33">
        <f t="shared" si="11"/>
        <v>2.2600266619711618</v>
      </c>
      <c r="R33">
        <f t="shared" si="13"/>
        <v>88.412000000000006</v>
      </c>
      <c r="S33">
        <f t="shared" si="14"/>
        <v>3.517412702893262E-2</v>
      </c>
      <c r="T33">
        <f t="shared" si="15"/>
        <v>0.44944788752423798</v>
      </c>
    </row>
    <row r="34" spans="2:20" x14ac:dyDescent="0.3">
      <c r="E34">
        <v>6</v>
      </c>
      <c r="F34">
        <f t="shared" si="12"/>
        <v>1.0107146494258914</v>
      </c>
      <c r="G34">
        <f t="shared" si="16"/>
        <v>306.39891044778369</v>
      </c>
      <c r="H34">
        <f t="shared" si="17"/>
        <v>1.5730347817181207E-2</v>
      </c>
      <c r="I34">
        <f t="shared" si="18"/>
        <v>5.0089213956521386</v>
      </c>
    </row>
    <row r="45" spans="2:20" x14ac:dyDescent="0.3">
      <c r="B45" t="s">
        <v>12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929A2-8883-4D0E-BFE2-12B36E7C2F5B}">
  <dimension ref="A1:S25"/>
  <sheetViews>
    <sheetView workbookViewId="0">
      <selection activeCell="M20" sqref="M20"/>
    </sheetView>
  </sheetViews>
  <sheetFormatPr defaultRowHeight="14.4" x14ac:dyDescent="0.3"/>
  <sheetData>
    <row r="1" spans="1:19" x14ac:dyDescent="0.3">
      <c r="A1" t="s">
        <v>2</v>
      </c>
      <c r="D1" t="s">
        <v>6</v>
      </c>
      <c r="O1" t="s">
        <v>9</v>
      </c>
    </row>
    <row r="2" spans="1:19" x14ac:dyDescent="0.3">
      <c r="A2" t="s">
        <v>0</v>
      </c>
      <c r="B2" t="s">
        <v>1</v>
      </c>
      <c r="D2" t="s">
        <v>27</v>
      </c>
      <c r="E2" t="s">
        <v>0</v>
      </c>
      <c r="F2" t="s">
        <v>23</v>
      </c>
      <c r="G2" t="s">
        <v>8</v>
      </c>
      <c r="I2" t="s">
        <v>4</v>
      </c>
      <c r="J2" t="s">
        <v>22</v>
      </c>
      <c r="K2" t="s">
        <v>17</v>
      </c>
      <c r="L2" t="s">
        <v>18</v>
      </c>
      <c r="O2" t="s">
        <v>27</v>
      </c>
      <c r="P2" t="s">
        <v>24</v>
      </c>
      <c r="Q2" t="s">
        <v>19</v>
      </c>
      <c r="R2" t="s">
        <v>20</v>
      </c>
      <c r="S2" t="s">
        <v>21</v>
      </c>
    </row>
    <row r="3" spans="1:19" x14ac:dyDescent="0.3">
      <c r="A3">
        <v>1</v>
      </c>
      <c r="B3">
        <v>1.0467</v>
      </c>
      <c r="D3">
        <v>1</v>
      </c>
      <c r="E3">
        <v>1.0215441025641026</v>
      </c>
      <c r="F3">
        <v>0.10215441025641026</v>
      </c>
      <c r="G3">
        <v>32.799999999999997</v>
      </c>
      <c r="H3">
        <v>31.811999999999998</v>
      </c>
      <c r="I3">
        <v>21.6</v>
      </c>
      <c r="J3">
        <v>1.5898892979389644E-2</v>
      </c>
      <c r="K3">
        <v>1.5898892979389642E-3</v>
      </c>
      <c r="L3">
        <v>0.16399999999999998</v>
      </c>
      <c r="M3">
        <v>0.170559091226472</v>
      </c>
      <c r="O3">
        <v>1</v>
      </c>
      <c r="P3">
        <v>0.31961603566844116</v>
      </c>
      <c r="Q3">
        <v>321.08256430310877</v>
      </c>
      <c r="R3">
        <v>4.9743727488950574E-3</v>
      </c>
      <c r="S3">
        <v>5.2687391516333015</v>
      </c>
    </row>
    <row r="4" spans="1:19" x14ac:dyDescent="0.3">
      <c r="A4">
        <v>1</v>
      </c>
      <c r="B4">
        <v>1.0462</v>
      </c>
      <c r="D4">
        <v>2</v>
      </c>
      <c r="E4">
        <v>2.0430882051282051</v>
      </c>
      <c r="F4">
        <v>0.20430882051282051</v>
      </c>
      <c r="G4">
        <v>66.2</v>
      </c>
      <c r="H4">
        <v>65.212000000000003</v>
      </c>
      <c r="I4">
        <v>21.6</v>
      </c>
      <c r="J4">
        <v>3.1797785958779287E-2</v>
      </c>
      <c r="K4">
        <v>3.1797785958779285E-3</v>
      </c>
      <c r="L4">
        <v>0.33100000000000002</v>
      </c>
      <c r="M4">
        <v>0.33429837510822574</v>
      </c>
      <c r="O4">
        <v>2</v>
      </c>
      <c r="P4">
        <v>0.45200533239423241</v>
      </c>
      <c r="Q4">
        <v>324.01929507417378</v>
      </c>
      <c r="R4">
        <v>7.0348254057865239E-3</v>
      </c>
      <c r="S4">
        <v>5.3017126010263587</v>
      </c>
    </row>
    <row r="5" spans="1:19" x14ac:dyDescent="0.3">
      <c r="A5">
        <v>1</v>
      </c>
      <c r="B5">
        <v>1.0419</v>
      </c>
      <c r="D5">
        <v>3</v>
      </c>
      <c r="E5">
        <v>4.0861764102564102</v>
      </c>
      <c r="F5">
        <v>0.40861764102564102</v>
      </c>
      <c r="G5">
        <v>129.19999999999999</v>
      </c>
      <c r="H5">
        <v>128.21199999999999</v>
      </c>
      <c r="I5">
        <v>21.5</v>
      </c>
      <c r="J5">
        <v>6.3595571917558574E-2</v>
      </c>
      <c r="K5">
        <v>6.3595571917558569E-3</v>
      </c>
      <c r="L5">
        <v>0.64599999999999991</v>
      </c>
      <c r="M5">
        <v>0.64769622787229497</v>
      </c>
      <c r="O5">
        <v>3</v>
      </c>
      <c r="P5">
        <v>0.63923207133688231</v>
      </c>
      <c r="Q5">
        <v>316.18801301800039</v>
      </c>
      <c r="R5">
        <v>9.9487454977901148E-3</v>
      </c>
      <c r="S5">
        <v>5.1700054171574612</v>
      </c>
    </row>
    <row r="6" spans="1:19" x14ac:dyDescent="0.3">
      <c r="A6">
        <v>1</v>
      </c>
      <c r="B6">
        <v>1.0362</v>
      </c>
      <c r="D6">
        <v>4</v>
      </c>
      <c r="E6">
        <v>6.1292646153846153</v>
      </c>
      <c r="F6">
        <v>0.61292646153846153</v>
      </c>
      <c r="G6">
        <v>196.6</v>
      </c>
      <c r="H6">
        <v>195.61199999999999</v>
      </c>
      <c r="I6">
        <v>21.5</v>
      </c>
      <c r="J6">
        <v>9.5393357876337861E-2</v>
      </c>
      <c r="K6">
        <v>9.5393357876337858E-3</v>
      </c>
      <c r="L6">
        <v>0.98299999999999998</v>
      </c>
      <c r="M6">
        <v>0.98411554382602862</v>
      </c>
      <c r="O6">
        <v>4</v>
      </c>
      <c r="P6">
        <v>0.78289620099886903</v>
      </c>
      <c r="Q6">
        <v>320.75626088410155</v>
      </c>
      <c r="R6">
        <v>1.2184675025198604E-2</v>
      </c>
      <c r="S6">
        <v>5.2439684605624386</v>
      </c>
    </row>
    <row r="7" spans="1:19" x14ac:dyDescent="0.3">
      <c r="A7">
        <v>2</v>
      </c>
      <c r="B7">
        <v>2.0265</v>
      </c>
      <c r="D7">
        <v>5</v>
      </c>
      <c r="E7">
        <v>8.1723528205128204</v>
      </c>
      <c r="F7">
        <v>0.81723528205128204</v>
      </c>
      <c r="G7">
        <v>259</v>
      </c>
      <c r="H7">
        <v>258.012</v>
      </c>
      <c r="I7">
        <v>21.4</v>
      </c>
      <c r="J7">
        <v>0.12719114383511715</v>
      </c>
      <c r="K7">
        <v>1.2719114383511714E-2</v>
      </c>
      <c r="L7">
        <v>1.2949999999999999</v>
      </c>
      <c r="M7">
        <v>1.2958469830963839</v>
      </c>
      <c r="O7">
        <v>5</v>
      </c>
      <c r="P7">
        <v>0.90401066478846481</v>
      </c>
      <c r="Q7">
        <v>316.92219571076669</v>
      </c>
      <c r="R7">
        <v>1.4069650811573048E-2</v>
      </c>
      <c r="S7">
        <v>5.1810530133021802</v>
      </c>
    </row>
    <row r="8" spans="1:19" x14ac:dyDescent="0.3">
      <c r="A8">
        <v>2</v>
      </c>
      <c r="B8">
        <v>2.0251999999999999</v>
      </c>
      <c r="D8">
        <v>6</v>
      </c>
      <c r="E8">
        <v>10.215441025641026</v>
      </c>
      <c r="F8">
        <v>1.0215441025641026</v>
      </c>
      <c r="G8">
        <v>313</v>
      </c>
      <c r="H8">
        <v>312.012</v>
      </c>
      <c r="I8">
        <v>21.3</v>
      </c>
      <c r="J8">
        <v>0.15898892979389642</v>
      </c>
      <c r="K8">
        <v>1.589889297938964E-2</v>
      </c>
      <c r="L8">
        <v>1.5649999999999999</v>
      </c>
      <c r="M8">
        <v>1.5657009304461691</v>
      </c>
      <c r="O8">
        <v>6</v>
      </c>
      <c r="P8">
        <v>1.0107146494258914</v>
      </c>
      <c r="Q8">
        <v>306.39891044778369</v>
      </c>
      <c r="R8">
        <v>1.5730347817181207E-2</v>
      </c>
      <c r="S8">
        <v>5.0089213956521386</v>
      </c>
    </row>
    <row r="9" spans="1:19" x14ac:dyDescent="0.3">
      <c r="A9">
        <v>2</v>
      </c>
      <c r="B9">
        <v>2.0470999999999999</v>
      </c>
    </row>
    <row r="10" spans="1:19" x14ac:dyDescent="0.3">
      <c r="A10">
        <v>2</v>
      </c>
      <c r="B10">
        <v>2.0432999999999999</v>
      </c>
      <c r="D10" t="s">
        <v>7</v>
      </c>
      <c r="O10" t="s">
        <v>10</v>
      </c>
    </row>
    <row r="11" spans="1:19" x14ac:dyDescent="0.3">
      <c r="A11">
        <v>3</v>
      </c>
      <c r="B11">
        <v>3.0133000000000001</v>
      </c>
      <c r="D11" t="s">
        <v>27</v>
      </c>
      <c r="E11" t="s">
        <v>0</v>
      </c>
      <c r="F11" t="s">
        <v>23</v>
      </c>
      <c r="G11" t="s">
        <v>8</v>
      </c>
      <c r="I11" t="s">
        <v>4</v>
      </c>
      <c r="J11" t="s">
        <v>22</v>
      </c>
      <c r="K11" t="s">
        <v>17</v>
      </c>
      <c r="L11" t="s">
        <v>18</v>
      </c>
      <c r="O11" t="s">
        <v>11</v>
      </c>
      <c r="P11" t="s">
        <v>8</v>
      </c>
      <c r="Q11" t="s">
        <v>17</v>
      </c>
      <c r="R11" t="s">
        <v>18</v>
      </c>
    </row>
    <row r="12" spans="1:19" x14ac:dyDescent="0.3">
      <c r="A12">
        <v>4</v>
      </c>
      <c r="B12">
        <v>4.0475000000000003</v>
      </c>
      <c r="D12">
        <v>1</v>
      </c>
      <c r="E12">
        <v>1.0215441025641026</v>
      </c>
      <c r="F12">
        <v>0.51077205128205128</v>
      </c>
      <c r="G12">
        <v>26.7</v>
      </c>
      <c r="H12">
        <v>25.712</v>
      </c>
      <c r="I12">
        <v>21.4</v>
      </c>
      <c r="J12">
        <v>1.5898892979389644E-2</v>
      </c>
      <c r="K12">
        <v>7.9494464896948218E-3</v>
      </c>
      <c r="L12">
        <v>0.13350000000000001</v>
      </c>
      <c r="M12">
        <v>0.14148022335294783</v>
      </c>
      <c r="O12">
        <v>0.71468318245363183</v>
      </c>
      <c r="P12">
        <v>25.712</v>
      </c>
      <c r="Q12">
        <v>1.1123035611951841E-2</v>
      </c>
      <c r="R12">
        <v>0.14148022335294783</v>
      </c>
    </row>
    <row r="13" spans="1:19" x14ac:dyDescent="0.3">
      <c r="A13">
        <v>4</v>
      </c>
      <c r="B13">
        <v>4.0391000000000004</v>
      </c>
      <c r="D13">
        <v>2</v>
      </c>
      <c r="E13">
        <v>2.0430882051282051</v>
      </c>
      <c r="F13">
        <v>1.0215441025641026</v>
      </c>
      <c r="G13">
        <v>38.799999999999997</v>
      </c>
      <c r="H13">
        <v>37.811999999999998</v>
      </c>
      <c r="I13">
        <v>21.6</v>
      </c>
      <c r="J13">
        <v>3.1797785958779287E-2</v>
      </c>
      <c r="K13">
        <v>1.5898892979389644E-2</v>
      </c>
      <c r="L13">
        <v>0.19399999999999998</v>
      </c>
      <c r="M13">
        <v>0.19957555862379539</v>
      </c>
      <c r="O13">
        <v>1.0107146494258914</v>
      </c>
      <c r="P13">
        <v>37.811999999999998</v>
      </c>
      <c r="Q13">
        <v>1.573034781718121E-2</v>
      </c>
      <c r="R13">
        <v>0.19957555862379539</v>
      </c>
    </row>
    <row r="14" spans="1:19" x14ac:dyDescent="0.3">
      <c r="A14">
        <v>5</v>
      </c>
      <c r="B14">
        <v>5.0327999999999999</v>
      </c>
      <c r="D14">
        <v>3</v>
      </c>
      <c r="E14">
        <v>4.0861764102564102</v>
      </c>
      <c r="F14">
        <v>2.0430882051282051</v>
      </c>
      <c r="G14">
        <v>55.1</v>
      </c>
      <c r="H14">
        <v>54.112000000000002</v>
      </c>
      <c r="I14">
        <v>21.4</v>
      </c>
      <c r="J14">
        <v>6.3595571917558574E-2</v>
      </c>
      <c r="K14">
        <v>3.1797785958779287E-2</v>
      </c>
      <c r="L14">
        <v>0.27550000000000002</v>
      </c>
      <c r="M14">
        <v>0.27945420662426967</v>
      </c>
      <c r="O14">
        <v>1.4293663649072637</v>
      </c>
      <c r="P14">
        <v>54.112000000000002</v>
      </c>
      <c r="Q14">
        <v>2.2246071223903683E-2</v>
      </c>
      <c r="R14">
        <v>0.27945420662426967</v>
      </c>
    </row>
    <row r="15" spans="1:19" x14ac:dyDescent="0.3">
      <c r="A15">
        <v>5</v>
      </c>
      <c r="B15">
        <v>5.0269000000000004</v>
      </c>
      <c r="D15">
        <v>4</v>
      </c>
      <c r="E15">
        <v>6.1292646153846153</v>
      </c>
      <c r="F15">
        <v>3.0646323076923077</v>
      </c>
      <c r="G15">
        <v>69.5</v>
      </c>
      <c r="H15">
        <v>68.512</v>
      </c>
      <c r="I15">
        <v>21.6</v>
      </c>
      <c r="J15">
        <v>9.5393357876337861E-2</v>
      </c>
      <c r="K15">
        <v>4.7696678938168931E-2</v>
      </c>
      <c r="L15">
        <v>0.34750000000000003</v>
      </c>
      <c r="M15">
        <v>0.350643199848507</v>
      </c>
      <c r="O15">
        <v>1.7506091247598099</v>
      </c>
      <c r="P15">
        <v>68.512</v>
      </c>
      <c r="Q15">
        <v>2.7245761640088042E-2</v>
      </c>
      <c r="R15">
        <v>0.350643199848507</v>
      </c>
    </row>
    <row r="16" spans="1:19" x14ac:dyDescent="0.3">
      <c r="D16">
        <v>5</v>
      </c>
      <c r="E16">
        <v>8.1723528205128204</v>
      </c>
      <c r="F16">
        <v>4.0861764102564102</v>
      </c>
      <c r="G16">
        <v>80.400000000000006</v>
      </c>
      <c r="H16">
        <v>79.412000000000006</v>
      </c>
      <c r="I16">
        <v>21.4</v>
      </c>
      <c r="J16">
        <v>0.12719114383511715</v>
      </c>
      <c r="K16">
        <v>6.3595571917558574E-2</v>
      </c>
      <c r="L16">
        <v>0.40200000000000002</v>
      </c>
      <c r="M16">
        <v>0.40472015467480743</v>
      </c>
      <c r="O16">
        <v>2.0214292988517828</v>
      </c>
      <c r="P16">
        <v>79.412000000000006</v>
      </c>
      <c r="Q16">
        <v>3.1460695634362421E-2</v>
      </c>
      <c r="R16">
        <v>0.40472015467480743</v>
      </c>
    </row>
    <row r="17" spans="1:18" x14ac:dyDescent="0.3">
      <c r="D17">
        <v>6</v>
      </c>
      <c r="E17">
        <v>10.215441025641026</v>
      </c>
      <c r="F17">
        <v>5.1077205128205128</v>
      </c>
      <c r="G17">
        <v>89.4</v>
      </c>
      <c r="H17">
        <v>88.412000000000006</v>
      </c>
      <c r="I17">
        <v>21.5</v>
      </c>
      <c r="J17">
        <v>0.15898892979389642</v>
      </c>
      <c r="K17">
        <v>7.9494464896948211E-2</v>
      </c>
      <c r="L17">
        <v>0.44700000000000006</v>
      </c>
      <c r="M17">
        <v>0.44944788752423798</v>
      </c>
      <c r="O17">
        <v>2.2600266619711618</v>
      </c>
      <c r="P17">
        <v>88.412000000000006</v>
      </c>
      <c r="Q17">
        <v>3.517412702893262E-2</v>
      </c>
      <c r="R17">
        <v>0.44944788752423798</v>
      </c>
    </row>
    <row r="19" spans="1:18" x14ac:dyDescent="0.3">
      <c r="A19" t="s">
        <v>3</v>
      </c>
    </row>
    <row r="20" spans="1:18" x14ac:dyDescent="0.3">
      <c r="A20" t="s">
        <v>28</v>
      </c>
      <c r="B20" t="s">
        <v>5</v>
      </c>
      <c r="C20" t="s">
        <v>4</v>
      </c>
    </row>
    <row r="21" spans="1:18" x14ac:dyDescent="0.3">
      <c r="A21">
        <v>1</v>
      </c>
      <c r="B21">
        <v>1.05</v>
      </c>
      <c r="C21">
        <v>21.8</v>
      </c>
    </row>
    <row r="22" spans="1:18" x14ac:dyDescent="0.3">
      <c r="A22">
        <v>2</v>
      </c>
      <c r="B22">
        <v>0.94</v>
      </c>
      <c r="C22">
        <v>21.7</v>
      </c>
    </row>
    <row r="23" spans="1:18" x14ac:dyDescent="0.3">
      <c r="A23">
        <v>3</v>
      </c>
      <c r="B23">
        <v>0.98</v>
      </c>
      <c r="C23">
        <v>21.4</v>
      </c>
    </row>
    <row r="24" spans="1:18" x14ac:dyDescent="0.3">
      <c r="A24">
        <v>4</v>
      </c>
      <c r="B24">
        <v>0.95</v>
      </c>
      <c r="C24">
        <v>21.8</v>
      </c>
    </row>
    <row r="25" spans="1:18" x14ac:dyDescent="0.3">
      <c r="A25">
        <v>5</v>
      </c>
      <c r="B25">
        <v>1.02</v>
      </c>
      <c r="C25">
        <v>21.5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Němec</dc:creator>
  <cp:lastModifiedBy>David Němec</cp:lastModifiedBy>
  <dcterms:created xsi:type="dcterms:W3CDTF">2025-10-06T12:51:15Z</dcterms:created>
  <dcterms:modified xsi:type="dcterms:W3CDTF">2025-10-10T08:25:01Z</dcterms:modified>
</cp:coreProperties>
</file>