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2"/>
  </bookViews>
  <sheets>
    <sheet name="Hoja1" sheetId="1" r:id="rId1"/>
    <sheet name="Hoja2" sheetId="2" r:id="rId2"/>
    <sheet name="Hoja3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H10" i="1"/>
  <c r="H11"/>
  <c r="B12" i="3"/>
  <c r="B13" s="1"/>
  <c r="B14" l="1"/>
  <c r="B8"/>
  <c r="B9" s="1"/>
  <c r="B29" i="2"/>
  <c r="D28"/>
  <c r="B36"/>
  <c r="B10" i="3" l="1"/>
  <c r="B11" s="1"/>
  <c r="E17" i="2"/>
  <c r="E16"/>
  <c r="B7"/>
  <c r="B10"/>
  <c r="B33" l="1"/>
  <c r="B32"/>
  <c r="B34" s="1"/>
  <c r="B31"/>
  <c r="B37" s="1"/>
  <c r="B30"/>
  <c r="B26"/>
  <c r="J15"/>
  <c r="F15" i="1"/>
  <c r="F8" i="2"/>
  <c r="F9"/>
  <c r="B11"/>
  <c r="B14" s="1"/>
  <c r="B9"/>
  <c r="B21" l="1"/>
  <c r="B38"/>
  <c r="B39" s="1"/>
  <c r="B20"/>
  <c r="B16"/>
  <c r="B17" s="1"/>
  <c r="F11"/>
  <c r="F12" s="1"/>
  <c r="F13" s="1"/>
</calcChain>
</file>

<file path=xl/sharedStrings.xml><?xml version="1.0" encoding="utf-8"?>
<sst xmlns="http://schemas.openxmlformats.org/spreadsheetml/2006/main" count="96" uniqueCount="93">
  <si>
    <t>Bateria</t>
  </si>
  <si>
    <t>voltaje Nominal</t>
  </si>
  <si>
    <t xml:space="preserve">Estado de carga </t>
  </si>
  <si>
    <t>Tiempo de respuesta</t>
  </si>
  <si>
    <t>Valores</t>
  </si>
  <si>
    <t>Tipo</t>
  </si>
  <si>
    <t>LPF</t>
  </si>
  <si>
    <t>350-750</t>
  </si>
  <si>
    <t xml:space="preserve">voltaje nominal </t>
  </si>
  <si>
    <t>500-750</t>
  </si>
  <si>
    <t>numero de entradas dc</t>
  </si>
  <si>
    <t>maxima corriente DC</t>
  </si>
  <si>
    <t>maxima potencia de entrada DC</t>
  </si>
  <si>
    <t>50A*2</t>
  </si>
  <si>
    <t>55Kw</t>
  </si>
  <si>
    <t>Potencia de salida nominal AC</t>
  </si>
  <si>
    <t>Potencia de salida maxima</t>
  </si>
  <si>
    <t>corriente maxima AC</t>
  </si>
  <si>
    <t>Voltaje nominal AC</t>
  </si>
  <si>
    <t>Rango de voltaje AC</t>
  </si>
  <si>
    <t>Frecuencia nominal de la red</t>
  </si>
  <si>
    <t>50kw</t>
  </si>
  <si>
    <t>55KVA</t>
  </si>
  <si>
    <t>80A</t>
  </si>
  <si>
    <t>400V</t>
  </si>
  <si>
    <t>340-440</t>
  </si>
  <si>
    <t>50/60</t>
  </si>
  <si>
    <t xml:space="preserve">DISEÑO DEL FILTRO </t>
  </si>
  <si>
    <t>fsw</t>
  </si>
  <si>
    <t>fc</t>
  </si>
  <si>
    <t xml:space="preserve">menor o igual a este </t>
  </si>
  <si>
    <t xml:space="preserve">Frecuencia </t>
  </si>
  <si>
    <t>voltaje de rms</t>
  </si>
  <si>
    <t>Voltaje pico DC</t>
  </si>
  <si>
    <t xml:space="preserve">bobina L </t>
  </si>
  <si>
    <t>Capacitor</t>
  </si>
  <si>
    <t>Constante1</t>
  </si>
  <si>
    <t>Constante2</t>
  </si>
  <si>
    <t>Rango de voltajes in</t>
  </si>
  <si>
    <t>INVERSOR</t>
  </si>
  <si>
    <t>Resistencia</t>
  </si>
  <si>
    <t>duty cycle</t>
  </si>
  <si>
    <t>r</t>
  </si>
  <si>
    <t>voltaje de salida</t>
  </si>
  <si>
    <t>Voltaje de entrada</t>
  </si>
  <si>
    <t>Lmin</t>
  </si>
  <si>
    <t>Corriente Max out</t>
  </si>
  <si>
    <t>Inversor trifasico</t>
  </si>
  <si>
    <t>Capacidad total</t>
  </si>
  <si>
    <t>capacidad modular</t>
  </si>
  <si>
    <t>5,12kwh</t>
  </si>
  <si>
    <t>102,4kwh</t>
  </si>
  <si>
    <t xml:space="preserve">Numero de modulos </t>
  </si>
  <si>
    <t>20=10 baterias en serie con 10 en paralelo</t>
  </si>
  <si>
    <t>voltaje de salida linea</t>
  </si>
  <si>
    <t>voltaje de salida fas</t>
  </si>
  <si>
    <t xml:space="preserve">CONVERTIDOR DC/DC BUCK </t>
  </si>
  <si>
    <t>Lnom</t>
  </si>
  <si>
    <t xml:space="preserve">frecuencia de conmutacion </t>
  </si>
  <si>
    <t>Pb</t>
  </si>
  <si>
    <t>Potencia inversor</t>
  </si>
  <si>
    <t>Tension de linea de red</t>
  </si>
  <si>
    <t>Tension del bus continia</t>
  </si>
  <si>
    <t>Frecuencia de conmutacion</t>
  </si>
  <si>
    <t>Frecuencia de red</t>
  </si>
  <si>
    <t>Ib</t>
  </si>
  <si>
    <t>Vb</t>
  </si>
  <si>
    <t>Zb</t>
  </si>
  <si>
    <t>Lb</t>
  </si>
  <si>
    <t>Cb</t>
  </si>
  <si>
    <t>frecuencia de red</t>
  </si>
  <si>
    <t>Li</t>
  </si>
  <si>
    <t>VOLTAJE DE SALIDA</t>
  </si>
  <si>
    <t>D</t>
  </si>
  <si>
    <t>DELTAI</t>
  </si>
  <si>
    <t>tiempo de muestreo</t>
  </si>
  <si>
    <t>S=V*I*RAIZ(3)</t>
  </si>
  <si>
    <t>DELTAIL</t>
  </si>
  <si>
    <t>Bobina L1</t>
  </si>
  <si>
    <t>bobina L2</t>
  </si>
  <si>
    <t>LT</t>
  </si>
  <si>
    <t>https://www.youtube.com/watch?v=anz5azfvh-0&amp;ab_channel=PMCTech</t>
  </si>
  <si>
    <t>Zbase</t>
  </si>
  <si>
    <t>Cbase</t>
  </si>
  <si>
    <t>Cf</t>
  </si>
  <si>
    <t>potencia nomial S</t>
  </si>
  <si>
    <t>voltaje de entrada   VDC</t>
  </si>
  <si>
    <t>frecuencia de conmutacion fsw</t>
  </si>
  <si>
    <t>FRECUENCIA DE resonancia fo</t>
  </si>
  <si>
    <t>nominal Frecuencia fn</t>
  </si>
  <si>
    <t>Voltaje de fase VLL-vph</t>
  </si>
  <si>
    <t>https://www.youtube.com/watch?v=26YkfyapuXQ&amp;ab_channel=PMCTech</t>
  </si>
  <si>
    <t>https://www.youtube.com/watch?v=V_wfVstfxMc&amp;ab_channel=PMCTech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</si>
</sst>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1" xfId="0" applyNumberFormat="1" applyBorder="1"/>
    <xf numFmtId="0" fontId="2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284570</xdr:colOff>
      <xdr:row>5</xdr:row>
      <xdr:rowOff>88871</xdr:rowOff>
    </xdr:from>
    <xdr:to>
      <xdr:col>20</xdr:col>
      <xdr:colOff>226920</xdr:colOff>
      <xdr:row>19</xdr:row>
      <xdr:rowOff>51053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9897" y="1422371"/>
          <a:ext cx="5276350" cy="2819682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532581</xdr:colOff>
      <xdr:row>24</xdr:row>
      <xdr:rowOff>71692</xdr:rowOff>
    </xdr:from>
    <xdr:to>
      <xdr:col>20</xdr:col>
      <xdr:colOff>224783</xdr:colOff>
      <xdr:row>39</xdr:row>
      <xdr:rowOff>184355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68387" y="4742015"/>
          <a:ext cx="5755428" cy="303161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3</xdr:row>
      <xdr:rowOff>57150</xdr:rowOff>
    </xdr:from>
    <xdr:to>
      <xdr:col>15</xdr:col>
      <xdr:colOff>5715</xdr:colOff>
      <xdr:row>12</xdr:row>
      <xdr:rowOff>147762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 l="51306" t="9091"/>
        <a:stretch>
          <a:fillRect/>
        </a:stretch>
      </xdr:blipFill>
      <xdr:spPr bwMode="auto">
        <a:xfrm>
          <a:off x="6457950" y="1009650"/>
          <a:ext cx="5215890" cy="29481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304799</xdr:colOff>
      <xdr:row>2</xdr:row>
      <xdr:rowOff>333374</xdr:rowOff>
    </xdr:from>
    <xdr:to>
      <xdr:col>22</xdr:col>
      <xdr:colOff>390524</xdr:colOff>
      <xdr:row>13</xdr:row>
      <xdr:rowOff>95249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/>
        <a:srcRect l="53211" t="13986"/>
        <a:stretch>
          <a:fillRect/>
        </a:stretch>
      </xdr:blipFill>
      <xdr:spPr bwMode="auto">
        <a:xfrm>
          <a:off x="12744449" y="904874"/>
          <a:ext cx="4657725" cy="3190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26YkfyapuXQ&amp;ab_channel=PMCTech" TargetMode="External"/><Relationship Id="rId1" Type="http://schemas.openxmlformats.org/officeDocument/2006/relationships/hyperlink" Target="https://www.youtube.com/watch?v=anz5azfvh-0&amp;ab_channel=PMCTech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5"/>
  <sheetViews>
    <sheetView zoomScale="115" zoomScaleNormal="115" workbookViewId="0">
      <selection activeCell="H10" sqref="H10"/>
    </sheetView>
  </sheetViews>
  <sheetFormatPr baseColWidth="10" defaultRowHeight="15"/>
  <cols>
    <col min="3" max="3" width="18.28515625" customWidth="1"/>
    <col min="5" max="5" width="12" bestFit="1" customWidth="1"/>
    <col min="8" max="8" width="12" bestFit="1" customWidth="1"/>
  </cols>
  <sheetData>
    <row r="2" spans="1:8">
      <c r="A2" s="3" t="s">
        <v>0</v>
      </c>
      <c r="B2" s="4" t="s">
        <v>4</v>
      </c>
      <c r="C2" s="4" t="s">
        <v>47</v>
      </c>
      <c r="D2" s="4" t="s">
        <v>4</v>
      </c>
    </row>
    <row r="3" spans="1:8" ht="30">
      <c r="A3" s="1" t="s">
        <v>5</v>
      </c>
      <c r="B3" s="5" t="s">
        <v>6</v>
      </c>
      <c r="C3" s="1" t="s">
        <v>38</v>
      </c>
      <c r="D3" t="s">
        <v>7</v>
      </c>
    </row>
    <row r="4" spans="1:8" ht="30" customHeight="1">
      <c r="A4" s="1" t="s">
        <v>1</v>
      </c>
      <c r="B4">
        <v>512</v>
      </c>
      <c r="C4" s="1" t="s">
        <v>8</v>
      </c>
      <c r="D4" t="s">
        <v>9</v>
      </c>
    </row>
    <row r="5" spans="1:8" ht="30">
      <c r="A5" s="1" t="s">
        <v>48</v>
      </c>
      <c r="B5" t="s">
        <v>51</v>
      </c>
      <c r="C5" s="1" t="s">
        <v>11</v>
      </c>
      <c r="D5" t="s">
        <v>13</v>
      </c>
    </row>
    <row r="6" spans="1:8" ht="38.25" customHeight="1">
      <c r="A6" s="1" t="s">
        <v>2</v>
      </c>
      <c r="B6">
        <v>90</v>
      </c>
      <c r="C6" s="2" t="s">
        <v>12</v>
      </c>
      <c r="D6" t="s">
        <v>14</v>
      </c>
    </row>
    <row r="7" spans="1:8" ht="30" customHeight="1">
      <c r="A7" s="1" t="s">
        <v>3</v>
      </c>
      <c r="B7">
        <v>30</v>
      </c>
      <c r="C7" s="1" t="s">
        <v>10</v>
      </c>
      <c r="D7">
        <v>2</v>
      </c>
    </row>
    <row r="8" spans="1:8" ht="30">
      <c r="A8" s="1" t="s">
        <v>49</v>
      </c>
      <c r="B8" t="s">
        <v>50</v>
      </c>
    </row>
    <row r="9" spans="1:8" ht="60">
      <c r="A9" s="1" t="s">
        <v>52</v>
      </c>
      <c r="B9" s="1" t="s">
        <v>53</v>
      </c>
      <c r="C9" s="1" t="s">
        <v>15</v>
      </c>
      <c r="D9" s="1" t="s">
        <v>21</v>
      </c>
    </row>
    <row r="10" spans="1:8" ht="30">
      <c r="C10" s="1" t="s">
        <v>16</v>
      </c>
      <c r="D10" t="s">
        <v>22</v>
      </c>
      <c r="E10" t="s">
        <v>76</v>
      </c>
      <c r="H10">
        <f>(569/SQRT(2))*(200/SQRT(2))*SQRT(3)</f>
        <v>98553.690950669086</v>
      </c>
    </row>
    <row r="11" spans="1:8" ht="30">
      <c r="C11" s="1" t="s">
        <v>17</v>
      </c>
      <c r="D11" t="s">
        <v>23</v>
      </c>
      <c r="H11">
        <f>80*400*SQRT(3)</f>
        <v>55425.62584220407</v>
      </c>
    </row>
    <row r="12" spans="1:8">
      <c r="C12" s="1" t="s">
        <v>18</v>
      </c>
      <c r="D12" t="s">
        <v>24</v>
      </c>
    </row>
    <row r="13" spans="1:8" ht="30">
      <c r="C13" s="1" t="s">
        <v>19</v>
      </c>
      <c r="D13" t="s">
        <v>25</v>
      </c>
    </row>
    <row r="14" spans="1:8" ht="30">
      <c r="C14" s="1" t="s">
        <v>20</v>
      </c>
      <c r="D14" t="s">
        <v>26</v>
      </c>
      <c r="F14" s="8">
        <v>1E-4</v>
      </c>
    </row>
    <row r="15" spans="1:8">
      <c r="F15" s="8">
        <f>1/F14</f>
        <v>10000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39"/>
  <sheetViews>
    <sheetView topLeftCell="A4" zoomScale="130" zoomScaleNormal="130" workbookViewId="0">
      <selection activeCell="F24" sqref="F24"/>
    </sheetView>
  </sheetViews>
  <sheetFormatPr baseColWidth="10" defaultRowHeight="15"/>
  <cols>
    <col min="1" max="1" width="24.140625" customWidth="1"/>
    <col min="2" max="2" width="12.85546875" bestFit="1" customWidth="1"/>
    <col min="5" max="5" width="13.140625" customWidth="1"/>
    <col min="6" max="6" width="13.140625" bestFit="1" customWidth="1"/>
  </cols>
  <sheetData>
    <row r="2" spans="1:10">
      <c r="B2" t="s">
        <v>27</v>
      </c>
    </row>
    <row r="3" spans="1:10">
      <c r="B3" t="s">
        <v>39</v>
      </c>
      <c r="F3" t="s">
        <v>56</v>
      </c>
    </row>
    <row r="4" spans="1:10" ht="30">
      <c r="A4" t="s">
        <v>36</v>
      </c>
      <c r="B4">
        <v>27</v>
      </c>
      <c r="E4" s="1" t="s">
        <v>44</v>
      </c>
      <c r="F4">
        <v>512</v>
      </c>
    </row>
    <row r="5" spans="1:10" ht="30">
      <c r="A5" t="s">
        <v>37</v>
      </c>
      <c r="B5">
        <v>3</v>
      </c>
      <c r="E5" s="1" t="s">
        <v>43</v>
      </c>
      <c r="F5">
        <v>600</v>
      </c>
    </row>
    <row r="6" spans="1:10">
      <c r="A6" t="s">
        <v>70</v>
      </c>
      <c r="B6">
        <v>50</v>
      </c>
      <c r="E6" s="1" t="s">
        <v>40</v>
      </c>
      <c r="F6">
        <v>10</v>
      </c>
    </row>
    <row r="7" spans="1:10" ht="30">
      <c r="A7" t="s">
        <v>28</v>
      </c>
      <c r="B7">
        <f>10000</f>
        <v>10000</v>
      </c>
      <c r="E7" s="1" t="s">
        <v>58</v>
      </c>
      <c r="F7" s="8">
        <v>10000</v>
      </c>
      <c r="H7" s="8"/>
    </row>
    <row r="8" spans="1:10">
      <c r="E8" t="s">
        <v>42</v>
      </c>
      <c r="F8" s="7">
        <f>0.5/100</f>
        <v>5.0000000000000001E-3</v>
      </c>
    </row>
    <row r="9" spans="1:10">
      <c r="A9" s="6" t="s">
        <v>29</v>
      </c>
      <c r="B9">
        <f>B7/10</f>
        <v>1000</v>
      </c>
      <c r="C9" t="s">
        <v>30</v>
      </c>
      <c r="E9" s="6" t="s">
        <v>41</v>
      </c>
      <c r="F9">
        <f>F5/F4</f>
        <v>1.171875</v>
      </c>
    </row>
    <row r="10" spans="1:10">
      <c r="A10" t="s">
        <v>32</v>
      </c>
      <c r="B10">
        <f>780*SQRT(2)</f>
        <v>1103.0865786510142</v>
      </c>
    </row>
    <row r="11" spans="1:10">
      <c r="A11" t="s">
        <v>33</v>
      </c>
      <c r="B11">
        <f>B10*SQRT(2)</f>
        <v>1560.0000000000002</v>
      </c>
      <c r="E11" t="s">
        <v>45</v>
      </c>
      <c r="F11">
        <f>((1-F9)*F6)/(2*F7)</f>
        <v>-8.5937499999999995E-5</v>
      </c>
    </row>
    <row r="12" spans="1:10">
      <c r="A12" t="s">
        <v>46</v>
      </c>
      <c r="B12">
        <v>80</v>
      </c>
      <c r="E12" s="6" t="s">
        <v>57</v>
      </c>
      <c r="F12">
        <f>F11*1.25</f>
        <v>-1.0742187499999999E-4</v>
      </c>
    </row>
    <row r="13" spans="1:10">
      <c r="A13" t="s">
        <v>31</v>
      </c>
      <c r="B13">
        <v>50</v>
      </c>
      <c r="E13" s="6" t="s">
        <v>35</v>
      </c>
      <c r="F13">
        <f>(1-F9)/(8*F12*F8*(F7^2))</f>
        <v>4.0000000000000007E-4</v>
      </c>
    </row>
    <row r="14" spans="1:10">
      <c r="A14" s="6" t="s">
        <v>34</v>
      </c>
      <c r="B14">
        <f>(0.03*(B11))/(2*PI()*B13*B12)</f>
        <v>1.8621128341751755E-3</v>
      </c>
      <c r="J14" s="8">
        <v>1.0000000000000001E-5</v>
      </c>
    </row>
    <row r="15" spans="1:10">
      <c r="J15" s="8">
        <f>1/J14</f>
        <v>99999.999999999985</v>
      </c>
    </row>
    <row r="16" spans="1:10">
      <c r="B16">
        <f>B14*(2*PI()*B9)^2</f>
        <v>73513.268094001149</v>
      </c>
      <c r="E16">
        <f>780/SQRT(2)</f>
        <v>551.54328932550698</v>
      </c>
    </row>
    <row r="17" spans="1:5">
      <c r="A17" s="6" t="s">
        <v>35</v>
      </c>
      <c r="B17">
        <f>1/B16</f>
        <v>1.3602986589050886E-5</v>
      </c>
      <c r="E17">
        <f>566/SQRT(2)</f>
        <v>400.22243815158589</v>
      </c>
    </row>
    <row r="19" spans="1:5">
      <c r="A19" t="s">
        <v>44</v>
      </c>
      <c r="B19">
        <v>780</v>
      </c>
    </row>
    <row r="20" spans="1:5">
      <c r="A20" t="s">
        <v>54</v>
      </c>
      <c r="B20" s="6">
        <f>(4*B19*COS(PI()/6))/PI()</f>
        <v>860.0730768579956</v>
      </c>
    </row>
    <row r="21" spans="1:5">
      <c r="A21" t="s">
        <v>55</v>
      </c>
      <c r="B21">
        <f>(4*B19*1)/(PI()*3)</f>
        <v>331.04228163114232</v>
      </c>
    </row>
    <row r="22" spans="1:5">
      <c r="A22" t="s">
        <v>72</v>
      </c>
      <c r="B22">
        <v>400</v>
      </c>
    </row>
    <row r="23" spans="1:5">
      <c r="A23" t="s">
        <v>60</v>
      </c>
      <c r="B23">
        <v>50000</v>
      </c>
    </row>
    <row r="24" spans="1:5">
      <c r="A24" t="s">
        <v>61</v>
      </c>
      <c r="B24">
        <v>230</v>
      </c>
    </row>
    <row r="25" spans="1:5">
      <c r="A25" t="s">
        <v>62</v>
      </c>
      <c r="B25">
        <v>400</v>
      </c>
    </row>
    <row r="26" spans="1:5">
      <c r="A26" t="s">
        <v>63</v>
      </c>
      <c r="B26">
        <f>B7</f>
        <v>10000</v>
      </c>
    </row>
    <row r="27" spans="1:5">
      <c r="A27" t="s">
        <v>64</v>
      </c>
      <c r="B27">
        <v>50</v>
      </c>
    </row>
    <row r="28" spans="1:5">
      <c r="D28">
        <f>30.1*88</f>
        <v>2648.8</v>
      </c>
    </row>
    <row r="29" spans="1:5">
      <c r="A29" t="s">
        <v>59</v>
      </c>
      <c r="B29">
        <f>500000</f>
        <v>500000</v>
      </c>
    </row>
    <row r="30" spans="1:5">
      <c r="A30" t="s">
        <v>66</v>
      </c>
      <c r="B30">
        <f>B24/SQRT(3)</f>
        <v>132.79056191361394</v>
      </c>
    </row>
    <row r="31" spans="1:5">
      <c r="A31" t="s">
        <v>65</v>
      </c>
      <c r="B31">
        <f>B29/B30</f>
        <v>3765.3278425410372</v>
      </c>
    </row>
    <row r="32" spans="1:5">
      <c r="A32" t="s">
        <v>67</v>
      </c>
      <c r="B32">
        <f>B30/B31</f>
        <v>3.5266666666666675E-2</v>
      </c>
    </row>
    <row r="33" spans="1:3">
      <c r="A33" t="s">
        <v>68</v>
      </c>
      <c r="B33">
        <f>B32/(2*PI()*B27)</f>
        <v>1.1225728652748354E-4</v>
      </c>
    </row>
    <row r="34" spans="1:3">
      <c r="A34" t="s">
        <v>69</v>
      </c>
      <c r="B34">
        <f>1/(2*PI()*B27*B32)</f>
        <v>9.0258001753437789E-2</v>
      </c>
    </row>
    <row r="35" spans="1:3">
      <c r="A35" t="s">
        <v>75</v>
      </c>
      <c r="B35" s="8">
        <v>9.9999999999999995E-7</v>
      </c>
    </row>
    <row r="36" spans="1:3">
      <c r="A36" t="s">
        <v>73</v>
      </c>
      <c r="B36">
        <f>B22/D28</f>
        <v>0.15101177891875564</v>
      </c>
    </row>
    <row r="37" spans="1:3">
      <c r="A37" t="s">
        <v>74</v>
      </c>
      <c r="B37">
        <f>5*B31/100</f>
        <v>188.26639212705189</v>
      </c>
    </row>
    <row r="38" spans="1:3">
      <c r="B38" s="8">
        <f>B19*(1-B36)*B36*B35</f>
        <v>1.0000163280630784E-4</v>
      </c>
    </row>
    <row r="39" spans="1:3">
      <c r="A39" t="s">
        <v>71</v>
      </c>
      <c r="B39">
        <f>B38/(B37*2)</f>
        <v>2.6558546025257012E-7</v>
      </c>
      <c r="C39" s="8">
        <v>1.5999999999999999E-5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tabSelected="1" workbookViewId="0">
      <selection activeCell="B4" sqref="B4"/>
    </sheetView>
  </sheetViews>
  <sheetFormatPr baseColWidth="10" defaultRowHeight="15"/>
  <cols>
    <col min="1" max="1" width="14.5703125" customWidth="1"/>
    <col min="2" max="2" width="12" bestFit="1" customWidth="1"/>
  </cols>
  <sheetData>
    <row r="2" spans="1:5" ht="30">
      <c r="A2" s="11" t="s">
        <v>85</v>
      </c>
      <c r="B2" s="13">
        <v>55000</v>
      </c>
    </row>
    <row r="3" spans="1:5" ht="30">
      <c r="A3" s="11" t="s">
        <v>86</v>
      </c>
      <c r="B3" s="12">
        <v>615</v>
      </c>
    </row>
    <row r="4" spans="1:5" ht="45">
      <c r="A4" s="11" t="s">
        <v>87</v>
      </c>
      <c r="B4" s="12">
        <v>10000</v>
      </c>
    </row>
    <row r="5" spans="1:5" ht="45">
      <c r="A5" s="11" t="s">
        <v>88</v>
      </c>
      <c r="B5" s="12">
        <v>1000</v>
      </c>
    </row>
    <row r="6" spans="1:5" ht="30">
      <c r="A6" s="11" t="s">
        <v>89</v>
      </c>
      <c r="B6" s="12">
        <v>50</v>
      </c>
    </row>
    <row r="7" spans="1:5" ht="30">
      <c r="A7" s="11" t="s">
        <v>90</v>
      </c>
      <c r="B7" s="12">
        <v>400</v>
      </c>
    </row>
    <row r="8" spans="1:5">
      <c r="A8" s="1" t="s">
        <v>77</v>
      </c>
      <c r="B8">
        <f>(0.1*B2*SQRT(2))/(3*B7)</f>
        <v>6.4818121608766868</v>
      </c>
    </row>
    <row r="9" spans="1:5">
      <c r="A9" s="6" t="s">
        <v>78</v>
      </c>
      <c r="B9">
        <f>B3/(8*B4*B8)</f>
        <v>1.1860109193538E-3</v>
      </c>
      <c r="C9" s="8">
        <v>8.9999999999999993E-3</v>
      </c>
      <c r="E9" s="8">
        <v>3.8999999999999999E-5</v>
      </c>
    </row>
    <row r="10" spans="1:5">
      <c r="A10" s="10" t="s">
        <v>79</v>
      </c>
      <c r="B10">
        <f>0.3*B9</f>
        <v>3.5580327580613999E-4</v>
      </c>
      <c r="C10" s="8">
        <v>2.7000000000000001E-3</v>
      </c>
    </row>
    <row r="11" spans="1:5">
      <c r="A11" s="1" t="s">
        <v>80</v>
      </c>
      <c r="B11">
        <f>B9+B10</f>
        <v>1.5418141951599401E-3</v>
      </c>
      <c r="C11">
        <v>11.7</v>
      </c>
    </row>
    <row r="12" spans="1:5">
      <c r="A12" s="1" t="s">
        <v>82</v>
      </c>
      <c r="B12" s="8">
        <f>B7*B7/(B2/3)</f>
        <v>8.7272727272727284</v>
      </c>
    </row>
    <row r="13" spans="1:5">
      <c r="A13" s="1" t="s">
        <v>83</v>
      </c>
      <c r="B13">
        <f>1/(2*PI()*B6*B12)</f>
        <v>3.6473007791892675E-4</v>
      </c>
    </row>
    <row r="14" spans="1:5">
      <c r="A14" s="10" t="s">
        <v>84</v>
      </c>
      <c r="B14">
        <f>0.05*B13</f>
        <v>1.8236503895946337E-5</v>
      </c>
    </row>
    <row r="15" spans="1:5">
      <c r="A15" s="14" t="s">
        <v>81</v>
      </c>
    </row>
    <row r="16" spans="1:5">
      <c r="A16" s="14" t="s">
        <v>91</v>
      </c>
    </row>
    <row r="17" spans="1:6">
      <c r="A17" t="s">
        <v>92</v>
      </c>
      <c r="F17" s="8"/>
    </row>
    <row r="19" spans="1:6">
      <c r="D19" s="9"/>
    </row>
  </sheetData>
  <hyperlinks>
    <hyperlink ref="A15" r:id="rId1"/>
    <hyperlink ref="A16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</dc:creator>
  <cp:lastModifiedBy>JGC</cp:lastModifiedBy>
  <dcterms:created xsi:type="dcterms:W3CDTF">2023-12-05T09:21:34Z</dcterms:created>
  <dcterms:modified xsi:type="dcterms:W3CDTF">2023-12-20T14:16:01Z</dcterms:modified>
</cp:coreProperties>
</file>