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 Udin\Kuliah\7. TUGAS AKHIR\Arm Manipulator\Referensi\AR4 6DOF Manipulator\"/>
    </mc:Choice>
  </mc:AlternateContent>
  <xr:revisionPtr revIDLastSave="0" documentId="13_ncr:1_{4D7D5D8E-6771-4F83-BE1B-38AA2412CFF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N14" i="1" l="1"/>
  <c r="F7" i="1"/>
  <c r="T18" i="1"/>
  <c r="Q40" i="1"/>
  <c r="Q22" i="1" l="1"/>
  <c r="Q21" i="1"/>
  <c r="Q20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B16" i="1" s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Q14" i="1" l="1"/>
  <c r="F8" i="1"/>
  <c r="E8" i="1" s="1"/>
  <c r="N16" i="1" l="1"/>
  <c r="F9" i="1"/>
  <c r="E9" i="1" s="1"/>
  <c r="O16" i="1" s="1"/>
  <c r="E7" i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l="1"/>
  <c r="T21" i="1" s="1"/>
  <c r="T20" i="1"/>
  <c r="T22" i="1" l="1"/>
  <c r="T25" i="1" s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l="1" a="1"/>
  <c r="AD24" i="1" s="1"/>
  <c r="AD30" i="1" s="1"/>
  <c r="AC26" i="1" l="1"/>
  <c r="AD26" i="1"/>
  <c r="AD23" i="1"/>
  <c r="AC30" i="1" s="1"/>
  <c r="AF25" i="1"/>
  <c r="AC25" i="1"/>
  <c r="AE29" i="1" s="1"/>
  <c r="AE26" i="1"/>
  <c r="AE24" i="1"/>
  <c r="AD31" i="1" s="1"/>
  <c r="AF26" i="1"/>
  <c r="AD25" i="1"/>
  <c r="AE30" i="1" s="1"/>
  <c r="AE25" i="1"/>
  <c r="AE31" i="1" s="1"/>
  <c r="AC24" i="1"/>
  <c r="AD29" i="1" s="1"/>
  <c r="AF23" i="1"/>
  <c r="AC23" i="1"/>
  <c r="AC29" i="1" s="1"/>
  <c r="AE23" i="1"/>
  <c r="AC31" i="1" s="1"/>
  <c r="AF24" i="1"/>
  <c r="X33" i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<sst xmlns="http://schemas.openxmlformats.org/spreadsheetml/2006/main" count="109" uniqueCount="75">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</sst>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78" zoomScaleNormal="115" workbookViewId="0">
      <selection activeCell="R11" sqref="R11"/>
    </sheetView>
  </sheetViews>
  <sheetFormatPr defaultColWidth="8.88671875" defaultRowHeight="14.4" x14ac:dyDescent="0.3"/>
  <cols>
    <col min="1" max="1" width="19.109375" style="9" customWidth="1"/>
    <col min="2" max="2" width="13.6640625" style="8" customWidth="1"/>
    <col min="3" max="3" width="13.109375" style="8" customWidth="1"/>
    <col min="4" max="4" width="13.33203125" style="8" customWidth="1"/>
    <col min="5" max="5" width="12.44140625" style="8" customWidth="1"/>
    <col min="6" max="6" width="8.6640625" style="8" customWidth="1"/>
    <col min="7" max="7" width="13.5546875" style="8" customWidth="1"/>
    <col min="8" max="8" width="13" style="8" customWidth="1"/>
    <col min="9" max="9" width="12.33203125" style="8" customWidth="1"/>
    <col min="10" max="10" width="11.5546875" style="8" customWidth="1"/>
    <col min="11" max="11" width="3.109375" style="8" customWidth="1"/>
    <col min="12" max="12" width="4.33203125" style="4" customWidth="1"/>
    <col min="13" max="13" width="4.33203125" style="8" customWidth="1"/>
    <col min="14" max="14" width="10.33203125" style="8" customWidth="1"/>
    <col min="15" max="15" width="13.5546875" style="8" customWidth="1"/>
    <col min="16" max="16" width="13.44140625" style="8" customWidth="1"/>
    <col min="17" max="17" width="13.5546875" style="8" customWidth="1"/>
    <col min="18" max="18" width="13.6640625" style="8" customWidth="1"/>
    <col min="19" max="20" width="11.88671875" style="8" customWidth="1"/>
    <col min="21" max="21" width="12.33203125" style="8" customWidth="1"/>
    <col min="22" max="22" width="11.5546875" style="8" customWidth="1"/>
    <col min="23" max="23" width="11.109375" style="8" customWidth="1"/>
    <col min="24" max="24" width="10.6640625" style="8" customWidth="1"/>
    <col min="25" max="25" width="10.88671875" style="8" customWidth="1"/>
    <col min="26" max="26" width="10.6640625" style="8" customWidth="1"/>
    <col min="27" max="27" width="10.44140625" style="8" customWidth="1"/>
    <col min="28" max="28" width="9.6640625" style="8" customWidth="1"/>
    <col min="29" max="29" width="11.109375" style="8" customWidth="1"/>
    <col min="30" max="30" width="12.109375" style="8" customWidth="1"/>
    <col min="31" max="32" width="12.5546875" style="8" customWidth="1"/>
    <col min="33" max="16384" width="8.88671875" style="8"/>
  </cols>
  <sheetData>
    <row r="1" spans="1:34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" customHeight="1" x14ac:dyDescent="0.3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3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327.83000000000004</v>
      </c>
      <c r="G4" s="71"/>
      <c r="H4" s="71"/>
      <c r="I4" s="71"/>
      <c r="J4" s="71"/>
      <c r="M4" s="9"/>
      <c r="N4" s="12" t="s">
        <v>17</v>
      </c>
      <c r="O4" s="13">
        <v>327.83</v>
      </c>
      <c r="P4" s="12" t="s">
        <v>3</v>
      </c>
      <c r="Q4" s="11">
        <f>O52</f>
        <v>-1.2077413429309297E-16</v>
      </c>
      <c r="T4" s="14"/>
      <c r="V4" s="9"/>
      <c r="Y4" s="9"/>
      <c r="Z4" s="9"/>
      <c r="AA4" s="9"/>
      <c r="AB4" s="9"/>
      <c r="AD4" s="9"/>
    </row>
    <row r="5" spans="1:34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-2.5342195789784808E-15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7.1054273576010019E-15</v>
      </c>
      <c r="V5" s="9"/>
      <c r="Y5" s="9"/>
      <c r="Z5" s="9"/>
      <c r="AA5" s="9"/>
      <c r="AB5" s="9"/>
      <c r="AD5" s="9"/>
    </row>
    <row r="6" spans="1:34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474.77</v>
      </c>
      <c r="G6" s="9"/>
      <c r="H6" s="9"/>
      <c r="M6" s="12"/>
      <c r="N6" s="12" t="s">
        <v>19</v>
      </c>
      <c r="O6" s="13">
        <v>474.77</v>
      </c>
      <c r="P6" s="12" t="s">
        <v>5</v>
      </c>
      <c r="Q6" s="11">
        <f>T25</f>
        <v>0</v>
      </c>
      <c r="Y6" s="9"/>
      <c r="Z6" s="9"/>
      <c r="AA6" s="9"/>
      <c r="AB6" s="9"/>
      <c r="AD6" s="9"/>
    </row>
    <row r="7" spans="1:34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45</v>
      </c>
      <c r="F7" s="8">
        <f>ATAN2(G54/COS(F8),G55/COS(F8))</f>
        <v>0.78539816339744828</v>
      </c>
      <c r="M7" s="12"/>
      <c r="N7" s="12" t="s">
        <v>50</v>
      </c>
      <c r="O7" s="13">
        <v>45</v>
      </c>
      <c r="P7" s="12" t="s">
        <v>6</v>
      </c>
      <c r="Q7" s="11">
        <f>IF(Q8&gt;0,-DEGREES(ATAN2(Z33,-Z34)),-DEGREES(ATAN2(-Z33,Z34)))</f>
        <v>106.87417866495849</v>
      </c>
      <c r="Y7" s="9"/>
      <c r="Z7" s="9"/>
      <c r="AA7" s="9"/>
      <c r="AB7" s="9"/>
    </row>
    <row r="8" spans="1:34" x14ac:dyDescent="0.3">
      <c r="A8" s="9" t="s">
        <v>61</v>
      </c>
      <c r="B8" s="11">
        <v>0</v>
      </c>
      <c r="C8" s="9">
        <f t="shared" ref="C8" si="0">RADIANS(B8)</f>
        <v>0</v>
      </c>
      <c r="D8" s="12" t="s">
        <v>49</v>
      </c>
      <c r="E8" s="13">
        <f t="shared" ref="E8:E9" si="1">DEGREES(F8)</f>
        <v>90</v>
      </c>
      <c r="F8" s="8">
        <f>ATAN2((H56^2+I56^2)^0.5,-G56)</f>
        <v>1.5707963267948966</v>
      </c>
      <c r="M8" s="12"/>
      <c r="N8" s="12" t="s">
        <v>49</v>
      </c>
      <c r="O8" s="13">
        <v>90</v>
      </c>
      <c r="P8" s="12" t="s">
        <v>7</v>
      </c>
      <c r="Q8" s="11">
        <f>IF(AND(O49="F",DEGREES(ATAN2(Z35,+SQRT(1-(Z35^2))))&gt;0),DEGREES(ATAN2(Z35,+SQRT(1-(Z35^2)))),DEGREES(ATAN2(Z35,-SQRT(1-(Z35^2)))))</f>
        <v>0</v>
      </c>
      <c r="Y8" s="9"/>
      <c r="Z8" s="9"/>
      <c r="AA8" s="9"/>
      <c r="AB8" s="9"/>
      <c r="AD8" s="9"/>
    </row>
    <row r="9" spans="1:34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45</v>
      </c>
      <c r="F9" s="8">
        <f>ATAN2(I56/COS(F8),H56/COS(F8))</f>
        <v>0.78539816339744828</v>
      </c>
      <c r="M9" s="9"/>
      <c r="N9" s="12" t="s">
        <v>48</v>
      </c>
      <c r="O9" s="13">
        <v>45</v>
      </c>
      <c r="P9" s="12" t="s">
        <v>8</v>
      </c>
      <c r="Q9" s="11">
        <f>IF(Q8&gt;0, DEGREES(ATAN2(-X35,Y35)),DEGREES(ATAN2(X35,-Y35)))</f>
        <v>-106.87417866495849</v>
      </c>
      <c r="Y9" s="9"/>
      <c r="Z9" s="9"/>
      <c r="AA9" s="9"/>
      <c r="AB9" s="9"/>
      <c r="AD9" s="9"/>
    </row>
    <row r="10" spans="1:34" s="16" customFormat="1" ht="14.25" customHeight="1" x14ac:dyDescent="0.3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5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4.3315539021305322E-17</v>
      </c>
      <c r="O14" s="29">
        <f>COS(RADIANS(O7))*SIN(RADIANS(O8))*SIN(RADIANS(O9))-SIN(RADIANS(O7))*COS(RADIANS(O9))</f>
        <v>0</v>
      </c>
      <c r="P14" s="29">
        <f>COS(RADIANS(O7))*SIN(RADIANS(O8))*COS(RADIANS(O9))+SIN(RADIANS(O7))*SIN(RADIANS(O9))</f>
        <v>1</v>
      </c>
      <c r="Q14" s="29">
        <f>O4</f>
        <v>327.83</v>
      </c>
      <c r="S14" s="29">
        <f>(Q44*COS(RADIANS(-Q4)))-(Q45*SIN(RADIANS(-Q4)))</f>
        <v>286.83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1.29124906999759E-34</v>
      </c>
      <c r="Z14" s="29">
        <f>SIN(RADIANS(Q4))*SIN(C13)</f>
        <v>2.1079062946602668E-18</v>
      </c>
      <c r="AA14" s="29">
        <f>E13*COS(RADIANS(Q4))</f>
        <v>64.2</v>
      </c>
      <c r="AD14" s="9"/>
      <c r="AE14" s="9"/>
      <c r="AG14" s="9"/>
      <c r="AH14" s="9"/>
    </row>
    <row r="15" spans="1:34" x14ac:dyDescent="0.3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4.3315539021305316E-17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0</v>
      </c>
      <c r="Q15" s="29">
        <f>O5</f>
        <v>-6.0461076249740429E-16</v>
      </c>
      <c r="X15" s="29">
        <f>SIN(RADIANS(Q4))</f>
        <v>-2.1079062946602668E-18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-1.3532758411718913E-16</v>
      </c>
      <c r="AB15" s="9"/>
      <c r="AC15" s="8" t="s">
        <v>21</v>
      </c>
      <c r="AD15" s="9"/>
      <c r="AE15" s="9"/>
    </row>
    <row r="16" spans="1:34" ht="17.25" customHeight="1" x14ac:dyDescent="0.3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</v>
      </c>
      <c r="O16" s="29">
        <f>COS(RADIANS(O8))*SIN(RADIANS(O9))</f>
        <v>4.3315539021305316E-17</v>
      </c>
      <c r="P16" s="29">
        <f>COS(RADIANS(O8))*COS(RADIANS(O9))</f>
        <v>4.3315539021305322E-17</v>
      </c>
      <c r="Q16" s="29">
        <f>O6</f>
        <v>474.77</v>
      </c>
      <c r="S16" s="30" t="s">
        <v>51</v>
      </c>
      <c r="T16" s="29">
        <f>ABS(S14-E13)</f>
        <v>222.63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6.1257422745431001E-17</v>
      </c>
      <c r="AD16" s="60">
        <v>1</v>
      </c>
      <c r="AE16" s="60">
        <v>2.1079062946602668E-18</v>
      </c>
      <c r="AF16" s="60">
        <v>64.200000000000017</v>
      </c>
      <c r="AG16" s="9"/>
      <c r="AH16" s="9"/>
    </row>
    <row r="17" spans="1:34" x14ac:dyDescent="0.3">
      <c r="A17" s="24">
        <v>5</v>
      </c>
      <c r="B17" s="25">
        <f>C8</f>
        <v>0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377.60974153218029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-6.1257422745431001E-17</v>
      </c>
      <c r="AD17" s="60">
        <v>-2.1079062946602629E-18</v>
      </c>
      <c r="AE17" s="60">
        <v>1</v>
      </c>
      <c r="AF17" s="60">
        <v>-1.8818841521473645E-14</v>
      </c>
      <c r="AG17" s="9"/>
      <c r="AH17" s="9"/>
    </row>
    <row r="18" spans="1:34" ht="15" thickBot="1" x14ac:dyDescent="0.35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1</v>
      </c>
      <c r="AD18" s="60">
        <v>-6.1257422745431001E-17</v>
      </c>
      <c r="AE18" s="60">
        <v>6.1257422745431001E-17</v>
      </c>
      <c r="AF18" s="60">
        <v>474.77</v>
      </c>
      <c r="AH18" s="9"/>
    </row>
    <row r="19" spans="1:34" x14ac:dyDescent="0.3">
      <c r="N19" s="8" t="s">
        <v>16</v>
      </c>
      <c r="S19" s="30" t="s">
        <v>54</v>
      </c>
      <c r="T19" s="29">
        <f>Q46-D13</f>
        <v>305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3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36.126993091233103</v>
      </c>
      <c r="X20" s="29">
        <f>COS(RADIANS(Q5-90))</f>
        <v>6.1257422745431001E-17</v>
      </c>
      <c r="Y20" s="29">
        <f>-SIN(RADIANS(Q5-90))*COS(C14)</f>
        <v>1</v>
      </c>
      <c r="Z20" s="29">
        <f>SIN(RADIANS(Q5-90))*SIN(C14)</f>
        <v>0</v>
      </c>
      <c r="AA20" s="29">
        <f>E14*COS(RADIANS(Q5-90))</f>
        <v>1.8683513937356455E-14</v>
      </c>
      <c r="AB20" s="9"/>
      <c r="AD20" s="35"/>
      <c r="AE20" s="36"/>
      <c r="AF20" s="37"/>
      <c r="AG20" s="9"/>
      <c r="AH20" s="9"/>
    </row>
    <row r="21" spans="1:34" x14ac:dyDescent="0.3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36.126993091233096</v>
      </c>
      <c r="X21" s="29">
        <f>SIN(RADIANS(Q5-90))</f>
        <v>-1</v>
      </c>
      <c r="Y21" s="29">
        <f>COS(RADIANS(Q5-90))*COS(C14)</f>
        <v>6.1257422745431001E-17</v>
      </c>
      <c r="Z21" s="29">
        <f>-COS(RADIANS(Q5-90))*SIN(C14)</f>
        <v>0</v>
      </c>
      <c r="AA21" s="29">
        <f>E14*SIN(RADIANS(Q5-90))</f>
        <v>-305</v>
      </c>
      <c r="AD21" s="35"/>
      <c r="AE21" s="36"/>
      <c r="AF21" s="37"/>
      <c r="AG21" s="9"/>
      <c r="AH21" s="9"/>
    </row>
    <row r="22" spans="1:34" x14ac:dyDescent="0.3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90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3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6.1257422745431001E-17</v>
      </c>
      <c r="AD23" s="61">
        <v>-5.9149516450770731E-17</v>
      </c>
      <c r="AE23" s="61">
        <v>1</v>
      </c>
      <c r="AF23" s="61">
        <v>64.200000000000017</v>
      </c>
    </row>
    <row r="24" spans="1:34" x14ac:dyDescent="0.3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7.1054273576010019E-15</v>
      </c>
      <c r="AB24" s="9"/>
      <c r="AC24" s="60">
        <v>6.1257422745431001E-17</v>
      </c>
      <c r="AD24" s="61">
        <v>1</v>
      </c>
      <c r="AE24" s="60">
        <v>5.9149516450770731E-17</v>
      </c>
      <c r="AF24" s="60">
        <v>-1.8818841521473645E-14</v>
      </c>
      <c r="AG24" s="9"/>
      <c r="AH24" s="9"/>
    </row>
    <row r="25" spans="1:34" x14ac:dyDescent="0.3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0</v>
      </c>
      <c r="X25" s="8" t="s">
        <v>5</v>
      </c>
      <c r="AB25" s="9"/>
      <c r="AC25" s="60">
        <v>-1</v>
      </c>
      <c r="AD25" s="61">
        <v>6.1257422745431001E-17</v>
      </c>
      <c r="AE25" s="61">
        <v>6.1257422745431001E-17</v>
      </c>
      <c r="AF25" s="61">
        <v>474.77</v>
      </c>
      <c r="AG25" s="9"/>
      <c r="AH25" s="9"/>
    </row>
    <row r="26" spans="1:34" x14ac:dyDescent="0.3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-1</v>
      </c>
      <c r="Y26" s="29">
        <f>-SIN(RADIANS(Q6+180))*COS(C15)</f>
        <v>-7.5049436828248946E-33</v>
      </c>
      <c r="Z26" s="29">
        <f>SIN(RADIANS(Q6+180))*SIN(C15)</f>
        <v>1.22514845490862E-16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3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1.22514845490862E-16</v>
      </c>
      <c r="Y27" s="29">
        <f>COS(RADIANS(Q6+180))*COS(C15)</f>
        <v>-6.1257422745431001E-17</v>
      </c>
      <c r="Z27" s="29">
        <f>-COS(RADIANS(Q6+180))*SIN(C15)</f>
        <v>1</v>
      </c>
      <c r="AA27" s="29">
        <f>E15*SIN(RADIANS(Q6+180))</f>
        <v>0</v>
      </c>
      <c r="AB27" s="9"/>
      <c r="AD27" s="35"/>
      <c r="AE27" s="36"/>
      <c r="AF27" s="39"/>
    </row>
    <row r="28" spans="1:34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6.1257422745431001E-17</v>
      </c>
      <c r="AD29" s="38">
        <f>AC24</f>
        <v>6.1257422745431001E-17</v>
      </c>
      <c r="AE29" s="29">
        <f>AC25</f>
        <v>-1</v>
      </c>
      <c r="AF29" s="9"/>
      <c r="AG29" s="9"/>
      <c r="AH29" s="9"/>
    </row>
    <row r="30" spans="1:34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-5.9149516450770731E-17</v>
      </c>
      <c r="AD30" s="38">
        <f>AD24</f>
        <v>1</v>
      </c>
      <c r="AE30" s="34">
        <f>AD25</f>
        <v>6.1257422745431001E-17</v>
      </c>
      <c r="AF30" s="36"/>
      <c r="AG30" s="9"/>
      <c r="AH30" s="9"/>
    </row>
    <row r="31" spans="1:34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1</v>
      </c>
      <c r="AD31" s="38">
        <f>AE24</f>
        <v>5.9149516450770731E-17</v>
      </c>
      <c r="AE31" s="34">
        <f>AE25</f>
        <v>6.1257422745431001E-17</v>
      </c>
      <c r="AF31" s="36"/>
    </row>
    <row r="32" spans="1:34" ht="15" thickBot="1" x14ac:dyDescent="0.35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4.3315539021305322E-17</v>
      </c>
      <c r="O32" s="29">
        <v>0</v>
      </c>
      <c r="P32" s="29">
        <v>1</v>
      </c>
      <c r="Q32" s="29">
        <v>327.83</v>
      </c>
      <c r="X32" s="8" t="s">
        <v>38</v>
      </c>
      <c r="AB32" s="9"/>
      <c r="AD32" s="9"/>
      <c r="AG32" s="9"/>
      <c r="AH32" s="9"/>
    </row>
    <row r="33" spans="2:34" x14ac:dyDescent="0.3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4.3315539021305316E-17</v>
      </c>
      <c r="O33" s="29">
        <v>1</v>
      </c>
      <c r="P33" s="29">
        <v>0</v>
      </c>
      <c r="Q33" s="29">
        <v>-6.0461076249740429E-16</v>
      </c>
      <c r="X33" s="63">
        <f t="array" ref="X33:Z35">MMULT(AC29:AE31,N32:P34)</f>
        <v>1</v>
      </c>
      <c r="Y33" s="64">
        <v>1.7941883724125684E-17</v>
      </c>
      <c r="Z33" s="65">
        <v>1.7941883724125678E-17</v>
      </c>
      <c r="AB33" s="9"/>
      <c r="AD33" s="9"/>
      <c r="AE33" s="9"/>
      <c r="AG33" s="9"/>
      <c r="AH33" s="9"/>
    </row>
    <row r="34" spans="2:34" x14ac:dyDescent="0.3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</v>
      </c>
      <c r="O34" s="29">
        <v>4.3315539021305316E-17</v>
      </c>
      <c r="P34" s="29">
        <v>4.3315539021305322E-17</v>
      </c>
      <c r="Q34" s="29">
        <v>474.77</v>
      </c>
      <c r="X34" s="66">
        <v>-1.7941883724125684E-17</v>
      </c>
      <c r="Y34" s="29">
        <v>1</v>
      </c>
      <c r="Z34" s="67">
        <v>-5.9149516450770731E-17</v>
      </c>
      <c r="AB34" s="9"/>
    </row>
    <row r="35" spans="2:34" ht="15" thickBot="1" x14ac:dyDescent="0.35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-1.7941883724125678E-17</v>
      </c>
      <c r="Y35" s="69">
        <v>5.9149516450770731E-17</v>
      </c>
      <c r="Z35" s="70">
        <v>1</v>
      </c>
    </row>
    <row r="36" spans="2:34" x14ac:dyDescent="0.3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3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3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3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3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" thickBot="1" x14ac:dyDescent="0.35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3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6.1257422745431001E-17</v>
      </c>
      <c r="H42" s="29">
        <v>-6.1257422745431001E-17</v>
      </c>
      <c r="I42" s="40">
        <v>1</v>
      </c>
      <c r="J42" s="41">
        <v>286.83000000000004</v>
      </c>
    </row>
    <row r="43" spans="2:34" ht="15" thickBot="1" x14ac:dyDescent="0.35">
      <c r="G43" s="29">
        <v>6.1257422745431001E-17</v>
      </c>
      <c r="H43" s="29">
        <v>1</v>
      </c>
      <c r="I43" s="40">
        <v>6.1257422745431001E-17</v>
      </c>
      <c r="J43" s="42">
        <v>-5.0457739115411518E-15</v>
      </c>
      <c r="N43" s="8" t="s">
        <v>43</v>
      </c>
      <c r="AB43" s="9"/>
    </row>
    <row r="44" spans="2:34" ht="15" thickBot="1" x14ac:dyDescent="0.35">
      <c r="B44" s="8" t="s">
        <v>7</v>
      </c>
      <c r="G44" s="29">
        <v>-1</v>
      </c>
      <c r="H44" s="29">
        <v>6.1257422745431001E-17</v>
      </c>
      <c r="I44" s="40">
        <v>6.1257422745431001E-17</v>
      </c>
      <c r="J44" s="43">
        <v>474.77</v>
      </c>
      <c r="N44" s="29">
        <f t="array" ref="N44:Q47">MMULT(N32:Q35,N38:Q41)</f>
        <v>4.3315539021305322E-17</v>
      </c>
      <c r="O44" s="29">
        <v>0</v>
      </c>
      <c r="P44" s="40">
        <v>1</v>
      </c>
      <c r="Q44" s="41">
        <v>286.83</v>
      </c>
      <c r="AB44" s="9"/>
    </row>
    <row r="45" spans="2:34" x14ac:dyDescent="0.3">
      <c r="B45" s="29">
        <f>COS(B17)</f>
        <v>1</v>
      </c>
      <c r="C45" s="29">
        <f>-SIN(B17)*COS(C17)</f>
        <v>0</v>
      </c>
      <c r="D45" s="29">
        <f>SIN(B17)*SIN(C17)</f>
        <v>0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4.3315539021305316E-17</v>
      </c>
      <c r="O45" s="29">
        <v>1</v>
      </c>
      <c r="P45" s="40">
        <v>0</v>
      </c>
      <c r="Q45" s="42">
        <v>-6.0461076249740429E-16</v>
      </c>
      <c r="AB45" s="9"/>
    </row>
    <row r="46" spans="2:34" ht="15" thickBot="1" x14ac:dyDescent="0.35">
      <c r="B46" s="29">
        <f>SIN(B17)</f>
        <v>0</v>
      </c>
      <c r="C46" s="29">
        <f>COS(B17)*COS(C17)</f>
        <v>6.1257422745431001E-17</v>
      </c>
      <c r="D46" s="29">
        <f>-COS(B17)*SIN(C17)</f>
        <v>-1</v>
      </c>
      <c r="E46" s="29">
        <f>E17*SIN(B17)</f>
        <v>0</v>
      </c>
      <c r="N46" s="29">
        <v>-1</v>
      </c>
      <c r="O46" s="29">
        <v>4.3315539021305316E-17</v>
      </c>
      <c r="P46" s="40">
        <v>4.3315539021305322E-17</v>
      </c>
      <c r="Q46" s="43">
        <v>474.77</v>
      </c>
      <c r="AB46" s="9"/>
    </row>
    <row r="47" spans="2:34" x14ac:dyDescent="0.3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3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6.1257422745431001E-17</v>
      </c>
      <c r="H48" s="29">
        <v>-6.1257422745431001E-17</v>
      </c>
      <c r="I48" s="29">
        <v>1</v>
      </c>
      <c r="J48" s="29">
        <v>327.83000000000004</v>
      </c>
      <c r="AB48" s="9"/>
    </row>
    <row r="49" spans="2:33" x14ac:dyDescent="0.3">
      <c r="G49" s="29">
        <v>6.1257422745431001E-17</v>
      </c>
      <c r="H49" s="29">
        <v>1</v>
      </c>
      <c r="I49" s="29">
        <v>6.1257422745431001E-17</v>
      </c>
      <c r="J49" s="29">
        <v>-2.5342195789784808E-15</v>
      </c>
      <c r="N49" s="29" t="s">
        <v>39</v>
      </c>
      <c r="O49" s="25" t="str">
        <f>IF(B8&gt;0,"F","N")</f>
        <v>N</v>
      </c>
    </row>
    <row r="50" spans="2:33" x14ac:dyDescent="0.3">
      <c r="B50" s="8" t="s">
        <v>8</v>
      </c>
      <c r="G50" s="29">
        <v>-1</v>
      </c>
      <c r="H50" s="29">
        <v>6.1257422745431001E-17</v>
      </c>
      <c r="I50" s="29">
        <v>6.1257422745431001E-17</v>
      </c>
      <c r="J50" s="29">
        <v>474.77</v>
      </c>
      <c r="O50" s="9"/>
    </row>
    <row r="51" spans="2:33" x14ac:dyDescent="0.3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3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-1.2077413429309297E-16</v>
      </c>
      <c r="P52" s="35"/>
    </row>
    <row r="53" spans="2:33" x14ac:dyDescent="0.3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3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6.1257422745431001E-17</v>
      </c>
      <c r="H54" s="29">
        <v>-6.1257422745431001E-17</v>
      </c>
      <c r="I54" s="29">
        <v>1</v>
      </c>
      <c r="J54" s="29">
        <v>327.83000000000004</v>
      </c>
    </row>
    <row r="55" spans="2:33" x14ac:dyDescent="0.3">
      <c r="G55" s="29">
        <v>6.1257422745431001E-17</v>
      </c>
      <c r="H55" s="29">
        <v>1</v>
      </c>
      <c r="I55" s="29">
        <v>6.1257422745431001E-17</v>
      </c>
      <c r="J55" s="29">
        <v>-2.5342195789784808E-15</v>
      </c>
    </row>
    <row r="56" spans="2:33" x14ac:dyDescent="0.3">
      <c r="B56" s="8" t="s">
        <v>16</v>
      </c>
      <c r="G56" s="29">
        <v>-1</v>
      </c>
      <c r="H56" s="29">
        <v>6.1257422745431001E-17</v>
      </c>
      <c r="I56" s="29">
        <v>6.1257422745431001E-17</v>
      </c>
      <c r="J56" s="29">
        <v>474.77</v>
      </c>
    </row>
    <row r="57" spans="2:33" x14ac:dyDescent="0.3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3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3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3">
      <c r="B60" s="29">
        <v>0</v>
      </c>
      <c r="C60" s="29">
        <v>0</v>
      </c>
      <c r="D60" s="29">
        <v>0</v>
      </c>
      <c r="E60" s="29">
        <v>1</v>
      </c>
    </row>
    <row r="62" spans="2:33" x14ac:dyDescent="0.3">
      <c r="AG62" s="9"/>
    </row>
    <row r="85" spans="1:23" x14ac:dyDescent="0.3">
      <c r="A85" s="47"/>
      <c r="B85" s="9"/>
      <c r="C85" s="9"/>
    </row>
    <row r="86" spans="1:23" x14ac:dyDescent="0.3">
      <c r="A86" s="47"/>
      <c r="B86" s="9"/>
      <c r="C86" s="9"/>
    </row>
    <row r="87" spans="1:23" x14ac:dyDescent="0.3">
      <c r="A87" s="47"/>
      <c r="B87" s="9"/>
      <c r="C87" s="9"/>
    </row>
    <row r="88" spans="1:23" x14ac:dyDescent="0.3">
      <c r="B88" s="9"/>
      <c r="C88" s="9"/>
    </row>
    <row r="89" spans="1:23" x14ac:dyDescent="0.3">
      <c r="B89" s="9"/>
      <c r="C89" s="9"/>
    </row>
    <row r="90" spans="1:23" x14ac:dyDescent="0.3">
      <c r="B90" s="9"/>
      <c r="C90" s="9"/>
      <c r="D90" s="27"/>
    </row>
    <row r="91" spans="1:23" x14ac:dyDescent="0.3">
      <c r="A91" s="15"/>
      <c r="B91" s="16"/>
      <c r="C91" s="15"/>
      <c r="D91" s="15"/>
      <c r="E91" s="15"/>
      <c r="F91" s="15"/>
    </row>
    <row r="92" spans="1:23" x14ac:dyDescent="0.3">
      <c r="C92" s="9"/>
    </row>
    <row r="94" spans="1:23" x14ac:dyDescent="0.3">
      <c r="R94" s="9"/>
    </row>
    <row r="95" spans="1:23" x14ac:dyDescent="0.3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3">
      <c r="A96" s="27"/>
      <c r="B96" s="27"/>
      <c r="C96" s="27"/>
      <c r="D96" s="27"/>
      <c r="S96" s="9"/>
      <c r="T96" s="9"/>
      <c r="V96" s="9"/>
      <c r="W96" s="9"/>
    </row>
    <row r="97" spans="1:27" x14ac:dyDescent="0.3">
      <c r="A97" s="27"/>
      <c r="B97" s="27"/>
      <c r="C97" s="27"/>
      <c r="D97" s="27"/>
      <c r="S97" s="9"/>
      <c r="T97" s="9"/>
      <c r="V97" s="9"/>
      <c r="W97" s="9"/>
    </row>
    <row r="98" spans="1:27" x14ac:dyDescent="0.3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3">
      <c r="A99" s="27"/>
      <c r="B99" s="27"/>
      <c r="C99" s="27"/>
      <c r="D99" s="27"/>
      <c r="S99" s="9"/>
      <c r="T99" s="9"/>
      <c r="V99" s="9"/>
      <c r="W99" s="9"/>
    </row>
    <row r="100" spans="1:27" x14ac:dyDescent="0.3">
      <c r="A100" s="27"/>
      <c r="B100" s="27"/>
      <c r="C100" s="27"/>
      <c r="D100" s="27"/>
      <c r="S100" s="9"/>
      <c r="T100" s="9"/>
      <c r="V100" s="9"/>
      <c r="W100" s="9"/>
    </row>
    <row r="101" spans="1:27" x14ac:dyDescent="0.3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3">
      <c r="A102" s="27"/>
      <c r="B102" s="27"/>
      <c r="C102" s="27"/>
      <c r="D102" s="27"/>
    </row>
    <row r="103" spans="1:27" x14ac:dyDescent="0.3">
      <c r="A103" s="27"/>
      <c r="B103" s="27"/>
      <c r="C103" s="27"/>
      <c r="D103" s="27"/>
      <c r="AA103" s="9"/>
    </row>
    <row r="104" spans="1:27" x14ac:dyDescent="0.3">
      <c r="A104" s="27"/>
      <c r="B104" s="27"/>
      <c r="C104" s="27"/>
      <c r="D104" s="27"/>
      <c r="AA104" s="9"/>
    </row>
    <row r="105" spans="1:27" x14ac:dyDescent="0.3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3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3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3">
      <c r="A108" s="27"/>
      <c r="B108" s="27"/>
      <c r="C108" s="27"/>
      <c r="D108" s="27"/>
      <c r="E108" s="27"/>
      <c r="F108" s="27"/>
      <c r="G108" s="27"/>
      <c r="H108" s="27"/>
    </row>
    <row r="109" spans="1:27" x14ac:dyDescent="0.3">
      <c r="O109" s="9"/>
    </row>
    <row r="110" spans="1:27" x14ac:dyDescent="0.3">
      <c r="B110" s="9"/>
      <c r="C110" s="9"/>
      <c r="D110" s="9"/>
      <c r="E110" s="9"/>
      <c r="F110" s="9"/>
      <c r="G110" s="9"/>
      <c r="H110" s="9"/>
    </row>
    <row r="111" spans="1:27" x14ac:dyDescent="0.3">
      <c r="A111" s="27"/>
      <c r="B111" s="27"/>
      <c r="C111" s="27"/>
      <c r="D111" s="27"/>
    </row>
    <row r="112" spans="1:27" x14ac:dyDescent="0.3">
      <c r="A112" s="27"/>
      <c r="B112" s="27"/>
      <c r="C112" s="27"/>
      <c r="D112" s="27"/>
    </row>
    <row r="113" spans="1:34" x14ac:dyDescent="0.3">
      <c r="A113" s="27"/>
      <c r="B113" s="27"/>
      <c r="C113" s="27"/>
      <c r="D113" s="27"/>
      <c r="O113" s="9"/>
    </row>
    <row r="114" spans="1:34" x14ac:dyDescent="0.3">
      <c r="A114" s="27"/>
      <c r="B114" s="27"/>
      <c r="C114" s="27"/>
      <c r="D114" s="27"/>
      <c r="O114" s="9"/>
      <c r="S114" s="27"/>
      <c r="T114" s="27"/>
      <c r="V114" s="27"/>
    </row>
    <row r="115" spans="1:34" x14ac:dyDescent="0.3">
      <c r="A115" s="27"/>
      <c r="B115" s="27"/>
      <c r="C115" s="27"/>
      <c r="D115" s="27"/>
      <c r="O115" s="9"/>
      <c r="S115" s="27"/>
      <c r="T115" s="27"/>
      <c r="V115" s="27"/>
    </row>
    <row r="116" spans="1:34" x14ac:dyDescent="0.3">
      <c r="A116" s="27"/>
      <c r="B116" s="27"/>
      <c r="C116" s="27"/>
      <c r="D116" s="27"/>
      <c r="O116" s="9"/>
      <c r="S116" s="27"/>
      <c r="T116" s="27"/>
      <c r="V116" s="27"/>
    </row>
    <row r="117" spans="1:34" x14ac:dyDescent="0.3">
      <c r="A117" s="27"/>
      <c r="B117" s="27"/>
      <c r="C117" s="27"/>
      <c r="D117" s="27"/>
      <c r="P117" s="9"/>
    </row>
    <row r="118" spans="1:34" x14ac:dyDescent="0.3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3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3">
      <c r="O120" s="9"/>
      <c r="P120" s="9"/>
      <c r="Q120" s="9"/>
      <c r="R120" s="9"/>
      <c r="S120" s="9"/>
      <c r="T120" s="27"/>
      <c r="V120" s="27"/>
    </row>
    <row r="121" spans="1:34" x14ac:dyDescent="0.3">
      <c r="O121" s="9"/>
      <c r="P121" s="9"/>
      <c r="Q121" s="9"/>
      <c r="R121" s="9"/>
      <c r="S121" s="9"/>
      <c r="T121" s="27"/>
      <c r="V121" s="27"/>
    </row>
    <row r="122" spans="1:34" x14ac:dyDescent="0.3">
      <c r="O122" s="9"/>
      <c r="P122" s="9"/>
      <c r="Q122" s="9"/>
      <c r="R122" s="9"/>
      <c r="S122" s="9"/>
      <c r="T122" s="27"/>
      <c r="V122" s="27"/>
    </row>
    <row r="123" spans="1:34" x14ac:dyDescent="0.3">
      <c r="O123" s="9"/>
      <c r="P123" s="9"/>
      <c r="Q123" s="9"/>
      <c r="R123" s="9"/>
      <c r="S123" s="9"/>
      <c r="T123" s="27"/>
      <c r="V123" s="27"/>
    </row>
    <row r="124" spans="1:34" x14ac:dyDescent="0.3">
      <c r="O124" s="9"/>
      <c r="P124" s="9"/>
      <c r="Q124" s="9"/>
      <c r="R124" s="9"/>
      <c r="S124" s="9"/>
      <c r="T124" s="27"/>
      <c r="V124" s="27"/>
    </row>
    <row r="127" spans="1:34" x14ac:dyDescent="0.3">
      <c r="Y127" s="48"/>
      <c r="AH127" s="48"/>
    </row>
    <row r="128" spans="1:34" x14ac:dyDescent="0.3">
      <c r="Y128" s="50"/>
      <c r="AH128" s="50"/>
    </row>
    <row r="129" spans="2:37" x14ac:dyDescent="0.3">
      <c r="B129" s="9"/>
      <c r="C129" s="9"/>
      <c r="D129" s="9"/>
      <c r="E129" s="9"/>
      <c r="F129" s="9"/>
      <c r="G129" s="9"/>
      <c r="H129" s="9"/>
    </row>
    <row r="130" spans="2:37" x14ac:dyDescent="0.3">
      <c r="E130" s="27"/>
      <c r="F130" s="27"/>
      <c r="G130" s="27"/>
      <c r="H130" s="27"/>
    </row>
    <row r="134" spans="2:37" x14ac:dyDescent="0.3">
      <c r="B134" s="9"/>
      <c r="C134" s="9"/>
      <c r="D134" s="9"/>
      <c r="E134" s="9"/>
      <c r="F134" s="9"/>
      <c r="G134" s="9"/>
      <c r="H134" s="9"/>
    </row>
    <row r="135" spans="2:37" x14ac:dyDescent="0.3">
      <c r="E135" s="27"/>
      <c r="F135" s="27"/>
      <c r="G135" s="27"/>
      <c r="H135" s="27"/>
    </row>
    <row r="139" spans="2:37" x14ac:dyDescent="0.3">
      <c r="B139" s="9"/>
      <c r="C139" s="9"/>
      <c r="D139" s="9"/>
      <c r="E139" s="9"/>
      <c r="F139" s="9"/>
      <c r="G139" s="9"/>
      <c r="H139" s="9"/>
    </row>
    <row r="140" spans="2:37" x14ac:dyDescent="0.3">
      <c r="E140" s="27"/>
      <c r="F140" s="27"/>
      <c r="G140" s="27"/>
      <c r="H140" s="27"/>
    </row>
    <row r="144" spans="2:37" x14ac:dyDescent="0.3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3">
      <c r="E145" s="27"/>
      <c r="F145" s="27"/>
      <c r="G145" s="27"/>
      <c r="H145" s="27"/>
    </row>
    <row r="149" spans="2:8" x14ac:dyDescent="0.3">
      <c r="B149" s="9"/>
      <c r="C149" s="9"/>
      <c r="D149" s="9"/>
      <c r="E149" s="9"/>
      <c r="F149" s="9"/>
      <c r="G149" s="9"/>
      <c r="H149" s="9"/>
    </row>
    <row r="150" spans="2:8" x14ac:dyDescent="0.3">
      <c r="E150" s="27"/>
      <c r="F150" s="27"/>
      <c r="G150" s="27"/>
      <c r="H150" s="27"/>
    </row>
    <row r="154" spans="2:8" x14ac:dyDescent="0.3">
      <c r="B154" s="9"/>
      <c r="C154" s="9"/>
      <c r="D154" s="9"/>
      <c r="E154" s="9"/>
      <c r="F154" s="9"/>
      <c r="G154" s="9"/>
      <c r="H154" s="9"/>
    </row>
    <row r="155" spans="2:8" x14ac:dyDescent="0.3">
      <c r="E155" s="27"/>
      <c r="F155" s="27"/>
      <c r="G155" s="27"/>
      <c r="H155" s="27"/>
    </row>
    <row r="157" spans="2:8" x14ac:dyDescent="0.3">
      <c r="E157" s="27"/>
      <c r="F157" s="27"/>
      <c r="G157" s="27"/>
      <c r="H157" s="27"/>
    </row>
    <row r="159" spans="2:8" x14ac:dyDescent="0.3">
      <c r="B159" s="9"/>
      <c r="C159" s="9"/>
      <c r="D159" s="9"/>
      <c r="E159" s="9"/>
      <c r="F159" s="9"/>
      <c r="G159" s="9"/>
      <c r="H159" s="9"/>
    </row>
    <row r="160" spans="2:8" x14ac:dyDescent="0.3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ColWidth="9.109375" defaultRowHeight="14.4" x14ac:dyDescent="0.3"/>
  <cols>
    <col min="1" max="8" width="9.109375" style="52"/>
    <col min="9" max="9" width="9.5546875" style="52" bestFit="1" customWidth="1"/>
    <col min="10" max="10" width="9.109375" style="52"/>
    <col min="11" max="11" width="9.109375" style="52" customWidth="1"/>
    <col min="12" max="16384" width="9.109375" style="52"/>
  </cols>
  <sheetData>
    <row r="6" spans="1:11" x14ac:dyDescent="0.3">
      <c r="B6" s="55" t="s">
        <v>67</v>
      </c>
      <c r="C6" s="52" t="s">
        <v>9</v>
      </c>
      <c r="D6" s="52" t="s">
        <v>10</v>
      </c>
    </row>
    <row r="7" spans="1:11" x14ac:dyDescent="0.3">
      <c r="B7" s="52" t="s">
        <v>66</v>
      </c>
      <c r="C7" s="53">
        <v>12</v>
      </c>
      <c r="D7" s="53">
        <f>RADIANS(C7)</f>
        <v>0.20943951023931956</v>
      </c>
    </row>
    <row r="8" spans="1:11" x14ac:dyDescent="0.3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3">
      <c r="B9" s="52" t="s">
        <v>64</v>
      </c>
      <c r="C9" s="53">
        <v>5</v>
      </c>
      <c r="D9" s="53">
        <f t="shared" si="0"/>
        <v>8.7266462599716474E-2</v>
      </c>
    </row>
    <row r="11" spans="1:11" x14ac:dyDescent="0.3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3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3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3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3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3">
      <c r="B16" s="53">
        <v>0</v>
      </c>
      <c r="C16" s="53">
        <v>1</v>
      </c>
      <c r="D16" s="53">
        <v>0</v>
      </c>
    </row>
    <row r="17" spans="1:12" x14ac:dyDescent="0.3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3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3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3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3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3">
      <c r="B23" s="55" t="s">
        <v>68</v>
      </c>
      <c r="C23" s="52" t="s">
        <v>10</v>
      </c>
      <c r="D23" s="52" t="s">
        <v>9</v>
      </c>
    </row>
    <row r="24" spans="1:12" x14ac:dyDescent="0.3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" x14ac:dyDescent="0.35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3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3">
      <c r="H27" s="57"/>
      <c r="I27" s="9"/>
      <c r="J27" s="58"/>
      <c r="K27" s="59"/>
      <c r="L27" s="59"/>
    </row>
    <row r="28" spans="1:12" x14ac:dyDescent="0.3">
      <c r="H28" s="57"/>
      <c r="I28" s="9"/>
      <c r="J28" s="58"/>
      <c r="K28" s="59"/>
      <c r="L28" s="59"/>
    </row>
    <row r="29" spans="1:12" x14ac:dyDescent="0.3">
      <c r="H29" s="57"/>
      <c r="I29" s="9"/>
      <c r="J29" s="58"/>
      <c r="K29" s="59"/>
      <c r="L29" s="59"/>
    </row>
    <row r="30" spans="1:12" x14ac:dyDescent="0.3">
      <c r="H30" s="57"/>
      <c r="I30" s="9"/>
      <c r="J30" s="58"/>
      <c r="K30" s="59"/>
      <c r="L30" s="59"/>
    </row>
    <row r="31" spans="1:12" x14ac:dyDescent="0.3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Alfonsus Giovanni</cp:lastModifiedBy>
  <dcterms:created xsi:type="dcterms:W3CDTF">2016-12-01T18:45:41Z</dcterms:created>
  <dcterms:modified xsi:type="dcterms:W3CDTF">2025-02-14T03:43:31Z</dcterms:modified>
</cp:coreProperties>
</file>