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din\Kuliah\7. TUGAS AKHIR\Arm Manipulator\Breakdown\Excel\"/>
    </mc:Choice>
  </mc:AlternateContent>
  <xr:revisionPtr revIDLastSave="0" documentId="13_ncr:1_{828C9AA5-E8F1-4A4D-A717-1C84B02964AF}" xr6:coauthVersionLast="47" xr6:coauthVersionMax="47" xr10:uidLastSave="{00000000-0000-0000-0000-000000000000}"/>
  <bookViews>
    <workbookView xWindow="-108" yWindow="-108" windowWidth="23256" windowHeight="12456" activeTab="2" xr2:uid="{313879A8-645A-4312-965B-79C9BD650931}"/>
  </bookViews>
  <sheets>
    <sheet name="Stepper Information" sheetId="1" r:id="rId1"/>
    <sheet name="Cable Connection" sheetId="3" r:id="rId2"/>
    <sheet name="Kinematics Overview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3" l="1"/>
  <c r="O8" i="3" s="1"/>
  <c r="M5" i="3"/>
  <c r="M4" i="3"/>
  <c r="H22" i="3"/>
  <c r="H21" i="3"/>
  <c r="H20" i="3"/>
  <c r="H19" i="3"/>
  <c r="H18" i="3"/>
  <c r="H17" i="3"/>
  <c r="H16" i="3"/>
  <c r="H15" i="3"/>
  <c r="H14" i="3"/>
  <c r="H13" i="3"/>
  <c r="H11" i="3"/>
  <c r="H9" i="3"/>
  <c r="H8" i="3"/>
  <c r="H7" i="3"/>
  <c r="H6" i="3"/>
  <c r="M7" i="3" s="1"/>
  <c r="H5" i="3"/>
  <c r="M6" i="3" s="1"/>
  <c r="H4" i="3"/>
  <c r="H3" i="3"/>
  <c r="AG16" i="2"/>
  <c r="M3" i="3" l="1"/>
  <c r="O3" i="3" s="1"/>
  <c r="O4" i="3"/>
  <c r="O5" i="3"/>
  <c r="U3" i="1"/>
  <c r="D34" i="2"/>
  <c r="K10" i="2"/>
  <c r="O7" i="3" l="1"/>
  <c r="O6" i="3"/>
  <c r="Z45" i="2"/>
  <c r="AE45" i="2"/>
  <c r="O9" i="3" l="1"/>
  <c r="O10" i="3"/>
  <c r="AD35" i="2"/>
  <c r="AJ34" i="2"/>
  <c r="AE26" i="2"/>
  <c r="AB19" i="2" l="1"/>
  <c r="AC19" i="2"/>
  <c r="AD19" i="2"/>
  <c r="AE19" i="2"/>
  <c r="AJ19" i="2" s="1"/>
  <c r="G11" i="2" l="1"/>
  <c r="G10" i="2"/>
  <c r="F34" i="2" s="1"/>
  <c r="AB18" i="2" s="1"/>
  <c r="AI16" i="2" s="1"/>
  <c r="G9" i="2"/>
  <c r="I34" i="2"/>
  <c r="AE18" i="2" s="1"/>
  <c r="I33" i="2"/>
  <c r="AE17" i="2" s="1"/>
  <c r="I32" i="2"/>
  <c r="AE16" i="2" s="1"/>
  <c r="N26" i="2"/>
  <c r="I26" i="2"/>
  <c r="D26" i="2"/>
  <c r="I18" i="2"/>
  <c r="N18" i="2"/>
  <c r="K9" i="2"/>
  <c r="G26" i="2" s="1"/>
  <c r="M26" i="2"/>
  <c r="K11" i="2"/>
  <c r="C34" i="2" s="1"/>
  <c r="K8" i="2"/>
  <c r="K6" i="2"/>
  <c r="K7" i="2"/>
  <c r="AC45" i="2" l="1"/>
  <c r="AD45" i="2"/>
  <c r="Y45" i="2"/>
  <c r="X45" i="2"/>
  <c r="B26" i="2"/>
  <c r="L18" i="2"/>
  <c r="G18" i="2"/>
  <c r="AI34" i="2"/>
  <c r="AH34" i="2"/>
  <c r="L26" i="2"/>
  <c r="H26" i="2"/>
  <c r="B34" i="2"/>
  <c r="M18" i="2"/>
  <c r="H32" i="2"/>
  <c r="AD16" i="2" s="1"/>
  <c r="AG18" i="2" s="1"/>
  <c r="H18" i="2"/>
  <c r="H34" i="2"/>
  <c r="AD18" i="2" s="1"/>
  <c r="AI18" i="2" s="1"/>
  <c r="G34" i="2"/>
  <c r="AC18" i="2" s="1"/>
  <c r="AI17" i="2" s="1"/>
  <c r="H33" i="2"/>
  <c r="AD17" i="2" s="1"/>
  <c r="AH18" i="2" s="1"/>
  <c r="F33" i="2"/>
  <c r="AB17" i="2" s="1"/>
  <c r="AH16" i="2" s="1"/>
  <c r="G32" i="2"/>
  <c r="AC16" i="2" s="1"/>
  <c r="AG17" i="2" s="1"/>
  <c r="F32" i="2"/>
  <c r="AB16" i="2" s="1"/>
  <c r="G33" i="2"/>
  <c r="AC17" i="2" s="1"/>
  <c r="AH17" i="2" s="1"/>
  <c r="C26" i="2"/>
  <c r="AJ16" i="2" l="1"/>
  <c r="AJ17" i="2"/>
  <c r="AJ18" i="2"/>
  <c r="S3" i="1"/>
  <c r="Q4" i="1"/>
  <c r="S4" i="1" s="1"/>
  <c r="Q5" i="1"/>
  <c r="S5" i="1" s="1"/>
  <c r="Q6" i="1"/>
  <c r="S6" i="1" s="1"/>
  <c r="Q7" i="1"/>
  <c r="S7" i="1" s="1"/>
  <c r="Q8" i="1"/>
  <c r="S8" i="1" s="1"/>
  <c r="Q3" i="1"/>
  <c r="R3" i="1"/>
  <c r="L4" i="1"/>
  <c r="L5" i="1"/>
  <c r="L6" i="1"/>
  <c r="L7" i="1"/>
  <c r="L8" i="1"/>
  <c r="L3" i="1"/>
  <c r="M3" i="1"/>
  <c r="R4" i="1"/>
  <c r="T4" i="1" s="1"/>
  <c r="U4" i="1" s="1"/>
  <c r="V4" i="1" s="1"/>
  <c r="R5" i="1"/>
  <c r="T5" i="1" s="1"/>
  <c r="U5" i="1" s="1"/>
  <c r="V5" i="1" s="1"/>
  <c r="R6" i="1"/>
  <c r="T6" i="1" s="1"/>
  <c r="U6" i="1" s="1"/>
  <c r="V6" i="1" s="1"/>
  <c r="R7" i="1"/>
  <c r="T7" i="1" s="1"/>
  <c r="U7" i="1" s="1"/>
  <c r="V7" i="1" s="1"/>
  <c r="R8" i="1"/>
  <c r="T8" i="1" s="1"/>
  <c r="U8" i="1" s="1"/>
  <c r="V8" i="1" s="1"/>
  <c r="M5" i="1"/>
  <c r="M6" i="1"/>
  <c r="M7" i="1"/>
  <c r="M8" i="1"/>
  <c r="M4" i="1"/>
  <c r="H6" i="1"/>
  <c r="H4" i="1"/>
  <c r="H5" i="1"/>
  <c r="H7" i="1"/>
  <c r="H8" i="1"/>
  <c r="H3" i="1"/>
  <c r="T3" i="1" l="1"/>
  <c r="V3" i="1" s="1"/>
  <c r="D8" i="2" l="1"/>
  <c r="J8" i="2" s="1"/>
  <c r="D7" i="2"/>
  <c r="J7" i="2" s="1"/>
  <c r="N17" i="2" l="1"/>
  <c r="M16" i="2"/>
  <c r="L16" i="2"/>
  <c r="K17" i="2"/>
  <c r="M17" i="2"/>
  <c r="K16" i="2"/>
  <c r="N16" i="2"/>
  <c r="L17" i="2"/>
  <c r="A24" i="2"/>
  <c r="B24" i="2"/>
  <c r="C25" i="2"/>
  <c r="A25" i="2"/>
  <c r="B25" i="2"/>
  <c r="D24" i="2"/>
  <c r="D25" i="2"/>
  <c r="C24" i="2"/>
  <c r="D33" i="2" l="1"/>
  <c r="A33" i="2"/>
  <c r="A32" i="2"/>
  <c r="C32" i="2"/>
  <c r="B33" i="2"/>
  <c r="D32" i="2"/>
  <c r="B32" i="2"/>
  <c r="D6" i="2"/>
  <c r="J6" i="2" s="1"/>
  <c r="D10" i="2"/>
  <c r="J10" i="2" s="1"/>
  <c r="D9" i="2"/>
  <c r="J9" i="2" s="1"/>
  <c r="D11" i="2"/>
  <c r="J11" i="2"/>
  <c r="C33" i="2"/>
  <c r="G24" i="2" l="1"/>
  <c r="G25" i="2"/>
  <c r="I24" i="2"/>
  <c r="F24" i="2"/>
  <c r="F25" i="2"/>
  <c r="H25" i="2"/>
  <c r="H24" i="2"/>
  <c r="I25" i="2"/>
  <c r="M24" i="2"/>
  <c r="N24" i="2"/>
  <c r="M25" i="2"/>
  <c r="K25" i="2"/>
  <c r="N25" i="2"/>
  <c r="K24" i="2"/>
  <c r="L24" i="2"/>
  <c r="L25" i="2"/>
  <c r="I17" i="2"/>
  <c r="F16" i="2"/>
  <c r="G16" i="2"/>
  <c r="H16" i="2"/>
  <c r="I16" i="2"/>
  <c r="F17" i="2"/>
  <c r="G17" i="2"/>
  <c r="H17" i="2"/>
  <c r="K32" i="2" l="1" a="1"/>
  <c r="M33" i="2" l="1"/>
  <c r="B61" i="2" s="1"/>
  <c r="N35" i="2"/>
  <c r="K32" i="2"/>
  <c r="L32" i="2"/>
  <c r="M32" i="2"/>
  <c r="B60" i="2" s="1"/>
  <c r="M34" i="2"/>
  <c r="B62" i="2" s="1"/>
  <c r="N32" i="2"/>
  <c r="B72" i="2" s="1"/>
  <c r="K33" i="2"/>
  <c r="M35" i="2"/>
  <c r="L33" i="2"/>
  <c r="N33" i="2"/>
  <c r="B73" i="2" s="1"/>
  <c r="K34" i="2"/>
  <c r="L34" i="2"/>
  <c r="N34" i="2"/>
  <c r="B74" i="2" s="1"/>
  <c r="K35" i="2"/>
  <c r="L35" i="2"/>
  <c r="I63" i="2" l="1"/>
  <c r="K65" i="2" s="1"/>
  <c r="I61" i="2"/>
  <c r="K63" i="2" s="1"/>
  <c r="A40" i="2" a="1"/>
  <c r="I62" i="2"/>
  <c r="K64" i="2" s="1"/>
  <c r="A42" i="2" l="1"/>
  <c r="B42" i="2"/>
  <c r="B40" i="2"/>
  <c r="C41" i="2"/>
  <c r="B64" i="2" s="1"/>
  <c r="C42" i="2"/>
  <c r="B65" i="2" s="1"/>
  <c r="D42" i="2"/>
  <c r="B77" i="2" s="1"/>
  <c r="A43" i="2"/>
  <c r="B41" i="2"/>
  <c r="B43" i="2"/>
  <c r="C40" i="2"/>
  <c r="B63" i="2" s="1"/>
  <c r="C43" i="2"/>
  <c r="D43" i="2"/>
  <c r="A40" i="2"/>
  <c r="D40" i="2"/>
  <c r="B75" i="2" s="1"/>
  <c r="A41" i="2"/>
  <c r="D41" i="2"/>
  <c r="B76" i="2" s="1"/>
  <c r="F40" i="2" l="1" a="1"/>
  <c r="I64" i="2"/>
  <c r="L63" i="2" s="1"/>
  <c r="I66" i="2"/>
  <c r="L65" i="2" s="1"/>
  <c r="I65" i="2"/>
  <c r="L64" i="2" s="1"/>
  <c r="F41" i="2" l="1"/>
  <c r="G41" i="2"/>
  <c r="F43" i="2"/>
  <c r="H41" i="2"/>
  <c r="B67" i="2" s="1"/>
  <c r="I43" i="2"/>
  <c r="I41" i="2"/>
  <c r="B79" i="2" s="1"/>
  <c r="F42" i="2"/>
  <c r="G42" i="2"/>
  <c r="H42" i="2"/>
  <c r="B68" i="2" s="1"/>
  <c r="G40" i="2"/>
  <c r="I40" i="2"/>
  <c r="B78" i="2" s="1"/>
  <c r="I42" i="2"/>
  <c r="B80" i="2" s="1"/>
  <c r="H40" i="2"/>
  <c r="B66" i="2" s="1"/>
  <c r="G43" i="2"/>
  <c r="H43" i="2"/>
  <c r="F40" i="2"/>
  <c r="K40" i="2" l="1" a="1"/>
  <c r="M42" i="2" s="1"/>
  <c r="D62" i="2" s="1"/>
  <c r="I69" i="2"/>
  <c r="M65" i="2" s="1"/>
  <c r="I68" i="2"/>
  <c r="M64" i="2" s="1"/>
  <c r="I67" i="2"/>
  <c r="M63" i="2" s="1"/>
  <c r="N41" i="2" l="1"/>
  <c r="D73" i="2" s="1"/>
  <c r="M41" i="2"/>
  <c r="D61" i="2" s="1"/>
  <c r="I71" i="2" s="1"/>
  <c r="N64" i="2" s="1"/>
  <c r="L41" i="2"/>
  <c r="N40" i="2"/>
  <c r="D72" i="2" s="1"/>
  <c r="K42" i="2"/>
  <c r="L40" i="2"/>
  <c r="K41" i="2"/>
  <c r="L42" i="2"/>
  <c r="N43" i="2"/>
  <c r="M43" i="2"/>
  <c r="L43" i="2"/>
  <c r="K40" i="2"/>
  <c r="K43" i="2"/>
  <c r="N42" i="2"/>
  <c r="D74" i="2" s="1"/>
  <c r="M40" i="2"/>
  <c r="D60" i="2" s="1"/>
  <c r="I70" i="2" s="1"/>
  <c r="N63" i="2" s="1"/>
  <c r="I72" i="2"/>
  <c r="N65" i="2" s="1"/>
  <c r="A48" i="2" l="1" a="1"/>
  <c r="B49" i="2" s="1"/>
  <c r="C51" i="2" l="1"/>
  <c r="B48" i="2"/>
  <c r="B50" i="2"/>
  <c r="C48" i="2"/>
  <c r="D63" i="2" s="1"/>
  <c r="I73" i="2" s="1"/>
  <c r="O63" i="2" s="1"/>
  <c r="A49" i="2"/>
  <c r="B51" i="2"/>
  <c r="C50" i="2"/>
  <c r="D65" i="2" s="1"/>
  <c r="I75" i="2" s="1"/>
  <c r="O65" i="2" s="1"/>
  <c r="A48" i="2"/>
  <c r="A51" i="2"/>
  <c r="D50" i="2"/>
  <c r="D77" i="2" s="1"/>
  <c r="D49" i="2"/>
  <c r="D76" i="2" s="1"/>
  <c r="C49" i="2"/>
  <c r="D64" i="2" s="1"/>
  <c r="I74" i="2" s="1"/>
  <c r="O64" i="2" s="1"/>
  <c r="D51" i="2"/>
  <c r="D48" i="2"/>
  <c r="D75" i="2" s="1"/>
  <c r="A50" i="2"/>
  <c r="F48" i="2" l="1" a="1"/>
  <c r="F50" i="2" s="1"/>
  <c r="I50" i="2" l="1"/>
  <c r="D80" i="2" s="1"/>
  <c r="F48" i="2"/>
  <c r="G48" i="2"/>
  <c r="I49" i="2"/>
  <c r="D79" i="2" s="1"/>
  <c r="F49" i="2"/>
  <c r="G49" i="2"/>
  <c r="I48" i="2"/>
  <c r="D78" i="2" s="1"/>
  <c r="F51" i="2"/>
  <c r="H50" i="2"/>
  <c r="D68" i="2" s="1"/>
  <c r="I78" i="2" s="1"/>
  <c r="P65" i="2" s="1"/>
  <c r="H51" i="2"/>
  <c r="H49" i="2"/>
  <c r="D67" i="2" s="1"/>
  <c r="I77" i="2" s="1"/>
  <c r="P64" i="2" s="1"/>
  <c r="H48" i="2"/>
  <c r="D66" i="2" s="1"/>
  <c r="I76" i="2" s="1"/>
  <c r="P63" i="2" s="1"/>
  <c r="G50" i="2"/>
  <c r="I51" i="2"/>
  <c r="G51" i="2"/>
  <c r="K48" i="2" l="1" a="1"/>
  <c r="K51" i="2" s="1"/>
  <c r="L49" i="2" l="1"/>
  <c r="K48" i="2"/>
  <c r="L48" i="2"/>
  <c r="L50" i="2"/>
  <c r="M49" i="2"/>
  <c r="M51" i="2"/>
  <c r="K49" i="2"/>
  <c r="K50" i="2"/>
  <c r="N51" i="2"/>
  <c r="M50" i="2"/>
  <c r="L51" i="2"/>
  <c r="N50" i="2"/>
  <c r="G75" i="2" s="1"/>
  <c r="M48" i="2"/>
  <c r="N49" i="2"/>
  <c r="G77" i="2" s="1"/>
  <c r="N48" i="2"/>
  <c r="P6" i="2" s="1"/>
  <c r="X6" i="2" s="1"/>
  <c r="Z16" i="2" s="1"/>
  <c r="G61" i="2"/>
  <c r="Q10" i="2" l="1"/>
  <c r="P10" i="2" s="1"/>
  <c r="X10" i="2" s="1"/>
  <c r="P8" i="2"/>
  <c r="X8" i="2" s="1"/>
  <c r="Z18" i="2" s="1"/>
  <c r="G71" i="2"/>
  <c r="G62" i="2"/>
  <c r="G66" i="2"/>
  <c r="G63" i="2"/>
  <c r="H61" i="2" s="1"/>
  <c r="K60" i="2" s="1"/>
  <c r="G78" i="2"/>
  <c r="H76" i="2" s="1"/>
  <c r="P60" i="2" s="1"/>
  <c r="G72" i="2"/>
  <c r="G70" i="2"/>
  <c r="H71" i="2" s="1"/>
  <c r="N61" i="2" s="1"/>
  <c r="G67" i="2"/>
  <c r="G64" i="2"/>
  <c r="H65" i="2" s="1"/>
  <c r="G68" i="2"/>
  <c r="G76" i="2"/>
  <c r="H78" i="2" s="1"/>
  <c r="P62" i="2" s="1"/>
  <c r="G69" i="2"/>
  <c r="H68" i="2" s="1"/>
  <c r="M61" i="2" s="1"/>
  <c r="G65" i="2"/>
  <c r="H64" i="2" s="1"/>
  <c r="L60" i="2" s="1"/>
  <c r="G74" i="2"/>
  <c r="H73" i="2" s="1"/>
  <c r="O60" i="2" s="1"/>
  <c r="P7" i="2"/>
  <c r="X7" i="2" s="1"/>
  <c r="Z17" i="2" s="1"/>
  <c r="G73" i="2"/>
  <c r="H74" i="2" s="1"/>
  <c r="O61" i="2" s="1"/>
  <c r="H63" i="2"/>
  <c r="K62" i="2" s="1"/>
  <c r="Q11" i="2"/>
  <c r="P11" i="2" s="1"/>
  <c r="X11" i="2" s="1"/>
  <c r="Y11" i="2" s="1"/>
  <c r="H62" i="2"/>
  <c r="K61" i="2" s="1"/>
  <c r="W18" i="2"/>
  <c r="Y10" i="2"/>
  <c r="Q9" i="2"/>
  <c r="P9" i="2" s="1"/>
  <c r="X9" i="2" s="1"/>
  <c r="H72" i="2" l="1"/>
  <c r="N62" i="2" s="1"/>
  <c r="H69" i="2"/>
  <c r="M62" i="2" s="1"/>
  <c r="H77" i="2"/>
  <c r="P61" i="2" s="1"/>
  <c r="H70" i="2"/>
  <c r="N60" i="2" s="1"/>
  <c r="H67" i="2"/>
  <c r="M60" i="2" s="1"/>
  <c r="H75" i="2"/>
  <c r="O62" i="2" s="1"/>
  <c r="H66" i="2"/>
  <c r="L62" i="2" s="1"/>
  <c r="X18" i="2"/>
  <c r="Y18" i="2"/>
  <c r="N69" i="2"/>
  <c r="M69" i="2" s="1"/>
  <c r="Y9" i="2"/>
  <c r="W17" i="2"/>
  <c r="Y16" i="2"/>
  <c r="X16" i="2"/>
  <c r="Y17" i="2"/>
  <c r="X17" i="2"/>
  <c r="W16" i="2"/>
  <c r="W24" i="2" l="1" a="1"/>
  <c r="Y27" i="2" s="1"/>
  <c r="X25" i="2" l="1"/>
  <c r="X27" i="2"/>
  <c r="W24" i="2"/>
  <c r="Z26" i="2"/>
  <c r="X24" i="2"/>
  <c r="X26" i="2"/>
  <c r="W26" i="2"/>
  <c r="Y24" i="2"/>
  <c r="Y26" i="2"/>
  <c r="Z27" i="2"/>
  <c r="Z24" i="2"/>
  <c r="Y25" i="2"/>
  <c r="W25" i="2"/>
  <c r="Z25" i="2"/>
  <c r="W27" i="2"/>
  <c r="AG24" i="2" a="1"/>
  <c r="AG24" i="2" l="1"/>
  <c r="AH24" i="2"/>
  <c r="AH27" i="2"/>
  <c r="AG27" i="2"/>
  <c r="AI25" i="2"/>
  <c r="AH25" i="2"/>
  <c r="AH26" i="2"/>
  <c r="AJ25" i="2"/>
  <c r="AG25" i="2"/>
  <c r="AJ27" i="2"/>
  <c r="AI27" i="2"/>
  <c r="AI26" i="2"/>
  <c r="AI24" i="2"/>
  <c r="AG26" i="2"/>
  <c r="AJ24" i="2"/>
  <c r="Y32" i="2" s="1"/>
  <c r="AJ26" i="2"/>
  <c r="AD34" i="2" s="1"/>
  <c r="AC6" i="2" l="1"/>
  <c r="X38" i="2"/>
  <c r="AD32" i="2" s="1"/>
  <c r="Y38" i="2"/>
  <c r="AD33" i="2" l="1"/>
  <c r="AD36" i="2"/>
  <c r="AJ32" i="2"/>
  <c r="AB6" i="2"/>
  <c r="AB62" i="2" s="1"/>
  <c r="AH32" i="2"/>
  <c r="AG33" i="2"/>
  <c r="AI33" i="2"/>
  <c r="AI32" i="2"/>
  <c r="AJ33" i="2"/>
  <c r="AG32" i="2"/>
  <c r="AH33" i="2"/>
  <c r="AD38" i="2" l="1"/>
  <c r="AB8" i="2" s="1"/>
  <c r="AD37" i="2"/>
  <c r="AB7" i="2" s="1"/>
  <c r="AC8" i="2" l="1"/>
  <c r="AB43" i="2" s="1"/>
  <c r="AB64" i="2"/>
  <c r="AC7" i="2"/>
  <c r="W44" i="2" s="1"/>
  <c r="AB63" i="2"/>
  <c r="AC44" i="2" l="1"/>
  <c r="AD43" i="2"/>
  <c r="AE43" i="2"/>
  <c r="AC43" i="2"/>
  <c r="AE44" i="2"/>
  <c r="X44" i="2"/>
  <c r="Z43" i="2"/>
  <c r="Y44" i="2"/>
  <c r="Z44" i="2"/>
  <c r="AD44" i="2"/>
  <c r="AB44" i="2"/>
  <c r="X43" i="2"/>
  <c r="Y43" i="2"/>
  <c r="W43" i="2"/>
  <c r="AG43" i="2" l="1" a="1"/>
  <c r="AG44" i="2" s="1"/>
  <c r="AH44" i="2" l="1"/>
  <c r="AH46" i="2"/>
  <c r="AJ43" i="2"/>
  <c r="AG45" i="2"/>
  <c r="AJ46" i="2"/>
  <c r="AI46" i="2"/>
  <c r="AG43" i="2"/>
  <c r="AJ45" i="2"/>
  <c r="AI45" i="2"/>
  <c r="AI44" i="2"/>
  <c r="AH45" i="2"/>
  <c r="AG46" i="2"/>
  <c r="AI43" i="2"/>
  <c r="AH43" i="2"/>
  <c r="AJ44" i="2"/>
  <c r="W51" i="2" a="1"/>
  <c r="X51" i="2" l="1"/>
  <c r="AB52" i="2" s="1"/>
  <c r="W51" i="2"/>
  <c r="AB51" i="2" s="1"/>
  <c r="W54" i="2"/>
  <c r="Z53" i="2"/>
  <c r="Y53" i="2"/>
  <c r="AD53" i="2" s="1"/>
  <c r="W52" i="2"/>
  <c r="AC51" i="2" s="1"/>
  <c r="Y51" i="2"/>
  <c r="AB53" i="2" s="1"/>
  <c r="Z51" i="2"/>
  <c r="X53" i="2"/>
  <c r="AD52" i="2" s="1"/>
  <c r="Y52" i="2"/>
  <c r="AC53" i="2" s="1"/>
  <c r="Z52" i="2"/>
  <c r="W53" i="2"/>
  <c r="AD51" i="2" s="1"/>
  <c r="Z54" i="2"/>
  <c r="Y54" i="2"/>
  <c r="X54" i="2"/>
  <c r="X52" i="2"/>
  <c r="AC52" i="2" s="1"/>
  <c r="AG51" i="2" l="1" a="1"/>
  <c r="AI51" i="2" l="1"/>
  <c r="AI52" i="2"/>
  <c r="AH51" i="2"/>
  <c r="AG52" i="2"/>
  <c r="AG51" i="2"/>
  <c r="AH52" i="2"/>
  <c r="AI53" i="2"/>
  <c r="AC10" i="2" s="1"/>
  <c r="AH53" i="2"/>
  <c r="AG53" i="2"/>
  <c r="AC9" i="2" l="1"/>
  <c r="AB9" i="2" s="1"/>
  <c r="AB65" i="2" s="1"/>
  <c r="AB10" i="2"/>
  <c r="AB66" i="2" s="1"/>
  <c r="AC11" i="2"/>
  <c r="AB11" i="2" s="1"/>
  <c r="AB67" i="2" s="1"/>
</calcChain>
</file>

<file path=xl/sharedStrings.xml><?xml version="1.0" encoding="utf-8"?>
<sst xmlns="http://schemas.openxmlformats.org/spreadsheetml/2006/main" count="350" uniqueCount="181">
  <si>
    <t>No</t>
  </si>
  <si>
    <t>Joint</t>
  </si>
  <si>
    <t>Stepper Type</t>
  </si>
  <si>
    <t>J1</t>
  </si>
  <si>
    <t>J2</t>
  </si>
  <si>
    <t>J3</t>
  </si>
  <si>
    <t>J4</t>
  </si>
  <si>
    <t>J5</t>
  </si>
  <si>
    <t>J6</t>
  </si>
  <si>
    <t>23HS10028S</t>
  </si>
  <si>
    <t>23HS7628</t>
  </si>
  <si>
    <t>23HS5628</t>
  </si>
  <si>
    <t>Total Step
Per Rev</t>
  </si>
  <si>
    <r>
      <t xml:space="preserve">Max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</si>
  <si>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STEPPER CONFIGURATION</t>
  </si>
  <si>
    <t>STEPPER CONTROL</t>
  </si>
  <si>
    <t xml:space="preserve">STEPPER REDUCED RPM </t>
  </si>
  <si>
    <r>
      <t xml:space="preserve">Min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</si>
  <si>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Max Joint
Rev/min</t>
  </si>
  <si>
    <t>Min Joint
Rev/min</t>
  </si>
  <si>
    <t>Max Joint
Rev/sec</t>
  </si>
  <si>
    <t>Min Joint
Rev/sec</t>
  </si>
  <si>
    <t>Θ</t>
  </si>
  <si>
    <t>α</t>
  </si>
  <si>
    <t>d</t>
  </si>
  <si>
    <t>a</t>
  </si>
  <si>
    <t>DH PARAMETER</t>
  </si>
  <si>
    <t>Radians</t>
  </si>
  <si>
    <t>INPUTS</t>
  </si>
  <si>
    <t>JOINTS</t>
  </si>
  <si>
    <t>Degrees</t>
  </si>
  <si>
    <t>OUTPUTS</t>
  </si>
  <si>
    <t>FORWARD KINEMATICS</t>
  </si>
  <si>
    <t>J1 TRANSFORMATION MATRIX</t>
  </si>
  <si>
    <t>J2 TRANSFORMATION MATRIX</t>
  </si>
  <si>
    <t>J3 TRANSFORMATION MATRIX</t>
  </si>
  <si>
    <t>J4 TRANSFORMATION MATRIX</t>
  </si>
  <si>
    <t>J5 TRANSFORMATION MATRIX</t>
  </si>
  <si>
    <t>J6 TRANSFORMATION MATRIX</t>
  </si>
  <si>
    <t>R0-2 MATRIX</t>
  </si>
  <si>
    <t>R0-3 MATRIX</t>
  </si>
  <si>
    <t>Param</t>
  </si>
  <si>
    <t>Value</t>
  </si>
  <si>
    <t>Xpos</t>
  </si>
  <si>
    <t>Ypos</t>
  </si>
  <si>
    <t>Zpos</t>
  </si>
  <si>
    <t>Rx</t>
  </si>
  <si>
    <t>Rz</t>
  </si>
  <si>
    <t>Ry</t>
  </si>
  <si>
    <t>TOOLFRAME TRANSFORMATION MATRIX</t>
  </si>
  <si>
    <t>Angles</t>
  </si>
  <si>
    <t>Toolframe</t>
  </si>
  <si>
    <t>-</t>
  </si>
  <si>
    <t>INVERSE KINEMATICS</t>
  </si>
  <si>
    <t>PARAMETERS</t>
  </si>
  <si>
    <t>R0-6 TRANSFORMATION MATRIX REVERSE</t>
  </si>
  <si>
    <t>INVERT TOOLFRAME TRANSFORMATION MATRIX</t>
  </si>
  <si>
    <t>R0-T TRANSFORMATION MATRIX REVERSE</t>
  </si>
  <si>
    <t>R0-6 TRANSFORMATION MATRIX NEGATE</t>
  </si>
  <si>
    <t>R0-5 TRANSFORMATION MATRIX REVERSE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</si>
  <si>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</si>
  <si>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</si>
  <si>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</si>
  <si>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</si>
  <si>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</si>
  <si>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</si>
  <si>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</si>
  <si>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</si>
  <si>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</si>
  <si>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</si>
  <si>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</si>
  <si>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</si>
  <si>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</si>
  <si>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J1 ∠</t>
  </si>
  <si>
    <t>IK ANALYSIS</t>
  </si>
  <si>
    <t>R0-5 @J1 ZERO</t>
  </si>
  <si>
    <t>Y</t>
  </si>
  <si>
    <t>X</t>
  </si>
  <si>
    <t>L1</t>
  </si>
  <si>
    <t>L2</t>
  </si>
  <si>
    <t>L3</t>
  </si>
  <si>
    <t>ΘB</t>
  </si>
  <si>
    <t>ΘC</t>
  </si>
  <si>
    <t>ΘD</t>
  </si>
  <si>
    <t>CALCULATE J1 ANGLE</t>
  </si>
  <si>
    <t>14th</t>
  </si>
  <si>
    <t>R0-3 MATRIX TRANSPOSED</t>
  </si>
  <si>
    <t>15th</t>
  </si>
  <si>
    <t>R3-6 WIRST ORIENTATION</t>
  </si>
  <si>
    <t>d3</t>
  </si>
  <si>
    <t>Limit</t>
  </si>
  <si>
    <t>(-170 / 170)</t>
  </si>
  <si>
    <t>(-155 / 155)</t>
  </si>
  <si>
    <t>SINGULARITY AVOIDANCE</t>
  </si>
  <si>
    <t>T0-2 TRANSFORMATION MATRIX</t>
  </si>
  <si>
    <t>T0-3 TRANSFORMATION MATRIX</t>
  </si>
  <si>
    <t>T0-4 TRANSFORMATION MATRIX</t>
  </si>
  <si>
    <t>T0-5 TRANSFORMATION MATRIX</t>
  </si>
  <si>
    <t>T0-6 TRANSFORMATION MATRIX</t>
  </si>
  <si>
    <t>T0-E TRANSFORMATION MATRIX</t>
  </si>
  <si>
    <t>T0-1 TRANSFORMATION MATRIX</t>
  </si>
  <si>
    <t>JOINTS Z-AXES</t>
  </si>
  <si>
    <t>Joints</t>
  </si>
  <si>
    <t>JACOBIANS VALUE</t>
  </si>
  <si>
    <t>Linear Vel.</t>
  </si>
  <si>
    <t>Angular Vel.</t>
  </si>
  <si>
    <t>JACOBIAN MATRIX</t>
  </si>
  <si>
    <t>JACOBIAN STATE</t>
  </si>
  <si>
    <t>T0-1</t>
  </si>
  <si>
    <t>T0-2</t>
  </si>
  <si>
    <t>T0-3</t>
  </si>
  <si>
    <t>T0-4</t>
  </si>
  <si>
    <t>T0-5</t>
  </si>
  <si>
    <t>PE-Pi</t>
  </si>
  <si>
    <t>JOINTS ORIGIN POSITION</t>
  </si>
  <si>
    <t>BASE TRANSFORMATION MATRIX</t>
  </si>
  <si>
    <t>SETUP</t>
  </si>
  <si>
    <t>T0-6</t>
  </si>
  <si>
    <t>Driver
Step
Config</t>
  </si>
  <si>
    <t>Min
Rev/min
Config</t>
  </si>
  <si>
    <t>Max
Rev/min
Config</t>
  </si>
  <si>
    <t>Gear
Ratio</t>
  </si>
  <si>
    <t>Max 1 Rev
Time (s)</t>
  </si>
  <si>
    <t>Max 1/6 Rev
Time (s)</t>
  </si>
  <si>
    <t>(-60 / 90)</t>
  </si>
  <si>
    <t>(-90 / 60)</t>
  </si>
  <si>
    <t>AWG</t>
  </si>
  <si>
    <t>Cable Info</t>
  </si>
  <si>
    <t>Connection</t>
  </si>
  <si>
    <t>Red</t>
  </si>
  <si>
    <t>Green</t>
  </si>
  <si>
    <t>Yellow</t>
  </si>
  <si>
    <t>Blue</t>
  </si>
  <si>
    <t>Cable
Color</t>
  </si>
  <si>
    <t>Cable Color</t>
  </si>
  <si>
    <t>Phase A+</t>
  </si>
  <si>
    <t>Phase A-</t>
  </si>
  <si>
    <t>Phase B+</t>
  </si>
  <si>
    <t>Phase B-</t>
  </si>
  <si>
    <t>Cable
Count</t>
  </si>
  <si>
    <t>Black</t>
  </si>
  <si>
    <t>CABLE CONNECTION INFORMATION</t>
  </si>
  <si>
    <t>Stepper Connection
(Control Panel - HDC)</t>
  </si>
  <si>
    <t>Encoder Connection
(Control Panel - HDC)</t>
  </si>
  <si>
    <t>Welding Trigger
(Control Panel - HDC)</t>
  </si>
  <si>
    <t>Cable
Length (m)</t>
  </si>
  <si>
    <t>Total
Length (m)</t>
  </si>
  <si>
    <t>Stock
Ready (m)</t>
  </si>
  <si>
    <t>Restock (m)</t>
  </si>
  <si>
    <t>CABLE STOCK</t>
  </si>
  <si>
    <t>Encoder Connection
(HDC - Encoder)</t>
  </si>
  <si>
    <t>Gnd</t>
  </si>
  <si>
    <t>Dir</t>
  </si>
  <si>
    <t>Out</t>
  </si>
  <si>
    <t>Total Restock</t>
  </si>
  <si>
    <t>Limit Switch Connection
(Control Panel - HDC)</t>
  </si>
  <si>
    <t>Welding Trigger
(HDC- Toolframe)</t>
  </si>
  <si>
    <t>Total Length</t>
  </si>
  <si>
    <t>White</t>
  </si>
  <si>
    <t>SIG</t>
  </si>
  <si>
    <t>Normaly
Open</t>
  </si>
  <si>
    <t>Power
(Control Panel - HDC)</t>
  </si>
  <si>
    <t>Limit Switch Connection
(HDC - Limit Switch)</t>
  </si>
  <si>
    <t>3,3V</t>
  </si>
  <si>
    <t>Status</t>
  </si>
  <si>
    <t>DONE</t>
  </si>
  <si>
    <t>PENDING</t>
  </si>
  <si>
    <t>ON
PROGRESS</t>
  </si>
  <si>
    <t xml:space="preserve"> </t>
  </si>
  <si>
    <t>(-145 / 145)</t>
  </si>
  <si>
    <t>(-90 / 105)</t>
  </si>
  <si>
    <t>Maximum
Angle Limit</t>
  </si>
  <si>
    <t>Minimum
Angle Limit</t>
  </si>
  <si>
    <t>LIMIT STATUS</t>
  </si>
  <si>
    <t>JOINT ANGLE DIRECTION</t>
  </si>
  <si>
    <t>CW</t>
  </si>
  <si>
    <t>CCW</t>
  </si>
  <si>
    <t>Negative</t>
  </si>
  <si>
    <t>Positive</t>
  </si>
  <si>
    <t>JOINT INFORMATION</t>
  </si>
  <si>
    <t>JOINT ANGLE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</si>
</sst>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E+00"/>
    <numFmt numFmtId="166" formatCode="0.0.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581893</xdr:colOff>
      <xdr:row>3</xdr:row>
      <xdr:rowOff>55417</xdr:rowOff>
    </xdr:from>
    <xdr:to>
      <xdr:col>41</xdr:col>
      <xdr:colOff>221674</xdr:colOff>
      <xdr:row>19</xdr:row>
      <xdr:rowOff>148560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856E8E-3886-DB3E-E06F-9ED88BDF0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0038" y="872835"/>
          <a:ext cx="2964872" cy="297488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439819</xdr:colOff>
      <xdr:row>32</xdr:row>
      <xdr:rowOff>115986</xdr:rowOff>
    </xdr:from>
    <xdr:to>
      <xdr:col>20</xdr:col>
      <xdr:colOff>745880</xdr:colOff>
      <xdr:row>51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22721-7ED2-79A1-189F-64750AD9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6919" y="6269136"/>
          <a:ext cx="2942581" cy="3560664"/>
        </a:xfrm>
        <a:prstGeom prst="rect">
          <a:avLst/>
        </a:prstGeom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17</xdr:col>
      <xdr:colOff>273129</xdr:colOff>
      <xdr:row>3</xdr:row>
      <xdr:rowOff>10884</xdr:rowOff>
    </xdr:from>
    <xdr:to>
      <xdr:col>20</xdr:col>
      <xdr:colOff>703637</xdr:colOff>
      <xdr:row>10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3EC5F-A660-4291-AB95-C9048131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70229" y="639534"/>
          <a:ext cx="3072743" cy="14369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329292</xdr:colOff>
      <xdr:row>23</xdr:row>
      <xdr:rowOff>52941</xdr:rowOff>
    </xdr:from>
    <xdr:to>
      <xdr:col>19</xdr:col>
      <xdr:colOff>817418</xdr:colOff>
      <xdr:row>30</xdr:row>
      <xdr:rowOff>23842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2AFB9-BF22-430A-8409-D103A387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29656" y="4472541"/>
          <a:ext cx="4034889" cy="12316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653784</xdr:colOff>
      <xdr:row>13</xdr:row>
      <xdr:rowOff>128549</xdr:rowOff>
    </xdr:from>
    <xdr:to>
      <xdr:col>19</xdr:col>
      <xdr:colOff>535641</xdr:colOff>
      <xdr:row>21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1237CD-EDBE-4DA6-9139-CDDEE0929D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612"/>
        <a:stretch/>
      </xdr:blipFill>
      <xdr:spPr>
        <a:xfrm>
          <a:off x="13798284" y="2852699"/>
          <a:ext cx="3387057" cy="14335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31</xdr:col>
      <xdr:colOff>780439</xdr:colOff>
      <xdr:row>3</xdr:row>
      <xdr:rowOff>129680</xdr:rowOff>
    </xdr:from>
    <xdr:to>
      <xdr:col>36</xdr:col>
      <xdr:colOff>250522</xdr:colOff>
      <xdr:row>11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A42A1B-ADF8-4901-8B44-98F27581F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28668" y="946109"/>
          <a:ext cx="3890227" cy="13507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343724</xdr:colOff>
      <xdr:row>2</xdr:row>
      <xdr:rowOff>85875</xdr:rowOff>
    </xdr:from>
    <xdr:to>
      <xdr:col>31</xdr:col>
      <xdr:colOff>472710</xdr:colOff>
      <xdr:row>11</xdr:row>
      <xdr:rowOff>15784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3A2AC-DC28-4E32-B592-ECBD0EDD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28467" y="673704"/>
          <a:ext cx="1892472" cy="1638966"/>
        </a:xfrm>
        <a:prstGeom prst="rect">
          <a:avLst/>
        </a:prstGeom>
      </xdr:spPr>
    </xdr:pic>
    <xdr:clientData/>
  </xdr:twoCellAnchor>
  <xdr:twoCellAnchor editAs="oneCell">
    <xdr:from>
      <xdr:col>36</xdr:col>
      <xdr:colOff>607359</xdr:colOff>
      <xdr:row>39</xdr:row>
      <xdr:rowOff>55318</xdr:rowOff>
    </xdr:from>
    <xdr:to>
      <xdr:col>44</xdr:col>
      <xdr:colOff>434884</xdr:colOff>
      <xdr:row>52</xdr:row>
      <xdr:rowOff>60959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07EAB4-9089-453D-BD8D-31B35B32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835504" y="7356663"/>
          <a:ext cx="4969986" cy="2343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41</xdr:col>
      <xdr:colOff>531037</xdr:colOff>
      <xdr:row>14</xdr:row>
      <xdr:rowOff>172176</xdr:rowOff>
    </xdr:from>
    <xdr:to>
      <xdr:col>44</xdr:col>
      <xdr:colOff>515051</xdr:colOff>
      <xdr:row>19</xdr:row>
      <xdr:rowOff>53340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97F3A56-76AD-4752-86BA-97A07EC1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706737" y="2896326"/>
          <a:ext cx="1803289" cy="837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178213</xdr:colOff>
      <xdr:row>32</xdr:row>
      <xdr:rowOff>124691</xdr:rowOff>
    </xdr:from>
    <xdr:to>
      <xdr:col>17</xdr:col>
      <xdr:colOff>245710</xdr:colOff>
      <xdr:row>51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327112-DC07-2572-ACA8-5C3B4297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46413" y="6277841"/>
          <a:ext cx="2700207" cy="35329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36</xdr:col>
      <xdr:colOff>723903</xdr:colOff>
      <xdr:row>4</xdr:row>
      <xdr:rowOff>163631</xdr:rowOff>
    </xdr:from>
    <xdr:to>
      <xdr:col>37</xdr:col>
      <xdr:colOff>577090</xdr:colOff>
      <xdr:row>7</xdr:row>
      <xdr:rowOff>62362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CD23277-3FD3-8B8A-5064-6D7D2A6C586C}"/>
            </a:ext>
          </a:extLst>
        </xdr:cNvPr>
        <xdr:cNvSpPr txBox="1"/>
      </xdr:nvSpPr>
      <xdr:spPr>
        <a:xfrm>
          <a:off x="31952048" y="1161158"/>
          <a:ext cx="739878" cy="43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id-ID" sz="1100"/>
            <a:t>WIRST</a:t>
          </a:r>
          <a:r>
            <a:rPr lang="id-ID" sz="1100" baseline="0"/>
            <a:t> </a:t>
          </a:r>
        </a:p>
        <a:p>
          <a:pPr algn="ctr"/>
          <a:r>
            <a:rPr lang="id-ID" sz="1100" baseline="0"/>
            <a:t>POSITION</a:t>
          </a:r>
          <a:endParaRPr lang="en-ID" sz="1100"/>
        </a:p>
      </xdr:txBody>
    </xdr:sp>
    <xdr:clientData/>
  </xdr:twoCellAnchor>
  <xdr:twoCellAnchor editAs="oneCell">
    <xdr:from>
      <xdr:col>17</xdr:col>
      <xdr:colOff>833104</xdr:colOff>
      <xdr:row>71</xdr:row>
      <xdr:rowOff>10885</xdr:rowOff>
    </xdr:from>
    <xdr:to>
      <xdr:col>20</xdr:col>
      <xdr:colOff>213208</xdr:colOff>
      <xdr:row>78</xdr:row>
      <xdr:rowOff>21972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448F5-18E2-4975-83AF-D04FFAAE6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22733" y="13628914"/>
          <a:ext cx="2029142" cy="13141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21770</xdr:colOff>
      <xdr:row>71</xdr:row>
      <xdr:rowOff>32655</xdr:rowOff>
    </xdr:from>
    <xdr:to>
      <xdr:col>17</xdr:col>
      <xdr:colOff>511275</xdr:colOff>
      <xdr:row>78</xdr:row>
      <xdr:rowOff>55788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628CB9-169C-8640-8B93-16C3F7B9D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39199" y="13650684"/>
          <a:ext cx="6650275" cy="13280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489856</xdr:colOff>
      <xdr:row>58</xdr:row>
      <xdr:rowOff>119743</xdr:rowOff>
    </xdr:from>
    <xdr:to>
      <xdr:col>19</xdr:col>
      <xdr:colOff>594009</xdr:colOff>
      <xdr:row>67</xdr:row>
      <xdr:rowOff>97427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5D9BA9-BB77-50B4-71A4-E3657E7B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97742" y="11332029"/>
          <a:ext cx="2753191" cy="1654628"/>
        </a:xfrm>
        <a:prstGeom prst="rect">
          <a:avLst/>
        </a:prstGeom>
      </xdr:spPr>
    </xdr:pic>
    <xdr:clientData/>
  </xdr:twoCellAnchor>
  <xdr:twoCellAnchor editAs="oneCell">
    <xdr:from>
      <xdr:col>36</xdr:col>
      <xdr:colOff>581894</xdr:colOff>
      <xdr:row>20</xdr:row>
      <xdr:rowOff>166254</xdr:rowOff>
    </xdr:from>
    <xdr:to>
      <xdr:col>44</xdr:col>
      <xdr:colOff>401783</xdr:colOff>
      <xdr:row>38</xdr:row>
      <xdr:rowOff>32904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E5AAB6-BCC7-CC33-CAD9-0FDBA4414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810039" y="4045527"/>
          <a:ext cx="4973780" cy="31086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DB4-B0A8-4E84-8EB3-D1841E9839DB}">
  <dimension ref="A1:V8"/>
  <sheetViews>
    <sheetView workbookViewId="0">
      <selection sqref="A1:H1"/>
    </sheetView>
  </sheetViews>
  <sheetFormatPr defaultRowHeight="14.4" x14ac:dyDescent="0.3"/>
  <cols>
    <col min="1" max="1" width="4.77734375" customWidth="1"/>
    <col min="2" max="2" width="8.88671875" style="2" customWidth="1"/>
    <col min="3" max="3" width="16.77734375" style="2" customWidth="1"/>
    <col min="4" max="7" width="8.88671875" style="2" customWidth="1"/>
    <col min="8" max="8" width="8.88671875" style="2"/>
    <col min="9" max="9" width="2.77734375" style="36" customWidth="1"/>
    <col min="10" max="10" width="4.77734375" style="2" customWidth="1"/>
    <col min="11" max="13" width="8.88671875" style="2"/>
    <col min="14" max="14" width="2.77734375" style="36" customWidth="1"/>
    <col min="15" max="15" width="4.77734375" style="2" customWidth="1"/>
    <col min="18" max="20" width="8.88671875" customWidth="1"/>
  </cols>
  <sheetData>
    <row r="1" spans="1:22" ht="19.95" customHeight="1" x14ac:dyDescent="0.3">
      <c r="A1" s="35" t="s">
        <v>14</v>
      </c>
      <c r="B1" s="35"/>
      <c r="C1" s="35"/>
      <c r="D1" s="35"/>
      <c r="E1" s="35"/>
      <c r="F1" s="35"/>
      <c r="G1" s="35"/>
      <c r="H1" s="35"/>
      <c r="J1" s="35" t="s">
        <v>15</v>
      </c>
      <c r="K1" s="35"/>
      <c r="L1" s="35"/>
      <c r="M1" s="35"/>
      <c r="O1" s="37" t="s">
        <v>16</v>
      </c>
      <c r="P1" s="38"/>
      <c r="Q1" s="38"/>
      <c r="R1" s="38"/>
      <c r="S1" s="38"/>
      <c r="T1" s="38"/>
      <c r="U1" s="38"/>
      <c r="V1" s="39"/>
    </row>
    <row r="2" spans="1:22" s="1" customFormat="1" ht="43.2" x14ac:dyDescent="0.3">
      <c r="A2" s="4" t="s">
        <v>0</v>
      </c>
      <c r="B2" s="4" t="s">
        <v>1</v>
      </c>
      <c r="C2" s="4" t="s">
        <v>2</v>
      </c>
      <c r="D2" s="5" t="s">
        <v>118</v>
      </c>
      <c r="E2" s="5" t="s">
        <v>119</v>
      </c>
      <c r="F2" s="5" t="s">
        <v>120</v>
      </c>
      <c r="G2" s="5" t="s">
        <v>121</v>
      </c>
      <c r="H2" s="5" t="s">
        <v>12</v>
      </c>
      <c r="I2" s="36"/>
      <c r="J2" s="4" t="s">
        <v>0</v>
      </c>
      <c r="K2" s="5" t="s">
        <v>1</v>
      </c>
      <c r="L2" s="5" t="s">
        <v>17</v>
      </c>
      <c r="M2" s="5" t="s">
        <v>13</v>
      </c>
      <c r="N2" s="36"/>
      <c r="O2" s="4" t="s">
        <v>0</v>
      </c>
      <c r="P2" s="5" t="s">
        <v>1</v>
      </c>
      <c r="Q2" s="5" t="s">
        <v>19</v>
      </c>
      <c r="R2" s="5" t="s">
        <v>18</v>
      </c>
      <c r="S2" s="5" t="s">
        <v>21</v>
      </c>
      <c r="T2" s="5" t="s">
        <v>20</v>
      </c>
      <c r="U2" s="5" t="s">
        <v>122</v>
      </c>
      <c r="V2" s="5" t="s">
        <v>123</v>
      </c>
    </row>
    <row r="3" spans="1:22" x14ac:dyDescent="0.3">
      <c r="A3" s="3">
        <v>1</v>
      </c>
      <c r="B3" s="3" t="s">
        <v>3</v>
      </c>
      <c r="C3" s="3" t="s">
        <v>10</v>
      </c>
      <c r="D3" s="3">
        <v>800</v>
      </c>
      <c r="E3" s="3">
        <v>180</v>
      </c>
      <c r="F3" s="3">
        <v>360</v>
      </c>
      <c r="G3" s="3">
        <v>90</v>
      </c>
      <c r="H3" s="3">
        <f>G3*D3</f>
        <v>72000</v>
      </c>
      <c r="J3" s="3">
        <v>1</v>
      </c>
      <c r="K3" s="3" t="s">
        <v>3</v>
      </c>
      <c r="L3" s="3">
        <f t="shared" ref="L3:L8" si="0">E3*D3/60</f>
        <v>2400</v>
      </c>
      <c r="M3" s="3">
        <f t="shared" ref="M3:M8" si="1">F3*D3/60</f>
        <v>4800</v>
      </c>
      <c r="O3" s="3">
        <v>1</v>
      </c>
      <c r="P3" s="3" t="s">
        <v>3</v>
      </c>
      <c r="Q3" s="15">
        <f t="shared" ref="Q3:Q8" si="2">E3/G3</f>
        <v>2</v>
      </c>
      <c r="R3" s="15">
        <f t="shared" ref="R3:R8" si="3">F3/G3</f>
        <v>4</v>
      </c>
      <c r="S3" s="15">
        <f>Q3/60</f>
        <v>3.3333333333333333E-2</v>
      </c>
      <c r="T3" s="15">
        <f>R3/60</f>
        <v>6.6666666666666666E-2</v>
      </c>
      <c r="U3" s="15">
        <f>1/T3</f>
        <v>15</v>
      </c>
      <c r="V3" s="15">
        <f>U3/6</f>
        <v>2.5</v>
      </c>
    </row>
    <row r="4" spans="1:22" x14ac:dyDescent="0.3">
      <c r="A4" s="3">
        <v>2</v>
      </c>
      <c r="B4" s="3" t="s">
        <v>4</v>
      </c>
      <c r="C4" s="3" t="s">
        <v>9</v>
      </c>
      <c r="D4" s="3">
        <v>800</v>
      </c>
      <c r="E4" s="3">
        <v>180</v>
      </c>
      <c r="F4" s="3">
        <v>315</v>
      </c>
      <c r="G4" s="3">
        <v>36</v>
      </c>
      <c r="H4" s="3">
        <f>G4*D4</f>
        <v>28800</v>
      </c>
      <c r="J4" s="3">
        <v>2</v>
      </c>
      <c r="K4" s="3" t="s">
        <v>4</v>
      </c>
      <c r="L4" s="3">
        <f t="shared" si="0"/>
        <v>2400</v>
      </c>
      <c r="M4" s="3">
        <f t="shared" si="1"/>
        <v>4200</v>
      </c>
      <c r="O4" s="3">
        <v>2</v>
      </c>
      <c r="P4" s="3" t="s">
        <v>4</v>
      </c>
      <c r="Q4" s="15">
        <f t="shared" si="2"/>
        <v>5</v>
      </c>
      <c r="R4" s="15">
        <f t="shared" si="3"/>
        <v>8.75</v>
      </c>
      <c r="S4" s="15">
        <f t="shared" ref="S4:S8" si="4">Q4/60</f>
        <v>8.3333333333333329E-2</v>
      </c>
      <c r="T4" s="15">
        <f t="shared" ref="T4:T8" si="5">R4/60</f>
        <v>0.14583333333333334</v>
      </c>
      <c r="U4" s="15">
        <f t="shared" ref="U4:U8" si="6">1/T4</f>
        <v>6.8571428571428568</v>
      </c>
      <c r="V4" s="15">
        <f t="shared" ref="V4:V8" si="7">U4/6</f>
        <v>1.1428571428571428</v>
      </c>
    </row>
    <row r="5" spans="1:22" x14ac:dyDescent="0.3">
      <c r="A5" s="3">
        <v>3</v>
      </c>
      <c r="B5" s="3" t="s">
        <v>5</v>
      </c>
      <c r="C5" s="3" t="s">
        <v>10</v>
      </c>
      <c r="D5" s="3">
        <v>800</v>
      </c>
      <c r="E5" s="3">
        <v>180</v>
      </c>
      <c r="F5" s="3">
        <v>360</v>
      </c>
      <c r="G5" s="3">
        <v>36</v>
      </c>
      <c r="H5" s="3">
        <f>G5*D5</f>
        <v>28800</v>
      </c>
      <c r="J5" s="3">
        <v>3</v>
      </c>
      <c r="K5" s="3" t="s">
        <v>5</v>
      </c>
      <c r="L5" s="3">
        <f t="shared" si="0"/>
        <v>2400</v>
      </c>
      <c r="M5" s="3">
        <f t="shared" si="1"/>
        <v>4800</v>
      </c>
      <c r="O5" s="3">
        <v>3</v>
      </c>
      <c r="P5" s="3" t="s">
        <v>5</v>
      </c>
      <c r="Q5" s="15">
        <f t="shared" si="2"/>
        <v>5</v>
      </c>
      <c r="R5" s="15">
        <f t="shared" si="3"/>
        <v>10</v>
      </c>
      <c r="S5" s="15">
        <f t="shared" si="4"/>
        <v>8.3333333333333329E-2</v>
      </c>
      <c r="T5" s="15">
        <f t="shared" si="5"/>
        <v>0.16666666666666666</v>
      </c>
      <c r="U5" s="15">
        <f t="shared" si="6"/>
        <v>6</v>
      </c>
      <c r="V5" s="15">
        <f t="shared" si="7"/>
        <v>1</v>
      </c>
    </row>
    <row r="6" spans="1:22" x14ac:dyDescent="0.3">
      <c r="A6" s="3">
        <v>4</v>
      </c>
      <c r="B6" s="3" t="s">
        <v>6</v>
      </c>
      <c r="C6" s="3" t="s">
        <v>11</v>
      </c>
      <c r="D6" s="3">
        <v>800</v>
      </c>
      <c r="E6" s="3">
        <v>180</v>
      </c>
      <c r="F6" s="3">
        <v>360</v>
      </c>
      <c r="G6" s="3">
        <v>9</v>
      </c>
      <c r="H6" s="3">
        <f>G6*D6</f>
        <v>7200</v>
      </c>
      <c r="J6" s="3">
        <v>4</v>
      </c>
      <c r="K6" s="3" t="s">
        <v>6</v>
      </c>
      <c r="L6" s="3">
        <f t="shared" si="0"/>
        <v>2400</v>
      </c>
      <c r="M6" s="3">
        <f t="shared" si="1"/>
        <v>4800</v>
      </c>
      <c r="O6" s="3">
        <v>4</v>
      </c>
      <c r="P6" s="3" t="s">
        <v>6</v>
      </c>
      <c r="Q6" s="15">
        <f t="shared" si="2"/>
        <v>20</v>
      </c>
      <c r="R6" s="15">
        <f t="shared" si="3"/>
        <v>40</v>
      </c>
      <c r="S6" s="15">
        <f t="shared" si="4"/>
        <v>0.33333333333333331</v>
      </c>
      <c r="T6" s="15">
        <f t="shared" si="5"/>
        <v>0.66666666666666663</v>
      </c>
      <c r="U6" s="15">
        <f t="shared" si="6"/>
        <v>1.5</v>
      </c>
      <c r="V6" s="15">
        <f t="shared" si="7"/>
        <v>0.25</v>
      </c>
    </row>
    <row r="7" spans="1:22" x14ac:dyDescent="0.3">
      <c r="A7" s="3">
        <v>5</v>
      </c>
      <c r="B7" s="3" t="s">
        <v>7</v>
      </c>
      <c r="C7" s="3" t="s">
        <v>10</v>
      </c>
      <c r="D7" s="3">
        <v>800</v>
      </c>
      <c r="E7" s="3">
        <v>180</v>
      </c>
      <c r="F7" s="3">
        <v>360</v>
      </c>
      <c r="G7" s="3">
        <v>90</v>
      </c>
      <c r="H7" s="3">
        <f>G7*D7</f>
        <v>72000</v>
      </c>
      <c r="J7" s="3">
        <v>5</v>
      </c>
      <c r="K7" s="3" t="s">
        <v>7</v>
      </c>
      <c r="L7" s="3">
        <f t="shared" si="0"/>
        <v>2400</v>
      </c>
      <c r="M7" s="3">
        <f t="shared" si="1"/>
        <v>4800</v>
      </c>
      <c r="O7" s="3">
        <v>5</v>
      </c>
      <c r="P7" s="3" t="s">
        <v>7</v>
      </c>
      <c r="Q7" s="15">
        <f t="shared" si="2"/>
        <v>2</v>
      </c>
      <c r="R7" s="15">
        <f t="shared" si="3"/>
        <v>4</v>
      </c>
      <c r="S7" s="15">
        <f t="shared" si="4"/>
        <v>3.3333333333333333E-2</v>
      </c>
      <c r="T7" s="15">
        <f t="shared" si="5"/>
        <v>6.6666666666666666E-2</v>
      </c>
      <c r="U7" s="15">
        <f t="shared" si="6"/>
        <v>15</v>
      </c>
      <c r="V7" s="15">
        <f t="shared" si="7"/>
        <v>2.5</v>
      </c>
    </row>
    <row r="8" spans="1:22" x14ac:dyDescent="0.3">
      <c r="A8" s="3">
        <v>6</v>
      </c>
      <c r="B8" s="3" t="s">
        <v>8</v>
      </c>
      <c r="C8" s="3" t="s">
        <v>11</v>
      </c>
      <c r="D8" s="3">
        <v>800</v>
      </c>
      <c r="E8" s="3">
        <v>180</v>
      </c>
      <c r="F8" s="3">
        <v>360</v>
      </c>
      <c r="G8" s="3">
        <v>9</v>
      </c>
      <c r="H8" s="3">
        <f>G8*D7</f>
        <v>7200</v>
      </c>
      <c r="J8" s="3">
        <v>6</v>
      </c>
      <c r="K8" s="3" t="s">
        <v>8</v>
      </c>
      <c r="L8" s="3">
        <f t="shared" si="0"/>
        <v>2400</v>
      </c>
      <c r="M8" s="3">
        <f t="shared" si="1"/>
        <v>4800</v>
      </c>
      <c r="O8" s="3">
        <v>6</v>
      </c>
      <c r="P8" s="3" t="s">
        <v>8</v>
      </c>
      <c r="Q8" s="15">
        <f t="shared" si="2"/>
        <v>20</v>
      </c>
      <c r="R8" s="15">
        <f t="shared" si="3"/>
        <v>40</v>
      </c>
      <c r="S8" s="15">
        <f t="shared" si="4"/>
        <v>0.33333333333333331</v>
      </c>
      <c r="T8" s="15">
        <f t="shared" si="5"/>
        <v>0.66666666666666663</v>
      </c>
      <c r="U8" s="15">
        <f t="shared" si="6"/>
        <v>1.5</v>
      </c>
      <c r="V8" s="15">
        <f t="shared" si="7"/>
        <v>0.25</v>
      </c>
    </row>
  </sheetData>
  <mergeCells count="5">
    <mergeCell ref="A1:H1"/>
    <mergeCell ref="I1:I1048576"/>
    <mergeCell ref="J1:M1"/>
    <mergeCell ref="N1:N1048576"/>
    <mergeCell ref="O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0BB-A318-41A1-9642-6D3A473AEA27}">
  <dimension ref="A1:O22"/>
  <sheetViews>
    <sheetView topLeftCell="A2" workbookViewId="0">
      <selection activeCell="L17" sqref="L17"/>
    </sheetView>
  </sheetViews>
  <sheetFormatPr defaultRowHeight="14.4" x14ac:dyDescent="0.3"/>
  <cols>
    <col min="1" max="1" width="4.88671875" style="2" customWidth="1"/>
    <col min="2" max="2" width="24.88671875" style="2" customWidth="1"/>
    <col min="3" max="3" width="8.88671875" style="2" customWidth="1"/>
    <col min="4" max="4" width="12.88671875" style="2" customWidth="1"/>
    <col min="5" max="5" width="8.88671875" style="2"/>
    <col min="6" max="6" width="12.88671875" style="2" customWidth="1"/>
    <col min="7" max="7" width="8.88671875" style="2"/>
    <col min="8" max="9" width="12.88671875" style="2" customWidth="1"/>
    <col min="11" max="11" width="4.88671875" customWidth="1"/>
    <col min="13" max="15" width="12.88671875" customWidth="1"/>
  </cols>
  <sheetData>
    <row r="1" spans="1:15" ht="28.35" customHeight="1" x14ac:dyDescent="0.3">
      <c r="A1" s="55" t="s">
        <v>141</v>
      </c>
      <c r="B1" s="55"/>
      <c r="C1" s="55"/>
      <c r="D1" s="55"/>
      <c r="E1" s="55"/>
      <c r="F1" s="55"/>
      <c r="G1" s="55"/>
      <c r="H1" s="55"/>
      <c r="I1" s="28"/>
      <c r="K1" s="55" t="s">
        <v>149</v>
      </c>
      <c r="L1" s="55"/>
      <c r="M1" s="55"/>
      <c r="N1" s="55"/>
      <c r="O1" s="55"/>
    </row>
    <row r="2" spans="1:15" ht="28.35" customHeight="1" x14ac:dyDescent="0.3">
      <c r="A2" s="4" t="s">
        <v>0</v>
      </c>
      <c r="B2" s="4" t="s">
        <v>128</v>
      </c>
      <c r="C2" s="5" t="s">
        <v>133</v>
      </c>
      <c r="D2" s="5" t="s">
        <v>127</v>
      </c>
      <c r="E2" s="4" t="s">
        <v>126</v>
      </c>
      <c r="F2" s="5" t="s">
        <v>145</v>
      </c>
      <c r="G2" s="5" t="s">
        <v>139</v>
      </c>
      <c r="H2" s="5" t="s">
        <v>146</v>
      </c>
      <c r="I2" s="5" t="s">
        <v>164</v>
      </c>
      <c r="K2" s="5" t="s">
        <v>0</v>
      </c>
      <c r="L2" s="5" t="s">
        <v>134</v>
      </c>
      <c r="M2" s="5" t="s">
        <v>146</v>
      </c>
      <c r="N2" s="5" t="s">
        <v>147</v>
      </c>
      <c r="O2" s="4" t="s">
        <v>148</v>
      </c>
    </row>
    <row r="3" spans="1:15" x14ac:dyDescent="0.3">
      <c r="A3" s="47">
        <v>1</v>
      </c>
      <c r="B3" s="48" t="s">
        <v>142</v>
      </c>
      <c r="C3" s="32" t="s">
        <v>129</v>
      </c>
      <c r="D3" s="3" t="s">
        <v>135</v>
      </c>
      <c r="E3" s="49">
        <v>20</v>
      </c>
      <c r="F3" s="49">
        <v>3</v>
      </c>
      <c r="G3" s="49">
        <v>6</v>
      </c>
      <c r="H3" s="3">
        <f>F3*G3</f>
        <v>18</v>
      </c>
      <c r="I3" s="42" t="s">
        <v>165</v>
      </c>
      <c r="K3" s="3">
        <v>1</v>
      </c>
      <c r="L3" s="3" t="s">
        <v>129</v>
      </c>
      <c r="M3" s="3">
        <f>SUM(H3,H13,H15,H19)</f>
        <v>33</v>
      </c>
      <c r="N3" s="3">
        <v>25</v>
      </c>
      <c r="O3" s="3">
        <f>IF(M3-N3&lt;0, 0, M3-N3)</f>
        <v>8</v>
      </c>
    </row>
    <row r="4" spans="1:15" x14ac:dyDescent="0.3">
      <c r="A4" s="47"/>
      <c r="B4" s="47"/>
      <c r="C4" s="29" t="s">
        <v>130</v>
      </c>
      <c r="D4" s="3" t="s">
        <v>136</v>
      </c>
      <c r="E4" s="54"/>
      <c r="F4" s="54"/>
      <c r="G4" s="54"/>
      <c r="H4" s="3">
        <f>F3*G3</f>
        <v>18</v>
      </c>
      <c r="I4" s="59"/>
      <c r="K4" s="3">
        <v>2</v>
      </c>
      <c r="L4" s="3" t="s">
        <v>140</v>
      </c>
      <c r="M4" s="3">
        <f>SUM(H14,H16,H20,H22)</f>
        <v>20</v>
      </c>
      <c r="N4" s="3">
        <v>5</v>
      </c>
      <c r="O4" s="3">
        <f>IF(M4-N4&lt;0, 0, M4-N4)</f>
        <v>15</v>
      </c>
    </row>
    <row r="5" spans="1:15" x14ac:dyDescent="0.3">
      <c r="A5" s="47"/>
      <c r="B5" s="47"/>
      <c r="C5" s="30" t="s">
        <v>131</v>
      </c>
      <c r="D5" s="3" t="s">
        <v>137</v>
      </c>
      <c r="E5" s="54"/>
      <c r="F5" s="54"/>
      <c r="G5" s="54"/>
      <c r="H5" s="3">
        <f>F3*G3</f>
        <v>18</v>
      </c>
      <c r="I5" s="59"/>
      <c r="K5" s="3">
        <v>3</v>
      </c>
      <c r="L5" s="3" t="s">
        <v>130</v>
      </c>
      <c r="M5" s="3">
        <f>SUM(H4,H9)</f>
        <v>36</v>
      </c>
      <c r="N5" s="3">
        <v>25</v>
      </c>
      <c r="O5" s="3">
        <f>IF(M5-N5&lt;0, 0, M5-N5)</f>
        <v>11</v>
      </c>
    </row>
    <row r="6" spans="1:15" x14ac:dyDescent="0.3">
      <c r="A6" s="47"/>
      <c r="B6" s="47"/>
      <c r="C6" s="31" t="s">
        <v>132</v>
      </c>
      <c r="D6" s="3" t="s">
        <v>138</v>
      </c>
      <c r="E6" s="54"/>
      <c r="F6" s="54"/>
      <c r="G6" s="50"/>
      <c r="H6" s="3">
        <f>F3*G3</f>
        <v>18</v>
      </c>
      <c r="I6" s="43"/>
      <c r="K6" s="3">
        <v>4</v>
      </c>
      <c r="L6" s="3" t="s">
        <v>131</v>
      </c>
      <c r="M6" s="3">
        <f>SUM(H5,H7,H17)</f>
        <v>42</v>
      </c>
      <c r="N6" s="3">
        <v>36</v>
      </c>
      <c r="O6" s="3">
        <f t="shared" ref="O6:O7" si="0">IF(M6-N6&lt;0, 0, M6-N6)</f>
        <v>6</v>
      </c>
    </row>
    <row r="7" spans="1:15" ht="14.4" customHeight="1" x14ac:dyDescent="0.3">
      <c r="A7" s="49">
        <v>2</v>
      </c>
      <c r="B7" s="58" t="s">
        <v>143</v>
      </c>
      <c r="C7" s="30" t="s">
        <v>131</v>
      </c>
      <c r="D7" s="3" t="s">
        <v>153</v>
      </c>
      <c r="E7" s="54"/>
      <c r="F7" s="54"/>
      <c r="G7" s="49">
        <v>6</v>
      </c>
      <c r="H7" s="3">
        <f>F3*G7</f>
        <v>18</v>
      </c>
      <c r="I7" s="42" t="s">
        <v>165</v>
      </c>
      <c r="K7" s="3">
        <v>5</v>
      </c>
      <c r="L7" s="3" t="s">
        <v>132</v>
      </c>
      <c r="M7" s="3">
        <f>SUM(H6,H8,H18)</f>
        <v>42</v>
      </c>
      <c r="N7" s="3">
        <v>36</v>
      </c>
      <c r="O7" s="3">
        <f t="shared" si="0"/>
        <v>6</v>
      </c>
    </row>
    <row r="8" spans="1:15" x14ac:dyDescent="0.3">
      <c r="A8" s="50"/>
      <c r="B8" s="60"/>
      <c r="C8" s="31" t="s">
        <v>132</v>
      </c>
      <c r="D8" s="3" t="s">
        <v>152</v>
      </c>
      <c r="E8" s="54"/>
      <c r="F8" s="54"/>
      <c r="G8" s="50"/>
      <c r="H8" s="3">
        <f>F3*G7</f>
        <v>18</v>
      </c>
      <c r="I8" s="43"/>
      <c r="K8" s="3">
        <v>6</v>
      </c>
      <c r="L8" s="3" t="s">
        <v>158</v>
      </c>
      <c r="M8" s="3">
        <f>H11+H21</f>
        <v>5</v>
      </c>
      <c r="N8" s="3">
        <v>3</v>
      </c>
      <c r="O8" s="3">
        <f t="shared" ref="O8" si="1">IF(M8-N8&lt;0, 0, M8-N8)</f>
        <v>2</v>
      </c>
    </row>
    <row r="9" spans="1:15" x14ac:dyDescent="0.3">
      <c r="A9" s="49">
        <v>3</v>
      </c>
      <c r="B9" s="48" t="s">
        <v>155</v>
      </c>
      <c r="C9" s="56" t="s">
        <v>130</v>
      </c>
      <c r="D9" s="58" t="s">
        <v>160</v>
      </c>
      <c r="E9" s="54"/>
      <c r="F9" s="54"/>
      <c r="G9" s="49">
        <v>6</v>
      </c>
      <c r="H9" s="49">
        <f>F3*G9</f>
        <v>18</v>
      </c>
      <c r="I9" s="44" t="s">
        <v>167</v>
      </c>
      <c r="K9" s="51" t="s">
        <v>157</v>
      </c>
      <c r="L9" s="52"/>
      <c r="M9" s="52"/>
      <c r="N9" s="53"/>
      <c r="O9" s="27">
        <f>SUM(M3:M7)</f>
        <v>173</v>
      </c>
    </row>
    <row r="10" spans="1:15" x14ac:dyDescent="0.3">
      <c r="A10" s="50"/>
      <c r="B10" s="47"/>
      <c r="C10" s="57"/>
      <c r="D10" s="50"/>
      <c r="E10" s="54"/>
      <c r="F10" s="54"/>
      <c r="G10" s="50"/>
      <c r="H10" s="50"/>
      <c r="I10" s="45"/>
      <c r="K10" s="51" t="s">
        <v>154</v>
      </c>
      <c r="L10" s="52"/>
      <c r="M10" s="52"/>
      <c r="N10" s="53"/>
      <c r="O10" s="27">
        <f>SUM(O3:O7)</f>
        <v>46</v>
      </c>
    </row>
    <row r="11" spans="1:15" x14ac:dyDescent="0.3">
      <c r="A11" s="47">
        <v>4</v>
      </c>
      <c r="B11" s="48" t="s">
        <v>144</v>
      </c>
      <c r="C11" s="49" t="s">
        <v>158</v>
      </c>
      <c r="D11" s="47" t="s">
        <v>159</v>
      </c>
      <c r="E11" s="54"/>
      <c r="F11" s="54"/>
      <c r="G11" s="49">
        <v>1</v>
      </c>
      <c r="H11" s="49">
        <f>G11*F3</f>
        <v>3</v>
      </c>
      <c r="I11" s="44" t="s">
        <v>167</v>
      </c>
    </row>
    <row r="12" spans="1:15" x14ac:dyDescent="0.3">
      <c r="A12" s="47"/>
      <c r="B12" s="47"/>
      <c r="C12" s="50"/>
      <c r="D12" s="47"/>
      <c r="E12" s="54"/>
      <c r="F12" s="54"/>
      <c r="G12" s="50"/>
      <c r="H12" s="50"/>
      <c r="I12" s="45"/>
    </row>
    <row r="13" spans="1:15" ht="14.85" customHeight="1" x14ac:dyDescent="0.3">
      <c r="A13" s="47">
        <v>5</v>
      </c>
      <c r="B13" s="48" t="s">
        <v>161</v>
      </c>
      <c r="C13" s="32" t="s">
        <v>129</v>
      </c>
      <c r="D13" s="3" t="s">
        <v>163</v>
      </c>
      <c r="E13" s="54"/>
      <c r="F13" s="54"/>
      <c r="G13" s="3">
        <v>1</v>
      </c>
      <c r="H13" s="3">
        <f>G13*F3</f>
        <v>3</v>
      </c>
      <c r="I13" s="42" t="s">
        <v>165</v>
      </c>
    </row>
    <row r="14" spans="1:15" x14ac:dyDescent="0.3">
      <c r="A14" s="47"/>
      <c r="B14" s="47"/>
      <c r="C14" s="33" t="s">
        <v>140</v>
      </c>
      <c r="D14" s="3" t="s">
        <v>151</v>
      </c>
      <c r="E14" s="54"/>
      <c r="F14" s="50"/>
      <c r="G14" s="3">
        <v>2</v>
      </c>
      <c r="H14" s="3">
        <f>G14*F3</f>
        <v>6</v>
      </c>
      <c r="I14" s="43"/>
    </row>
    <row r="15" spans="1:15" x14ac:dyDescent="0.3">
      <c r="A15" s="47">
        <v>6</v>
      </c>
      <c r="B15" s="48" t="s">
        <v>150</v>
      </c>
      <c r="C15" s="32" t="s">
        <v>129</v>
      </c>
      <c r="D15" s="3" t="s">
        <v>163</v>
      </c>
      <c r="E15" s="54"/>
      <c r="F15" s="49">
        <v>6</v>
      </c>
      <c r="G15" s="49">
        <v>1</v>
      </c>
      <c r="H15" s="3">
        <f>G15*F15</f>
        <v>6</v>
      </c>
      <c r="I15" s="40" t="s">
        <v>166</v>
      </c>
    </row>
    <row r="16" spans="1:15" x14ac:dyDescent="0.3">
      <c r="A16" s="47"/>
      <c r="B16" s="48"/>
      <c r="C16" s="33" t="s">
        <v>140</v>
      </c>
      <c r="D16" s="3" t="s">
        <v>151</v>
      </c>
      <c r="E16" s="54"/>
      <c r="F16" s="54"/>
      <c r="G16" s="54"/>
      <c r="H16" s="3">
        <f>F15*G15</f>
        <v>6</v>
      </c>
      <c r="I16" s="46"/>
    </row>
    <row r="17" spans="1:9" ht="14.4" customHeight="1" x14ac:dyDescent="0.3">
      <c r="A17" s="47"/>
      <c r="B17" s="48"/>
      <c r="C17" s="30" t="s">
        <v>131</v>
      </c>
      <c r="D17" s="3" t="s">
        <v>153</v>
      </c>
      <c r="E17" s="54"/>
      <c r="F17" s="54"/>
      <c r="G17" s="54"/>
      <c r="H17" s="3">
        <f>F15*G15</f>
        <v>6</v>
      </c>
      <c r="I17" s="46"/>
    </row>
    <row r="18" spans="1:9" x14ac:dyDescent="0.3">
      <c r="A18" s="47"/>
      <c r="B18" s="48"/>
      <c r="C18" s="31" t="s">
        <v>132</v>
      </c>
      <c r="D18" s="3" t="s">
        <v>152</v>
      </c>
      <c r="E18" s="54"/>
      <c r="F18" s="50"/>
      <c r="G18" s="50"/>
      <c r="H18" s="3">
        <f>F15*G15</f>
        <v>6</v>
      </c>
      <c r="I18" s="41"/>
    </row>
    <row r="19" spans="1:9" x14ac:dyDescent="0.3">
      <c r="A19" s="47">
        <v>7</v>
      </c>
      <c r="B19" s="48" t="s">
        <v>162</v>
      </c>
      <c r="C19" s="32" t="s">
        <v>129</v>
      </c>
      <c r="D19" s="3" t="s">
        <v>163</v>
      </c>
      <c r="E19" s="54"/>
      <c r="F19" s="49">
        <v>6</v>
      </c>
      <c r="G19" s="49">
        <v>1</v>
      </c>
      <c r="H19" s="3">
        <f>F19*G19</f>
        <v>6</v>
      </c>
      <c r="I19" s="40" t="s">
        <v>166</v>
      </c>
    </row>
    <row r="20" spans="1:9" x14ac:dyDescent="0.3">
      <c r="A20" s="47"/>
      <c r="B20" s="47"/>
      <c r="C20" s="33" t="s">
        <v>140</v>
      </c>
      <c r="D20" s="3" t="s">
        <v>151</v>
      </c>
      <c r="E20" s="54"/>
      <c r="F20" s="50"/>
      <c r="G20" s="50"/>
      <c r="H20" s="3">
        <f>G19*F19</f>
        <v>6</v>
      </c>
      <c r="I20" s="41"/>
    </row>
    <row r="21" spans="1:9" x14ac:dyDescent="0.3">
      <c r="A21" s="47">
        <v>8</v>
      </c>
      <c r="B21" s="48" t="s">
        <v>156</v>
      </c>
      <c r="C21" s="34" t="s">
        <v>158</v>
      </c>
      <c r="D21" s="3" t="s">
        <v>159</v>
      </c>
      <c r="E21" s="54"/>
      <c r="F21" s="49">
        <v>2</v>
      </c>
      <c r="G21" s="49">
        <v>1</v>
      </c>
      <c r="H21" s="3">
        <f>G21*F21</f>
        <v>2</v>
      </c>
      <c r="I21" s="40" t="s">
        <v>166</v>
      </c>
    </row>
    <row r="22" spans="1:9" x14ac:dyDescent="0.3">
      <c r="A22" s="47"/>
      <c r="B22" s="47"/>
      <c r="C22" s="33" t="s">
        <v>140</v>
      </c>
      <c r="D22" s="3" t="s">
        <v>151</v>
      </c>
      <c r="E22" s="50"/>
      <c r="F22" s="50"/>
      <c r="G22" s="50"/>
      <c r="H22" s="3">
        <f>G21*F21</f>
        <v>2</v>
      </c>
      <c r="I22" s="41"/>
    </row>
  </sheetData>
  <mergeCells count="46">
    <mergeCell ref="G3:G6"/>
    <mergeCell ref="K10:N10"/>
    <mergeCell ref="A15:A18"/>
    <mergeCell ref="D11:D12"/>
    <mergeCell ref="F3:F14"/>
    <mergeCell ref="F15:F18"/>
    <mergeCell ref="E3:E22"/>
    <mergeCell ref="F19:F20"/>
    <mergeCell ref="F21:F22"/>
    <mergeCell ref="I3:I6"/>
    <mergeCell ref="A19:A20"/>
    <mergeCell ref="B19:B20"/>
    <mergeCell ref="B7:B8"/>
    <mergeCell ref="A7:A8"/>
    <mergeCell ref="A9:A10"/>
    <mergeCell ref="B11:B12"/>
    <mergeCell ref="K1:O1"/>
    <mergeCell ref="B15:B18"/>
    <mergeCell ref="B9:B10"/>
    <mergeCell ref="A21:A22"/>
    <mergeCell ref="B21:B22"/>
    <mergeCell ref="G21:G22"/>
    <mergeCell ref="C9:C10"/>
    <mergeCell ref="A1:H1"/>
    <mergeCell ref="G7:G8"/>
    <mergeCell ref="G9:G10"/>
    <mergeCell ref="B3:B6"/>
    <mergeCell ref="H9:H10"/>
    <mergeCell ref="H11:H12"/>
    <mergeCell ref="D9:D10"/>
    <mergeCell ref="C11:C12"/>
    <mergeCell ref="A3:A6"/>
    <mergeCell ref="A11:A12"/>
    <mergeCell ref="B13:B14"/>
    <mergeCell ref="A13:A14"/>
    <mergeCell ref="G19:G20"/>
    <mergeCell ref="K9:N9"/>
    <mergeCell ref="G11:G12"/>
    <mergeCell ref="G15:G18"/>
    <mergeCell ref="I19:I20"/>
    <mergeCell ref="I21:I22"/>
    <mergeCell ref="I7:I8"/>
    <mergeCell ref="I9:I10"/>
    <mergeCell ref="I11:I12"/>
    <mergeCell ref="I13:I14"/>
    <mergeCell ref="I15:I18"/>
  </mergeCells>
  <pageMargins left="0.7" right="0.7" top="0.75" bottom="0.75" header="0.3" footer="0.3"/>
  <pageSetup orientation="portrait" r:id="rId1"/>
  <ignoredErrors>
    <ignoredError sqref="O5 H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0D27-4B97-4251-AD4B-2BBC3FAFA5B8}">
  <dimension ref="A1:AT83"/>
  <sheetViews>
    <sheetView tabSelected="1" topLeftCell="R56" zoomScaleNormal="100" workbookViewId="0">
      <selection activeCell="Z78" sqref="Z78"/>
    </sheetView>
  </sheetViews>
  <sheetFormatPr defaultColWidth="0" defaultRowHeight="14.4" zeroHeight="1" x14ac:dyDescent="0.3"/>
  <cols>
    <col min="1" max="21" width="12.88671875" style="2" customWidth="1"/>
    <col min="22" max="22" width="2.77734375" style="22" customWidth="1"/>
    <col min="23" max="37" width="12.88671875" style="2" customWidth="1"/>
    <col min="38" max="45" width="8.88671875" style="2" customWidth="1"/>
    <col min="46" max="46" width="0" style="2" hidden="1" customWidth="1"/>
    <col min="47" max="16384" width="8.88671875" style="2" hidden="1"/>
  </cols>
  <sheetData>
    <row r="1" spans="1:45" ht="31.95" customHeight="1" x14ac:dyDescent="0.3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26"/>
      <c r="W1" s="73" t="s">
        <v>53</v>
      </c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</row>
    <row r="2" spans="1:45" ht="14.4" customHeight="1" x14ac:dyDescent="0.3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23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" x14ac:dyDescent="0.3">
      <c r="A3" s="63" t="s">
        <v>28</v>
      </c>
      <c r="B3" s="63"/>
      <c r="C3" s="63"/>
      <c r="D3" s="63"/>
      <c r="E3" s="63"/>
      <c r="F3" s="63"/>
      <c r="G3" s="63"/>
      <c r="I3" s="63" t="s">
        <v>26</v>
      </c>
      <c r="J3" s="63"/>
      <c r="K3" s="63"/>
      <c r="L3" s="63"/>
      <c r="M3" s="63"/>
      <c r="O3" s="63" t="s">
        <v>31</v>
      </c>
      <c r="P3" s="63"/>
      <c r="Q3" s="63"/>
      <c r="V3" s="23"/>
      <c r="W3" s="63" t="s">
        <v>28</v>
      </c>
      <c r="X3" s="63"/>
      <c r="Y3" s="63"/>
      <c r="AA3" s="63" t="s">
        <v>31</v>
      </c>
      <c r="AB3" s="63"/>
      <c r="AC3" s="63"/>
    </row>
    <row r="4" spans="1:45" ht="14.4" customHeight="1" x14ac:dyDescent="0.3">
      <c r="A4" s="66" t="s">
        <v>29</v>
      </c>
      <c r="B4" s="68" t="s">
        <v>50</v>
      </c>
      <c r="C4" s="68"/>
      <c r="D4" s="68"/>
      <c r="E4" s="71" t="s">
        <v>51</v>
      </c>
      <c r="F4" s="75"/>
      <c r="G4" s="72"/>
      <c r="I4" s="74" t="s">
        <v>29</v>
      </c>
      <c r="J4" s="64" t="s">
        <v>22</v>
      </c>
      <c r="K4" s="64" t="s">
        <v>23</v>
      </c>
      <c r="L4" s="64" t="s">
        <v>24</v>
      </c>
      <c r="M4" s="64" t="s">
        <v>25</v>
      </c>
      <c r="O4" s="66" t="s">
        <v>54</v>
      </c>
      <c r="P4" s="68" t="s">
        <v>42</v>
      </c>
      <c r="Q4" s="68" t="s">
        <v>27</v>
      </c>
      <c r="V4" s="23"/>
      <c r="W4" s="69" t="s">
        <v>54</v>
      </c>
      <c r="X4" s="66" t="s">
        <v>42</v>
      </c>
      <c r="Y4" s="66" t="s">
        <v>27</v>
      </c>
      <c r="AA4" s="66" t="s">
        <v>29</v>
      </c>
      <c r="AB4" s="71" t="s">
        <v>50</v>
      </c>
      <c r="AC4" s="72"/>
    </row>
    <row r="5" spans="1:45" x14ac:dyDescent="0.3">
      <c r="A5" s="67"/>
      <c r="B5" s="8" t="s">
        <v>90</v>
      </c>
      <c r="C5" s="8" t="s">
        <v>30</v>
      </c>
      <c r="D5" s="8" t="s">
        <v>27</v>
      </c>
      <c r="E5" s="8" t="s">
        <v>41</v>
      </c>
      <c r="F5" s="8" t="s">
        <v>42</v>
      </c>
      <c r="G5" s="8" t="s">
        <v>27</v>
      </c>
      <c r="I5" s="74"/>
      <c r="J5" s="65"/>
      <c r="K5" s="65"/>
      <c r="L5" s="65"/>
      <c r="M5" s="65"/>
      <c r="O5" s="67"/>
      <c r="P5" s="68"/>
      <c r="Q5" s="68"/>
      <c r="V5" s="23"/>
      <c r="W5" s="70"/>
      <c r="X5" s="67"/>
      <c r="Y5" s="67"/>
      <c r="AA5" s="67"/>
      <c r="AB5" s="10" t="s">
        <v>30</v>
      </c>
      <c r="AC5" s="10" t="s">
        <v>27</v>
      </c>
    </row>
    <row r="6" spans="1:45" x14ac:dyDescent="0.3">
      <c r="A6" s="8" t="s">
        <v>3</v>
      </c>
      <c r="B6" s="3" t="s">
        <v>91</v>
      </c>
      <c r="C6" s="6">
        <v>0</v>
      </c>
      <c r="D6" s="6">
        <f>RADIANS(C6)</f>
        <v>0</v>
      </c>
      <c r="E6" s="8" t="s">
        <v>43</v>
      </c>
      <c r="F6" s="6">
        <v>0</v>
      </c>
      <c r="G6" s="49" t="s">
        <v>52</v>
      </c>
      <c r="I6" s="9">
        <v>1</v>
      </c>
      <c r="J6" s="6">
        <f>D6</f>
        <v>0</v>
      </c>
      <c r="K6" s="6">
        <f>RADIANS(-90)</f>
        <v>-1.5707963267948966</v>
      </c>
      <c r="L6" s="6">
        <v>191</v>
      </c>
      <c r="M6" s="6">
        <v>23.5</v>
      </c>
      <c r="O6" s="7" t="s">
        <v>43</v>
      </c>
      <c r="P6" s="6">
        <f>N48</f>
        <v>598.5</v>
      </c>
      <c r="Q6" s="49" t="s">
        <v>52</v>
      </c>
      <c r="V6" s="23"/>
      <c r="W6" s="20" t="s">
        <v>43</v>
      </c>
      <c r="X6" s="6">
        <f t="shared" ref="X6:X11" si="0">P6</f>
        <v>598.5</v>
      </c>
      <c r="Y6" s="49" t="s">
        <v>52</v>
      </c>
      <c r="AA6" s="8" t="s">
        <v>3</v>
      </c>
      <c r="AB6" s="6">
        <f>DEGREES(AC6)</f>
        <v>-4.3982353222580045E-16</v>
      </c>
      <c r="AC6" s="6">
        <f>Y32</f>
        <v>-7.6763687650916021E-18</v>
      </c>
    </row>
    <row r="7" spans="1:45" x14ac:dyDescent="0.3">
      <c r="A7" s="8" t="s">
        <v>4</v>
      </c>
      <c r="B7" s="3" t="s">
        <v>124</v>
      </c>
      <c r="C7" s="6">
        <v>0</v>
      </c>
      <c r="D7" s="6">
        <f>RADIANS(C7)</f>
        <v>0</v>
      </c>
      <c r="E7" s="8" t="s">
        <v>44</v>
      </c>
      <c r="F7" s="6">
        <v>0</v>
      </c>
      <c r="G7" s="54"/>
      <c r="I7" s="9">
        <v>2</v>
      </c>
      <c r="J7" s="6">
        <f>D7-RADIANS(90)</f>
        <v>-1.5707963267948966</v>
      </c>
      <c r="K7" s="6">
        <f>RADIANS(0)</f>
        <v>0</v>
      </c>
      <c r="L7" s="6">
        <v>0</v>
      </c>
      <c r="M7" s="6">
        <v>650</v>
      </c>
      <c r="O7" s="7" t="s">
        <v>44</v>
      </c>
      <c r="P7" s="6">
        <f>N49</f>
        <v>3.369158250998705E-15</v>
      </c>
      <c r="Q7" s="54"/>
      <c r="V7" s="23"/>
      <c r="W7" s="20" t="s">
        <v>44</v>
      </c>
      <c r="X7" s="6">
        <f t="shared" si="0"/>
        <v>3.369158250998705E-15</v>
      </c>
      <c r="Y7" s="54"/>
      <c r="AA7" s="8" t="s">
        <v>4</v>
      </c>
      <c r="AB7" s="6">
        <f>90-(AD36+AD37)</f>
        <v>0</v>
      </c>
      <c r="AC7" s="6">
        <f>RADIANS(AB7)</f>
        <v>0</v>
      </c>
    </row>
    <row r="8" spans="1:45" x14ac:dyDescent="0.3">
      <c r="A8" s="8" t="s">
        <v>5</v>
      </c>
      <c r="B8" s="3" t="s">
        <v>125</v>
      </c>
      <c r="C8" s="6">
        <v>0</v>
      </c>
      <c r="D8" s="6">
        <f>RADIANS(C8)</f>
        <v>0</v>
      </c>
      <c r="E8" s="8" t="s">
        <v>45</v>
      </c>
      <c r="F8" s="6">
        <v>0</v>
      </c>
      <c r="G8" s="50"/>
      <c r="I8" s="9">
        <v>3</v>
      </c>
      <c r="J8" s="6">
        <f>D8+RADIANS(180)</f>
        <v>3.1415926535897931</v>
      </c>
      <c r="K8" s="6">
        <f>RADIANS(90)</f>
        <v>1.5707963267948966</v>
      </c>
      <c r="L8" s="6">
        <v>0</v>
      </c>
      <c r="M8" s="6">
        <v>0</v>
      </c>
      <c r="O8" s="7" t="s">
        <v>45</v>
      </c>
      <c r="P8" s="6">
        <f>N50</f>
        <v>776</v>
      </c>
      <c r="Q8" s="50"/>
      <c r="V8" s="23"/>
      <c r="W8" s="20" t="s">
        <v>45</v>
      </c>
      <c r="X8" s="6">
        <f t="shared" si="0"/>
        <v>776</v>
      </c>
      <c r="Y8" s="50"/>
      <c r="AA8" s="8" t="s">
        <v>5</v>
      </c>
      <c r="AB8" s="6">
        <f>-(AD38)+90</f>
        <v>0</v>
      </c>
      <c r="AC8" s="6">
        <f>RADIANS(AB8)</f>
        <v>0</v>
      </c>
    </row>
    <row r="9" spans="1:45" x14ac:dyDescent="0.3">
      <c r="A9" s="8" t="s">
        <v>6</v>
      </c>
      <c r="B9" s="3" t="s">
        <v>169</v>
      </c>
      <c r="C9" s="6">
        <v>0</v>
      </c>
      <c r="D9" s="6">
        <f t="shared" ref="D9:D11" si="1">RADIANS(C9)</f>
        <v>0</v>
      </c>
      <c r="E9" s="8" t="s">
        <v>47</v>
      </c>
      <c r="F9" s="6">
        <v>0</v>
      </c>
      <c r="G9" s="6">
        <f>RADIANS(F9)</f>
        <v>0</v>
      </c>
      <c r="I9" s="9">
        <v>4</v>
      </c>
      <c r="J9" s="6">
        <f>D9</f>
        <v>0</v>
      </c>
      <c r="K9" s="6">
        <f>RADIANS(-90)</f>
        <v>-1.5707963267948966</v>
      </c>
      <c r="L9" s="6">
        <v>575</v>
      </c>
      <c r="M9" s="6">
        <v>0</v>
      </c>
      <c r="O9" s="8" t="s">
        <v>47</v>
      </c>
      <c r="P9" s="6">
        <f>DEGREES(Q9)</f>
        <v>180</v>
      </c>
      <c r="Q9" s="6">
        <f>ATAN2(K48/COS(Q10),K49/COS(Q10))</f>
        <v>3.1415926535897931</v>
      </c>
      <c r="V9" s="23"/>
      <c r="W9" s="11" t="s">
        <v>47</v>
      </c>
      <c r="X9" s="6">
        <f t="shared" si="0"/>
        <v>180</v>
      </c>
      <c r="Y9" s="6">
        <f>RADIANS(X9)</f>
        <v>3.1415926535897931</v>
      </c>
      <c r="AA9" s="8" t="s">
        <v>6</v>
      </c>
      <c r="AB9" s="6">
        <f>DEGREES(AC9)</f>
        <v>3.5097917871618874E-15</v>
      </c>
      <c r="AC9" s="6">
        <f>IF(AC10&gt;0, ATAN2(AI51,AI52),  ATAN2(-AI51,-AI52))</f>
        <v>6.1257422745430976E-17</v>
      </c>
    </row>
    <row r="10" spans="1:45" x14ac:dyDescent="0.3">
      <c r="A10" s="8" t="s">
        <v>7</v>
      </c>
      <c r="B10" s="3" t="s">
        <v>170</v>
      </c>
      <c r="C10" s="6">
        <v>90</v>
      </c>
      <c r="D10" s="6">
        <f>RADIANS(C10)</f>
        <v>1.5707963267948966</v>
      </c>
      <c r="E10" s="8" t="s">
        <v>48</v>
      </c>
      <c r="F10" s="6">
        <v>0</v>
      </c>
      <c r="G10" s="6">
        <f>RADIANS(F10)</f>
        <v>0</v>
      </c>
      <c r="I10" s="9">
        <v>5</v>
      </c>
      <c r="J10" s="6">
        <f>D10</f>
        <v>1.5707963267948966</v>
      </c>
      <c r="K10" s="6">
        <f>RADIANS(90)</f>
        <v>1.5707963267948966</v>
      </c>
      <c r="L10" s="6">
        <v>0</v>
      </c>
      <c r="M10" s="6">
        <v>0</v>
      </c>
      <c r="O10" s="8" t="s">
        <v>48</v>
      </c>
      <c r="P10" s="6">
        <f>DEGREES(Q10)</f>
        <v>7.0195835743237771E-15</v>
      </c>
      <c r="Q10" s="6">
        <f>ATAN2(SQRT(L50^2 + M50^2), -K50)</f>
        <v>1.22514845490862E-16</v>
      </c>
      <c r="V10" s="23"/>
      <c r="W10" s="11" t="s">
        <v>48</v>
      </c>
      <c r="X10" s="6">
        <f t="shared" si="0"/>
        <v>7.0195835743237771E-15</v>
      </c>
      <c r="Y10" s="6">
        <f t="shared" ref="Y10:Y11" si="2">RADIANS(X10)</f>
        <v>1.22514845490862E-16</v>
      </c>
      <c r="AA10" s="8" t="s">
        <v>7</v>
      </c>
      <c r="AB10" s="6">
        <f>DEGREES(AC10)</f>
        <v>90</v>
      </c>
      <c r="AC10" s="6">
        <f>IF(C10&gt;0,ATAN2(AI53,SQRT(1-AI53^2)), ATAN2(AI53,-SQRT(1-AI53^2)))</f>
        <v>1.5707963267948966</v>
      </c>
    </row>
    <row r="11" spans="1:45" x14ac:dyDescent="0.3">
      <c r="A11" s="8" t="s">
        <v>8</v>
      </c>
      <c r="B11" s="3" t="s">
        <v>92</v>
      </c>
      <c r="C11" s="6">
        <v>0</v>
      </c>
      <c r="D11" s="6">
        <f t="shared" si="1"/>
        <v>0</v>
      </c>
      <c r="E11" s="8" t="s">
        <v>46</v>
      </c>
      <c r="F11" s="6">
        <v>0</v>
      </c>
      <c r="G11" s="6">
        <f>RADIANS(F11)</f>
        <v>0</v>
      </c>
      <c r="I11" s="9">
        <v>6</v>
      </c>
      <c r="J11" s="6">
        <f>D11</f>
        <v>0</v>
      </c>
      <c r="K11" s="6">
        <f>RADIANS(0)</f>
        <v>0</v>
      </c>
      <c r="L11" s="6">
        <v>65</v>
      </c>
      <c r="M11" s="6">
        <v>0</v>
      </c>
      <c r="O11" s="8" t="s">
        <v>46</v>
      </c>
      <c r="P11" s="6">
        <f>DEGREES(Q11)</f>
        <v>180</v>
      </c>
      <c r="Q11" s="6">
        <f>ATAN2(M50/COS(Q10),L50/COS(Q10))</f>
        <v>3.1415926535897931</v>
      </c>
      <c r="V11" s="23"/>
      <c r="W11" s="11" t="s">
        <v>46</v>
      </c>
      <c r="X11" s="6">
        <f t="shared" si="0"/>
        <v>180</v>
      </c>
      <c r="Y11" s="6">
        <f t="shared" si="2"/>
        <v>3.1415926535897931</v>
      </c>
      <c r="AA11" s="8" t="s">
        <v>8</v>
      </c>
      <c r="AB11" s="6">
        <f>DEGREES(AC11)</f>
        <v>1.0089551829259864E-14</v>
      </c>
      <c r="AC11" s="6">
        <f>IF(AC10&gt;0, ATAN2(-AG53,AH53), ATAN2(AG53,-AH53))</f>
        <v>1.7609589947120138E-16</v>
      </c>
    </row>
    <row r="12" spans="1:45" x14ac:dyDescent="0.3">
      <c r="V12" s="23"/>
    </row>
    <row r="13" spans="1:45" x14ac:dyDescent="0.3">
      <c r="G13" s="19"/>
      <c r="H13" s="19"/>
      <c r="V13" s="23"/>
    </row>
    <row r="14" spans="1:45" x14ac:dyDescent="0.3">
      <c r="B14" s="61" t="s">
        <v>116</v>
      </c>
      <c r="C14" s="61"/>
      <c r="G14" s="61" t="s">
        <v>60</v>
      </c>
      <c r="H14" s="61"/>
      <c r="L14" s="61" t="s">
        <v>61</v>
      </c>
      <c r="M14" s="61"/>
      <c r="V14" s="23"/>
      <c r="X14" s="61" t="s">
        <v>60</v>
      </c>
      <c r="Y14" s="61"/>
      <c r="AC14" s="61" t="s">
        <v>61</v>
      </c>
      <c r="AD14" s="61"/>
      <c r="AH14" s="61" t="s">
        <v>62</v>
      </c>
      <c r="AI14" s="61"/>
    </row>
    <row r="15" spans="1:45" x14ac:dyDescent="0.3">
      <c r="A15" s="62" t="s">
        <v>115</v>
      </c>
      <c r="B15" s="62"/>
      <c r="C15" s="62"/>
      <c r="D15" s="62"/>
      <c r="F15" s="62" t="s">
        <v>33</v>
      </c>
      <c r="G15" s="62"/>
      <c r="H15" s="62"/>
      <c r="I15" s="62"/>
      <c r="K15" s="62" t="s">
        <v>34</v>
      </c>
      <c r="L15" s="62"/>
      <c r="M15" s="62"/>
      <c r="N15" s="62"/>
      <c r="V15" s="23"/>
      <c r="W15" s="62" t="s">
        <v>55</v>
      </c>
      <c r="X15" s="62"/>
      <c r="Y15" s="62"/>
      <c r="Z15" s="62"/>
      <c r="AB15" s="62" t="s">
        <v>49</v>
      </c>
      <c r="AC15" s="62"/>
      <c r="AD15" s="62"/>
      <c r="AE15" s="62"/>
      <c r="AG15" s="62" t="s">
        <v>56</v>
      </c>
      <c r="AH15" s="62"/>
      <c r="AI15" s="62"/>
      <c r="AJ15" s="62"/>
    </row>
    <row r="16" spans="1:45" x14ac:dyDescent="0.3">
      <c r="A16" s="6">
        <v>1</v>
      </c>
      <c r="B16" s="6">
        <v>0</v>
      </c>
      <c r="C16" s="6">
        <v>0</v>
      </c>
      <c r="D16" s="6">
        <v>0</v>
      </c>
      <c r="F16" s="6">
        <f>COS(J6)</f>
        <v>1</v>
      </c>
      <c r="G16" s="6">
        <f>-SIN(J6)*COS(K6)</f>
        <v>0</v>
      </c>
      <c r="H16" s="6">
        <f>SIN(J6)*SIN(K6)</f>
        <v>0</v>
      </c>
      <c r="I16" s="6">
        <f>M6*COS(J6)</f>
        <v>23.5</v>
      </c>
      <c r="K16" s="6">
        <f>COS(J7)</f>
        <v>6.1257422745431001E-17</v>
      </c>
      <c r="L16" s="6">
        <f>-SIN(J7)*COS(K7)</f>
        <v>1</v>
      </c>
      <c r="M16" s="6">
        <f>SIN(J7)*SIN(K7)</f>
        <v>0</v>
      </c>
      <c r="N16" s="6">
        <f>M7*COS(J7)</f>
        <v>3.981732478453015E-14</v>
      </c>
      <c r="V16" s="23"/>
      <c r="W16" s="21">
        <f>COS(RADIANS(X9))*COS(RADIANS(X10))</f>
        <v>-1</v>
      </c>
      <c r="X16" s="6">
        <f>COS(RADIANS(X9))*SIN(RADIANS(X10))*SIN(RADIANS(X11))-SIN(RADIANS(X9))*COS(RADIANS(X11))</f>
        <v>1.2251484549086198E-16</v>
      </c>
      <c r="Y16" s="6">
        <f>COS(RADIANS(X9))*SIN(RADIANS(X10))*COS(RADIANS(X11))+SIN(RADIANS(X9))*SIN(RADIANS(X11))</f>
        <v>1.2251484549086203E-16</v>
      </c>
      <c r="Z16" s="6">
        <f>X6</f>
        <v>598.5</v>
      </c>
      <c r="AA16" s="17"/>
      <c r="AB16" s="6">
        <f t="shared" ref="AB16:AE19" si="3">F32</f>
        <v>1</v>
      </c>
      <c r="AC16" s="6">
        <f t="shared" si="3"/>
        <v>0</v>
      </c>
      <c r="AD16" s="6">
        <f t="shared" si="3"/>
        <v>0</v>
      </c>
      <c r="AE16" s="6">
        <f t="shared" si="3"/>
        <v>0</v>
      </c>
      <c r="AF16" s="17"/>
      <c r="AG16" s="6">
        <f>AB16</f>
        <v>1</v>
      </c>
      <c r="AH16" s="6">
        <f>AB17</f>
        <v>0</v>
      </c>
      <c r="AI16" s="6">
        <f>AB18</f>
        <v>0</v>
      </c>
      <c r="AJ16" s="6">
        <f>((AE16*AG16)+(AE17*AH16)+(AE18*AI16))</f>
        <v>0</v>
      </c>
    </row>
    <row r="17" spans="1:36" x14ac:dyDescent="0.3">
      <c r="A17" s="6">
        <v>0</v>
      </c>
      <c r="B17" s="6">
        <v>1</v>
      </c>
      <c r="C17" s="6">
        <v>0</v>
      </c>
      <c r="D17" s="6">
        <v>0</v>
      </c>
      <c r="F17" s="6">
        <f>SIN(J6)</f>
        <v>0</v>
      </c>
      <c r="G17" s="6">
        <f>COS(J6)*COS(K6)</f>
        <v>6.1257422745431001E-17</v>
      </c>
      <c r="H17" s="6">
        <f>-COS(J6)*SIN(K6)</f>
        <v>1</v>
      </c>
      <c r="I17" s="6">
        <f>M6*SIN(J6)</f>
        <v>0</v>
      </c>
      <c r="K17" s="6">
        <f>SIN(J7)</f>
        <v>-1</v>
      </c>
      <c r="L17" s="6">
        <f>COS(J7)*COS(K7)</f>
        <v>6.1257422745431001E-17</v>
      </c>
      <c r="M17" s="6">
        <f>-COS(J7)*SIN(K7)</f>
        <v>0</v>
      </c>
      <c r="N17" s="6">
        <f>M7*SIN(J7)</f>
        <v>-650</v>
      </c>
      <c r="V17" s="23"/>
      <c r="W17" s="21">
        <f>SIN(RADIANS(X9))*COS(RADIANS(X10))</f>
        <v>1.22514845490862E-16</v>
      </c>
      <c r="X17" s="6">
        <f>SIN(RADIANS(X9))*SIN(RADIANS(X10))*SIN(RADIANS(X11))+COS(RADIANS(X9))*COS(RADIANS(X11))</f>
        <v>1</v>
      </c>
      <c r="Y17" s="6">
        <f>SIN(RADIANS(X9))*SIN(RADIANS(X10))*COS(RADIANS(X11))-COS(RADIANS(X9))*SIN(RADIANS(X11))</f>
        <v>1.2251484549086198E-16</v>
      </c>
      <c r="Z17" s="6">
        <f>X7</f>
        <v>3.369158250998705E-15</v>
      </c>
      <c r="AA17" s="17"/>
      <c r="AB17" s="6">
        <f t="shared" si="3"/>
        <v>0</v>
      </c>
      <c r="AC17" s="6">
        <f t="shared" si="3"/>
        <v>1</v>
      </c>
      <c r="AD17" s="6">
        <f t="shared" si="3"/>
        <v>0</v>
      </c>
      <c r="AE17" s="6">
        <f t="shared" si="3"/>
        <v>0</v>
      </c>
      <c r="AF17" s="17"/>
      <c r="AG17" s="6">
        <f>AC16</f>
        <v>0</v>
      </c>
      <c r="AH17" s="6">
        <f>AC17</f>
        <v>1</v>
      </c>
      <c r="AI17" s="6">
        <f>AC18</f>
        <v>0</v>
      </c>
      <c r="AJ17" s="6">
        <f>((AE16*AG17)+(AE17*AH17)+(AE18*AI17))</f>
        <v>0</v>
      </c>
    </row>
    <row r="18" spans="1:36" x14ac:dyDescent="0.3">
      <c r="A18" s="6">
        <v>0</v>
      </c>
      <c r="B18" s="6">
        <v>0</v>
      </c>
      <c r="C18" s="6">
        <v>1</v>
      </c>
      <c r="D18" s="6">
        <v>0</v>
      </c>
      <c r="F18" s="6">
        <v>0</v>
      </c>
      <c r="G18" s="6">
        <f>SIN(K6)</f>
        <v>-1</v>
      </c>
      <c r="H18" s="6">
        <f>COS(K6)</f>
        <v>6.1257422745431001E-17</v>
      </c>
      <c r="I18" s="6">
        <f>L6</f>
        <v>191</v>
      </c>
      <c r="K18" s="6">
        <v>0</v>
      </c>
      <c r="L18" s="6">
        <f>SIN(K7)</f>
        <v>0</v>
      </c>
      <c r="M18" s="6">
        <f>COS(K7)</f>
        <v>1</v>
      </c>
      <c r="N18" s="6">
        <f>L7</f>
        <v>0</v>
      </c>
      <c r="V18" s="23"/>
      <c r="W18" s="21">
        <f>-SIN(RADIANS(X10))</f>
        <v>-1.22514845490862E-16</v>
      </c>
      <c r="X18" s="6">
        <f>COS(RADIANS(X10))*SIN(RADIANS(X11))</f>
        <v>1.22514845490862E-16</v>
      </c>
      <c r="Y18" s="6">
        <f>COS(RADIANS(X10))*COS(RADIANS(X11))</f>
        <v>-1</v>
      </c>
      <c r="Z18" s="6">
        <f>X8</f>
        <v>776</v>
      </c>
      <c r="AA18" s="17"/>
      <c r="AB18" s="6">
        <f t="shared" si="3"/>
        <v>0</v>
      </c>
      <c r="AC18" s="6">
        <f t="shared" si="3"/>
        <v>0</v>
      </c>
      <c r="AD18" s="6">
        <f t="shared" si="3"/>
        <v>1</v>
      </c>
      <c r="AE18" s="6">
        <f t="shared" si="3"/>
        <v>0</v>
      </c>
      <c r="AF18" s="17"/>
      <c r="AG18" s="6">
        <f>AD16</f>
        <v>0</v>
      </c>
      <c r="AH18" s="6">
        <f>AD17</f>
        <v>0</v>
      </c>
      <c r="AI18" s="6">
        <f>AD18</f>
        <v>1</v>
      </c>
      <c r="AJ18" s="6">
        <f>((AE16*AG18)+(AE17*AH18)+(AE18*AI18))</f>
        <v>0</v>
      </c>
    </row>
    <row r="19" spans="1:36" x14ac:dyDescent="0.3">
      <c r="A19" s="6">
        <v>0</v>
      </c>
      <c r="B19" s="6">
        <v>0</v>
      </c>
      <c r="C19" s="6">
        <v>0</v>
      </c>
      <c r="D19" s="6">
        <v>1</v>
      </c>
      <c r="F19" s="6">
        <v>0</v>
      </c>
      <c r="G19" s="6">
        <v>0</v>
      </c>
      <c r="H19" s="6">
        <v>0</v>
      </c>
      <c r="I19" s="6">
        <v>1</v>
      </c>
      <c r="K19" s="6">
        <v>0</v>
      </c>
      <c r="L19" s="6">
        <v>0</v>
      </c>
      <c r="M19" s="6">
        <v>0</v>
      </c>
      <c r="N19" s="6">
        <v>1</v>
      </c>
      <c r="V19" s="23"/>
      <c r="W19" s="21">
        <v>0</v>
      </c>
      <c r="X19" s="6">
        <v>0</v>
      </c>
      <c r="Y19" s="6">
        <v>0</v>
      </c>
      <c r="Z19" s="6">
        <v>1</v>
      </c>
      <c r="AA19" s="17"/>
      <c r="AB19" s="6">
        <f t="shared" si="3"/>
        <v>0</v>
      </c>
      <c r="AC19" s="6">
        <f t="shared" si="3"/>
        <v>0</v>
      </c>
      <c r="AD19" s="6">
        <f t="shared" si="3"/>
        <v>0</v>
      </c>
      <c r="AE19" s="6">
        <f t="shared" si="3"/>
        <v>1</v>
      </c>
      <c r="AF19" s="17"/>
      <c r="AG19" s="6">
        <v>0</v>
      </c>
      <c r="AH19" s="6">
        <v>0</v>
      </c>
      <c r="AI19" s="6">
        <v>0</v>
      </c>
      <c r="AJ19" s="6">
        <f>AE19</f>
        <v>1</v>
      </c>
    </row>
    <row r="20" spans="1:36" x14ac:dyDescent="0.3">
      <c r="V20" s="23"/>
    </row>
    <row r="21" spans="1:36" x14ac:dyDescent="0.3">
      <c r="V21" s="23"/>
    </row>
    <row r="22" spans="1:36" x14ac:dyDescent="0.3">
      <c r="B22" s="61" t="s">
        <v>62</v>
      </c>
      <c r="C22" s="61"/>
      <c r="G22" s="61" t="s">
        <v>63</v>
      </c>
      <c r="H22" s="61"/>
      <c r="L22" s="61" t="s">
        <v>64</v>
      </c>
      <c r="M22" s="61"/>
      <c r="V22" s="23"/>
      <c r="X22" s="61" t="s">
        <v>63</v>
      </c>
      <c r="Y22" s="61"/>
      <c r="AC22" s="61" t="s">
        <v>64</v>
      </c>
      <c r="AD22" s="61"/>
      <c r="AH22" s="61" t="s">
        <v>65</v>
      </c>
      <c r="AI22" s="61"/>
    </row>
    <row r="23" spans="1:36" x14ac:dyDescent="0.3">
      <c r="A23" s="62" t="s">
        <v>35</v>
      </c>
      <c r="B23" s="62"/>
      <c r="C23" s="62"/>
      <c r="D23" s="62"/>
      <c r="F23" s="62" t="s">
        <v>36</v>
      </c>
      <c r="G23" s="62"/>
      <c r="H23" s="62"/>
      <c r="I23" s="62"/>
      <c r="K23" s="62" t="s">
        <v>37</v>
      </c>
      <c r="L23" s="62"/>
      <c r="M23" s="62"/>
      <c r="N23" s="62"/>
      <c r="V23" s="23"/>
      <c r="W23" s="62" t="s">
        <v>57</v>
      </c>
      <c r="X23" s="62"/>
      <c r="Y23" s="62"/>
      <c r="Z23" s="62"/>
      <c r="AB23" s="62" t="s">
        <v>58</v>
      </c>
      <c r="AC23" s="62"/>
      <c r="AD23" s="62"/>
      <c r="AE23" s="62"/>
      <c r="AG23" s="62" t="s">
        <v>59</v>
      </c>
      <c r="AH23" s="62"/>
      <c r="AI23" s="62"/>
      <c r="AJ23" s="62"/>
    </row>
    <row r="24" spans="1:36" x14ac:dyDescent="0.3">
      <c r="A24" s="6">
        <f>COS(J8)</f>
        <v>-1</v>
      </c>
      <c r="B24" s="6">
        <f>-SIN(J8)*COS(K8)</f>
        <v>-7.5049436828248946E-33</v>
      </c>
      <c r="C24" s="6">
        <f>SIN(J8)*SIN(K8)</f>
        <v>1.22514845490862E-16</v>
      </c>
      <c r="D24" s="6">
        <f>M8*COS(J8)</f>
        <v>0</v>
      </c>
      <c r="F24" s="6">
        <f>COS(J9)</f>
        <v>1</v>
      </c>
      <c r="G24" s="6">
        <f>-SIN(J9)*COS(K9)</f>
        <v>0</v>
      </c>
      <c r="H24" s="6">
        <f>SIN(J9)*SIN(K9)</f>
        <v>0</v>
      </c>
      <c r="I24" s="6">
        <f>M9*COS(J9)</f>
        <v>0</v>
      </c>
      <c r="K24" s="6">
        <f>COS(J10)</f>
        <v>6.1257422745431001E-17</v>
      </c>
      <c r="L24" s="6">
        <f>-SIN(J10)*COS(K10)</f>
        <v>-6.1257422745431001E-17</v>
      </c>
      <c r="M24" s="6">
        <f>SIN(J10)*SIN(K10)</f>
        <v>1</v>
      </c>
      <c r="N24" s="6">
        <f>M10*COS(J10)</f>
        <v>0</v>
      </c>
      <c r="V24" s="23"/>
      <c r="W24" s="21">
        <f t="array" ref="W24:Z27">MMULT(W16:Z19,AG16:AJ19)</f>
        <v>-1</v>
      </c>
      <c r="X24" s="6">
        <v>1.2251484549086198E-16</v>
      </c>
      <c r="Y24" s="6">
        <v>1.2251484549086203E-16</v>
      </c>
      <c r="Z24" s="6">
        <v>598.5</v>
      </c>
      <c r="AA24" s="17"/>
      <c r="AB24" s="6">
        <v>1</v>
      </c>
      <c r="AC24" s="6">
        <v>0</v>
      </c>
      <c r="AD24" s="6">
        <v>0</v>
      </c>
      <c r="AE24" s="6">
        <v>0</v>
      </c>
      <c r="AF24" s="17"/>
      <c r="AG24" s="6">
        <f t="array" ref="AG24:AJ27">MMULT(W24:Z27,AB24:AE27)</f>
        <v>-1</v>
      </c>
      <c r="AH24" s="6">
        <v>1.2251484549086198E-16</v>
      </c>
      <c r="AI24" s="6">
        <v>1.2251484549086203E-16</v>
      </c>
      <c r="AJ24" s="6">
        <v>598.5</v>
      </c>
    </row>
    <row r="25" spans="1:36" x14ac:dyDescent="0.3">
      <c r="A25" s="6">
        <f>SIN(J8)</f>
        <v>1.22514845490862E-16</v>
      </c>
      <c r="B25" s="6">
        <f>COS(J8)*COS(K8)</f>
        <v>-6.1257422745431001E-17</v>
      </c>
      <c r="C25" s="6">
        <f>-COS(J8)*SIN(K8)</f>
        <v>1</v>
      </c>
      <c r="D25" s="6">
        <f>M8*SIN(J8)</f>
        <v>0</v>
      </c>
      <c r="F25" s="6">
        <f>SIN(J9)</f>
        <v>0</v>
      </c>
      <c r="G25" s="6">
        <f>COS(J9)*COS(K9)</f>
        <v>6.1257422745431001E-17</v>
      </c>
      <c r="H25" s="6">
        <f>-COS(J9)*SIN(K9)</f>
        <v>1</v>
      </c>
      <c r="I25" s="6">
        <f>M9*SIN(J9)</f>
        <v>0</v>
      </c>
      <c r="K25" s="6">
        <f>SIN(J10)</f>
        <v>1</v>
      </c>
      <c r="L25" s="6">
        <f>COS(J10)*COS(K10)</f>
        <v>3.7524718414124473E-33</v>
      </c>
      <c r="M25" s="6">
        <f>-COS(J10)*SIN(K10)</f>
        <v>-6.1257422745431001E-17</v>
      </c>
      <c r="N25" s="6">
        <f>M10*SIN(J10)</f>
        <v>0</v>
      </c>
      <c r="V25" s="23"/>
      <c r="W25" s="21">
        <v>1.22514845490862E-16</v>
      </c>
      <c r="X25" s="6">
        <v>1</v>
      </c>
      <c r="Y25" s="6">
        <v>1.2251484549086198E-16</v>
      </c>
      <c r="Z25" s="6">
        <v>3.369158250998705E-15</v>
      </c>
      <c r="AA25" s="17"/>
      <c r="AB25" s="6">
        <v>0</v>
      </c>
      <c r="AC25" s="6">
        <v>1</v>
      </c>
      <c r="AD25" s="6">
        <v>0</v>
      </c>
      <c r="AE25" s="6">
        <v>0</v>
      </c>
      <c r="AF25" s="17"/>
      <c r="AG25" s="6">
        <v>1.22514845490862E-16</v>
      </c>
      <c r="AH25" s="6">
        <v>1</v>
      </c>
      <c r="AI25" s="6">
        <v>1.2251484549086198E-16</v>
      </c>
      <c r="AJ25" s="6">
        <v>-4.5943067059073235E-15</v>
      </c>
    </row>
    <row r="26" spans="1:36" x14ac:dyDescent="0.3">
      <c r="A26" s="6">
        <v>0</v>
      </c>
      <c r="B26" s="6">
        <f>SIN(K8)</f>
        <v>1</v>
      </c>
      <c r="C26" s="6">
        <f>COS(K8)</f>
        <v>6.1257422745431001E-17</v>
      </c>
      <c r="D26" s="6">
        <f>L8</f>
        <v>0</v>
      </c>
      <c r="F26" s="6">
        <v>0</v>
      </c>
      <c r="G26" s="6">
        <f>SIN(K9)</f>
        <v>-1</v>
      </c>
      <c r="H26" s="6">
        <f>COS(K9)</f>
        <v>6.1257422745431001E-17</v>
      </c>
      <c r="I26" s="6">
        <f>L9</f>
        <v>575</v>
      </c>
      <c r="K26" s="6">
        <v>0</v>
      </c>
      <c r="L26" s="6">
        <f>SIN(K10)</f>
        <v>1</v>
      </c>
      <c r="M26" s="6">
        <f>COS(K10)</f>
        <v>6.1257422745431001E-17</v>
      </c>
      <c r="N26" s="6">
        <f>L10</f>
        <v>0</v>
      </c>
      <c r="O26" s="2" t="s">
        <v>168</v>
      </c>
      <c r="V26" s="23"/>
      <c r="W26" s="21">
        <v>-1.22514845490862E-16</v>
      </c>
      <c r="X26" s="6">
        <v>1.22514845490862E-16</v>
      </c>
      <c r="Y26" s="6">
        <v>-1</v>
      </c>
      <c r="Z26" s="6">
        <v>776</v>
      </c>
      <c r="AA26" s="17"/>
      <c r="AB26" s="6">
        <v>0</v>
      </c>
      <c r="AC26" s="6">
        <v>0</v>
      </c>
      <c r="AD26" s="6">
        <v>1</v>
      </c>
      <c r="AE26" s="6">
        <f>-L11</f>
        <v>-65</v>
      </c>
      <c r="AF26" s="17"/>
      <c r="AG26" s="6">
        <v>-1.22514845490862E-16</v>
      </c>
      <c r="AH26" s="6">
        <v>1.22514845490862E-16</v>
      </c>
      <c r="AI26" s="6">
        <v>-1</v>
      </c>
      <c r="AJ26" s="6">
        <v>841</v>
      </c>
    </row>
    <row r="27" spans="1:36" x14ac:dyDescent="0.3">
      <c r="A27" s="6">
        <v>0</v>
      </c>
      <c r="B27" s="6">
        <v>0</v>
      </c>
      <c r="C27" s="6">
        <v>0</v>
      </c>
      <c r="D27" s="6">
        <v>1</v>
      </c>
      <c r="F27" s="6">
        <v>0</v>
      </c>
      <c r="G27" s="6">
        <v>0</v>
      </c>
      <c r="H27" s="6">
        <v>0</v>
      </c>
      <c r="I27" s="6">
        <v>1</v>
      </c>
      <c r="K27" s="6">
        <v>0</v>
      </c>
      <c r="L27" s="6">
        <v>0</v>
      </c>
      <c r="M27" s="6">
        <v>0</v>
      </c>
      <c r="N27" s="6">
        <v>1</v>
      </c>
      <c r="V27" s="23"/>
      <c r="W27" s="21">
        <v>0</v>
      </c>
      <c r="X27" s="6">
        <v>0</v>
      </c>
      <c r="Y27" s="6">
        <v>0</v>
      </c>
      <c r="Z27" s="6">
        <v>1</v>
      </c>
      <c r="AB27" s="6">
        <v>0</v>
      </c>
      <c r="AC27" s="6">
        <v>0</v>
      </c>
      <c r="AD27" s="6">
        <v>0</v>
      </c>
      <c r="AE27" s="6">
        <v>1</v>
      </c>
      <c r="AG27" s="6">
        <v>0</v>
      </c>
      <c r="AH27" s="6">
        <v>0</v>
      </c>
      <c r="AI27" s="6">
        <v>0</v>
      </c>
      <c r="AJ27" s="6">
        <v>1</v>
      </c>
    </row>
    <row r="28" spans="1:36" x14ac:dyDescent="0.3">
      <c r="V28" s="23"/>
    </row>
    <row r="29" spans="1:36" x14ac:dyDescent="0.3">
      <c r="V29" s="23"/>
    </row>
    <row r="30" spans="1:36" x14ac:dyDescent="0.3">
      <c r="B30" s="61" t="s">
        <v>65</v>
      </c>
      <c r="C30" s="61"/>
      <c r="G30" s="61" t="s">
        <v>66</v>
      </c>
      <c r="H30" s="61"/>
      <c r="L30" s="61" t="s">
        <v>67</v>
      </c>
      <c r="M30" s="61"/>
      <c r="V30" s="23"/>
      <c r="X30" s="61" t="s">
        <v>66</v>
      </c>
      <c r="Y30" s="61"/>
      <c r="AC30" s="61" t="s">
        <v>67</v>
      </c>
      <c r="AD30" s="61"/>
      <c r="AH30" s="61" t="s">
        <v>68</v>
      </c>
      <c r="AI30" s="61"/>
    </row>
    <row r="31" spans="1:36" x14ac:dyDescent="0.3">
      <c r="A31" s="62" t="s">
        <v>38</v>
      </c>
      <c r="B31" s="62"/>
      <c r="C31" s="62"/>
      <c r="D31" s="62"/>
      <c r="F31" s="62" t="s">
        <v>49</v>
      </c>
      <c r="G31" s="62"/>
      <c r="H31" s="62"/>
      <c r="I31" s="62"/>
      <c r="K31" s="62" t="s">
        <v>100</v>
      </c>
      <c r="L31" s="62"/>
      <c r="M31" s="62"/>
      <c r="N31" s="62"/>
      <c r="V31" s="23"/>
      <c r="X31" s="61" t="s">
        <v>84</v>
      </c>
      <c r="Y31" s="61"/>
      <c r="AC31" s="61" t="s">
        <v>74</v>
      </c>
      <c r="AD31" s="61"/>
      <c r="AG31" s="62" t="s">
        <v>33</v>
      </c>
      <c r="AH31" s="62"/>
      <c r="AI31" s="62"/>
      <c r="AJ31" s="62"/>
    </row>
    <row r="32" spans="1:36" x14ac:dyDescent="0.3">
      <c r="A32" s="6">
        <f>COS(J11)</f>
        <v>1</v>
      </c>
      <c r="B32" s="6">
        <f>-SIN(J11)*COS(K11)</f>
        <v>0</v>
      </c>
      <c r="C32" s="6">
        <f>SIN(J11)*SIN(K11)</f>
        <v>0</v>
      </c>
      <c r="D32" s="6">
        <f>M11*COS(J11)</f>
        <v>0</v>
      </c>
      <c r="F32" s="6">
        <f>COS(G9)*COS(G10)</f>
        <v>1</v>
      </c>
      <c r="G32" s="6">
        <f>COS(G9)*SIN(G10)*SIN(G11)-SIN(G9)*COS(G11)</f>
        <v>0</v>
      </c>
      <c r="H32" s="6">
        <f>COS(G9)*SIN(G10)*COS(G11)+SIN(G9)*SIN(G11)</f>
        <v>0</v>
      </c>
      <c r="I32" s="6">
        <f>F6</f>
        <v>0</v>
      </c>
      <c r="K32" s="6">
        <f t="array" ref="K32:N35">MMULT(A16:D19,F16:I19)</f>
        <v>1</v>
      </c>
      <c r="L32" s="6">
        <v>0</v>
      </c>
      <c r="M32" s="6">
        <v>0</v>
      </c>
      <c r="N32" s="6">
        <v>23.5</v>
      </c>
      <c r="V32" s="23"/>
      <c r="X32" s="13" t="s">
        <v>73</v>
      </c>
      <c r="Y32" s="6">
        <f>ATAN2(AJ24,AJ25)</f>
        <v>-7.6763687650916021E-18</v>
      </c>
      <c r="AC32" s="8" t="s">
        <v>78</v>
      </c>
      <c r="AD32" s="3">
        <f>ABS(X38-M6)</f>
        <v>575</v>
      </c>
      <c r="AG32" s="6">
        <f>COS(AC6)</f>
        <v>1</v>
      </c>
      <c r="AH32" s="6">
        <f>-SIN(AC6)*COS(K6)</f>
        <v>4.702345665930384E-34</v>
      </c>
      <c r="AI32" s="6">
        <f>SIN(AC6)*SIN(K6)</f>
        <v>7.6763687650916021E-18</v>
      </c>
      <c r="AJ32" s="6">
        <f>M6*COS(AC6)</f>
        <v>23.5</v>
      </c>
    </row>
    <row r="33" spans="1:36" x14ac:dyDescent="0.3">
      <c r="A33" s="6">
        <f>SIN(J11)</f>
        <v>0</v>
      </c>
      <c r="B33" s="6">
        <f>COS(J11)*COS(K11)</f>
        <v>1</v>
      </c>
      <c r="C33" s="6">
        <f>-COS(J11)*SIN(K11)</f>
        <v>0</v>
      </c>
      <c r="D33" s="6">
        <f>M11*SIN(J11)</f>
        <v>0</v>
      </c>
      <c r="F33" s="6">
        <f>SIN(G9)*COS(G10)</f>
        <v>0</v>
      </c>
      <c r="G33" s="6">
        <f>SIN(G9)*SIN(G10)*SIN(G11)+COS(G9)*COS(G11)</f>
        <v>1</v>
      </c>
      <c r="H33" s="6">
        <f>SIN(G9)*SIN(G10)*COS(G11)-COS(G9)*SIN(G11)</f>
        <v>0</v>
      </c>
      <c r="I33" s="6">
        <f>F7</f>
        <v>0</v>
      </c>
      <c r="K33" s="6">
        <v>0</v>
      </c>
      <c r="L33" s="6">
        <v>6.1257422745431001E-17</v>
      </c>
      <c r="M33" s="6">
        <v>1</v>
      </c>
      <c r="N33" s="6">
        <v>0</v>
      </c>
      <c r="V33" s="23"/>
      <c r="AC33" s="8" t="s">
        <v>79</v>
      </c>
      <c r="AD33" s="6">
        <f>SQRT(AD32^2+AD34^2)</f>
        <v>867.82774788548909</v>
      </c>
      <c r="AG33" s="6">
        <f>SIN(AC6)</f>
        <v>-7.6763687650916021E-18</v>
      </c>
      <c r="AH33" s="6">
        <f>COS(AC6)*COS(K6)</f>
        <v>6.1257422745431001E-17</v>
      </c>
      <c r="AI33" s="6">
        <f>-COS(AC6)*SIN(K6)</f>
        <v>1</v>
      </c>
      <c r="AJ33" s="6">
        <f>M6*SIN(AC6)</f>
        <v>-1.8039466597965264E-16</v>
      </c>
    </row>
    <row r="34" spans="1:36" x14ac:dyDescent="0.3">
      <c r="A34" s="6">
        <v>0</v>
      </c>
      <c r="B34" s="6">
        <f>SIN(K11)</f>
        <v>0</v>
      </c>
      <c r="C34" s="6">
        <f>COS(K11)</f>
        <v>1</v>
      </c>
      <c r="D34" s="6">
        <f>L11</f>
        <v>65</v>
      </c>
      <c r="F34" s="6">
        <f>-SIN(G10)</f>
        <v>0</v>
      </c>
      <c r="G34" s="6">
        <f>COS(G10)*SIN(G11)</f>
        <v>0</v>
      </c>
      <c r="H34" s="6">
        <f>COS(G10)*COS(G11)</f>
        <v>1</v>
      </c>
      <c r="I34" s="6">
        <f>F8</f>
        <v>0</v>
      </c>
      <c r="K34" s="6">
        <v>0</v>
      </c>
      <c r="L34" s="6">
        <v>-1</v>
      </c>
      <c r="M34" s="6">
        <v>6.1257422745431001E-17</v>
      </c>
      <c r="N34" s="6">
        <v>191</v>
      </c>
      <c r="V34" s="23"/>
      <c r="AC34" s="8" t="s">
        <v>80</v>
      </c>
      <c r="AD34" s="6">
        <f>AJ26-L6</f>
        <v>650</v>
      </c>
      <c r="AG34" s="6">
        <v>0</v>
      </c>
      <c r="AH34" s="6">
        <f>SIN(K6)</f>
        <v>-1</v>
      </c>
      <c r="AI34" s="6">
        <f>COS(K6)</f>
        <v>6.1257422745431001E-17</v>
      </c>
      <c r="AJ34" s="6">
        <f>L6</f>
        <v>191</v>
      </c>
    </row>
    <row r="35" spans="1:36" x14ac:dyDescent="0.3">
      <c r="A35" s="6">
        <v>0</v>
      </c>
      <c r="B35" s="6">
        <v>0</v>
      </c>
      <c r="C35" s="6">
        <v>0</v>
      </c>
      <c r="D35" s="6">
        <v>1</v>
      </c>
      <c r="F35" s="6">
        <v>0</v>
      </c>
      <c r="G35" s="6">
        <v>0</v>
      </c>
      <c r="H35" s="6">
        <v>0</v>
      </c>
      <c r="I35" s="6">
        <v>1</v>
      </c>
      <c r="K35" s="6">
        <v>0</v>
      </c>
      <c r="L35" s="6">
        <v>0</v>
      </c>
      <c r="M35" s="6">
        <v>0</v>
      </c>
      <c r="N35" s="6">
        <v>1</v>
      </c>
      <c r="V35" s="23"/>
      <c r="X35" s="61" t="s">
        <v>67</v>
      </c>
      <c r="Y35" s="61"/>
      <c r="AC35" s="8" t="s">
        <v>89</v>
      </c>
      <c r="AD35" s="6">
        <f>L9</f>
        <v>575</v>
      </c>
      <c r="AG35" s="6">
        <v>0</v>
      </c>
      <c r="AH35" s="6">
        <v>0</v>
      </c>
      <c r="AI35" s="6">
        <v>0</v>
      </c>
      <c r="AJ35" s="6">
        <v>1</v>
      </c>
    </row>
    <row r="36" spans="1:36" x14ac:dyDescent="0.3">
      <c r="V36" s="23"/>
      <c r="X36" s="62" t="s">
        <v>75</v>
      </c>
      <c r="Y36" s="62"/>
      <c r="AC36" s="12" t="s">
        <v>81</v>
      </c>
      <c r="AD36" s="6">
        <f>DEGREES(ATAN2(AD32,AD34))</f>
        <v>48.503531644784459</v>
      </c>
    </row>
    <row r="37" spans="1:36" x14ac:dyDescent="0.3">
      <c r="V37" s="23"/>
      <c r="X37" s="8" t="s">
        <v>77</v>
      </c>
      <c r="Y37" s="8" t="s">
        <v>76</v>
      </c>
      <c r="AC37" s="12" t="s">
        <v>82</v>
      </c>
      <c r="AD37" s="14">
        <f>DEGREES(ACOS((M7^2+AD33^2-AD35^2)/(2*M7*AD33)))</f>
        <v>41.496468355215534</v>
      </c>
    </row>
    <row r="38" spans="1:36" x14ac:dyDescent="0.3">
      <c r="B38" s="61" t="s">
        <v>68</v>
      </c>
      <c r="C38" s="61"/>
      <c r="G38" s="61" t="s">
        <v>69</v>
      </c>
      <c r="H38" s="61"/>
      <c r="L38" s="61" t="s">
        <v>70</v>
      </c>
      <c r="M38" s="61"/>
      <c r="V38" s="23"/>
      <c r="X38" s="6">
        <f>(AJ24*COS(-Y32))-AJ25*SIN(-Y32)</f>
        <v>598.5</v>
      </c>
      <c r="Y38" s="6">
        <f>(AJ25*COS(-Y32))+(AJ24*SIN(-Y32))</f>
        <v>0</v>
      </c>
      <c r="AC38" s="12" t="s">
        <v>83</v>
      </c>
      <c r="AD38" s="3">
        <f>DEGREES(ACOS((M7^2+AD35^2-AD33^2)/(2*M7*AD35)))</f>
        <v>90</v>
      </c>
    </row>
    <row r="39" spans="1:36" x14ac:dyDescent="0.3">
      <c r="A39" s="62" t="s">
        <v>94</v>
      </c>
      <c r="B39" s="62"/>
      <c r="C39" s="62"/>
      <c r="D39" s="62"/>
      <c r="F39" s="62" t="s">
        <v>95</v>
      </c>
      <c r="G39" s="62"/>
      <c r="H39" s="62"/>
      <c r="I39" s="62"/>
      <c r="K39" s="62" t="s">
        <v>96</v>
      </c>
      <c r="L39" s="62"/>
      <c r="M39" s="62"/>
      <c r="N39" s="62"/>
      <c r="V39" s="23"/>
    </row>
    <row r="40" spans="1:36" x14ac:dyDescent="0.3">
      <c r="A40" s="6">
        <f t="array" ref="A40:D43">MMULT(K32:N35,K16:N19)</f>
        <v>6.1257422745431001E-17</v>
      </c>
      <c r="B40" s="6">
        <v>1</v>
      </c>
      <c r="C40" s="6">
        <v>0</v>
      </c>
      <c r="D40" s="6">
        <v>23.500000000000039</v>
      </c>
      <c r="F40" s="6">
        <f t="array" ref="F40:I43">MMULT(A40:D43,A24:D27)</f>
        <v>6.1257422745431001E-17</v>
      </c>
      <c r="G40" s="6">
        <v>-6.1257422745431001E-17</v>
      </c>
      <c r="H40" s="6">
        <v>1</v>
      </c>
      <c r="I40" s="6">
        <v>23.500000000000039</v>
      </c>
      <c r="K40" s="6">
        <f t="array" ref="K40:N43">MMULT(F40:I43,F24:I27)</f>
        <v>6.1257422745431001E-17</v>
      </c>
      <c r="L40" s="6">
        <v>-1</v>
      </c>
      <c r="M40" s="6">
        <v>0</v>
      </c>
      <c r="N40" s="6">
        <v>598.5</v>
      </c>
      <c r="V40" s="23"/>
    </row>
    <row r="41" spans="1:36" x14ac:dyDescent="0.3">
      <c r="A41" s="6">
        <v>-6.1257422745431001E-17</v>
      </c>
      <c r="B41" s="6">
        <v>3.7524718414124473E-33</v>
      </c>
      <c r="C41" s="6">
        <v>1</v>
      </c>
      <c r="D41" s="6">
        <v>-3.981732478453015E-14</v>
      </c>
      <c r="F41" s="6">
        <v>6.1257422745431001E-17</v>
      </c>
      <c r="G41" s="6">
        <v>1</v>
      </c>
      <c r="H41" s="6">
        <v>6.1257422745431001E-17</v>
      </c>
      <c r="I41" s="6">
        <v>-3.981732478453015E-14</v>
      </c>
      <c r="K41" s="6">
        <v>6.1257422745431001E-17</v>
      </c>
      <c r="L41" s="6">
        <v>0</v>
      </c>
      <c r="M41" s="6">
        <v>1</v>
      </c>
      <c r="N41" s="6">
        <v>-4.594306705907325E-15</v>
      </c>
      <c r="V41" s="23"/>
      <c r="X41" s="61" t="s">
        <v>69</v>
      </c>
      <c r="Y41" s="61"/>
      <c r="AC41" s="61" t="s">
        <v>70</v>
      </c>
      <c r="AD41" s="61"/>
      <c r="AH41" s="61" t="s">
        <v>71</v>
      </c>
      <c r="AI41" s="61"/>
    </row>
    <row r="42" spans="1:36" x14ac:dyDescent="0.3">
      <c r="A42" s="6">
        <v>1</v>
      </c>
      <c r="B42" s="6">
        <v>-6.1257422745431001E-17</v>
      </c>
      <c r="C42" s="6">
        <v>6.1257422745431001E-17</v>
      </c>
      <c r="D42" s="6">
        <v>841</v>
      </c>
      <c r="F42" s="6">
        <v>-1</v>
      </c>
      <c r="G42" s="6">
        <v>6.1257422745431001E-17</v>
      </c>
      <c r="H42" s="6">
        <v>6.1257422745431001E-17</v>
      </c>
      <c r="I42" s="6">
        <v>841</v>
      </c>
      <c r="K42" s="6">
        <v>-1</v>
      </c>
      <c r="L42" s="6">
        <v>-6.1257422745431001E-17</v>
      </c>
      <c r="M42" s="6">
        <v>6.1257422745431001E-17</v>
      </c>
      <c r="N42" s="6">
        <v>841</v>
      </c>
      <c r="V42" s="23"/>
      <c r="W42" s="62" t="s">
        <v>34</v>
      </c>
      <c r="X42" s="62"/>
      <c r="Y42" s="62"/>
      <c r="Z42" s="62"/>
      <c r="AB42" s="62" t="s">
        <v>35</v>
      </c>
      <c r="AC42" s="62"/>
      <c r="AD42" s="62"/>
      <c r="AE42" s="62"/>
      <c r="AG42" s="62" t="s">
        <v>39</v>
      </c>
      <c r="AH42" s="62"/>
      <c r="AI42" s="62"/>
      <c r="AJ42" s="62"/>
    </row>
    <row r="43" spans="1:36" x14ac:dyDescent="0.3">
      <c r="A43" s="6">
        <v>0</v>
      </c>
      <c r="B43" s="6">
        <v>0</v>
      </c>
      <c r="C43" s="6">
        <v>0</v>
      </c>
      <c r="D43" s="6">
        <v>1</v>
      </c>
      <c r="F43" s="6">
        <v>0</v>
      </c>
      <c r="G43" s="6">
        <v>0</v>
      </c>
      <c r="H43" s="6">
        <v>0</v>
      </c>
      <c r="I43" s="6">
        <v>1</v>
      </c>
      <c r="K43" s="6">
        <v>0</v>
      </c>
      <c r="L43" s="6">
        <v>0</v>
      </c>
      <c r="M43" s="6">
        <v>0</v>
      </c>
      <c r="N43" s="6">
        <v>1</v>
      </c>
      <c r="V43" s="23"/>
      <c r="W43" s="21">
        <f>COS(AC7-RADIANS(90))</f>
        <v>6.1257422745431001E-17</v>
      </c>
      <c r="X43" s="6">
        <f>-SIN(AC7-RADIANS(90))*COS(K7)</f>
        <v>1</v>
      </c>
      <c r="Y43" s="6">
        <f>SIN(AC7-RADIANS(90))*SIN(K7)</f>
        <v>0</v>
      </c>
      <c r="Z43" s="6">
        <f>M7*COS(AC7-RADIANS(90))</f>
        <v>3.981732478453015E-14</v>
      </c>
      <c r="AA43" s="17"/>
      <c r="AB43" s="6">
        <f>COS(AC8+RADIANS(180))</f>
        <v>-1</v>
      </c>
      <c r="AC43" s="6">
        <f>-SIN(AC8+RADIANS(180))*COS(K8)</f>
        <v>-7.5049436828248946E-33</v>
      </c>
      <c r="AD43" s="6">
        <f>SIN(AC8+RADIANS(180))*SIN(K8)</f>
        <v>1.22514845490862E-16</v>
      </c>
      <c r="AE43" s="6">
        <f>M8*COS(AC8+RADIANS(180))</f>
        <v>0</v>
      </c>
      <c r="AF43" s="17"/>
      <c r="AG43" s="6">
        <f t="array" ref="AG43:AJ46">MMULT(AG32:AJ35,W43:Z46)</f>
        <v>6.1257422745431001E-17</v>
      </c>
      <c r="AH43" s="6">
        <v>1</v>
      </c>
      <c r="AI43" s="6">
        <v>7.6763687650916021E-18</v>
      </c>
      <c r="AJ43" s="6">
        <v>23.500000000000039</v>
      </c>
    </row>
    <row r="44" spans="1:36" x14ac:dyDescent="0.3">
      <c r="V44" s="23"/>
      <c r="W44" s="21">
        <f>SIN(AC7-RADIANS(90))</f>
        <v>-1</v>
      </c>
      <c r="X44" s="6">
        <f>COS(AC7-RADIANS(90))*COS(K7)</f>
        <v>6.1257422745431001E-17</v>
      </c>
      <c r="Y44" s="6">
        <f>-COS(AC7-RADIANS(90))*SIN(K7)</f>
        <v>0</v>
      </c>
      <c r="Z44" s="6">
        <f>M7*SIN(AC7-RADIANS(90))</f>
        <v>-650</v>
      </c>
      <c r="AA44" s="17"/>
      <c r="AB44" s="6">
        <f>SIN(AC8+RADIANS(180))</f>
        <v>1.22514845490862E-16</v>
      </c>
      <c r="AC44" s="6">
        <f>COS(AC8+RADIANS(180))*COS(K8)</f>
        <v>-6.1257422745431001E-17</v>
      </c>
      <c r="AD44" s="6">
        <f>-COS(AC8+RADIANS(180))*SIN(K8)</f>
        <v>1</v>
      </c>
      <c r="AE44" s="6">
        <f>M8*SIN(AC8+RADIANS(180))</f>
        <v>0</v>
      </c>
      <c r="AF44" s="17"/>
      <c r="AG44" s="6">
        <v>-6.1257422745431001E-17</v>
      </c>
      <c r="AH44" s="6">
        <v>-7.6763687650915991E-18</v>
      </c>
      <c r="AI44" s="6">
        <v>1</v>
      </c>
      <c r="AJ44" s="6">
        <v>-3.9997719450509805E-14</v>
      </c>
    </row>
    <row r="45" spans="1:36" x14ac:dyDescent="0.3">
      <c r="V45" s="23"/>
      <c r="W45" s="21">
        <v>0</v>
      </c>
      <c r="X45" s="6">
        <f>SIN(K7)</f>
        <v>0</v>
      </c>
      <c r="Y45" s="6">
        <f>COS(K7)</f>
        <v>1</v>
      </c>
      <c r="Z45" s="6">
        <f>L7</f>
        <v>0</v>
      </c>
      <c r="AA45" s="17"/>
      <c r="AB45" s="6">
        <v>0</v>
      </c>
      <c r="AC45" s="6">
        <f>SIN(K8)</f>
        <v>1</v>
      </c>
      <c r="AD45" s="6">
        <f>COS(K8)</f>
        <v>6.1257422745431001E-17</v>
      </c>
      <c r="AE45" s="6">
        <f>L8</f>
        <v>0</v>
      </c>
      <c r="AF45" s="17"/>
      <c r="AG45" s="6">
        <v>1</v>
      </c>
      <c r="AH45" s="6">
        <v>-6.1257422745431001E-17</v>
      </c>
      <c r="AI45" s="6">
        <v>6.1257422745431001E-17</v>
      </c>
      <c r="AJ45" s="6">
        <v>841</v>
      </c>
    </row>
    <row r="46" spans="1:36" x14ac:dyDescent="0.3">
      <c r="B46" s="61" t="s">
        <v>71</v>
      </c>
      <c r="C46" s="61"/>
      <c r="G46" s="61" t="s">
        <v>72</v>
      </c>
      <c r="H46" s="61"/>
      <c r="L46" s="61" t="s">
        <v>85</v>
      </c>
      <c r="M46" s="61"/>
      <c r="V46" s="23"/>
      <c r="W46" s="21">
        <v>0</v>
      </c>
      <c r="X46" s="6">
        <v>0</v>
      </c>
      <c r="Y46" s="6">
        <v>0</v>
      </c>
      <c r="Z46" s="6">
        <v>1</v>
      </c>
      <c r="AA46" s="17"/>
      <c r="AB46" s="6">
        <v>0</v>
      </c>
      <c r="AC46" s="6">
        <v>0</v>
      </c>
      <c r="AD46" s="6">
        <v>0</v>
      </c>
      <c r="AE46" s="6">
        <v>1</v>
      </c>
      <c r="AF46" s="17"/>
      <c r="AG46" s="6">
        <v>0</v>
      </c>
      <c r="AH46" s="6">
        <v>0</v>
      </c>
      <c r="AI46" s="6">
        <v>0</v>
      </c>
      <c r="AJ46" s="6">
        <v>1</v>
      </c>
    </row>
    <row r="47" spans="1:36" x14ac:dyDescent="0.3">
      <c r="A47" s="62" t="s">
        <v>97</v>
      </c>
      <c r="B47" s="62"/>
      <c r="C47" s="62"/>
      <c r="D47" s="62"/>
      <c r="F47" s="62" t="s">
        <v>98</v>
      </c>
      <c r="G47" s="62"/>
      <c r="H47" s="62"/>
      <c r="I47" s="62"/>
      <c r="K47" s="62" t="s">
        <v>99</v>
      </c>
      <c r="L47" s="62"/>
      <c r="M47" s="62"/>
      <c r="N47" s="62"/>
      <c r="V47" s="23"/>
    </row>
    <row r="48" spans="1:36" x14ac:dyDescent="0.3">
      <c r="A48" s="6">
        <f t="array" ref="A48:D51">MMULT(K40:N43,K24:N27)</f>
        <v>-1</v>
      </c>
      <c r="B48" s="6">
        <v>-7.5049436828248946E-33</v>
      </c>
      <c r="C48" s="6">
        <v>1.22514845490862E-16</v>
      </c>
      <c r="D48" s="6">
        <v>598.5</v>
      </c>
      <c r="F48" s="6">
        <f t="array" ref="F48:I51">MMULT(A48:D51,A32:D35)</f>
        <v>-1</v>
      </c>
      <c r="G48" s="6">
        <v>-7.5049436828248946E-33</v>
      </c>
      <c r="H48" s="6">
        <v>1.22514845490862E-16</v>
      </c>
      <c r="I48" s="6">
        <v>598.5</v>
      </c>
      <c r="K48" s="6">
        <f t="array" ref="K48:N51">MMULT(F48:I51,F32:I35)</f>
        <v>-1</v>
      </c>
      <c r="L48" s="6">
        <v>-7.5049436828248946E-33</v>
      </c>
      <c r="M48" s="6">
        <v>1.22514845490862E-16</v>
      </c>
      <c r="N48" s="6">
        <v>598.5</v>
      </c>
      <c r="V48" s="23"/>
    </row>
    <row r="49" spans="1:45" x14ac:dyDescent="0.3">
      <c r="A49" s="6">
        <v>3.7524718414124473E-33</v>
      </c>
      <c r="B49" s="6">
        <v>1</v>
      </c>
      <c r="C49" s="6">
        <v>1.22514845490862E-16</v>
      </c>
      <c r="D49" s="6">
        <v>-4.594306705907325E-15</v>
      </c>
      <c r="F49" s="6">
        <v>3.7524718414124473E-33</v>
      </c>
      <c r="G49" s="6">
        <v>1</v>
      </c>
      <c r="H49" s="6">
        <v>1.22514845490862E-16</v>
      </c>
      <c r="I49" s="6">
        <v>3.369158250998705E-15</v>
      </c>
      <c r="K49" s="6">
        <v>3.7524718414124473E-33</v>
      </c>
      <c r="L49" s="6">
        <v>1</v>
      </c>
      <c r="M49" s="6">
        <v>1.22514845490862E-16</v>
      </c>
      <c r="N49" s="6">
        <v>3.369158250998705E-15</v>
      </c>
      <c r="V49" s="23"/>
      <c r="X49" s="61" t="s">
        <v>72</v>
      </c>
      <c r="Y49" s="61"/>
      <c r="AB49" s="61" t="s">
        <v>85</v>
      </c>
      <c r="AC49" s="61"/>
      <c r="AD49" s="61"/>
      <c r="AE49" s="61"/>
      <c r="AG49" s="61" t="s">
        <v>87</v>
      </c>
      <c r="AH49" s="61"/>
      <c r="AI49" s="61"/>
      <c r="AJ49" s="61"/>
    </row>
    <row r="50" spans="1:45" x14ac:dyDescent="0.3">
      <c r="A50" s="6">
        <v>-1.22514845490862E-16</v>
      </c>
      <c r="B50" s="6">
        <v>1.22514845490862E-16</v>
      </c>
      <c r="C50" s="6">
        <v>-1</v>
      </c>
      <c r="D50" s="6">
        <v>841</v>
      </c>
      <c r="F50" s="6">
        <v>-1.22514845490862E-16</v>
      </c>
      <c r="G50" s="6">
        <v>1.22514845490862E-16</v>
      </c>
      <c r="H50" s="6">
        <v>-1</v>
      </c>
      <c r="I50" s="6">
        <v>776</v>
      </c>
      <c r="K50" s="6">
        <v>-1.22514845490862E-16</v>
      </c>
      <c r="L50" s="6">
        <v>1.22514845490862E-16</v>
      </c>
      <c r="M50" s="6">
        <v>-1</v>
      </c>
      <c r="N50" s="6">
        <v>776</v>
      </c>
      <c r="V50" s="23"/>
      <c r="W50" s="62" t="s">
        <v>40</v>
      </c>
      <c r="X50" s="62"/>
      <c r="Y50" s="62"/>
      <c r="Z50" s="62"/>
      <c r="AB50" s="62" t="s">
        <v>86</v>
      </c>
      <c r="AC50" s="62"/>
      <c r="AD50" s="62"/>
      <c r="AE50" s="62"/>
      <c r="AG50" s="62" t="s">
        <v>88</v>
      </c>
      <c r="AH50" s="62"/>
      <c r="AI50" s="62"/>
      <c r="AJ50" s="62"/>
    </row>
    <row r="51" spans="1:45" x14ac:dyDescent="0.3">
      <c r="A51" s="6">
        <v>0</v>
      </c>
      <c r="B51" s="6">
        <v>0</v>
      </c>
      <c r="C51" s="6">
        <v>0</v>
      </c>
      <c r="D51" s="6">
        <v>1</v>
      </c>
      <c r="F51" s="6">
        <v>0</v>
      </c>
      <c r="G51" s="6">
        <v>0</v>
      </c>
      <c r="H51" s="6">
        <v>0</v>
      </c>
      <c r="I51" s="6">
        <v>1</v>
      </c>
      <c r="K51" s="6">
        <v>0</v>
      </c>
      <c r="L51" s="6">
        <v>0</v>
      </c>
      <c r="M51" s="6">
        <v>0</v>
      </c>
      <c r="N51" s="6">
        <v>1</v>
      </c>
      <c r="V51" s="23"/>
      <c r="W51" s="21">
        <f t="array" ref="W51:Z54">MMULT(AG43:AJ46,AB43:AE46)</f>
        <v>6.1257422745431001E-17</v>
      </c>
      <c r="X51" s="6">
        <v>-5.3581053980339398E-17</v>
      </c>
      <c r="Y51" s="6">
        <v>1</v>
      </c>
      <c r="Z51" s="6">
        <v>23.500000000000039</v>
      </c>
      <c r="AA51" s="17"/>
      <c r="AB51" s="6">
        <f>W51</f>
        <v>6.1257422745431001E-17</v>
      </c>
      <c r="AC51" s="6">
        <f>W52</f>
        <v>6.1257422745431001E-17</v>
      </c>
      <c r="AD51" s="6">
        <f>W53</f>
        <v>-1</v>
      </c>
      <c r="AE51" s="6" t="s">
        <v>52</v>
      </c>
      <c r="AF51" s="17"/>
      <c r="AG51" s="6">
        <f t="array" ref="AG51:AI53">MMULT(AB51:AD53,W24:Y26)</f>
        <v>6.1257422745431013E-17</v>
      </c>
      <c r="AH51" s="6">
        <v>-6.1257422745430988E-17</v>
      </c>
      <c r="AI51" s="6">
        <v>1</v>
      </c>
      <c r="AJ51" s="6" t="s">
        <v>52</v>
      </c>
    </row>
    <row r="52" spans="1:45" x14ac:dyDescent="0.3">
      <c r="V52" s="23"/>
      <c r="W52" s="21">
        <v>6.1257422745431001E-17</v>
      </c>
      <c r="X52" s="6">
        <v>1</v>
      </c>
      <c r="Y52" s="6">
        <v>5.3581053980339392E-17</v>
      </c>
      <c r="Z52" s="6">
        <v>-3.9997719450509805E-14</v>
      </c>
      <c r="AA52" s="17"/>
      <c r="AB52" s="6">
        <f>X51</f>
        <v>-5.3581053980339398E-17</v>
      </c>
      <c r="AC52" s="6">
        <f>X52</f>
        <v>1</v>
      </c>
      <c r="AD52" s="6">
        <f>X53</f>
        <v>6.1257422745431001E-17</v>
      </c>
      <c r="AE52" s="6" t="s">
        <v>52</v>
      </c>
      <c r="AF52" s="17"/>
      <c r="AG52" s="6">
        <v>1.7609589947120141E-16</v>
      </c>
      <c r="AH52" s="6">
        <v>1</v>
      </c>
      <c r="AI52" s="6">
        <v>6.1257422745430976E-17</v>
      </c>
      <c r="AJ52" s="6" t="s">
        <v>52</v>
      </c>
    </row>
    <row r="53" spans="1:45" x14ac:dyDescent="0.3">
      <c r="V53" s="23"/>
      <c r="W53" s="21">
        <v>-1</v>
      </c>
      <c r="X53" s="6">
        <v>6.1257422745431001E-17</v>
      </c>
      <c r="Y53" s="6">
        <v>6.1257422745431001E-17</v>
      </c>
      <c r="Z53" s="6">
        <v>841</v>
      </c>
      <c r="AA53" s="17"/>
      <c r="AB53" s="6">
        <f>Y51</f>
        <v>1</v>
      </c>
      <c r="AC53" s="6">
        <f>Y52</f>
        <v>5.3581053980339392E-17</v>
      </c>
      <c r="AD53" s="6">
        <f>Y53</f>
        <v>6.1257422745431001E-17</v>
      </c>
      <c r="AE53" s="6" t="s">
        <v>52</v>
      </c>
      <c r="AF53" s="17"/>
      <c r="AG53" s="6">
        <v>-1</v>
      </c>
      <c r="AH53" s="6">
        <v>1.7609589947120138E-16</v>
      </c>
      <c r="AI53" s="6">
        <v>6.1257422745431025E-17</v>
      </c>
      <c r="AJ53" s="6" t="s">
        <v>52</v>
      </c>
    </row>
    <row r="54" spans="1:45" x14ac:dyDescent="0.3">
      <c r="V54" s="23"/>
      <c r="W54" s="21">
        <v>0</v>
      </c>
      <c r="X54" s="6">
        <v>0</v>
      </c>
      <c r="Y54" s="6">
        <v>0</v>
      </c>
      <c r="Z54" s="6">
        <v>1</v>
      </c>
      <c r="AA54" s="17"/>
      <c r="AB54" s="6" t="s">
        <v>52</v>
      </c>
      <c r="AC54" s="6" t="s">
        <v>52</v>
      </c>
      <c r="AD54" s="6" t="s">
        <v>52</v>
      </c>
      <c r="AE54" s="6" t="s">
        <v>52</v>
      </c>
      <c r="AF54" s="17"/>
      <c r="AG54" s="6" t="s">
        <v>52</v>
      </c>
      <c r="AH54" s="6" t="s">
        <v>52</v>
      </c>
      <c r="AI54" s="6" t="s">
        <v>52</v>
      </c>
      <c r="AJ54" s="6" t="s">
        <v>52</v>
      </c>
    </row>
    <row r="55" spans="1:45" x14ac:dyDescent="0.3">
      <c r="V55" s="23"/>
      <c r="AE55" s="18"/>
    </row>
    <row r="56" spans="1:45" x14ac:dyDescent="0.3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</row>
    <row r="57" spans="1:45" ht="31.95" customHeight="1" x14ac:dyDescent="0.3">
      <c r="A57" s="73" t="s">
        <v>93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23"/>
      <c r="W57" s="73" t="s">
        <v>179</v>
      </c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</row>
    <row r="58" spans="1:45" ht="14.4" customHeight="1" x14ac:dyDescent="0.3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23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</row>
    <row r="59" spans="1:45" x14ac:dyDescent="0.3">
      <c r="A59" s="82" t="s">
        <v>101</v>
      </c>
      <c r="B59" s="55"/>
      <c r="C59" s="55"/>
      <c r="D59" s="55"/>
      <c r="F59" s="55" t="s">
        <v>103</v>
      </c>
      <c r="G59" s="55"/>
      <c r="H59" s="55"/>
      <c r="I59" s="55"/>
      <c r="K59" s="81" t="s">
        <v>106</v>
      </c>
      <c r="L59" s="81"/>
      <c r="M59" s="81"/>
      <c r="N59" s="81"/>
      <c r="O59" s="81"/>
      <c r="P59" s="81"/>
      <c r="V59" s="23"/>
      <c r="W59" s="55" t="s">
        <v>180</v>
      </c>
      <c r="X59" s="55"/>
      <c r="Y59" s="55"/>
      <c r="AA59" s="55" t="s">
        <v>173</v>
      </c>
      <c r="AB59" s="55"/>
    </row>
    <row r="60" spans="1:45" ht="14.4" customHeight="1" x14ac:dyDescent="0.3">
      <c r="A60" s="76" t="s">
        <v>108</v>
      </c>
      <c r="B60" s="6">
        <f t="shared" ref="B60:B62" si="4">M32</f>
        <v>0</v>
      </c>
      <c r="C60" s="76" t="s">
        <v>111</v>
      </c>
      <c r="D60" s="6">
        <f>M40</f>
        <v>0</v>
      </c>
      <c r="F60" s="8" t="s">
        <v>102</v>
      </c>
      <c r="G60" s="8" t="s">
        <v>113</v>
      </c>
      <c r="H60" s="24" t="s">
        <v>104</v>
      </c>
      <c r="I60" s="24" t="s">
        <v>105</v>
      </c>
      <c r="K60" s="6">
        <f>H61</f>
        <v>585</v>
      </c>
      <c r="L60" s="6">
        <f>H64</f>
        <v>-65</v>
      </c>
      <c r="M60" s="6">
        <f>H67</f>
        <v>-3.9817324784530174E-15</v>
      </c>
      <c r="N60" s="25">
        <f>H70</f>
        <v>-65</v>
      </c>
      <c r="O60" s="6">
        <f>H73</f>
        <v>0</v>
      </c>
      <c r="P60" s="6">
        <f>H76</f>
        <v>0</v>
      </c>
      <c r="V60" s="23"/>
      <c r="W60" s="68" t="s">
        <v>29</v>
      </c>
      <c r="X60" s="76" t="s">
        <v>172</v>
      </c>
      <c r="Y60" s="76" t="s">
        <v>171</v>
      </c>
      <c r="AA60" s="68" t="s">
        <v>29</v>
      </c>
      <c r="AB60" s="83" t="s">
        <v>164</v>
      </c>
    </row>
    <row r="61" spans="1:45" x14ac:dyDescent="0.3">
      <c r="A61" s="77"/>
      <c r="B61" s="6">
        <f t="shared" si="4"/>
        <v>1</v>
      </c>
      <c r="C61" s="77"/>
      <c r="D61" s="6">
        <f>M41</f>
        <v>1</v>
      </c>
      <c r="F61" s="76" t="s">
        <v>3</v>
      </c>
      <c r="G61" s="6">
        <f>N48-B72</f>
        <v>575</v>
      </c>
      <c r="H61" s="25">
        <f>B61*G63-B62*G62</f>
        <v>585</v>
      </c>
      <c r="I61" s="25">
        <f t="shared" ref="I61:I69" si="5">B60</f>
        <v>0</v>
      </c>
      <c r="K61" s="6">
        <f>H62</f>
        <v>3.5223018078622825E-14</v>
      </c>
      <c r="L61" s="6">
        <v>0</v>
      </c>
      <c r="M61" s="6">
        <f>H68</f>
        <v>65.000000000000028</v>
      </c>
      <c r="N61" s="25">
        <f>H71</f>
        <v>0</v>
      </c>
      <c r="O61" s="6">
        <f>H74</f>
        <v>7.9634649569060301E-15</v>
      </c>
      <c r="P61" s="6">
        <f>H77</f>
        <v>0</v>
      </c>
      <c r="V61" s="23"/>
      <c r="W61" s="68"/>
      <c r="X61" s="67"/>
      <c r="Y61" s="67"/>
      <c r="AA61" s="68"/>
      <c r="AB61" s="68"/>
    </row>
    <row r="62" spans="1:45" x14ac:dyDescent="0.3">
      <c r="A62" s="78"/>
      <c r="B62" s="6">
        <f t="shared" si="4"/>
        <v>6.1257422745431001E-17</v>
      </c>
      <c r="C62" s="78"/>
      <c r="D62" s="6">
        <f>M42</f>
        <v>6.1257422745431001E-17</v>
      </c>
      <c r="F62" s="77"/>
      <c r="G62" s="6">
        <f>N49-B73</f>
        <v>3.369158250998705E-15</v>
      </c>
      <c r="H62" s="6">
        <f>B62*G61-B60*G63</f>
        <v>3.5223018078622825E-14</v>
      </c>
      <c r="I62" s="6">
        <f t="shared" si="5"/>
        <v>1</v>
      </c>
      <c r="K62" s="6">
        <f>H63</f>
        <v>-575</v>
      </c>
      <c r="L62" s="6">
        <f>H66</f>
        <v>-575</v>
      </c>
      <c r="M62" s="6">
        <f>H69</f>
        <v>7.9634649569060301E-15</v>
      </c>
      <c r="N62" s="25">
        <f>H72</f>
        <v>0</v>
      </c>
      <c r="O62" s="6">
        <f>H75</f>
        <v>9.756426787672363E-31</v>
      </c>
      <c r="P62" s="6">
        <f>H78</f>
        <v>0</v>
      </c>
      <c r="V62" s="23"/>
      <c r="W62" s="8" t="s">
        <v>3</v>
      </c>
      <c r="X62" s="3">
        <v>-170</v>
      </c>
      <c r="Y62" s="3">
        <v>170</v>
      </c>
      <c r="AA62" s="8" t="s">
        <v>3</v>
      </c>
      <c r="AB62" s="84" t="str">
        <f>IF(OR(AB6&gt;Y62, AB6&lt;X62), "L", "N")</f>
        <v>N</v>
      </c>
    </row>
    <row r="63" spans="1:45" x14ac:dyDescent="0.3">
      <c r="A63" s="76" t="s">
        <v>109</v>
      </c>
      <c r="B63" s="6">
        <f>C40</f>
        <v>0</v>
      </c>
      <c r="C63" s="76" t="s">
        <v>112</v>
      </c>
      <c r="D63" s="6">
        <f>C48</f>
        <v>1.22514845490862E-16</v>
      </c>
      <c r="F63" s="78"/>
      <c r="G63" s="6">
        <f>N50-B74</f>
        <v>585</v>
      </c>
      <c r="H63" s="6">
        <f>B60*G62-B61*G61</f>
        <v>-575</v>
      </c>
      <c r="I63" s="6">
        <f t="shared" si="5"/>
        <v>6.1257422745431001E-17</v>
      </c>
      <c r="K63" s="6">
        <f>I61</f>
        <v>0</v>
      </c>
      <c r="L63" s="6">
        <f>I64</f>
        <v>0</v>
      </c>
      <c r="M63" s="6">
        <f>I67</f>
        <v>1</v>
      </c>
      <c r="N63" s="6">
        <f>I70</f>
        <v>0</v>
      </c>
      <c r="O63" s="6">
        <f>I73</f>
        <v>1.22514845490862E-16</v>
      </c>
      <c r="P63" s="6">
        <f>I76</f>
        <v>1.22514845490862E-16</v>
      </c>
      <c r="V63" s="23"/>
      <c r="W63" s="8" t="s">
        <v>4</v>
      </c>
      <c r="X63" s="3">
        <v>-60</v>
      </c>
      <c r="Y63" s="3">
        <v>90</v>
      </c>
      <c r="AA63" s="8" t="s">
        <v>4</v>
      </c>
      <c r="AB63" s="84" t="str">
        <f>IF(OR(AB7&gt;Y63, AB7&lt;X63), "L", "N")</f>
        <v>N</v>
      </c>
    </row>
    <row r="64" spans="1:45" ht="14.4" customHeight="1" x14ac:dyDescent="0.3">
      <c r="A64" s="77"/>
      <c r="B64" s="6">
        <f>C41</f>
        <v>1</v>
      </c>
      <c r="C64" s="77"/>
      <c r="D64" s="6">
        <f>C49</f>
        <v>1.22514845490862E-16</v>
      </c>
      <c r="F64" s="76" t="s">
        <v>4</v>
      </c>
      <c r="G64" s="6">
        <f>N48-B75</f>
        <v>575</v>
      </c>
      <c r="H64" s="25">
        <f>B64*G66-B65*G65</f>
        <v>-65</v>
      </c>
      <c r="I64" s="6">
        <f t="shared" si="5"/>
        <v>0</v>
      </c>
      <c r="K64" s="6">
        <f>I62</f>
        <v>1</v>
      </c>
      <c r="L64" s="6">
        <f>I65</f>
        <v>1</v>
      </c>
      <c r="M64" s="6">
        <f>I68</f>
        <v>6.1257422745431001E-17</v>
      </c>
      <c r="N64" s="6">
        <f>I71</f>
        <v>1</v>
      </c>
      <c r="O64" s="6">
        <f>I74</f>
        <v>1.22514845490862E-16</v>
      </c>
      <c r="P64" s="6">
        <f>I77</f>
        <v>1.22514845490862E-16</v>
      </c>
      <c r="V64" s="23"/>
      <c r="W64" s="8" t="s">
        <v>5</v>
      </c>
      <c r="X64" s="3">
        <v>-90</v>
      </c>
      <c r="Y64" s="3">
        <v>60</v>
      </c>
      <c r="AA64" s="8" t="s">
        <v>5</v>
      </c>
      <c r="AB64" s="84" t="str">
        <f>IF(OR(AB8&gt;Y64, AB8&lt;X64), "L", "N")</f>
        <v>N</v>
      </c>
    </row>
    <row r="65" spans="1:28" x14ac:dyDescent="0.3">
      <c r="A65" s="78"/>
      <c r="B65" s="6">
        <f>C42</f>
        <v>6.1257422745431001E-17</v>
      </c>
      <c r="C65" s="78"/>
      <c r="D65" s="6">
        <f>C50</f>
        <v>-1</v>
      </c>
      <c r="F65" s="77"/>
      <c r="G65" s="6">
        <f>N49-B76</f>
        <v>4.3186483035528855E-14</v>
      </c>
      <c r="H65" s="6">
        <f>B65*G64-B63*G66</f>
        <v>3.5223018078622825E-14</v>
      </c>
      <c r="I65" s="6">
        <f t="shared" si="5"/>
        <v>1</v>
      </c>
      <c r="K65" s="6">
        <f>I63</f>
        <v>6.1257422745431001E-17</v>
      </c>
      <c r="L65" s="6">
        <f>I66</f>
        <v>6.1257422745431001E-17</v>
      </c>
      <c r="M65" s="6">
        <f>I69</f>
        <v>6.1257422745431001E-17</v>
      </c>
      <c r="N65" s="6">
        <f>I72</f>
        <v>6.1257422745431001E-17</v>
      </c>
      <c r="O65" s="6">
        <f>I75</f>
        <v>-1</v>
      </c>
      <c r="P65" s="6">
        <f>I78</f>
        <v>-1</v>
      </c>
      <c r="V65" s="23"/>
      <c r="W65" s="8" t="s">
        <v>6</v>
      </c>
      <c r="X65" s="3">
        <v>-145</v>
      </c>
      <c r="Y65" s="3">
        <v>145</v>
      </c>
      <c r="AA65" s="8" t="s">
        <v>6</v>
      </c>
      <c r="AB65" s="84" t="str">
        <f>IF(OR(AB9&gt;Y65, AB9&lt;X65), "L", "N")</f>
        <v>N</v>
      </c>
    </row>
    <row r="66" spans="1:28" ht="14.4" customHeight="1" x14ac:dyDescent="0.3">
      <c r="A66" s="76" t="s">
        <v>110</v>
      </c>
      <c r="B66" s="6">
        <f>H40</f>
        <v>1</v>
      </c>
      <c r="C66" s="76" t="s">
        <v>117</v>
      </c>
      <c r="D66" s="6">
        <f>H48</f>
        <v>1.22514845490862E-16</v>
      </c>
      <c r="F66" s="78"/>
      <c r="G66" s="6">
        <f>N50-B77</f>
        <v>-65</v>
      </c>
      <c r="H66" s="6">
        <f>B63*G65-B64*G64</f>
        <v>-575</v>
      </c>
      <c r="I66" s="6">
        <f t="shared" si="5"/>
        <v>6.1257422745431001E-17</v>
      </c>
      <c r="V66" s="23"/>
      <c r="W66" s="8" t="s">
        <v>7</v>
      </c>
      <c r="X66" s="3">
        <v>-90</v>
      </c>
      <c r="Y66" s="3">
        <v>105</v>
      </c>
      <c r="AA66" s="8" t="s">
        <v>7</v>
      </c>
      <c r="AB66" s="84" t="str">
        <f>IF(OR(AB10&gt;Y66, AB10&lt;X66), "L", "N")</f>
        <v>N</v>
      </c>
    </row>
    <row r="67" spans="1:28" ht="14.4" customHeight="1" x14ac:dyDescent="0.3">
      <c r="A67" s="77"/>
      <c r="B67" s="6">
        <f>H41</f>
        <v>6.1257422745431001E-17</v>
      </c>
      <c r="C67" s="77"/>
      <c r="D67" s="6">
        <f>H49</f>
        <v>1.22514845490862E-16</v>
      </c>
      <c r="F67" s="76" t="s">
        <v>5</v>
      </c>
      <c r="G67" s="6">
        <f>N48-B78</f>
        <v>575</v>
      </c>
      <c r="H67" s="25">
        <f>B67*G69-B68*G68</f>
        <v>-3.9817324784530174E-15</v>
      </c>
      <c r="I67" s="6">
        <f t="shared" si="5"/>
        <v>1</v>
      </c>
      <c r="V67" s="23"/>
      <c r="W67" s="8" t="s">
        <v>8</v>
      </c>
      <c r="X67" s="3">
        <v>-155</v>
      </c>
      <c r="Y67" s="3">
        <v>155</v>
      </c>
      <c r="AA67" s="8" t="s">
        <v>8</v>
      </c>
      <c r="AB67" s="84" t="str">
        <f>IF(OR(AB11&gt;Y67, AB11&lt;X67), "L", "N")</f>
        <v>N</v>
      </c>
    </row>
    <row r="68" spans="1:28" x14ac:dyDescent="0.3">
      <c r="A68" s="78"/>
      <c r="B68" s="6">
        <f>H42</f>
        <v>6.1257422745431001E-17</v>
      </c>
      <c r="C68" s="78"/>
      <c r="D68" s="6">
        <f>H50</f>
        <v>-1</v>
      </c>
      <c r="F68" s="77"/>
      <c r="G68" s="6">
        <f>N49-B79</f>
        <v>4.3186483035528855E-14</v>
      </c>
      <c r="H68" s="6">
        <f>B68*G67-B66*G69</f>
        <v>65.000000000000028</v>
      </c>
      <c r="I68" s="6">
        <f t="shared" si="5"/>
        <v>6.1257422745431001E-17</v>
      </c>
      <c r="M68" s="81" t="s">
        <v>107</v>
      </c>
      <c r="N68" s="81"/>
      <c r="V68" s="23"/>
    </row>
    <row r="69" spans="1:28" x14ac:dyDescent="0.3">
      <c r="F69" s="78"/>
      <c r="G69" s="6">
        <f>N50-B80</f>
        <v>-65</v>
      </c>
      <c r="H69" s="6">
        <f>B66*G68-B67*G67</f>
        <v>7.9634649569060301E-15</v>
      </c>
      <c r="I69" s="6">
        <f t="shared" si="5"/>
        <v>6.1257422745431001E-17</v>
      </c>
      <c r="M69" s="27" t="str">
        <f>IF(N69=0, "S", "N")</f>
        <v>N</v>
      </c>
      <c r="N69" s="16">
        <f>MDETERM(K60:P65)</f>
        <v>-2.9763450276436287E-9</v>
      </c>
      <c r="V69" s="23"/>
    </row>
    <row r="70" spans="1:28" ht="14.4" customHeight="1" x14ac:dyDescent="0.3">
      <c r="F70" s="76" t="s">
        <v>6</v>
      </c>
      <c r="G70" s="6">
        <f>N48-D72</f>
        <v>0</v>
      </c>
      <c r="H70" s="25">
        <f>D61*G72-D62*G71</f>
        <v>-65</v>
      </c>
      <c r="I70" s="6">
        <f t="shared" ref="I70:I78" si="6">D60</f>
        <v>0</v>
      </c>
      <c r="V70" s="23"/>
      <c r="W70" s="81" t="s">
        <v>174</v>
      </c>
      <c r="X70" s="81"/>
      <c r="Y70" s="81"/>
    </row>
    <row r="71" spans="1:28" x14ac:dyDescent="0.3">
      <c r="A71" s="81" t="s">
        <v>114</v>
      </c>
      <c r="B71" s="81"/>
      <c r="C71" s="81"/>
      <c r="D71" s="81"/>
      <c r="F71" s="77"/>
      <c r="G71" s="6">
        <f>N49-D73</f>
        <v>7.9634649569060301E-15</v>
      </c>
      <c r="H71" s="6">
        <f>D62*G70-D60*G72</f>
        <v>0</v>
      </c>
      <c r="I71" s="6">
        <f t="shared" si="6"/>
        <v>1</v>
      </c>
      <c r="V71" s="23"/>
      <c r="W71" s="68" t="s">
        <v>29</v>
      </c>
      <c r="X71" s="68" t="s">
        <v>175</v>
      </c>
      <c r="Y71" s="68" t="s">
        <v>176</v>
      </c>
    </row>
    <row r="72" spans="1:28" x14ac:dyDescent="0.3">
      <c r="A72" s="76" t="s">
        <v>108</v>
      </c>
      <c r="B72" s="6">
        <f t="shared" ref="B72:B74" si="7">N32</f>
        <v>23.5</v>
      </c>
      <c r="C72" s="76" t="s">
        <v>111</v>
      </c>
      <c r="D72" s="6">
        <f t="shared" ref="D72:D74" si="8">N40</f>
        <v>598.5</v>
      </c>
      <c r="F72" s="78"/>
      <c r="G72" s="6">
        <f>N50-D74</f>
        <v>-65</v>
      </c>
      <c r="H72" s="6">
        <f>D60*G71-D61*G70</f>
        <v>0</v>
      </c>
      <c r="I72" s="6">
        <f t="shared" si="6"/>
        <v>6.1257422745431001E-17</v>
      </c>
      <c r="V72" s="23"/>
      <c r="W72" s="68"/>
      <c r="X72" s="68"/>
      <c r="Y72" s="68"/>
    </row>
    <row r="73" spans="1:28" ht="14.4" customHeight="1" x14ac:dyDescent="0.3">
      <c r="A73" s="77"/>
      <c r="B73" s="6">
        <f t="shared" si="7"/>
        <v>0</v>
      </c>
      <c r="C73" s="77"/>
      <c r="D73" s="6">
        <f t="shared" si="8"/>
        <v>-4.594306705907325E-15</v>
      </c>
      <c r="F73" s="76" t="s">
        <v>7</v>
      </c>
      <c r="G73" s="6">
        <f>N48-D75</f>
        <v>0</v>
      </c>
      <c r="H73" s="25">
        <f>D64*G75-D65*G74</f>
        <v>0</v>
      </c>
      <c r="I73" s="6">
        <f t="shared" si="6"/>
        <v>1.22514845490862E-16</v>
      </c>
      <c r="V73" s="23"/>
      <c r="W73" s="8" t="s">
        <v>3</v>
      </c>
      <c r="X73" s="3" t="s">
        <v>177</v>
      </c>
      <c r="Y73" s="3" t="s">
        <v>178</v>
      </c>
    </row>
    <row r="74" spans="1:28" x14ac:dyDescent="0.3">
      <c r="A74" s="78"/>
      <c r="B74" s="6">
        <f t="shared" si="7"/>
        <v>191</v>
      </c>
      <c r="C74" s="78"/>
      <c r="D74" s="6">
        <f t="shared" si="8"/>
        <v>841</v>
      </c>
      <c r="F74" s="77"/>
      <c r="G74" s="6">
        <f>N49-D76</f>
        <v>7.9634649569060301E-15</v>
      </c>
      <c r="H74" s="6">
        <f>D65*G73-D63*G75</f>
        <v>7.9634649569060301E-15</v>
      </c>
      <c r="I74" s="6">
        <f t="shared" si="6"/>
        <v>1.22514845490862E-16</v>
      </c>
      <c r="O74"/>
      <c r="V74" s="23"/>
      <c r="W74" s="8" t="s">
        <v>4</v>
      </c>
      <c r="X74" s="3" t="s">
        <v>177</v>
      </c>
      <c r="Y74" s="3" t="s">
        <v>178</v>
      </c>
    </row>
    <row r="75" spans="1:28" x14ac:dyDescent="0.3">
      <c r="A75" s="76" t="s">
        <v>109</v>
      </c>
      <c r="B75" s="6">
        <f t="shared" ref="B75:B77" si="9">D40</f>
        <v>23.500000000000039</v>
      </c>
      <c r="C75" s="76" t="s">
        <v>112</v>
      </c>
      <c r="D75" s="6">
        <f t="shared" ref="D75:D77" si="10">D48</f>
        <v>598.5</v>
      </c>
      <c r="F75" s="78"/>
      <c r="G75" s="6">
        <f>N50-D77</f>
        <v>-65</v>
      </c>
      <c r="H75" s="6">
        <f>D63*G74-D64*G73</f>
        <v>9.756426787672363E-31</v>
      </c>
      <c r="I75" s="6">
        <f t="shared" si="6"/>
        <v>-1</v>
      </c>
      <c r="V75" s="23"/>
      <c r="W75" s="8" t="s">
        <v>5</v>
      </c>
      <c r="X75" s="3" t="s">
        <v>177</v>
      </c>
      <c r="Y75" s="3" t="s">
        <v>178</v>
      </c>
    </row>
    <row r="76" spans="1:28" ht="14.4" customHeight="1" x14ac:dyDescent="0.3">
      <c r="A76" s="77"/>
      <c r="B76" s="6">
        <f t="shared" si="9"/>
        <v>-3.981732478453015E-14</v>
      </c>
      <c r="C76" s="77"/>
      <c r="D76" s="6">
        <f t="shared" si="10"/>
        <v>-4.594306705907325E-15</v>
      </c>
      <c r="F76" s="76" t="s">
        <v>8</v>
      </c>
      <c r="G76" s="6">
        <f>N48-D78</f>
        <v>0</v>
      </c>
      <c r="H76" s="25">
        <f>D67*G78-D68*G77</f>
        <v>0</v>
      </c>
      <c r="I76" s="6">
        <f t="shared" si="6"/>
        <v>1.22514845490862E-16</v>
      </c>
      <c r="R76"/>
      <c r="V76" s="23"/>
      <c r="W76" s="8" t="s">
        <v>6</v>
      </c>
      <c r="X76" s="3" t="s">
        <v>177</v>
      </c>
      <c r="Y76" s="3" t="s">
        <v>178</v>
      </c>
    </row>
    <row r="77" spans="1:28" x14ac:dyDescent="0.3">
      <c r="A77" s="78"/>
      <c r="B77" s="6">
        <f t="shared" si="9"/>
        <v>841</v>
      </c>
      <c r="C77" s="78"/>
      <c r="D77" s="6">
        <f t="shared" si="10"/>
        <v>841</v>
      </c>
      <c r="F77" s="77"/>
      <c r="G77" s="6">
        <f>N49-D79</f>
        <v>0</v>
      </c>
      <c r="H77" s="6">
        <f>D68*G76-D66*G78</f>
        <v>0</v>
      </c>
      <c r="I77" s="6">
        <f t="shared" si="6"/>
        <v>1.22514845490862E-16</v>
      </c>
      <c r="V77" s="23"/>
      <c r="W77" s="8" t="s">
        <v>7</v>
      </c>
      <c r="X77" s="3" t="s">
        <v>177</v>
      </c>
      <c r="Y77" s="3" t="s">
        <v>178</v>
      </c>
    </row>
    <row r="78" spans="1:28" x14ac:dyDescent="0.3">
      <c r="A78" s="76" t="s">
        <v>110</v>
      </c>
      <c r="B78" s="6">
        <f t="shared" ref="B78:B80" si="11">I40</f>
        <v>23.500000000000039</v>
      </c>
      <c r="C78" s="76" t="s">
        <v>117</v>
      </c>
      <c r="D78" s="6">
        <f t="shared" ref="D78:D80" si="12">I48</f>
        <v>598.5</v>
      </c>
      <c r="F78" s="78"/>
      <c r="G78" s="6">
        <f>N50-D80</f>
        <v>0</v>
      </c>
      <c r="H78" s="6">
        <f>D66*G77-D67*G76</f>
        <v>0</v>
      </c>
      <c r="I78" s="6">
        <f t="shared" si="6"/>
        <v>-1</v>
      </c>
      <c r="V78" s="23"/>
      <c r="W78" s="8" t="s">
        <v>8</v>
      </c>
      <c r="X78" s="3" t="s">
        <v>177</v>
      </c>
      <c r="Y78" s="3" t="s">
        <v>178</v>
      </c>
    </row>
    <row r="79" spans="1:28" x14ac:dyDescent="0.3">
      <c r="A79" s="77"/>
      <c r="B79" s="6">
        <f t="shared" si="11"/>
        <v>-3.981732478453015E-14</v>
      </c>
      <c r="C79" s="77"/>
      <c r="D79" s="6">
        <f t="shared" si="12"/>
        <v>3.369158250998705E-15</v>
      </c>
      <c r="V79" s="23"/>
    </row>
    <row r="80" spans="1:28" x14ac:dyDescent="0.3">
      <c r="A80" s="78"/>
      <c r="B80" s="6">
        <f t="shared" si="11"/>
        <v>841</v>
      </c>
      <c r="C80" s="78"/>
      <c r="D80" s="6">
        <f t="shared" si="12"/>
        <v>776</v>
      </c>
      <c r="V80" s="23"/>
    </row>
    <row r="81" spans="22:22" x14ac:dyDescent="0.3">
      <c r="V81" s="23"/>
    </row>
    <row r="82" spans="22:22" x14ac:dyDescent="0.3">
      <c r="V82" s="23"/>
    </row>
    <row r="83" spans="22:22" x14ac:dyDescent="0.3">
      <c r="V83" s="23"/>
    </row>
  </sheetData>
  <mergeCells count="129">
    <mergeCell ref="W70:Y70"/>
    <mergeCell ref="W71:W72"/>
    <mergeCell ref="X71:X72"/>
    <mergeCell ref="Y71:Y72"/>
    <mergeCell ref="W60:W61"/>
    <mergeCell ref="X60:X61"/>
    <mergeCell ref="Y60:Y61"/>
    <mergeCell ref="W59:Y59"/>
    <mergeCell ref="W58:AS58"/>
    <mergeCell ref="AA60:AA61"/>
    <mergeCell ref="AB60:AB61"/>
    <mergeCell ref="AA59:AB59"/>
    <mergeCell ref="M68:N68"/>
    <mergeCell ref="A15:D15"/>
    <mergeCell ref="L46:M46"/>
    <mergeCell ref="K31:N31"/>
    <mergeCell ref="F70:F72"/>
    <mergeCell ref="F73:F75"/>
    <mergeCell ref="F76:F78"/>
    <mergeCell ref="F61:F63"/>
    <mergeCell ref="F64:F66"/>
    <mergeCell ref="F67:F69"/>
    <mergeCell ref="F59:I59"/>
    <mergeCell ref="K59:P59"/>
    <mergeCell ref="A59:D59"/>
    <mergeCell ref="A63:A65"/>
    <mergeCell ref="A66:A68"/>
    <mergeCell ref="C60:C62"/>
    <mergeCell ref="C63:C65"/>
    <mergeCell ref="C66:C68"/>
    <mergeCell ref="A71:D71"/>
    <mergeCell ref="A72:A74"/>
    <mergeCell ref="C72:C74"/>
    <mergeCell ref="A75:A77"/>
    <mergeCell ref="C75:C77"/>
    <mergeCell ref="A78:A80"/>
    <mergeCell ref="C78:C80"/>
    <mergeCell ref="A60:A62"/>
    <mergeCell ref="A57:U57"/>
    <mergeCell ref="A2:U2"/>
    <mergeCell ref="W2:AS2"/>
    <mergeCell ref="A58:U58"/>
    <mergeCell ref="AG49:AJ49"/>
    <mergeCell ref="AG50:AJ50"/>
    <mergeCell ref="AB49:AE49"/>
    <mergeCell ref="AB50:AE50"/>
    <mergeCell ref="B14:C14"/>
    <mergeCell ref="A3:G3"/>
    <mergeCell ref="W57:AS57"/>
    <mergeCell ref="B4:D4"/>
    <mergeCell ref="A56:AS56"/>
    <mergeCell ref="A47:D47"/>
    <mergeCell ref="F47:I47"/>
    <mergeCell ref="F31:I31"/>
    <mergeCell ref="K47:N47"/>
    <mergeCell ref="A23:D23"/>
    <mergeCell ref="K15:N15"/>
    <mergeCell ref="F15:I15"/>
    <mergeCell ref="F23:I23"/>
    <mergeCell ref="K23:N23"/>
    <mergeCell ref="W1:AS1"/>
    <mergeCell ref="AG42:AJ42"/>
    <mergeCell ref="W50:Z50"/>
    <mergeCell ref="AC41:AD41"/>
    <mergeCell ref="AB42:AE42"/>
    <mergeCell ref="AH41:AI41"/>
    <mergeCell ref="X49:Y49"/>
    <mergeCell ref="A1:U1"/>
    <mergeCell ref="I4:I5"/>
    <mergeCell ref="J4:J5"/>
    <mergeCell ref="AG31:AJ31"/>
    <mergeCell ref="W42:Z42"/>
    <mergeCell ref="AH30:AI30"/>
    <mergeCell ref="X41:Y41"/>
    <mergeCell ref="O3:Q3"/>
    <mergeCell ref="Q6:Q8"/>
    <mergeCell ref="K39:N39"/>
    <mergeCell ref="A31:D31"/>
    <mergeCell ref="A39:D39"/>
    <mergeCell ref="F39:I39"/>
    <mergeCell ref="A4:A5"/>
    <mergeCell ref="I3:M3"/>
    <mergeCell ref="E4:G4"/>
    <mergeCell ref="G6:G8"/>
    <mergeCell ref="B38:C38"/>
    <mergeCell ref="G38:H38"/>
    <mergeCell ref="L38:M38"/>
    <mergeCell ref="B46:C46"/>
    <mergeCell ref="G46:H46"/>
    <mergeCell ref="Y6:Y8"/>
    <mergeCell ref="W3:Y3"/>
    <mergeCell ref="B22:C22"/>
    <mergeCell ref="B30:C30"/>
    <mergeCell ref="X31:Y31"/>
    <mergeCell ref="X35:Y35"/>
    <mergeCell ref="AA3:AC3"/>
    <mergeCell ref="K4:K5"/>
    <mergeCell ref="L4:L5"/>
    <mergeCell ref="M4:M5"/>
    <mergeCell ref="O4:O5"/>
    <mergeCell ref="P4:P5"/>
    <mergeCell ref="W23:Z23"/>
    <mergeCell ref="AB23:AE23"/>
    <mergeCell ref="G30:H30"/>
    <mergeCell ref="L30:M30"/>
    <mergeCell ref="G14:H14"/>
    <mergeCell ref="L14:M14"/>
    <mergeCell ref="G22:H22"/>
    <mergeCell ref="L22:M22"/>
    <mergeCell ref="AC14:AD14"/>
    <mergeCell ref="Q4:Q5"/>
    <mergeCell ref="W4:W5"/>
    <mergeCell ref="X4:X5"/>
    <mergeCell ref="Y4:Y5"/>
    <mergeCell ref="AA4:AA5"/>
    <mergeCell ref="AB4:AC4"/>
    <mergeCell ref="AH14:AI14"/>
    <mergeCell ref="X22:Y22"/>
    <mergeCell ref="AC22:AD22"/>
    <mergeCell ref="AH22:AI22"/>
    <mergeCell ref="AB15:AE15"/>
    <mergeCell ref="AG15:AJ15"/>
    <mergeCell ref="AC31:AD31"/>
    <mergeCell ref="X36:Y36"/>
    <mergeCell ref="X30:Y30"/>
    <mergeCell ref="AC30:AD30"/>
    <mergeCell ref="AG23:AJ23"/>
    <mergeCell ref="W15:Z15"/>
    <mergeCell ref="X14:Y14"/>
  </mergeCells>
  <pageMargins left="0.7" right="0.7" top="0.75" bottom="0.75" header="0.3" footer="0.3"/>
  <pageSetup orientation="portrait" r:id="rId1"/>
  <ignoredErrors>
    <ignoredError sqref="K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Stepper Information</vt:lpstr>
      <vt:lpstr>Cable Connection</vt:lpstr>
      <vt:lpstr>Kinematics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Alfonsus Giovanni</dc:creator>
  <cp:lastModifiedBy>Alfonsus Giovanni</cp:lastModifiedBy>
  <dcterms:created xsi:type="dcterms:W3CDTF">2025-02-13T12:48:49Z</dcterms:created>
  <dcterms:modified xsi:type="dcterms:W3CDTF">2025-05-04T15:58:59Z</dcterms:modified>
</cp:coreProperties>
</file>