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redi\OneDrive\Escritorio\TEIV\Nuclear\"/>
    </mc:Choice>
  </mc:AlternateContent>
  <xr:revisionPtr revIDLastSave="0" documentId="13_ncr:1_{49171A15-B999-43F3-B8FF-4709057D89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ibracion" sheetId="1" r:id="rId1"/>
    <sheet name="resolucion" sheetId="2" r:id="rId2"/>
    <sheet name="eficiencias" sheetId="3" r:id="rId3"/>
    <sheet name="coincidencias" sheetId="4" r:id="rId4"/>
    <sheet name="estadistic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4" l="1"/>
  <c r="W20" i="4"/>
  <c r="W19" i="4"/>
  <c r="W18" i="4"/>
  <c r="W17" i="4"/>
  <c r="W16" i="4"/>
  <c r="W15" i="4"/>
  <c r="W14" i="4"/>
  <c r="U20" i="4"/>
  <c r="U19" i="4"/>
  <c r="U18" i="4"/>
  <c r="U17" i="4"/>
  <c r="U16" i="4"/>
  <c r="U15" i="4"/>
  <c r="U14" i="4"/>
  <c r="U13" i="4"/>
  <c r="S20" i="4"/>
  <c r="S19" i="4"/>
  <c r="S18" i="4"/>
  <c r="S17" i="4"/>
  <c r="S16" i="4"/>
  <c r="S15" i="4"/>
  <c r="S14" i="4"/>
  <c r="S13" i="4"/>
  <c r="Q20" i="4"/>
  <c r="Q19" i="4"/>
  <c r="Q18" i="4"/>
  <c r="Q17" i="4"/>
  <c r="Q16" i="4"/>
  <c r="Q15" i="4"/>
  <c r="Q14" i="4"/>
  <c r="Q13" i="4"/>
  <c r="O20" i="4"/>
  <c r="O19" i="4"/>
  <c r="O18" i="4"/>
  <c r="O17" i="4"/>
  <c r="O16" i="4"/>
  <c r="O15" i="4"/>
  <c r="O14" i="4"/>
  <c r="O13" i="4"/>
  <c r="M20" i="4"/>
  <c r="M19" i="4"/>
  <c r="M18" i="4"/>
  <c r="M17" i="4"/>
  <c r="M16" i="4"/>
  <c r="M15" i="4"/>
  <c r="M14" i="4"/>
  <c r="M13" i="4"/>
  <c r="J13" i="4"/>
  <c r="J20" i="4"/>
  <c r="J19" i="4"/>
  <c r="J18" i="4"/>
  <c r="J17" i="4"/>
  <c r="J16" i="4"/>
  <c r="J15" i="4"/>
  <c r="J14" i="4"/>
  <c r="G20" i="4"/>
  <c r="G19" i="4"/>
  <c r="G18" i="4"/>
  <c r="G17" i="4"/>
  <c r="G16" i="4"/>
  <c r="G15" i="4"/>
  <c r="G14" i="4"/>
  <c r="G13" i="4"/>
  <c r="G17" i="5"/>
  <c r="H17" i="5" s="1"/>
  <c r="F17" i="5"/>
  <c r="H18" i="5"/>
  <c r="H21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8" i="5"/>
  <c r="G19" i="5"/>
  <c r="G20" i="5"/>
  <c r="G21" i="5"/>
  <c r="G22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3" i="5"/>
  <c r="E20" i="5"/>
  <c r="E21" i="5"/>
  <c r="E22" i="5"/>
  <c r="E5" i="5"/>
  <c r="E4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G6" i="4"/>
  <c r="AK10" i="4"/>
  <c r="AK9" i="4"/>
  <c r="AJ9" i="4"/>
  <c r="AJ10" i="4"/>
  <c r="AI10" i="4"/>
  <c r="AI9" i="4"/>
  <c r="D8" i="4" l="1"/>
  <c r="G8" i="4"/>
  <c r="J8" i="4"/>
  <c r="Q8" i="4" s="1"/>
  <c r="L8" i="4"/>
  <c r="N8" i="4"/>
  <c r="O8" i="4"/>
  <c r="P8" i="4"/>
  <c r="D5" i="4"/>
  <c r="G5" i="4"/>
  <c r="O5" i="4" s="1"/>
  <c r="J5" i="4"/>
  <c r="Q5" i="4" s="1"/>
  <c r="L5" i="4"/>
  <c r="N5" i="4"/>
  <c r="P5" i="4"/>
  <c r="D6" i="4"/>
  <c r="O6" i="4"/>
  <c r="J6" i="4"/>
  <c r="Q6" i="4" s="1"/>
  <c r="L6" i="4"/>
  <c r="N6" i="4"/>
  <c r="P6" i="4"/>
  <c r="D7" i="4"/>
  <c r="G7" i="4"/>
  <c r="O7" i="4" s="1"/>
  <c r="J7" i="4"/>
  <c r="Q7" i="4" s="1"/>
  <c r="L7" i="4"/>
  <c r="N7" i="4"/>
  <c r="P7" i="4"/>
  <c r="D9" i="4"/>
  <c r="G9" i="4"/>
  <c r="O9" i="4" s="1"/>
  <c r="J9" i="4"/>
  <c r="Q9" i="4" s="1"/>
  <c r="L9" i="4"/>
  <c r="N9" i="4"/>
  <c r="P9" i="4"/>
  <c r="D10" i="4"/>
  <c r="G10" i="4"/>
  <c r="O10" i="4" s="1"/>
  <c r="J10" i="4"/>
  <c r="Q10" i="4" s="1"/>
  <c r="L10" i="4"/>
  <c r="N10" i="4"/>
  <c r="P10" i="4"/>
  <c r="D11" i="4"/>
  <c r="G11" i="4"/>
  <c r="O11" i="4" s="1"/>
  <c r="J11" i="4"/>
  <c r="Q11" i="4" s="1"/>
  <c r="L11" i="4"/>
  <c r="N11" i="4"/>
  <c r="P11" i="4"/>
  <c r="D1" i="4"/>
  <c r="C1" i="4"/>
  <c r="N4" i="4"/>
  <c r="P4" i="4"/>
  <c r="L4" i="4"/>
  <c r="J4" i="4"/>
  <c r="Q4" i="4" s="1"/>
  <c r="G4" i="4"/>
  <c r="O4" i="4" s="1"/>
  <c r="D4" i="4"/>
  <c r="M6" i="3"/>
  <c r="I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I7" i="3"/>
  <c r="L7" i="3" s="1"/>
  <c r="J7" i="3"/>
  <c r="M7" i="3" s="1"/>
  <c r="I8" i="3"/>
  <c r="L8" i="3" s="1"/>
  <c r="J8" i="3"/>
  <c r="M8" i="3" s="1"/>
  <c r="I9" i="3"/>
  <c r="L9" i="3" s="1"/>
  <c r="J9" i="3"/>
  <c r="I10" i="3"/>
  <c r="L10" i="3" s="1"/>
  <c r="J10" i="3"/>
  <c r="M10" i="3" s="1"/>
  <c r="I11" i="3"/>
  <c r="L11" i="3" s="1"/>
  <c r="J11" i="3"/>
  <c r="I12" i="3"/>
  <c r="L12" i="3" s="1"/>
  <c r="J12" i="3"/>
  <c r="I13" i="3"/>
  <c r="L13" i="3" s="1"/>
  <c r="J13" i="3"/>
  <c r="M13" i="3" s="1"/>
  <c r="I14" i="3"/>
  <c r="L14" i="3" s="1"/>
  <c r="J14" i="3"/>
  <c r="M14" i="3" s="1"/>
  <c r="I15" i="3"/>
  <c r="L15" i="3" s="1"/>
  <c r="J15" i="3"/>
  <c r="M15" i="3" s="1"/>
  <c r="I16" i="3"/>
  <c r="L16" i="3" s="1"/>
  <c r="J16" i="3"/>
  <c r="M16" i="3" s="1"/>
  <c r="I17" i="3"/>
  <c r="L17" i="3" s="1"/>
  <c r="J17" i="3"/>
  <c r="M17" i="3" s="1"/>
  <c r="I18" i="3"/>
  <c r="J18" i="3"/>
  <c r="I19" i="3"/>
  <c r="L19" i="3" s="1"/>
  <c r="J19" i="3"/>
  <c r="M19" i="3" s="1"/>
  <c r="I20" i="3"/>
  <c r="L20" i="3" s="1"/>
  <c r="J20" i="3"/>
  <c r="M20" i="3" s="1"/>
  <c r="I21" i="3"/>
  <c r="L21" i="3" s="1"/>
  <c r="J21" i="3"/>
  <c r="M21" i="3" s="1"/>
  <c r="J6" i="3"/>
  <c r="L6" i="3"/>
  <c r="N6" i="3" s="1"/>
  <c r="O6" i="3" s="1"/>
  <c r="M10" i="4" l="1"/>
  <c r="D19" i="4"/>
  <c r="M7" i="4"/>
  <c r="D16" i="4"/>
  <c r="D13" i="4"/>
  <c r="M4" i="4"/>
  <c r="M5" i="4"/>
  <c r="S5" i="4" s="1"/>
  <c r="U5" i="4" s="1"/>
  <c r="D14" i="4"/>
  <c r="M11" i="4"/>
  <c r="D20" i="4"/>
  <c r="M9" i="4"/>
  <c r="S9" i="4" s="1"/>
  <c r="U9" i="4" s="1"/>
  <c r="D18" i="4"/>
  <c r="M6" i="4"/>
  <c r="D15" i="4"/>
  <c r="M8" i="4"/>
  <c r="D17" i="4"/>
  <c r="R4" i="4"/>
  <c r="T4" i="4" s="1"/>
  <c r="S8" i="4"/>
  <c r="U8" i="4" s="1"/>
  <c r="R8" i="4"/>
  <c r="T8" i="4" s="1"/>
  <c r="V8" i="4" s="1"/>
  <c r="S4" i="4"/>
  <c r="U4" i="4" s="1"/>
  <c r="R6" i="4"/>
  <c r="T6" i="4" s="1"/>
  <c r="R11" i="4"/>
  <c r="T11" i="4" s="1"/>
  <c r="R9" i="4"/>
  <c r="T9" i="4" s="1"/>
  <c r="S11" i="4"/>
  <c r="U11" i="4" s="1"/>
  <c r="R10" i="4"/>
  <c r="T10" i="4" s="1"/>
  <c r="R5" i="4"/>
  <c r="T5" i="4" s="1"/>
  <c r="S7" i="4"/>
  <c r="U7" i="4" s="1"/>
  <c r="S10" i="4"/>
  <c r="U10" i="4" s="1"/>
  <c r="R7" i="4"/>
  <c r="T7" i="4" s="1"/>
  <c r="S6" i="4"/>
  <c r="U6" i="4" s="1"/>
  <c r="M18" i="3"/>
  <c r="L18" i="3"/>
  <c r="M12" i="3"/>
  <c r="M11" i="3"/>
  <c r="M9" i="3"/>
  <c r="V5" i="4" l="1"/>
  <c r="W8" i="4"/>
  <c r="V9" i="4"/>
  <c r="V11" i="4"/>
  <c r="V6" i="4"/>
  <c r="V4" i="4"/>
  <c r="V7" i="4"/>
  <c r="V10" i="4"/>
  <c r="W4" i="4"/>
  <c r="W11" i="4"/>
  <c r="W9" i="4"/>
  <c r="W7" i="4"/>
  <c r="W5" i="4"/>
  <c r="W6" i="4"/>
  <c r="W10" i="4"/>
  <c r="Q4" i="2"/>
  <c r="Q5" i="2"/>
  <c r="Q6" i="2"/>
  <c r="Q7" i="2"/>
  <c r="Q8" i="2"/>
  <c r="Q9" i="2"/>
  <c r="Q10" i="2"/>
  <c r="L15" i="2"/>
  <c r="N15" i="2" s="1"/>
  <c r="K15" i="2"/>
  <c r="M15" i="2" s="1"/>
  <c r="H15" i="2"/>
  <c r="G15" i="2"/>
  <c r="Q21" i="2"/>
  <c r="L21" i="2"/>
  <c r="N21" i="2" s="1"/>
  <c r="K21" i="2"/>
  <c r="M21" i="2" s="1"/>
  <c r="H21" i="2"/>
  <c r="G21" i="2"/>
  <c r="Q20" i="2"/>
  <c r="L20" i="2"/>
  <c r="N20" i="2" s="1"/>
  <c r="K20" i="2"/>
  <c r="M20" i="2" s="1"/>
  <c r="H20" i="2"/>
  <c r="G20" i="2"/>
  <c r="Q19" i="2"/>
  <c r="L19" i="2"/>
  <c r="N19" i="2" s="1"/>
  <c r="K19" i="2"/>
  <c r="M19" i="2" s="1"/>
  <c r="H19" i="2"/>
  <c r="G19" i="2"/>
  <c r="Q18" i="2"/>
  <c r="L18" i="2"/>
  <c r="N18" i="2" s="1"/>
  <c r="K18" i="2"/>
  <c r="M18" i="2" s="1"/>
  <c r="H18" i="2"/>
  <c r="G18" i="2"/>
  <c r="Q17" i="2"/>
  <c r="L17" i="2"/>
  <c r="N17" i="2" s="1"/>
  <c r="K17" i="2"/>
  <c r="M17" i="2" s="1"/>
  <c r="H17" i="2"/>
  <c r="G17" i="2"/>
  <c r="Q16" i="2"/>
  <c r="L16" i="2"/>
  <c r="N16" i="2" s="1"/>
  <c r="K16" i="2"/>
  <c r="M16" i="2" s="1"/>
  <c r="H16" i="2"/>
  <c r="G16" i="2"/>
  <c r="Q15" i="2"/>
  <c r="N7" i="2"/>
  <c r="L5" i="2"/>
  <c r="N5" i="2" s="1"/>
  <c r="L6" i="2"/>
  <c r="N6" i="2" s="1"/>
  <c r="L7" i="2"/>
  <c r="L8" i="2"/>
  <c r="N8" i="2" s="1"/>
  <c r="L9" i="2"/>
  <c r="N9" i="2" s="1"/>
  <c r="L10" i="2"/>
  <c r="N10" i="2" s="1"/>
  <c r="L4" i="2"/>
  <c r="N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O10" i="2" s="1"/>
  <c r="R10" i="2" s="1"/>
  <c r="K4" i="2"/>
  <c r="M4" i="2" s="1"/>
  <c r="H5" i="2"/>
  <c r="H6" i="2"/>
  <c r="H7" i="2"/>
  <c r="H8" i="2"/>
  <c r="H9" i="2"/>
  <c r="H10" i="2"/>
  <c r="H4" i="2"/>
  <c r="G5" i="2"/>
  <c r="G6" i="2"/>
  <c r="G7" i="2"/>
  <c r="G8" i="2"/>
  <c r="G9" i="2"/>
  <c r="G10" i="2"/>
  <c r="G4" i="2"/>
  <c r="AC10" i="1"/>
  <c r="AB10" i="1"/>
  <c r="AC9" i="1"/>
  <c r="AB9" i="1"/>
  <c r="AC8" i="1"/>
  <c r="AB8" i="1"/>
  <c r="AC7" i="1"/>
  <c r="AB7" i="1"/>
  <c r="AC6" i="1"/>
  <c r="AE6" i="1" s="1"/>
  <c r="AB6" i="1"/>
  <c r="AC5" i="1"/>
  <c r="AB5" i="1"/>
  <c r="AC4" i="1"/>
  <c r="AB4" i="1"/>
  <c r="O10" i="1"/>
  <c r="N5" i="1"/>
  <c r="N6" i="1"/>
  <c r="N7" i="1"/>
  <c r="N8" i="1"/>
  <c r="N9" i="1"/>
  <c r="N10" i="1"/>
  <c r="N4" i="1"/>
  <c r="M5" i="1"/>
  <c r="M6" i="1"/>
  <c r="M7" i="1"/>
  <c r="M8" i="1"/>
  <c r="M9" i="1"/>
  <c r="M10" i="1"/>
  <c r="P10" i="1" s="1"/>
  <c r="M4" i="1"/>
  <c r="AA4" i="1"/>
  <c r="AD4" i="1" s="1"/>
  <c r="Z4" i="1"/>
  <c r="Z10" i="1"/>
  <c r="Z9" i="1"/>
  <c r="Z8" i="1"/>
  <c r="Z7" i="1"/>
  <c r="Z6" i="1"/>
  <c r="Z5" i="1"/>
  <c r="AA10" i="1"/>
  <c r="AD10" i="1" s="1"/>
  <c r="AA9" i="1"/>
  <c r="AD9" i="1" s="1"/>
  <c r="AA8" i="1"/>
  <c r="AD8" i="1" s="1"/>
  <c r="AA7" i="1"/>
  <c r="AD7" i="1" s="1"/>
  <c r="AA6" i="1"/>
  <c r="AD6" i="1" s="1"/>
  <c r="AA5" i="1"/>
  <c r="AD5" i="1" s="1"/>
  <c r="L5" i="1"/>
  <c r="O5" i="1" s="1"/>
  <c r="L6" i="1"/>
  <c r="O6" i="1" s="1"/>
  <c r="L7" i="1"/>
  <c r="O7" i="1" s="1"/>
  <c r="L8" i="1"/>
  <c r="O8" i="1" s="1"/>
  <c r="L9" i="1"/>
  <c r="O9" i="1" s="1"/>
  <c r="L10" i="1"/>
  <c r="L4" i="1"/>
  <c r="O4" i="1" s="1"/>
  <c r="K5" i="1"/>
  <c r="K6" i="1"/>
  <c r="K7" i="1"/>
  <c r="K8" i="1"/>
  <c r="K9" i="1"/>
  <c r="K10" i="1"/>
  <c r="K4" i="1"/>
  <c r="O9" i="2" l="1"/>
  <c r="R9" i="2" s="1"/>
  <c r="P9" i="1"/>
  <c r="O8" i="2"/>
  <c r="R8" i="2" s="1"/>
  <c r="P8" i="1"/>
  <c r="O7" i="2"/>
  <c r="R7" i="2" s="1"/>
  <c r="O15" i="2"/>
  <c r="R15" i="2" s="1"/>
  <c r="O6" i="2"/>
  <c r="R6" i="2" s="1"/>
  <c r="P15" i="2"/>
  <c r="S15" i="2" s="1"/>
  <c r="O5" i="2"/>
  <c r="R5" i="2" s="1"/>
  <c r="P7" i="1"/>
  <c r="P10" i="2"/>
  <c r="S10" i="2" s="1"/>
  <c r="P6" i="1"/>
  <c r="P8" i="2"/>
  <c r="P5" i="2"/>
  <c r="P4" i="1"/>
  <c r="P5" i="1"/>
  <c r="AE10" i="1"/>
  <c r="P6" i="2"/>
  <c r="S6" i="2" s="1"/>
  <c r="P7" i="2"/>
  <c r="S7" i="2" s="1"/>
  <c r="AE7" i="1"/>
  <c r="AE8" i="1"/>
  <c r="AE5" i="1"/>
  <c r="AE9" i="1"/>
  <c r="AE4" i="1"/>
  <c r="O20" i="2"/>
  <c r="R20" i="2" s="1"/>
  <c r="P20" i="2"/>
  <c r="S20" i="2" s="1"/>
  <c r="O18" i="2"/>
  <c r="R18" i="2" s="1"/>
  <c r="P16" i="2"/>
  <c r="S16" i="2" s="1"/>
  <c r="P18" i="2"/>
  <c r="P21" i="2"/>
  <c r="O19" i="2"/>
  <c r="R19" i="2" s="1"/>
  <c r="O17" i="2"/>
  <c r="R17" i="2" s="1"/>
  <c r="P17" i="2"/>
  <c r="S17" i="2" s="1"/>
  <c r="O21" i="2"/>
  <c r="R21" i="2" s="1"/>
  <c r="O16" i="2"/>
  <c r="R16" i="2" s="1"/>
  <c r="P19" i="2"/>
  <c r="S19" i="2" s="1"/>
  <c r="P9" i="2"/>
  <c r="S9" i="2" s="1"/>
  <c r="P4" i="2"/>
  <c r="O4" i="2"/>
  <c r="R4" i="2" s="1"/>
  <c r="S5" i="2" l="1"/>
  <c r="S8" i="2"/>
  <c r="S21" i="2"/>
  <c r="S18" i="2"/>
  <c r="S4" i="2"/>
</calcChain>
</file>

<file path=xl/sharedStrings.xml><?xml version="1.0" encoding="utf-8"?>
<sst xmlns="http://schemas.openxmlformats.org/spreadsheetml/2006/main" count="158" uniqueCount="98">
  <si>
    <t>Centroide</t>
  </si>
  <si>
    <t>Co</t>
  </si>
  <si>
    <t>Energia</t>
  </si>
  <si>
    <t>s</t>
  </si>
  <si>
    <t>D1</t>
  </si>
  <si>
    <t>D2</t>
  </si>
  <si>
    <t>Cs</t>
  </si>
  <si>
    <t>Na</t>
  </si>
  <si>
    <t>Bi</t>
  </si>
  <si>
    <t>FWHM</t>
  </si>
  <si>
    <t>pI</t>
  </si>
  <si>
    <t>spI</t>
  </si>
  <si>
    <t>I</t>
  </si>
  <si>
    <t>sI</t>
  </si>
  <si>
    <t>uT</t>
  </si>
  <si>
    <t>uA</t>
  </si>
  <si>
    <t>uB1</t>
  </si>
  <si>
    <t xml:space="preserve">uB2 </t>
  </si>
  <si>
    <t>Ch</t>
  </si>
  <si>
    <t>E</t>
  </si>
  <si>
    <t>sE</t>
  </si>
  <si>
    <t>A</t>
  </si>
  <si>
    <t>B</t>
  </si>
  <si>
    <t>sA</t>
  </si>
  <si>
    <t>sB</t>
  </si>
  <si>
    <t>sSigma</t>
  </si>
  <si>
    <t>Sigma</t>
  </si>
  <si>
    <t>sFWHM</t>
  </si>
  <si>
    <t>R</t>
  </si>
  <si>
    <t>sR</t>
  </si>
  <si>
    <t>Etab</t>
  </si>
  <si>
    <t>sCh</t>
  </si>
  <si>
    <t>lnE</t>
  </si>
  <si>
    <t xml:space="preserve">lnR </t>
  </si>
  <si>
    <t>s(lnR)</t>
  </si>
  <si>
    <t>Esigma</t>
  </si>
  <si>
    <t>sESigma</t>
  </si>
  <si>
    <t>d(mm)</t>
  </si>
  <si>
    <t>A(act)</t>
  </si>
  <si>
    <t>s(I)</t>
  </si>
  <si>
    <t>time</t>
  </si>
  <si>
    <t>centro (ch)</t>
  </si>
  <si>
    <t>s(centro) (ch)</t>
  </si>
  <si>
    <t xml:space="preserve">sd (ch) </t>
  </si>
  <si>
    <t>s(sd) (ch)</t>
  </si>
  <si>
    <t xml:space="preserve">p3 </t>
  </si>
  <si>
    <t>s(p3)</t>
  </si>
  <si>
    <t>s(A)</t>
  </si>
  <si>
    <t>xi2</t>
  </si>
  <si>
    <t>eff_tot</t>
  </si>
  <si>
    <t>s(eff_tot)</t>
  </si>
  <si>
    <t>theta</t>
  </si>
  <si>
    <t>N1</t>
  </si>
  <si>
    <t>sN1</t>
  </si>
  <si>
    <t>N2</t>
  </si>
  <si>
    <t>sN2</t>
  </si>
  <si>
    <t>t2</t>
  </si>
  <si>
    <t>t1</t>
  </si>
  <si>
    <t>Nc</t>
  </si>
  <si>
    <t>sNc</t>
  </si>
  <si>
    <t>tc</t>
  </si>
  <si>
    <t>n1</t>
  </si>
  <si>
    <t>sn1</t>
  </si>
  <si>
    <t>n2</t>
  </si>
  <si>
    <t>sn2</t>
  </si>
  <si>
    <t>nc</t>
  </si>
  <si>
    <t>snc</t>
  </si>
  <si>
    <t>nacc</t>
  </si>
  <si>
    <t>snacc</t>
  </si>
  <si>
    <t>nreal</t>
  </si>
  <si>
    <t>snreal</t>
  </si>
  <si>
    <t>ventana</t>
  </si>
  <si>
    <t>nreal/n90</t>
  </si>
  <si>
    <t>s(nreal/n90)</t>
  </si>
  <si>
    <t>centroide 1</t>
  </si>
  <si>
    <t>sd 1</t>
  </si>
  <si>
    <t>centroide 2</t>
  </si>
  <si>
    <t>sd2</t>
  </si>
  <si>
    <t>E1</t>
  </si>
  <si>
    <t>sE1</t>
  </si>
  <si>
    <t>E2</t>
  </si>
  <si>
    <t>sE2</t>
  </si>
  <si>
    <t>N</t>
  </si>
  <si>
    <t>m</t>
  </si>
  <si>
    <t>v</t>
  </si>
  <si>
    <t>60Co</t>
  </si>
  <si>
    <t>137Cs</t>
  </si>
  <si>
    <t>22Na1</t>
  </si>
  <si>
    <t>22Na2</t>
  </si>
  <si>
    <t>207Bi1</t>
  </si>
  <si>
    <t>207Bi2</t>
  </si>
  <si>
    <t>152Eu</t>
  </si>
  <si>
    <t>Calibracion</t>
  </si>
  <si>
    <t>Resolucion</t>
  </si>
  <si>
    <t>CorrAngAjuste</t>
  </si>
  <si>
    <t>CorrAngTeor</t>
  </si>
  <si>
    <t>xi2red</t>
  </si>
  <si>
    <t>Relativas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</si>
</sst>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E+00"/>
    <numFmt numFmtId="167" formatCode="0.0000000E+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1" xfId="0" applyBorder="1"/>
    <xf numFmtId="2" fontId="0" fillId="0" borderId="11" xfId="0" applyNumberForma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2" fontId="2" fillId="0" borderId="1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2" borderId="18" xfId="0" applyFill="1" applyBorder="1" applyAlignment="1">
      <alignment horizontal="center" vertical="center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eficiencias!$B$6:$B$21</c:f>
              <c:numCache>
                <c:formatCode>General</c:formatCode>
                <c:ptCount val="16"/>
                <c:pt idx="0" formatCode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 formatCode="0">
                  <c:v>500</c:v>
                </c:pt>
                <c:pt idx="7">
                  <c:v>600</c:v>
                </c:pt>
                <c:pt idx="8">
                  <c:v>700</c:v>
                </c:pt>
                <c:pt idx="9" formatCode="0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</c:numCache>
            </c:numRef>
          </c:xVal>
          <c:yVal>
            <c:numRef>
              <c:f>eficiencias!$L$6:$L$21</c:f>
              <c:numCache>
                <c:formatCode>0.00</c:formatCode>
                <c:ptCount val="16"/>
                <c:pt idx="0">
                  <c:v>72.666496843415189</c:v>
                </c:pt>
                <c:pt idx="1">
                  <c:v>77.497301743124723</c:v>
                </c:pt>
                <c:pt idx="2">
                  <c:v>64.829076504350311</c:v>
                </c:pt>
                <c:pt idx="3">
                  <c:v>65.081906280637156</c:v>
                </c:pt>
                <c:pt idx="4">
                  <c:v>62.113803058102619</c:v>
                </c:pt>
                <c:pt idx="5">
                  <c:v>49.892850453551581</c:v>
                </c:pt>
                <c:pt idx="6">
                  <c:v>51.606465809355576</c:v>
                </c:pt>
                <c:pt idx="7">
                  <c:v>41.252494128014376</c:v>
                </c:pt>
                <c:pt idx="8">
                  <c:v>32.42989734212145</c:v>
                </c:pt>
                <c:pt idx="9">
                  <c:v>27.38443178021334</c:v>
                </c:pt>
                <c:pt idx="10">
                  <c:v>23.984718670311494</c:v>
                </c:pt>
                <c:pt idx="11">
                  <c:v>19.913706127713677</c:v>
                </c:pt>
                <c:pt idx="12">
                  <c:v>17.779716669410529</c:v>
                </c:pt>
                <c:pt idx="13">
                  <c:v>15.349880964292977</c:v>
                </c:pt>
                <c:pt idx="14">
                  <c:v>13.841932314716125</c:v>
                </c:pt>
                <c:pt idx="15">
                  <c:v>11.968768544906336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E-4624-88E7-E32A8821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23519"/>
        <c:axId val="142528799"/>
      </c:scatterChart>
      <c:valAx>
        <c:axId val="1425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528799"/>
        <c:crosses val="autoZero"/>
        <c:crossBetween val="midCat"/>
      </c:valAx>
      <c:valAx>
        <c:axId val="1425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52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coincidencias!$B$4:$B$11</c:f>
              <c:numCache>
                <c:formatCode>General</c:formatCode>
                <c:ptCount val="8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60</c:v>
                </c:pt>
                <c:pt idx="7">
                  <c:v>50</c:v>
                </c:pt>
              </c:numCache>
            </c:numRef>
          </c:xVal>
          <c:yVal>
            <c:numRef>
              <c:f>coincidencias!$V$4:$V$11</c:f>
              <c:numCache>
                <c:formatCode>General</c:formatCode>
                <c:ptCount val="8"/>
                <c:pt idx="0">
                  <c:v>0.97966376341689243</c:v>
                </c:pt>
                <c:pt idx="1">
                  <c:v>0.97872940745718862</c:v>
                </c:pt>
                <c:pt idx="2">
                  <c:v>1.0472514101697259</c:v>
                </c:pt>
                <c:pt idx="3">
                  <c:v>1.0318773699130157</c:v>
                </c:pt>
                <c:pt idx="4">
                  <c:v>1</c:v>
                </c:pt>
                <c:pt idx="5">
                  <c:v>1.0200826113413843</c:v>
                </c:pt>
                <c:pt idx="6">
                  <c:v>1.0503165527241454</c:v>
                </c:pt>
                <c:pt idx="7">
                  <c:v>1.0674290045010379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E-4FEF-B548-E5DC782D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59791"/>
        <c:axId val="1616560271"/>
      </c:scatterChart>
      <c:valAx>
        <c:axId val="16165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6560271"/>
        <c:crosses val="autoZero"/>
        <c:crossBetween val="midCat"/>
      </c:valAx>
      <c:valAx>
        <c:axId val="1616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655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3</xdr:row>
      <xdr:rowOff>179070</xdr:rowOff>
    </xdr:from>
    <xdr:to>
      <xdr:col>21</xdr:col>
      <xdr:colOff>617220</xdr:colOff>
      <xdr:row>18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5D9F67-48E6-6155-A746-D2451CCEE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28</xdr:row>
      <xdr:rowOff>157298</xdr:rowOff>
    </xdr:from>
    <xdr:to>
      <xdr:col>20</xdr:col>
      <xdr:colOff>198120</xdr:colOff>
      <xdr:row>43</xdr:row>
      <xdr:rowOff>157298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7DB3E6-F0D9-96E8-4F6E-EE9657FC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E10"/>
  <sheetViews>
    <sheetView tabSelected="1" topLeftCell="G1" zoomScale="85" zoomScaleNormal="85" workbookViewId="0">
      <selection activeCell="K4" sqref="K4"/>
    </sheetView>
  </sheetViews>
  <sheetFormatPr baseColWidth="10" defaultColWidth="8.88671875" defaultRowHeight="14.4"/>
  <sheetData>
    <row r="1" spans="3:31" ht="15" thickBot="1"/>
    <row r="2" spans="3:31" ht="15" thickBot="1">
      <c r="C2" s="1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R2" s="1" t="s">
        <v>5</v>
      </c>
      <c r="S2" s="2"/>
      <c r="T2" s="2"/>
      <c r="U2" s="2"/>
      <c r="V2" s="2"/>
      <c r="W2" s="2"/>
      <c r="X2" s="2"/>
      <c r="Y2" s="2"/>
      <c r="Z2" s="2"/>
      <c r="AA2" s="2"/>
    </row>
    <row r="3" spans="3:31" ht="15" thickBot="1">
      <c r="C3" s="3"/>
      <c r="D3" s="4" t="s">
        <v>2</v>
      </c>
      <c r="E3" s="4" t="s">
        <v>0</v>
      </c>
      <c r="F3" s="5" t="s">
        <v>3</v>
      </c>
      <c r="G3" s="6" t="s">
        <v>9</v>
      </c>
      <c r="H3" s="6" t="s">
        <v>3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15</v>
      </c>
      <c r="N3" s="6" t="s">
        <v>16</v>
      </c>
      <c r="O3" s="6" t="s">
        <v>17</v>
      </c>
      <c r="P3" s="6" t="s">
        <v>14</v>
      </c>
      <c r="R3" s="3"/>
      <c r="S3" s="7" t="s">
        <v>2</v>
      </c>
      <c r="T3" s="4" t="s">
        <v>0</v>
      </c>
      <c r="U3" s="5" t="s">
        <v>3</v>
      </c>
      <c r="V3" s="6" t="s">
        <v>9</v>
      </c>
      <c r="W3" s="6" t="s">
        <v>3</v>
      </c>
      <c r="X3" s="6" t="s">
        <v>10</v>
      </c>
      <c r="Y3" s="6" t="s">
        <v>11</v>
      </c>
      <c r="Z3" s="6" t="s">
        <v>12</v>
      </c>
      <c r="AA3" s="6" t="s">
        <v>13</v>
      </c>
      <c r="AB3" s="6" t="s">
        <v>15</v>
      </c>
      <c r="AC3" s="6" t="s">
        <v>16</v>
      </c>
      <c r="AD3" s="6" t="s">
        <v>17</v>
      </c>
      <c r="AE3" s="6" t="s">
        <v>14</v>
      </c>
    </row>
    <row r="4" spans="3:31">
      <c r="C4" s="1" t="s">
        <v>1</v>
      </c>
      <c r="D4" s="8"/>
      <c r="E4" s="9">
        <v>3070</v>
      </c>
      <c r="F4" s="10">
        <v>3.6</v>
      </c>
      <c r="G4" s="2">
        <v>78.400000000000006</v>
      </c>
      <c r="H4" s="2">
        <v>6.1</v>
      </c>
      <c r="I4" s="2">
        <v>0.45900000000000002</v>
      </c>
      <c r="J4" s="2">
        <v>3.3000000000000002E-2</v>
      </c>
      <c r="K4" s="2">
        <f>I4*SQRT(2*PI())*G4</f>
        <v>90.202522439561335</v>
      </c>
      <c r="L4" s="2">
        <f>SQRT(H4^2*2*PI()*I4^2+J4^2*H4^2*2*PI())</f>
        <v>7.0364237773586282</v>
      </c>
      <c r="M4" s="2">
        <f>F4</f>
        <v>3.6</v>
      </c>
      <c r="N4">
        <f>G4</f>
        <v>78.400000000000006</v>
      </c>
      <c r="O4">
        <f>2*H4/L4</f>
        <v>1.7338353098141146</v>
      </c>
      <c r="P4">
        <f>SQRT(M4^2+N4^2+O4^2)</f>
        <v>78.501759119662793</v>
      </c>
      <c r="R4" s="1" t="s">
        <v>1</v>
      </c>
      <c r="S4" s="8"/>
      <c r="T4" s="9">
        <v>3033</v>
      </c>
      <c r="U4" s="10">
        <v>3.7</v>
      </c>
      <c r="V4" s="2">
        <v>68.3</v>
      </c>
      <c r="W4" s="2">
        <v>4.5</v>
      </c>
      <c r="X4" s="2">
        <v>0.44400000000000001</v>
      </c>
      <c r="Y4" s="2">
        <v>2.3E-2</v>
      </c>
      <c r="Z4" s="2">
        <f>X4*SQRT(2*PI())*V4</f>
        <v>76.014003753840015</v>
      </c>
      <c r="AA4" s="2">
        <f>SQRT(W4^2*2*PI()*X4^2+Y4^2*W4^2*2*PI())</f>
        <v>5.0149584176550226</v>
      </c>
      <c r="AB4" s="2">
        <f>U4</f>
        <v>3.7</v>
      </c>
      <c r="AC4">
        <f>V4</f>
        <v>68.3</v>
      </c>
      <c r="AD4">
        <f>2*W4/AA4</f>
        <v>1.7946310318976422</v>
      </c>
      <c r="AE4">
        <f>SQRT(AB4^2+AC4^2+AD4^2)</f>
        <v>68.423685230632302</v>
      </c>
    </row>
    <row r="5" spans="3:31" ht="15" thickBot="1">
      <c r="C5" s="3"/>
      <c r="D5" s="11"/>
      <c r="E5" s="11">
        <v>3448.8</v>
      </c>
      <c r="F5" s="12">
        <v>4.8</v>
      </c>
      <c r="G5" s="2">
        <v>91.4</v>
      </c>
      <c r="H5" s="2">
        <v>8.1</v>
      </c>
      <c r="I5" s="2">
        <v>0.40699999999999997</v>
      </c>
      <c r="J5" s="2">
        <v>3.5000000000000003E-2</v>
      </c>
      <c r="K5" s="2">
        <f t="shared" ref="K5:K10" si="0">I5*SQRT(2*PI())*G5</f>
        <v>93.24607049061828</v>
      </c>
      <c r="L5" s="2">
        <f t="shared" ref="L5:L10" si="1">SQRT(H5^2*2*PI()*I5^2+J5^2*H5^2*2*PI())</f>
        <v>8.2941004565527354</v>
      </c>
      <c r="M5" s="2">
        <f t="shared" ref="M5:M10" si="2">F5</f>
        <v>4.8</v>
      </c>
      <c r="N5">
        <f t="shared" ref="N5:N10" si="3">G5</f>
        <v>91.4</v>
      </c>
      <c r="O5">
        <f t="shared" ref="O5:O10" si="4">2*H5/L5</f>
        <v>1.9531955375825265</v>
      </c>
      <c r="P5">
        <f t="shared" ref="P5:P10" si="5">SQRT(M5^2+N5^2+O5^2)</f>
        <v>91.54679116609185</v>
      </c>
      <c r="R5" s="3"/>
      <c r="S5" s="11"/>
      <c r="T5" s="11">
        <v>3425.2</v>
      </c>
      <c r="U5" s="12">
        <v>3.9</v>
      </c>
      <c r="V5" s="2">
        <v>77.7</v>
      </c>
      <c r="W5" s="2">
        <v>5.0999999999999996</v>
      </c>
      <c r="X5" s="2">
        <v>0.38500000000000001</v>
      </c>
      <c r="Y5" s="18">
        <v>0.02</v>
      </c>
      <c r="Z5" s="2">
        <f t="shared" ref="Z5:Z10" si="6">X5*SQRT(2*PI())*V5</f>
        <v>74.984531521449057</v>
      </c>
      <c r="AA5" s="2">
        <f t="shared" ref="AA5:AA10" si="7">SQRT(W5^2*2*PI()*X5^2+Y5^2*W5^2*2*PI())</f>
        <v>4.9284010802116649</v>
      </c>
      <c r="AB5" s="2">
        <f t="shared" ref="AB5:AB10" si="8">U5</f>
        <v>3.9</v>
      </c>
      <c r="AC5">
        <f t="shared" ref="AC5:AC10" si="9">V5</f>
        <v>77.7</v>
      </c>
      <c r="AD5">
        <f t="shared" ref="AD5:AD10" si="10">2*W5/AA5</f>
        <v>2.0696367511472769</v>
      </c>
      <c r="AE5">
        <f t="shared" ref="AE5:AE10" si="11">SQRT(AB5^2+AC5^2+AD5^2)</f>
        <v>77.825339037370725</v>
      </c>
    </row>
    <row r="6" spans="3:31" ht="15" thickBot="1">
      <c r="C6" s="13" t="s">
        <v>6</v>
      </c>
      <c r="D6" s="14"/>
      <c r="E6" s="14">
        <v>1753.45</v>
      </c>
      <c r="F6" s="15">
        <v>0.95</v>
      </c>
      <c r="G6" s="2">
        <v>68.180000000000007</v>
      </c>
      <c r="H6" s="2">
        <v>0.87</v>
      </c>
      <c r="I6" s="2">
        <v>18.77</v>
      </c>
      <c r="J6" s="16">
        <v>0.3</v>
      </c>
      <c r="K6" s="2">
        <f t="shared" si="0"/>
        <v>3207.8289588966918</v>
      </c>
      <c r="L6" s="2">
        <f t="shared" si="1"/>
        <v>40.93821699106681</v>
      </c>
      <c r="M6" s="2">
        <f t="shared" si="2"/>
        <v>0.95</v>
      </c>
      <c r="N6">
        <f t="shared" si="3"/>
        <v>68.180000000000007</v>
      </c>
      <c r="O6">
        <f t="shared" si="4"/>
        <v>4.2503072382944478E-2</v>
      </c>
      <c r="P6">
        <f t="shared" si="5"/>
        <v>68.186631435429945</v>
      </c>
      <c r="R6" s="13" t="s">
        <v>6</v>
      </c>
      <c r="S6" s="14"/>
      <c r="T6" s="14">
        <v>1720.4</v>
      </c>
      <c r="U6" s="15">
        <v>0.85</v>
      </c>
      <c r="V6" s="2">
        <v>64.66</v>
      </c>
      <c r="W6" s="2">
        <v>0.75</v>
      </c>
      <c r="X6" s="2">
        <v>19.22</v>
      </c>
      <c r="Y6" s="2">
        <v>0.28999999999999998</v>
      </c>
      <c r="Z6" s="2">
        <f t="shared" si="6"/>
        <v>3115.1503890474496</v>
      </c>
      <c r="AA6" s="2">
        <f t="shared" si="7"/>
        <v>36.137159393083074</v>
      </c>
      <c r="AB6" s="2">
        <f t="shared" si="8"/>
        <v>0.85</v>
      </c>
      <c r="AC6">
        <f t="shared" si="9"/>
        <v>64.66</v>
      </c>
      <c r="AD6">
        <f t="shared" si="10"/>
        <v>4.1508519905610275E-2</v>
      </c>
      <c r="AE6">
        <f t="shared" si="11"/>
        <v>64.665599996885703</v>
      </c>
    </row>
    <row r="7" spans="3:31">
      <c r="C7" s="1" t="s">
        <v>7</v>
      </c>
      <c r="D7" s="8"/>
      <c r="E7" s="8">
        <v>1363.98</v>
      </c>
      <c r="F7" s="10">
        <v>0.81</v>
      </c>
      <c r="G7" s="2">
        <v>58.2</v>
      </c>
      <c r="H7" s="2">
        <v>1.3</v>
      </c>
      <c r="I7" s="2">
        <v>17.559999999999999</v>
      </c>
      <c r="J7" s="2">
        <v>0.33</v>
      </c>
      <c r="K7" s="2">
        <f t="shared" si="0"/>
        <v>2561.7540436466852</v>
      </c>
      <c r="L7" s="2">
        <f t="shared" si="1"/>
        <v>57.231413671242144</v>
      </c>
      <c r="M7" s="2">
        <f t="shared" si="2"/>
        <v>0.81</v>
      </c>
      <c r="N7">
        <f t="shared" si="3"/>
        <v>58.2</v>
      </c>
      <c r="O7">
        <f t="shared" si="4"/>
        <v>4.5429595972158517E-2</v>
      </c>
      <c r="P7">
        <f t="shared" si="5"/>
        <v>58.205654053950724</v>
      </c>
      <c r="R7" s="1" t="s">
        <v>7</v>
      </c>
      <c r="S7" s="8"/>
      <c r="T7" s="8">
        <v>1351.96</v>
      </c>
      <c r="U7" s="10">
        <v>0.65</v>
      </c>
      <c r="V7" s="16">
        <v>53.2</v>
      </c>
      <c r="W7" s="2">
        <v>0.91</v>
      </c>
      <c r="X7" s="2">
        <v>13.07</v>
      </c>
      <c r="Y7" s="16">
        <v>0.2</v>
      </c>
      <c r="Z7" s="2">
        <f t="shared" si="6"/>
        <v>1742.9187984295256</v>
      </c>
      <c r="AA7" s="2">
        <f t="shared" si="7"/>
        <v>29.816574990338559</v>
      </c>
      <c r="AB7" s="2">
        <f t="shared" si="8"/>
        <v>0.65</v>
      </c>
      <c r="AC7">
        <f t="shared" si="9"/>
        <v>53.2</v>
      </c>
      <c r="AD7">
        <f t="shared" si="10"/>
        <v>6.1039874653266955E-2</v>
      </c>
      <c r="AE7">
        <f t="shared" si="11"/>
        <v>53.204005731394872</v>
      </c>
    </row>
    <row r="8" spans="3:31" ht="15" thickBot="1">
      <c r="C8" s="3"/>
      <c r="D8" s="11"/>
      <c r="E8" s="11">
        <v>3283.4</v>
      </c>
      <c r="F8" s="12">
        <v>1.9</v>
      </c>
      <c r="G8" s="2">
        <v>88.1</v>
      </c>
      <c r="H8" s="2">
        <v>1.9</v>
      </c>
      <c r="I8" s="2">
        <v>1.994</v>
      </c>
      <c r="J8" s="2">
        <v>4.8000000000000001E-2</v>
      </c>
      <c r="K8" s="2">
        <f t="shared" si="0"/>
        <v>440.34289828401228</v>
      </c>
      <c r="L8" s="2">
        <f t="shared" si="1"/>
        <v>9.4993629912864712</v>
      </c>
      <c r="M8" s="2">
        <f t="shared" si="2"/>
        <v>1.9</v>
      </c>
      <c r="N8">
        <f t="shared" si="3"/>
        <v>88.1</v>
      </c>
      <c r="O8">
        <f t="shared" si="4"/>
        <v>0.40002682321810895</v>
      </c>
      <c r="P8">
        <f t="shared" si="5"/>
        <v>88.121393664985192</v>
      </c>
      <c r="R8" s="3"/>
      <c r="S8" s="11"/>
      <c r="T8" s="11">
        <v>3268.9</v>
      </c>
      <c r="U8" s="12">
        <v>2.2000000000000002</v>
      </c>
      <c r="V8" s="2">
        <v>84.6</v>
      </c>
      <c r="W8" s="2">
        <v>2.1</v>
      </c>
      <c r="X8" s="2">
        <v>1.2889999999999999</v>
      </c>
      <c r="Y8" s="2">
        <v>3.5999999999999997E-2</v>
      </c>
      <c r="Z8" s="2">
        <f t="shared" si="6"/>
        <v>273.34630937154577</v>
      </c>
      <c r="AA8" s="2">
        <f t="shared" si="7"/>
        <v>6.787837813495134</v>
      </c>
      <c r="AB8" s="2">
        <f t="shared" si="8"/>
        <v>2.2000000000000002</v>
      </c>
      <c r="AC8">
        <f t="shared" si="9"/>
        <v>84.6</v>
      </c>
      <c r="AD8">
        <f t="shared" si="10"/>
        <v>0.61875373504797593</v>
      </c>
      <c r="AE8">
        <f t="shared" si="11"/>
        <v>84.630862315024501</v>
      </c>
    </row>
    <row r="9" spans="3:31">
      <c r="C9" s="1" t="s">
        <v>8</v>
      </c>
      <c r="D9" s="8"/>
      <c r="E9" s="8">
        <v>1535.08</v>
      </c>
      <c r="F9" s="10">
        <v>0.87</v>
      </c>
      <c r="G9" s="2">
        <v>59.26</v>
      </c>
      <c r="H9" s="2">
        <v>0.92</v>
      </c>
      <c r="I9" s="2">
        <v>6.2990000000000004</v>
      </c>
      <c r="J9" s="2">
        <v>9.9000000000000005E-2</v>
      </c>
      <c r="K9" s="2">
        <f t="shared" si="0"/>
        <v>935.67104400263383</v>
      </c>
      <c r="L9" s="2">
        <f t="shared" si="1"/>
        <v>14.527905370557932</v>
      </c>
      <c r="M9" s="2">
        <f t="shared" si="2"/>
        <v>0.87</v>
      </c>
      <c r="N9">
        <f t="shared" si="3"/>
        <v>59.26</v>
      </c>
      <c r="O9">
        <f t="shared" si="4"/>
        <v>0.12665280734337112</v>
      </c>
      <c r="P9">
        <f t="shared" si="5"/>
        <v>59.266521248792792</v>
      </c>
      <c r="R9" s="1" t="s">
        <v>8</v>
      </c>
      <c r="S9" s="8"/>
      <c r="T9" s="8">
        <v>1504.85</v>
      </c>
      <c r="U9" s="10">
        <v>0.95</v>
      </c>
      <c r="V9" s="2">
        <v>57.19</v>
      </c>
      <c r="W9" s="2">
        <v>0.97</v>
      </c>
      <c r="X9" s="2">
        <v>6.52</v>
      </c>
      <c r="Y9" s="2">
        <v>0.12</v>
      </c>
      <c r="Z9" s="2">
        <f t="shared" si="6"/>
        <v>934.66854309047767</v>
      </c>
      <c r="AA9" s="2">
        <f t="shared" si="7"/>
        <v>15.85560464682445</v>
      </c>
      <c r="AB9" s="2">
        <f t="shared" si="8"/>
        <v>0.95</v>
      </c>
      <c r="AC9">
        <f t="shared" si="9"/>
        <v>57.19</v>
      </c>
      <c r="AD9">
        <f t="shared" si="10"/>
        <v>0.12235421122136404</v>
      </c>
      <c r="AE9">
        <f t="shared" si="11"/>
        <v>57.198020687371717</v>
      </c>
    </row>
    <row r="10" spans="3:31" ht="15" thickBot="1">
      <c r="C10" s="3"/>
      <c r="D10" s="11"/>
      <c r="E10" s="11">
        <v>2778.1</v>
      </c>
      <c r="F10" s="12">
        <v>1.9</v>
      </c>
      <c r="G10" s="2">
        <v>80.400000000000006</v>
      </c>
      <c r="H10" s="2">
        <v>2.4</v>
      </c>
      <c r="I10" s="18">
        <v>1.92</v>
      </c>
      <c r="J10" s="2">
        <v>5.2999999999999999E-2</v>
      </c>
      <c r="K10" s="2">
        <f t="shared" si="0"/>
        <v>386.94319349823826</v>
      </c>
      <c r="L10" s="2">
        <f t="shared" si="1"/>
        <v>11.554942950761316</v>
      </c>
      <c r="M10" s="2">
        <f t="shared" si="2"/>
        <v>1.9</v>
      </c>
      <c r="N10">
        <f t="shared" si="3"/>
        <v>80.400000000000006</v>
      </c>
      <c r="O10">
        <f t="shared" si="4"/>
        <v>0.41540663770077241</v>
      </c>
      <c r="P10">
        <f t="shared" si="5"/>
        <v>80.423519959490989</v>
      </c>
      <c r="R10" s="3"/>
      <c r="S10" s="11"/>
      <c r="T10" s="17">
        <v>2746</v>
      </c>
      <c r="U10" s="12">
        <v>1.7</v>
      </c>
      <c r="V10" s="2">
        <v>75.599999999999994</v>
      </c>
      <c r="W10" s="2">
        <v>2.2000000000000002</v>
      </c>
      <c r="X10" s="2">
        <v>1.901</v>
      </c>
      <c r="Y10" s="2">
        <v>4.9000000000000002E-2</v>
      </c>
      <c r="Z10" s="2">
        <f t="shared" si="6"/>
        <v>360.24158646555895</v>
      </c>
      <c r="AA10" s="2">
        <f t="shared" si="7"/>
        <v>10.486702704239129</v>
      </c>
      <c r="AB10" s="2">
        <f t="shared" si="8"/>
        <v>1.7</v>
      </c>
      <c r="AC10">
        <f t="shared" si="9"/>
        <v>75.599999999999994</v>
      </c>
      <c r="AD10">
        <f t="shared" si="10"/>
        <v>0.41957897769156277</v>
      </c>
      <c r="AE10">
        <f t="shared" si="11"/>
        <v>75.620275366587492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6F78-AB57-4960-A339-7EDE44C8E8EB}">
  <dimension ref="A2:S21"/>
  <sheetViews>
    <sheetView zoomScaleNormal="100" workbookViewId="0">
      <selection activeCell="R15" sqref="R15:S21"/>
    </sheetView>
  </sheetViews>
  <sheetFormatPr baseColWidth="10" defaultRowHeight="14.4"/>
  <sheetData>
    <row r="2" spans="1:19">
      <c r="D2" s="22" t="s">
        <v>4</v>
      </c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9">
      <c r="D3" s="22" t="s">
        <v>30</v>
      </c>
      <c r="E3" s="22" t="s">
        <v>18</v>
      </c>
      <c r="F3" s="22" t="s">
        <v>31</v>
      </c>
      <c r="G3" s="22" t="s">
        <v>19</v>
      </c>
      <c r="H3" s="22" t="s">
        <v>20</v>
      </c>
      <c r="I3" s="22" t="s">
        <v>26</v>
      </c>
      <c r="J3" s="22" t="s">
        <v>25</v>
      </c>
      <c r="K3" s="22" t="s">
        <v>35</v>
      </c>
      <c r="L3" s="22" t="s">
        <v>36</v>
      </c>
      <c r="M3" s="22" t="s">
        <v>9</v>
      </c>
      <c r="N3" s="22" t="s">
        <v>27</v>
      </c>
      <c r="O3" s="22" t="s">
        <v>28</v>
      </c>
      <c r="P3" s="22" t="s">
        <v>29</v>
      </c>
      <c r="Q3" s="22" t="s">
        <v>32</v>
      </c>
      <c r="R3" s="22" t="s">
        <v>33</v>
      </c>
      <c r="S3" s="22" t="s">
        <v>34</v>
      </c>
    </row>
    <row r="4" spans="1:19">
      <c r="A4" s="22" t="s">
        <v>21</v>
      </c>
      <c r="B4" s="20">
        <v>0.39529999999999998</v>
      </c>
      <c r="D4" s="20">
        <v>1173.2</v>
      </c>
      <c r="E4" s="21">
        <v>3070</v>
      </c>
      <c r="F4" s="20">
        <v>3.6</v>
      </c>
      <c r="G4" s="20">
        <f>E4*$B$4+$B$6</f>
        <v>1180.971</v>
      </c>
      <c r="H4" s="20">
        <f>SQRT(F4^2*$B$4^2+$B$5^2*E4^2+$B$7^2)</f>
        <v>10.448572997610727</v>
      </c>
      <c r="I4" s="20">
        <v>78.400000000000006</v>
      </c>
      <c r="J4" s="20">
        <v>6.1</v>
      </c>
      <c r="K4" s="23">
        <f>$B$4*I4</f>
        <v>30.991520000000001</v>
      </c>
      <c r="L4" s="23">
        <f>SQRT($B$5^2*I4^2+J4^2*$B$4^2)</f>
        <v>2.4206033940528133</v>
      </c>
      <c r="M4" s="20">
        <f>2.35*K4</f>
        <v>72.830072000000001</v>
      </c>
      <c r="N4" s="20">
        <f>L4*2.35</f>
        <v>5.6884179760241116</v>
      </c>
      <c r="O4" s="20">
        <f t="shared" ref="O4:O10" si="0">M4/G4</f>
        <v>6.1669653192161368E-2</v>
      </c>
      <c r="P4" s="20">
        <f t="shared" ref="P4:P10" si="1">SQRT(N4^2/G4^2+H4^2*M4^2/G4^4)</f>
        <v>4.8475337899827131E-3</v>
      </c>
      <c r="Q4" s="23">
        <f t="shared" ref="Q4:Q10" si="2">LN(D4)</f>
        <v>7.0674903371032958</v>
      </c>
      <c r="R4" s="23">
        <f>LN(O4)</f>
        <v>-2.7859633136014663</v>
      </c>
      <c r="S4" s="23">
        <f>P4/O4</f>
        <v>7.8604849209673644E-2</v>
      </c>
    </row>
    <row r="5" spans="1:19">
      <c r="A5" s="22" t="s">
        <v>23</v>
      </c>
      <c r="B5" s="20">
        <v>2.7000000000000001E-3</v>
      </c>
      <c r="D5" s="20">
        <v>1332.5</v>
      </c>
      <c r="E5" s="20">
        <v>3448.8</v>
      </c>
      <c r="F5" s="20">
        <v>4.8</v>
      </c>
      <c r="G5" s="20">
        <f t="shared" ref="G5:G10" si="3">E5*$B$4+$B$6</f>
        <v>1330.71064</v>
      </c>
      <c r="H5" s="20">
        <f t="shared" ref="H5:H10" si="4">SQRT(F5^2*$B$4^2+$B$5^2*E5^2+$B$7^2)</f>
        <v>11.34676838801251</v>
      </c>
      <c r="I5" s="20">
        <v>91.4</v>
      </c>
      <c r="J5" s="20">
        <v>8.1</v>
      </c>
      <c r="K5" s="23">
        <f t="shared" ref="K5:K10" si="5">$B$4*I5</f>
        <v>36.130420000000001</v>
      </c>
      <c r="L5" s="23">
        <f t="shared" ref="L5:L10" si="6">SQRT($B$5^2*I5^2+J5^2*$B$4^2)</f>
        <v>3.2114258660756905</v>
      </c>
      <c r="M5" s="20">
        <f t="shared" ref="M5:M10" si="7">2.35*K5</f>
        <v>84.906486999999998</v>
      </c>
      <c r="N5" s="20">
        <f t="shared" ref="N5:N10" si="8">L5*2.35</f>
        <v>7.546850785277873</v>
      </c>
      <c r="O5" s="20">
        <f t="shared" si="0"/>
        <v>6.380537169222604E-2</v>
      </c>
      <c r="P5" s="20">
        <f t="shared" si="1"/>
        <v>5.6973302033467496E-3</v>
      </c>
      <c r="Q5" s="23">
        <f t="shared" si="2"/>
        <v>7.1948121560399994</v>
      </c>
      <c r="R5" s="23">
        <f t="shared" ref="R5:R10" si="9">LN(O5)</f>
        <v>-2.7519178963727446</v>
      </c>
      <c r="S5" s="23">
        <f t="shared" ref="S5:S10" si="10">P5/O5</f>
        <v>8.9292328408156652E-2</v>
      </c>
    </row>
    <row r="6" spans="1:19">
      <c r="A6" s="22" t="s">
        <v>22</v>
      </c>
      <c r="B6" s="20">
        <v>-32.6</v>
      </c>
      <c r="D6" s="20">
        <v>661.7</v>
      </c>
      <c r="E6" s="20">
        <v>1753.45</v>
      </c>
      <c r="F6" s="20">
        <v>0.95</v>
      </c>
      <c r="G6" s="20">
        <f t="shared" si="3"/>
        <v>660.53878499999996</v>
      </c>
      <c r="H6" s="20">
        <f t="shared" si="4"/>
        <v>7.8099145357327693</v>
      </c>
      <c r="I6" s="20">
        <v>68.180000000000007</v>
      </c>
      <c r="J6" s="20">
        <v>0.87</v>
      </c>
      <c r="K6" s="23">
        <f t="shared" si="5"/>
        <v>26.951554000000002</v>
      </c>
      <c r="L6" s="23">
        <f t="shared" si="6"/>
        <v>0.39008003193831903</v>
      </c>
      <c r="M6" s="20">
        <f t="shared" si="7"/>
        <v>63.336151900000004</v>
      </c>
      <c r="N6" s="20">
        <f t="shared" si="8"/>
        <v>0.91668807505504979</v>
      </c>
      <c r="O6" s="20">
        <f t="shared" si="0"/>
        <v>9.5885591184475275E-2</v>
      </c>
      <c r="P6" s="20">
        <f t="shared" si="1"/>
        <v>1.7919963994492384E-3</v>
      </c>
      <c r="Q6" s="23">
        <f t="shared" si="2"/>
        <v>6.4948122810180138</v>
      </c>
      <c r="R6" s="23">
        <f t="shared" si="9"/>
        <v>-2.3445995567182236</v>
      </c>
      <c r="S6" s="23">
        <f t="shared" si="10"/>
        <v>1.8688901818434828E-2</v>
      </c>
    </row>
    <row r="7" spans="1:19">
      <c r="A7" s="22" t="s">
        <v>24</v>
      </c>
      <c r="B7" s="20">
        <v>6.2</v>
      </c>
      <c r="D7" s="21">
        <v>511</v>
      </c>
      <c r="E7" s="20">
        <v>1363.98</v>
      </c>
      <c r="F7" s="20">
        <v>0.81</v>
      </c>
      <c r="G7" s="20">
        <f t="shared" si="3"/>
        <v>506.58129399999996</v>
      </c>
      <c r="H7" s="20">
        <f t="shared" si="4"/>
        <v>7.2183891317776023</v>
      </c>
      <c r="I7" s="20">
        <v>58.2</v>
      </c>
      <c r="J7" s="20">
        <v>1.3</v>
      </c>
      <c r="K7" s="23">
        <f t="shared" si="5"/>
        <v>23.006460000000001</v>
      </c>
      <c r="L7" s="23">
        <f t="shared" si="6"/>
        <v>0.53737874139195352</v>
      </c>
      <c r="M7" s="20">
        <f t="shared" si="7"/>
        <v>54.065181000000003</v>
      </c>
      <c r="N7" s="20">
        <f t="shared" si="8"/>
        <v>1.2628400422710908</v>
      </c>
      <c r="O7" s="20">
        <f t="shared" si="0"/>
        <v>0.1067255771982769</v>
      </c>
      <c r="P7" s="20">
        <f t="shared" si="1"/>
        <v>2.9201178732765833E-3</v>
      </c>
      <c r="Q7" s="23">
        <f t="shared" si="2"/>
        <v>6.2363695902037044</v>
      </c>
      <c r="R7" s="23">
        <f t="shared" si="9"/>
        <v>-2.2374944380765411</v>
      </c>
      <c r="S7" s="23">
        <f t="shared" si="10"/>
        <v>2.7360993961658604E-2</v>
      </c>
    </row>
    <row r="8" spans="1:19">
      <c r="D8" s="20">
        <v>1274.5</v>
      </c>
      <c r="E8" s="20">
        <v>3283.4</v>
      </c>
      <c r="F8" s="20">
        <v>1.9</v>
      </c>
      <c r="G8" s="20">
        <f t="shared" si="3"/>
        <v>1265.3280200000002</v>
      </c>
      <c r="H8" s="20">
        <f t="shared" si="4"/>
        <v>10.844146927135395</v>
      </c>
      <c r="I8" s="20">
        <v>88.1</v>
      </c>
      <c r="J8" s="20">
        <v>1.9</v>
      </c>
      <c r="K8" s="23">
        <f t="shared" si="5"/>
        <v>34.82593</v>
      </c>
      <c r="L8" s="23">
        <f t="shared" si="6"/>
        <v>0.78783772555012876</v>
      </c>
      <c r="M8" s="20">
        <f t="shared" si="7"/>
        <v>81.840935500000001</v>
      </c>
      <c r="N8" s="20">
        <f t="shared" si="8"/>
        <v>1.8514186550428027</v>
      </c>
      <c r="O8" s="20">
        <f t="shared" si="0"/>
        <v>6.4679619992924833E-2</v>
      </c>
      <c r="P8" s="20">
        <f t="shared" si="1"/>
        <v>1.5646732002102155E-3</v>
      </c>
      <c r="Q8" s="23">
        <f t="shared" si="2"/>
        <v>7.1503092238161701</v>
      </c>
      <c r="R8" s="23">
        <f t="shared" si="9"/>
        <v>-2.7383091194771807</v>
      </c>
      <c r="S8" s="23">
        <f t="shared" si="10"/>
        <v>2.4191131617368373E-2</v>
      </c>
    </row>
    <row r="9" spans="1:19">
      <c r="D9" s="20">
        <v>569.70000000000005</v>
      </c>
      <c r="E9" s="20">
        <v>1535.08</v>
      </c>
      <c r="F9" s="20">
        <v>0.87</v>
      </c>
      <c r="G9" s="20">
        <f t="shared" si="3"/>
        <v>574.2171239999999</v>
      </c>
      <c r="H9" s="20">
        <f t="shared" si="4"/>
        <v>7.4657180161439936</v>
      </c>
      <c r="I9" s="20">
        <v>59.26</v>
      </c>
      <c r="J9" s="20">
        <v>0.92</v>
      </c>
      <c r="K9" s="23">
        <f t="shared" si="5"/>
        <v>23.425477999999998</v>
      </c>
      <c r="L9" s="23">
        <f t="shared" si="6"/>
        <v>0.39731709374251695</v>
      </c>
      <c r="M9" s="20">
        <f t="shared" si="7"/>
        <v>55.049873299999994</v>
      </c>
      <c r="N9" s="20">
        <f t="shared" si="8"/>
        <v>0.93369517029491489</v>
      </c>
      <c r="O9" s="20">
        <f t="shared" si="0"/>
        <v>9.5869438578428751E-2</v>
      </c>
      <c r="P9" s="20">
        <f t="shared" si="1"/>
        <v>2.0488098335615999E-3</v>
      </c>
      <c r="Q9" s="23">
        <f t="shared" si="2"/>
        <v>6.3451099064863499</v>
      </c>
      <c r="R9" s="23">
        <f t="shared" si="9"/>
        <v>-2.3447680279818428</v>
      </c>
      <c r="S9" s="23">
        <f t="shared" si="10"/>
        <v>2.1370833749959975E-2</v>
      </c>
    </row>
    <row r="10" spans="1:19">
      <c r="D10" s="21">
        <v>1063.7</v>
      </c>
      <c r="E10" s="20">
        <v>2778.1</v>
      </c>
      <c r="F10" s="20">
        <v>1.9</v>
      </c>
      <c r="G10" s="20">
        <f t="shared" si="3"/>
        <v>1065.58293</v>
      </c>
      <c r="H10" s="20">
        <f t="shared" si="4"/>
        <v>9.7604895830998153</v>
      </c>
      <c r="I10" s="20">
        <v>80.400000000000006</v>
      </c>
      <c r="J10" s="20">
        <v>2.4</v>
      </c>
      <c r="K10" s="23">
        <f t="shared" si="5"/>
        <v>31.782120000000003</v>
      </c>
      <c r="L10" s="23">
        <f t="shared" si="6"/>
        <v>0.97323859602874363</v>
      </c>
      <c r="M10" s="20">
        <f t="shared" si="7"/>
        <v>74.687982000000005</v>
      </c>
      <c r="N10" s="20">
        <f t="shared" si="8"/>
        <v>2.2871107006675477</v>
      </c>
      <c r="O10" s="20">
        <f t="shared" si="0"/>
        <v>7.0091195999170144E-2</v>
      </c>
      <c r="P10" s="20">
        <f t="shared" si="1"/>
        <v>2.2403110550906404E-3</v>
      </c>
      <c r="Q10" s="23">
        <f t="shared" si="2"/>
        <v>6.969508675257619</v>
      </c>
      <c r="R10" s="23">
        <f t="shared" si="9"/>
        <v>-2.6579580848521815</v>
      </c>
      <c r="S10" s="23">
        <f t="shared" si="10"/>
        <v>3.1962802505426859E-2</v>
      </c>
    </row>
    <row r="13" spans="1:19">
      <c r="D13" s="22" t="s">
        <v>5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9">
      <c r="D14" s="22" t="s">
        <v>30</v>
      </c>
      <c r="E14" s="22" t="s">
        <v>18</v>
      </c>
      <c r="F14" s="22" t="s">
        <v>31</v>
      </c>
      <c r="G14" s="22" t="s">
        <v>19</v>
      </c>
      <c r="H14" s="22" t="s">
        <v>20</v>
      </c>
      <c r="I14" s="22" t="s">
        <v>26</v>
      </c>
      <c r="J14" s="22" t="s">
        <v>25</v>
      </c>
      <c r="K14" s="22" t="s">
        <v>35</v>
      </c>
      <c r="L14" s="22" t="s">
        <v>36</v>
      </c>
      <c r="M14" s="22" t="s">
        <v>9</v>
      </c>
      <c r="N14" s="22" t="s">
        <v>27</v>
      </c>
      <c r="O14" s="22" t="s">
        <v>28</v>
      </c>
      <c r="P14" s="22" t="s">
        <v>29</v>
      </c>
      <c r="Q14" s="22" t="s">
        <v>32</v>
      </c>
      <c r="R14" s="22" t="s">
        <v>33</v>
      </c>
      <c r="S14" s="22" t="s">
        <v>34</v>
      </c>
    </row>
    <row r="15" spans="1:19">
      <c r="D15" s="20">
        <v>1173.2</v>
      </c>
      <c r="E15" s="21">
        <v>3033</v>
      </c>
      <c r="F15" s="20">
        <v>3.7</v>
      </c>
      <c r="G15" s="20">
        <f>E15*$B$4+$B$6</f>
        <v>1166.3449000000001</v>
      </c>
      <c r="H15" s="20">
        <f>SQRT(F15^2*$B$4^2+$B$5^2*E15^2+$B$7^2)</f>
        <v>10.374998160101041</v>
      </c>
      <c r="I15" s="20">
        <v>68.3</v>
      </c>
      <c r="J15" s="20">
        <v>4.5</v>
      </c>
      <c r="K15" s="23">
        <f>$B$4*I15</f>
        <v>26.998989999999999</v>
      </c>
      <c r="L15" s="23">
        <f>SQRT($B$5^2*I15^2+J15^2*$B$4^2)</f>
        <v>1.7883831721977257</v>
      </c>
      <c r="M15" s="20">
        <f>2.35*K15</f>
        <v>63.447626499999998</v>
      </c>
      <c r="N15" s="20">
        <f>L15*2.35</f>
        <v>4.2027004546646554</v>
      </c>
      <c r="O15" s="20">
        <f t="shared" ref="O15:O21" si="11">M15/G15</f>
        <v>5.4398683013918092E-2</v>
      </c>
      <c r="P15" s="20">
        <f t="shared" ref="P15:P21" si="12">SQRT(N15^2/G15^2+H15^2*M15^2/G15^4)</f>
        <v>3.6356546090317199E-3</v>
      </c>
      <c r="Q15" s="23">
        <f t="shared" ref="Q15:Q21" si="13">LN(D15)</f>
        <v>7.0674903371032958</v>
      </c>
      <c r="R15" s="23">
        <f t="shared" ref="R15:R21" si="14">LN(O15)</f>
        <v>-2.9114153347162661</v>
      </c>
      <c r="S15" s="23">
        <f t="shared" ref="S15:S21" si="15">P15/O15</f>
        <v>6.6833504187987877E-2</v>
      </c>
    </row>
    <row r="16" spans="1:19">
      <c r="D16" s="20">
        <v>1332.5</v>
      </c>
      <c r="E16" s="20">
        <v>3425.2</v>
      </c>
      <c r="F16" s="20">
        <v>3.9</v>
      </c>
      <c r="G16" s="20">
        <f t="shared" ref="G16:G21" si="16">E16*$B$4+$B$6</f>
        <v>1321.38156</v>
      </c>
      <c r="H16" s="20">
        <f t="shared" ref="H16:H21" si="17">SQRT(F16^2*$B$4^2+$B$5^2*E16^2+$B$7^2)</f>
        <v>11.240239776379328</v>
      </c>
      <c r="I16" s="20">
        <v>77.7</v>
      </c>
      <c r="J16" s="20">
        <v>5.0999999999999996</v>
      </c>
      <c r="K16" s="23">
        <f t="shared" ref="K16:K21" si="18">$B$4*I16</f>
        <v>30.71481</v>
      </c>
      <c r="L16" s="23">
        <f t="shared" ref="L16:L21" si="19">SQRT($B$5^2*I16^2+J16^2*$B$4^2)</f>
        <v>2.0269160823773635</v>
      </c>
      <c r="M16" s="20">
        <f t="shared" ref="M16:M21" si="20">2.35*K16</f>
        <v>72.179803500000006</v>
      </c>
      <c r="N16" s="20">
        <f t="shared" ref="N16:N21" si="21">L16*2.35</f>
        <v>4.7632527935868048</v>
      </c>
      <c r="O16" s="20">
        <f t="shared" si="11"/>
        <v>5.4624497332927818E-2</v>
      </c>
      <c r="P16" s="20">
        <f t="shared" si="12"/>
        <v>3.6345763506455374E-3</v>
      </c>
      <c r="Q16" s="23">
        <f t="shared" si="13"/>
        <v>7.1948121560399994</v>
      </c>
      <c r="R16" s="23">
        <f t="shared" si="14"/>
        <v>-2.9072728277519206</v>
      </c>
      <c r="S16" s="23">
        <f t="shared" si="15"/>
        <v>6.6537479118450454E-2</v>
      </c>
    </row>
    <row r="17" spans="4:19">
      <c r="D17" s="20">
        <v>661.7</v>
      </c>
      <c r="E17" s="24">
        <v>1720.4</v>
      </c>
      <c r="F17" s="20">
        <v>0.85</v>
      </c>
      <c r="G17" s="20">
        <f t="shared" si="16"/>
        <v>647.47411999999997</v>
      </c>
      <c r="H17" s="20">
        <f t="shared" si="17"/>
        <v>7.7543321805572019</v>
      </c>
      <c r="I17" s="20">
        <v>64.66</v>
      </c>
      <c r="J17" s="20">
        <v>0.75</v>
      </c>
      <c r="K17" s="23">
        <f t="shared" si="18"/>
        <v>25.560097999999996</v>
      </c>
      <c r="L17" s="23">
        <f t="shared" si="19"/>
        <v>0.34405857110236332</v>
      </c>
      <c r="M17" s="20">
        <f t="shared" si="20"/>
        <v>60.066230299999994</v>
      </c>
      <c r="N17" s="20">
        <f t="shared" si="21"/>
        <v>0.80853764209055379</v>
      </c>
      <c r="O17" s="20">
        <f t="shared" si="11"/>
        <v>9.2770086779684721E-2</v>
      </c>
      <c r="P17" s="20">
        <f t="shared" si="12"/>
        <v>1.671467802954044E-3</v>
      </c>
      <c r="Q17" s="23">
        <f t="shared" si="13"/>
        <v>6.4948122810180138</v>
      </c>
      <c r="R17" s="23">
        <f t="shared" si="14"/>
        <v>-2.3776310318890799</v>
      </c>
      <c r="S17" s="23">
        <f t="shared" si="15"/>
        <v>1.8017314211676159E-2</v>
      </c>
    </row>
    <row r="18" spans="4:19">
      <c r="D18" s="21">
        <v>511</v>
      </c>
      <c r="E18" s="20">
        <v>1351.96</v>
      </c>
      <c r="F18" s="20">
        <v>0.65</v>
      </c>
      <c r="G18" s="20">
        <f t="shared" si="16"/>
        <v>501.82978800000001</v>
      </c>
      <c r="H18" s="20">
        <f t="shared" si="17"/>
        <v>7.1993508331160667</v>
      </c>
      <c r="I18" s="24">
        <v>53.2</v>
      </c>
      <c r="J18" s="20">
        <v>0.91</v>
      </c>
      <c r="K18" s="23">
        <f t="shared" si="18"/>
        <v>21.029959999999999</v>
      </c>
      <c r="L18" s="23">
        <f t="shared" si="19"/>
        <v>0.38734104653263901</v>
      </c>
      <c r="M18" s="20">
        <f t="shared" si="20"/>
        <v>49.420406</v>
      </c>
      <c r="N18" s="20">
        <f t="shared" si="21"/>
        <v>0.91025145935170171</v>
      </c>
      <c r="O18" s="20">
        <f t="shared" si="11"/>
        <v>9.8480415435203292E-2</v>
      </c>
      <c r="P18" s="20">
        <f t="shared" si="12"/>
        <v>2.2991663307633547E-3</v>
      </c>
      <c r="Q18" s="23">
        <f t="shared" si="13"/>
        <v>6.2363695902037044</v>
      </c>
      <c r="R18" s="23">
        <f t="shared" si="14"/>
        <v>-2.3178975786420168</v>
      </c>
      <c r="S18" s="23">
        <f t="shared" si="15"/>
        <v>2.3346432086043815E-2</v>
      </c>
    </row>
    <row r="19" spans="4:19">
      <c r="D19" s="20">
        <v>1274.5</v>
      </c>
      <c r="E19" s="20">
        <v>3268.9</v>
      </c>
      <c r="F19" s="20">
        <v>2.2000000000000002</v>
      </c>
      <c r="G19" s="20">
        <f t="shared" si="16"/>
        <v>1259.59617</v>
      </c>
      <c r="H19" s="20">
        <f t="shared" si="17"/>
        <v>10.821049582942498</v>
      </c>
      <c r="I19" s="20">
        <v>84.6</v>
      </c>
      <c r="J19" s="20">
        <v>2.1</v>
      </c>
      <c r="K19" s="23">
        <f t="shared" si="18"/>
        <v>33.44238</v>
      </c>
      <c r="L19" s="23">
        <f t="shared" si="19"/>
        <v>0.86098287631055703</v>
      </c>
      <c r="M19" s="20">
        <f t="shared" si="20"/>
        <v>78.589593000000008</v>
      </c>
      <c r="N19" s="20">
        <f t="shared" si="21"/>
        <v>2.0233097593298091</v>
      </c>
      <c r="O19" s="20">
        <f t="shared" si="11"/>
        <v>6.2392689714196259E-2</v>
      </c>
      <c r="P19" s="20">
        <f t="shared" si="12"/>
        <v>1.6933862607040528E-3</v>
      </c>
      <c r="Q19" s="23">
        <f t="shared" si="13"/>
        <v>7.1503092238161701</v>
      </c>
      <c r="R19" s="23">
        <f t="shared" si="14"/>
        <v>-2.7743071624856741</v>
      </c>
      <c r="S19" s="23">
        <f t="shared" si="15"/>
        <v>2.7140779928882523E-2</v>
      </c>
    </row>
    <row r="20" spans="4:19">
      <c r="D20" s="20">
        <v>569.70000000000005</v>
      </c>
      <c r="E20" s="20">
        <v>1504.85</v>
      </c>
      <c r="F20" s="20">
        <v>0.95</v>
      </c>
      <c r="G20" s="20">
        <f t="shared" si="16"/>
        <v>562.26720499999988</v>
      </c>
      <c r="H20" s="20">
        <f t="shared" si="17"/>
        <v>7.422248144278794</v>
      </c>
      <c r="I20" s="20">
        <v>57.19</v>
      </c>
      <c r="J20" s="20">
        <v>0.97</v>
      </c>
      <c r="K20" s="23">
        <f t="shared" si="18"/>
        <v>22.607206999999999</v>
      </c>
      <c r="L20" s="23">
        <f t="shared" si="19"/>
        <v>0.41336469981119572</v>
      </c>
      <c r="M20" s="20">
        <f t="shared" si="20"/>
        <v>53.126936450000002</v>
      </c>
      <c r="N20" s="20">
        <f t="shared" si="21"/>
        <v>0.97140704455631</v>
      </c>
      <c r="O20" s="20">
        <f t="shared" si="11"/>
        <v>9.4486991198428544E-2</v>
      </c>
      <c r="P20" s="20">
        <f t="shared" si="12"/>
        <v>2.1308507752179485E-3</v>
      </c>
      <c r="Q20" s="23">
        <f t="shared" si="13"/>
        <v>6.3451099064863499</v>
      </c>
      <c r="R20" s="23">
        <f t="shared" si="14"/>
        <v>-2.3592931132342363</v>
      </c>
      <c r="S20" s="23">
        <f t="shared" si="15"/>
        <v>2.2551789915111486E-2</v>
      </c>
    </row>
    <row r="21" spans="4:19">
      <c r="D21" s="21">
        <v>1063.7</v>
      </c>
      <c r="E21" s="21">
        <v>2746</v>
      </c>
      <c r="F21" s="20">
        <v>1.7</v>
      </c>
      <c r="G21" s="20">
        <f t="shared" si="16"/>
        <v>1052.8938000000001</v>
      </c>
      <c r="H21" s="20">
        <f t="shared" si="17"/>
        <v>9.6882381824612462</v>
      </c>
      <c r="I21" s="20">
        <v>75.599999999999994</v>
      </c>
      <c r="J21" s="20">
        <v>2.2000000000000002</v>
      </c>
      <c r="K21" s="23">
        <f t="shared" si="18"/>
        <v>29.884679999999996</v>
      </c>
      <c r="L21" s="23">
        <f t="shared" si="19"/>
        <v>0.89329361914210492</v>
      </c>
      <c r="M21" s="20">
        <f t="shared" si="20"/>
        <v>70.22899799999999</v>
      </c>
      <c r="N21" s="20">
        <f t="shared" si="21"/>
        <v>2.0992400049839466</v>
      </c>
      <c r="O21" s="20">
        <f t="shared" si="11"/>
        <v>6.6700932230771975E-2</v>
      </c>
      <c r="P21" s="20">
        <f t="shared" si="12"/>
        <v>2.0861098187286669E-3</v>
      </c>
      <c r="Q21" s="23">
        <f t="shared" si="13"/>
        <v>6.969508675257619</v>
      </c>
      <c r="R21" s="23">
        <f t="shared" si="14"/>
        <v>-2.7075363496848861</v>
      </c>
      <c r="S21" s="23">
        <f t="shared" si="15"/>
        <v>3.1275572154091359E-2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3831-7AEC-45A5-91DD-1F339DF33871}">
  <dimension ref="A1:O26"/>
  <sheetViews>
    <sheetView topLeftCell="G1" workbookViewId="0">
      <selection activeCell="N18" sqref="N18:N21"/>
    </sheetView>
  </sheetViews>
  <sheetFormatPr baseColWidth="10" defaultRowHeight="14.4"/>
  <cols>
    <col min="14" max="14" width="16.6640625" bestFit="1" customWidth="1"/>
    <col min="15" max="15" width="12" bestFit="1" customWidth="1"/>
  </cols>
  <sheetData>
    <row r="1" spans="1:15">
      <c r="B1" s="25" t="s">
        <v>38</v>
      </c>
      <c r="D1" s="26" t="s">
        <v>21</v>
      </c>
      <c r="E1" s="26" t="s">
        <v>23</v>
      </c>
      <c r="F1" s="26" t="s">
        <v>22</v>
      </c>
      <c r="G1" s="26" t="s">
        <v>24</v>
      </c>
    </row>
    <row r="2" spans="1:15">
      <c r="B2" s="20">
        <v>136937.52483463468</v>
      </c>
      <c r="D2" s="23">
        <v>0.39350000000000002</v>
      </c>
      <c r="E2" s="23">
        <v>2.7000000000000001E-3</v>
      </c>
      <c r="F2" s="23">
        <v>-32.6</v>
      </c>
      <c r="G2" s="23">
        <v>6.2</v>
      </c>
    </row>
    <row r="5" spans="1:15">
      <c r="A5" s="29" t="s">
        <v>48</v>
      </c>
      <c r="B5" s="29" t="s">
        <v>37</v>
      </c>
      <c r="C5" s="29" t="s">
        <v>41</v>
      </c>
      <c r="D5" s="29" t="s">
        <v>42</v>
      </c>
      <c r="E5" s="29" t="s">
        <v>43</v>
      </c>
      <c r="F5" s="29" t="s">
        <v>44</v>
      </c>
      <c r="G5" s="29" t="s">
        <v>45</v>
      </c>
      <c r="H5" s="29" t="s">
        <v>46</v>
      </c>
      <c r="I5" s="29" t="s">
        <v>12</v>
      </c>
      <c r="J5" s="29" t="s">
        <v>39</v>
      </c>
      <c r="K5" s="29" t="s">
        <v>40</v>
      </c>
      <c r="L5" s="29" t="s">
        <v>21</v>
      </c>
      <c r="M5" s="29" t="s">
        <v>47</v>
      </c>
      <c r="N5" s="32" t="s">
        <v>49</v>
      </c>
      <c r="O5" s="32" t="s">
        <v>50</v>
      </c>
    </row>
    <row r="6" spans="1:15">
      <c r="A6" s="28">
        <v>0.51252731079568303</v>
      </c>
      <c r="B6" s="30">
        <v>200</v>
      </c>
      <c r="C6" s="35">
        <v>1403.6427741165901</v>
      </c>
      <c r="D6" s="28">
        <v>0.69096857161063896</v>
      </c>
      <c r="E6" s="35">
        <v>111.200386482422</v>
      </c>
      <c r="F6" s="28">
        <v>2.0651915660204598</v>
      </c>
      <c r="G6" s="28">
        <v>38.322631915667699</v>
      </c>
      <c r="H6" s="28">
        <v>1.0425640395089899</v>
      </c>
      <c r="I6" s="30">
        <f>G6*E6*SQRT(2*PI())</f>
        <v>10681.975035982032</v>
      </c>
      <c r="J6" s="30">
        <f>SQRT(F6^2*(G6*SQRT(2*PI()))^2+H6^2*(E6*SQRT(2*PI()))^2)</f>
        <v>351.86032853466349</v>
      </c>
      <c r="K6" s="28">
        <v>147</v>
      </c>
      <c r="L6" s="36">
        <f>I6/K6</f>
        <v>72.666496843415189</v>
      </c>
      <c r="M6" s="36">
        <f>SQRT(J6^2*(1/K6)^2+(1/12)*(I6/K6^2)^2)</f>
        <v>2.397857630664916</v>
      </c>
      <c r="N6" s="34">
        <f>L6/$B$2</f>
        <v>5.3065437637467901E-4</v>
      </c>
      <c r="O6" s="33">
        <f>N6/$B$2</f>
        <v>3.8751567695961762E-9</v>
      </c>
    </row>
    <row r="7" spans="1:15">
      <c r="A7" s="28">
        <v>0.59418452867499205</v>
      </c>
      <c r="B7" s="31">
        <v>250</v>
      </c>
      <c r="C7" s="35">
        <v>1482.73355619623</v>
      </c>
      <c r="D7" s="28">
        <v>0.82589152892434803</v>
      </c>
      <c r="E7" s="35">
        <v>108.966936078274</v>
      </c>
      <c r="F7" s="28">
        <v>1.67690184596699</v>
      </c>
      <c r="G7" s="28">
        <v>45.112722003710402</v>
      </c>
      <c r="H7" s="28">
        <v>0.90819539275283101</v>
      </c>
      <c r="I7" s="30">
        <f t="shared" ref="I7:I21" si="0">G7*E7*SQRT(2*PI())</f>
        <v>12322.070977156831</v>
      </c>
      <c r="J7" s="30">
        <f t="shared" ref="J7:J21" si="1">SQRT(F7^2*(G7*SQRT(2*PI()))^2+H7^2*(E7*SQRT(2*PI()))^2)</f>
        <v>312.23968497545133</v>
      </c>
      <c r="K7" s="28">
        <v>159</v>
      </c>
      <c r="L7" s="36">
        <f t="shared" ref="L7:L21" si="2">I7/K7</f>
        <v>77.497301743124723</v>
      </c>
      <c r="M7" s="36">
        <f t="shared" ref="M7:M21" si="3">SQRT(J7^2*(1/K7)^2+(1/12)*(I7/K7^2)^2)</f>
        <v>1.968805686968025</v>
      </c>
      <c r="N7" s="34">
        <f t="shared" ref="N7:N21" si="4">L7/$B$2</f>
        <v>5.6593181333392884E-4</v>
      </c>
      <c r="O7" s="33">
        <f t="shared" ref="O7:O21" si="5">N7/$B$2</f>
        <v>4.1327737887576563E-9</v>
      </c>
    </row>
    <row r="8" spans="1:15">
      <c r="A8" s="28">
        <v>0.97443544308992103</v>
      </c>
      <c r="B8" s="31">
        <v>300</v>
      </c>
      <c r="C8" s="35">
        <v>1544.9443792847301</v>
      </c>
      <c r="D8" s="28">
        <v>0.55682271421826901</v>
      </c>
      <c r="E8" s="35">
        <v>99.141089654730493</v>
      </c>
      <c r="F8" s="28">
        <v>0.77895966526222005</v>
      </c>
      <c r="G8" s="28">
        <v>44.6089831159113</v>
      </c>
      <c r="H8" s="28">
        <v>0.30368227604746101</v>
      </c>
      <c r="I8" s="30">
        <f t="shared" si="0"/>
        <v>11085.772082243902</v>
      </c>
      <c r="J8" s="30">
        <f t="shared" si="1"/>
        <v>115.24821891827554</v>
      </c>
      <c r="K8" s="28">
        <v>171</v>
      </c>
      <c r="L8" s="36">
        <f t="shared" si="2"/>
        <v>64.829076504350311</v>
      </c>
      <c r="M8" s="36">
        <f t="shared" si="3"/>
        <v>0.68279420713395933</v>
      </c>
      <c r="N8" s="34">
        <f t="shared" si="4"/>
        <v>4.7342082882422258E-4</v>
      </c>
      <c r="O8" s="33">
        <f t="shared" si="5"/>
        <v>3.4572030522380486E-9</v>
      </c>
    </row>
    <row r="9" spans="1:15">
      <c r="A9" s="28">
        <v>1.1107098898514001</v>
      </c>
      <c r="B9" s="31">
        <v>350</v>
      </c>
      <c r="C9" s="35">
        <v>1584.2311700709499</v>
      </c>
      <c r="D9" s="28">
        <v>0.51370051227590896</v>
      </c>
      <c r="E9" s="35">
        <v>92.978196039995595</v>
      </c>
      <c r="F9" s="28">
        <v>0.79285742149310601</v>
      </c>
      <c r="G9" s="28">
        <v>44.121097023022102</v>
      </c>
      <c r="H9" s="28">
        <v>0.338508972834899</v>
      </c>
      <c r="I9" s="30">
        <f t="shared" si="0"/>
        <v>10282.941192340671</v>
      </c>
      <c r="J9" s="30">
        <f t="shared" si="1"/>
        <v>117.95362334204243</v>
      </c>
      <c r="K9" s="28">
        <v>158</v>
      </c>
      <c r="L9" s="36">
        <f t="shared" si="2"/>
        <v>65.081906280637156</v>
      </c>
      <c r="M9" s="36">
        <f t="shared" si="3"/>
        <v>0.75595241055601214</v>
      </c>
      <c r="N9" s="34">
        <f t="shared" si="4"/>
        <v>4.7526714360603394E-4</v>
      </c>
      <c r="O9" s="33">
        <f t="shared" si="5"/>
        <v>3.4706859509835968E-9</v>
      </c>
    </row>
    <row r="10" spans="1:15">
      <c r="A10" s="28">
        <v>1.3012869998932</v>
      </c>
      <c r="B10" s="31">
        <v>400</v>
      </c>
      <c r="C10" s="35">
        <v>1614.9202141671601</v>
      </c>
      <c r="D10" s="28">
        <v>0.57147093354688505</v>
      </c>
      <c r="E10" s="35">
        <v>91.858186890157498</v>
      </c>
      <c r="F10" s="28">
        <v>0.89461588955440796</v>
      </c>
      <c r="G10" s="28">
        <v>43.161874755549</v>
      </c>
      <c r="H10" s="28">
        <v>0.39158760071946302</v>
      </c>
      <c r="I10" s="30">
        <f t="shared" si="0"/>
        <v>9938.2084892964194</v>
      </c>
      <c r="J10" s="30">
        <f t="shared" si="1"/>
        <v>132.27935239333871</v>
      </c>
      <c r="K10" s="28">
        <v>160</v>
      </c>
      <c r="L10" s="36">
        <f t="shared" si="2"/>
        <v>62.113803058102619</v>
      </c>
      <c r="M10" s="36">
        <f t="shared" si="3"/>
        <v>0.83430681947859897</v>
      </c>
      <c r="N10" s="34">
        <f t="shared" si="4"/>
        <v>4.5359227233814141E-4</v>
      </c>
      <c r="O10" s="33">
        <f t="shared" si="5"/>
        <v>3.3124030311333436E-9</v>
      </c>
    </row>
    <row r="11" spans="1:15">
      <c r="A11" s="28">
        <v>1.5660947147205599</v>
      </c>
      <c r="B11" s="31">
        <v>450</v>
      </c>
      <c r="C11" s="35">
        <v>1642.4347203499201</v>
      </c>
      <c r="D11" s="28">
        <v>0.53723003095407396</v>
      </c>
      <c r="E11" s="35">
        <v>85.377591961092506</v>
      </c>
      <c r="F11" s="28">
        <v>0.909466995042431</v>
      </c>
      <c r="G11" s="28">
        <v>40.332076655894703</v>
      </c>
      <c r="H11" s="28">
        <v>0.392910920085142</v>
      </c>
      <c r="I11" s="30">
        <f t="shared" si="0"/>
        <v>8631.4631284644238</v>
      </c>
      <c r="J11" s="30">
        <f t="shared" si="1"/>
        <v>124.59715481320166</v>
      </c>
      <c r="K11" s="28">
        <v>173</v>
      </c>
      <c r="L11" s="36">
        <f t="shared" si="2"/>
        <v>49.892850453551581</v>
      </c>
      <c r="M11" s="36">
        <f t="shared" si="3"/>
        <v>0.72501063980973779</v>
      </c>
      <c r="N11" s="34">
        <f t="shared" si="4"/>
        <v>3.6434754106883432E-4</v>
      </c>
      <c r="O11" s="33">
        <f t="shared" si="5"/>
        <v>2.6606844362698922E-9</v>
      </c>
    </row>
    <row r="12" spans="1:15">
      <c r="A12" s="28">
        <v>2.3295894002616802</v>
      </c>
      <c r="B12" s="30">
        <v>500</v>
      </c>
      <c r="C12" s="35">
        <v>1661.1990270060801</v>
      </c>
      <c r="D12" s="28">
        <v>0.63015879771843197</v>
      </c>
      <c r="E12" s="35">
        <v>84.338850578964397</v>
      </c>
      <c r="F12" s="28">
        <v>1.13720879045872</v>
      </c>
      <c r="G12" s="28">
        <v>39.545905166623399</v>
      </c>
      <c r="H12" s="28">
        <v>0.48078258611450703</v>
      </c>
      <c r="I12" s="30">
        <f>G12*E12*SQRT(2*PI())</f>
        <v>8360.2474611156031</v>
      </c>
      <c r="J12" s="30">
        <f>SQRT(F12^2*(G12*SQRT(2*PI()))^2+H12^2*(E12*SQRT(2*PI()))^2)</f>
        <v>151.78393723348944</v>
      </c>
      <c r="K12" s="28">
        <v>162</v>
      </c>
      <c r="L12" s="36">
        <f t="shared" si="2"/>
        <v>51.606465809355576</v>
      </c>
      <c r="M12" s="36">
        <f t="shared" si="3"/>
        <v>0.94143997238017862</v>
      </c>
      <c r="N12" s="34">
        <f t="shared" si="4"/>
        <v>3.7686138895584234E-4</v>
      </c>
      <c r="O12" s="33">
        <f t="shared" si="5"/>
        <v>2.7520680646954804E-9</v>
      </c>
    </row>
    <row r="13" spans="1:15">
      <c r="A13" s="28">
        <v>1.74020982776811</v>
      </c>
      <c r="B13" s="31">
        <v>600</v>
      </c>
      <c r="C13" s="35">
        <v>1692.2504412231101</v>
      </c>
      <c r="D13" s="28">
        <v>0.56013502328668796</v>
      </c>
      <c r="E13" s="35">
        <v>79.412324108733102</v>
      </c>
      <c r="F13" s="28">
        <v>0.71272783453196498</v>
      </c>
      <c r="G13" s="28">
        <v>34.608983330381797</v>
      </c>
      <c r="H13" s="28">
        <v>0.27982018343843001</v>
      </c>
      <c r="I13" s="30">
        <f t="shared" si="0"/>
        <v>6889.1665193784011</v>
      </c>
      <c r="J13" s="30">
        <f t="shared" si="1"/>
        <v>83.219710053660862</v>
      </c>
      <c r="K13" s="28">
        <v>167</v>
      </c>
      <c r="L13" s="36">
        <f t="shared" si="2"/>
        <v>41.252494128014376</v>
      </c>
      <c r="M13" s="36">
        <f t="shared" si="3"/>
        <v>0.50339783348140199</v>
      </c>
      <c r="N13" s="34">
        <f t="shared" si="4"/>
        <v>3.0125047300095983E-4</v>
      </c>
      <c r="O13" s="33">
        <f t="shared" si="5"/>
        <v>2.1999117726477745E-9</v>
      </c>
    </row>
    <row r="14" spans="1:15">
      <c r="A14" s="28">
        <v>2.3201923192790099</v>
      </c>
      <c r="B14" s="31">
        <v>700</v>
      </c>
      <c r="C14" s="35">
        <v>1714.94469900985</v>
      </c>
      <c r="D14" s="28">
        <v>0.72900137558892897</v>
      </c>
      <c r="E14" s="35">
        <v>75.486130211081701</v>
      </c>
      <c r="F14" s="28">
        <v>1.26030683798105</v>
      </c>
      <c r="G14" s="28">
        <v>30.850413039867</v>
      </c>
      <c r="H14" s="28">
        <v>0.51071579747667695</v>
      </c>
      <c r="I14" s="30">
        <f t="shared" si="0"/>
        <v>5837.3815215818613</v>
      </c>
      <c r="J14" s="30">
        <f t="shared" si="1"/>
        <v>137.24756181713087</v>
      </c>
      <c r="K14" s="28">
        <v>180</v>
      </c>
      <c r="L14" s="36">
        <f t="shared" si="2"/>
        <v>32.42989734212145</v>
      </c>
      <c r="M14" s="36">
        <f t="shared" si="3"/>
        <v>0.76425818840608251</v>
      </c>
      <c r="N14" s="34">
        <f t="shared" si="4"/>
        <v>2.3682257570584609E-4</v>
      </c>
      <c r="O14" s="33">
        <f t="shared" si="5"/>
        <v>1.7294205952081599E-9</v>
      </c>
    </row>
    <row r="15" spans="1:15">
      <c r="A15" s="28">
        <v>1.7999948730420099</v>
      </c>
      <c r="B15" s="30">
        <v>800</v>
      </c>
      <c r="C15" s="35">
        <v>1730.40403269733</v>
      </c>
      <c r="D15" s="28">
        <v>0.61501847499948104</v>
      </c>
      <c r="E15" s="35">
        <v>72.802068374250695</v>
      </c>
      <c r="F15" s="28">
        <v>1.2010134563989701</v>
      </c>
      <c r="G15" s="28">
        <v>26.710996091770902</v>
      </c>
      <c r="H15" s="28">
        <v>0.44385929501000498</v>
      </c>
      <c r="I15" s="30">
        <f t="shared" si="0"/>
        <v>4874.4288568779748</v>
      </c>
      <c r="J15" s="30">
        <f t="shared" si="1"/>
        <v>114.13639333935396</v>
      </c>
      <c r="K15" s="28">
        <v>178</v>
      </c>
      <c r="L15" s="36">
        <f t="shared" si="2"/>
        <v>27.38443178021334</v>
      </c>
      <c r="M15" s="36">
        <f t="shared" si="3"/>
        <v>0.64275183779081213</v>
      </c>
      <c r="N15" s="34">
        <f t="shared" si="4"/>
        <v>1.9997755774600639E-4</v>
      </c>
      <c r="O15" s="33">
        <f t="shared" si="5"/>
        <v>1.4603561586752694E-9</v>
      </c>
    </row>
    <row r="16" spans="1:15">
      <c r="A16" s="28">
        <v>2.6001656351373099</v>
      </c>
      <c r="B16" s="31">
        <v>900</v>
      </c>
      <c r="C16" s="35">
        <v>1740.84368572936</v>
      </c>
      <c r="D16" s="28">
        <v>0.73073001534238002</v>
      </c>
      <c r="E16" s="35">
        <v>69.517227280574104</v>
      </c>
      <c r="F16" s="28">
        <v>1.4674524730913701</v>
      </c>
      <c r="G16" s="28">
        <v>23.674493682988</v>
      </c>
      <c r="H16" s="28">
        <v>0.48090216621717702</v>
      </c>
      <c r="I16" s="30">
        <f t="shared" si="0"/>
        <v>4125.3716112935772</v>
      </c>
      <c r="J16" s="30">
        <f t="shared" si="1"/>
        <v>120.8543561422707</v>
      </c>
      <c r="K16" s="28">
        <v>172</v>
      </c>
      <c r="L16" s="36">
        <f t="shared" si="2"/>
        <v>23.984718670311494</v>
      </c>
      <c r="M16" s="36">
        <f t="shared" si="3"/>
        <v>0.7037937616187393</v>
      </c>
      <c r="N16" s="34">
        <f t="shared" si="4"/>
        <v>1.7515081201646785E-4</v>
      </c>
      <c r="O16" s="33">
        <f t="shared" si="5"/>
        <v>1.2790563596645946E-9</v>
      </c>
    </row>
    <row r="17" spans="1:15">
      <c r="A17" s="28">
        <v>2.2207919052006599</v>
      </c>
      <c r="B17" s="31">
        <v>1000</v>
      </c>
      <c r="C17" s="35">
        <v>1750.1230009543101</v>
      </c>
      <c r="D17" s="28">
        <v>0.69396992714344596</v>
      </c>
      <c r="E17" s="35">
        <v>67.0209841143501</v>
      </c>
      <c r="F17" s="28">
        <v>1.3601813595790599</v>
      </c>
      <c r="G17" s="28">
        <v>20.506779524579098</v>
      </c>
      <c r="H17" s="28">
        <v>0.384188284973983</v>
      </c>
      <c r="I17" s="30">
        <f t="shared" si="0"/>
        <v>3445.071160094466</v>
      </c>
      <c r="J17" s="30">
        <f t="shared" si="1"/>
        <v>95.153221319449472</v>
      </c>
      <c r="K17" s="28">
        <v>173</v>
      </c>
      <c r="L17" s="36">
        <f t="shared" si="2"/>
        <v>19.913706127713677</v>
      </c>
      <c r="M17" s="36">
        <f t="shared" si="3"/>
        <v>0.5510214510197271</v>
      </c>
      <c r="N17" s="34">
        <f t="shared" si="4"/>
        <v>1.4542183489705548E-4</v>
      </c>
      <c r="O17" s="33">
        <f t="shared" si="5"/>
        <v>1.0619575245913523E-9</v>
      </c>
    </row>
    <row r="18" spans="1:15">
      <c r="A18" s="28">
        <v>1.7748836058094399</v>
      </c>
      <c r="B18" s="31">
        <v>1100</v>
      </c>
      <c r="C18" s="35">
        <v>1756.06094339224</v>
      </c>
      <c r="D18" s="28">
        <v>0.63025006802266603</v>
      </c>
      <c r="E18" s="35">
        <v>67.198640348264107</v>
      </c>
      <c r="F18" s="28">
        <v>0.79414944328600101</v>
      </c>
      <c r="G18" s="28">
        <v>18.3663841658583</v>
      </c>
      <c r="H18" s="28">
        <v>0.19997969227061299</v>
      </c>
      <c r="I18" s="30">
        <f t="shared" si="0"/>
        <v>3093.6707004774321</v>
      </c>
      <c r="J18" s="30">
        <f t="shared" si="1"/>
        <v>49.712885407517454</v>
      </c>
      <c r="K18" s="28">
        <v>174</v>
      </c>
      <c r="L18" s="36">
        <f t="shared" si="2"/>
        <v>17.779716669410529</v>
      </c>
      <c r="M18" s="36">
        <f t="shared" si="3"/>
        <v>0.28722492221475798</v>
      </c>
      <c r="N18" s="34">
        <f t="shared" si="4"/>
        <v>1.2983816299353489E-4</v>
      </c>
      <c r="O18" s="33">
        <f t="shared" si="5"/>
        <v>9.4815619860463398E-10</v>
      </c>
    </row>
    <row r="19" spans="1:15">
      <c r="A19" s="28">
        <v>1.7503193327781501</v>
      </c>
      <c r="B19" s="31">
        <v>1200</v>
      </c>
      <c r="C19" s="35">
        <v>1760.64622476827</v>
      </c>
      <c r="D19" s="28">
        <v>0.63905932409089194</v>
      </c>
      <c r="E19" s="35">
        <v>65.571129738348404</v>
      </c>
      <c r="F19" s="28">
        <v>0.80876480080352198</v>
      </c>
      <c r="G19" s="28">
        <v>16.5301074972961</v>
      </c>
      <c r="H19" s="28">
        <v>0.187536522528024</v>
      </c>
      <c r="I19" s="30">
        <f t="shared" si="0"/>
        <v>2716.9289306798569</v>
      </c>
      <c r="J19" s="30">
        <f t="shared" si="1"/>
        <v>45.531375520671205</v>
      </c>
      <c r="K19" s="28">
        <v>177</v>
      </c>
      <c r="L19" s="36">
        <f t="shared" si="2"/>
        <v>15.349880964292977</v>
      </c>
      <c r="M19" s="36">
        <f t="shared" si="3"/>
        <v>0.25845472805802633</v>
      </c>
      <c r="N19" s="34">
        <f t="shared" si="4"/>
        <v>1.1209404422074552E-4</v>
      </c>
      <c r="O19" s="33">
        <f t="shared" si="5"/>
        <v>8.185779928190606E-10</v>
      </c>
    </row>
    <row r="20" spans="1:15">
      <c r="A20" s="28">
        <v>1.4576622152597101</v>
      </c>
      <c r="B20" s="31">
        <v>1300</v>
      </c>
      <c r="C20" s="35">
        <v>1764.2961535710799</v>
      </c>
      <c r="D20" s="28">
        <v>0.60877404101089505</v>
      </c>
      <c r="E20" s="35">
        <v>64.783526086647498</v>
      </c>
      <c r="F20" s="28">
        <v>0.768526634875492</v>
      </c>
      <c r="G20" s="28">
        <v>14.916957533256699</v>
      </c>
      <c r="H20" s="28">
        <v>0.16343857411573301</v>
      </c>
      <c r="I20" s="30">
        <f t="shared" si="0"/>
        <v>2422.338155075322</v>
      </c>
      <c r="J20" s="30">
        <f t="shared" si="1"/>
        <v>39.117341515172285</v>
      </c>
      <c r="K20" s="28">
        <v>175</v>
      </c>
      <c r="L20" s="36">
        <f t="shared" si="2"/>
        <v>13.841932314716125</v>
      </c>
      <c r="M20" s="36">
        <f t="shared" si="3"/>
        <v>0.22469084415485677</v>
      </c>
      <c r="N20" s="34">
        <f t="shared" si="4"/>
        <v>1.0108209806940499E-4</v>
      </c>
      <c r="O20" s="33">
        <f t="shared" si="5"/>
        <v>7.3816215234992316E-10</v>
      </c>
    </row>
    <row r="21" spans="1:15">
      <c r="A21" s="28">
        <v>1.6203610346814099</v>
      </c>
      <c r="B21" s="31">
        <v>1400</v>
      </c>
      <c r="C21" s="35">
        <v>1769.65716389576</v>
      </c>
      <c r="D21" s="28">
        <v>0.66811797984906396</v>
      </c>
      <c r="E21" s="35">
        <v>64.437231760314702</v>
      </c>
      <c r="F21" s="28">
        <v>0.85833782437301498</v>
      </c>
      <c r="G21" s="28">
        <v>13.115834440798199</v>
      </c>
      <c r="H21" s="28">
        <v>0.160271315298086</v>
      </c>
      <c r="I21" s="30">
        <f t="shared" si="0"/>
        <v>2118.4720324484215</v>
      </c>
      <c r="J21" s="30">
        <f t="shared" si="1"/>
        <v>38.294393877005035</v>
      </c>
      <c r="K21" s="28">
        <v>177</v>
      </c>
      <c r="L21" s="36">
        <f t="shared" si="2"/>
        <v>11.968768544906336</v>
      </c>
      <c r="M21" s="36">
        <f t="shared" si="3"/>
        <v>0.21723132403058973</v>
      </c>
      <c r="N21" s="34">
        <f t="shared" si="4"/>
        <v>8.7403131897993507E-5</v>
      </c>
      <c r="O21" s="33">
        <f t="shared" si="5"/>
        <v>6.3827013087567673E-10</v>
      </c>
    </row>
    <row r="22" spans="1:15">
      <c r="C22" s="27"/>
      <c r="D22" s="27"/>
      <c r="E22" s="27"/>
      <c r="F22" s="27"/>
      <c r="G22" s="27"/>
      <c r="H22" s="27"/>
    </row>
    <row r="23" spans="1:15">
      <c r="C23" s="27"/>
      <c r="D23" s="27"/>
      <c r="E23" s="27"/>
      <c r="F23" s="27"/>
      <c r="G23" s="27"/>
      <c r="H23" s="27"/>
    </row>
    <row r="24" spans="1:15">
      <c r="C24" s="27"/>
      <c r="D24" s="27"/>
      <c r="E24" s="27"/>
      <c r="F24" s="27"/>
      <c r="G24" s="27"/>
      <c r="H24" s="27"/>
    </row>
    <row r="25" spans="1:15">
      <c r="C25" s="27"/>
      <c r="D25" s="27"/>
      <c r="E25" s="27"/>
      <c r="F25" s="27"/>
      <c r="G25" s="27"/>
      <c r="H25" s="27"/>
    </row>
    <row r="26" spans="1:15">
      <c r="C26" s="27"/>
      <c r="D26" s="27"/>
      <c r="E26" s="27"/>
      <c r="F26" s="27"/>
      <c r="G26" s="27"/>
      <c r="H26" s="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49EB-D378-4180-8819-17D703F79F53}">
  <dimension ref="B1:AL41"/>
  <sheetViews>
    <sheetView zoomScale="70" zoomScaleNormal="70" workbookViewId="0">
      <selection activeCell="W14" sqref="W14"/>
    </sheetView>
  </sheetViews>
  <sheetFormatPr baseColWidth="10" defaultRowHeight="14.4"/>
  <sheetData>
    <row r="1" spans="2:38">
      <c r="B1" t="s">
        <v>71</v>
      </c>
      <c r="C1">
        <f>3.69*10^(-6)</f>
        <v>3.6899999999999998E-6</v>
      </c>
      <c r="D1">
        <f>0.25*10^(-6)</f>
        <v>2.4999999999999999E-7</v>
      </c>
    </row>
    <row r="2" spans="2:38" ht="15" thickBot="1"/>
    <row r="3" spans="2:38" ht="15" thickBot="1">
      <c r="B3" s="38" t="s">
        <v>51</v>
      </c>
      <c r="C3" s="39" t="s">
        <v>52</v>
      </c>
      <c r="D3" s="40" t="s">
        <v>53</v>
      </c>
      <c r="E3" s="40" t="s">
        <v>57</v>
      </c>
      <c r="F3" s="40" t="s">
        <v>54</v>
      </c>
      <c r="G3" s="40" t="s">
        <v>55</v>
      </c>
      <c r="H3" s="40" t="s">
        <v>56</v>
      </c>
      <c r="I3" s="40" t="s">
        <v>58</v>
      </c>
      <c r="J3" s="40" t="s">
        <v>59</v>
      </c>
      <c r="K3" s="41" t="s">
        <v>60</v>
      </c>
      <c r="L3" s="39" t="s">
        <v>61</v>
      </c>
      <c r="M3" s="40" t="s">
        <v>62</v>
      </c>
      <c r="N3" s="40" t="s">
        <v>63</v>
      </c>
      <c r="O3" s="40" t="s">
        <v>64</v>
      </c>
      <c r="P3" s="40" t="s">
        <v>65</v>
      </c>
      <c r="Q3" s="41" t="s">
        <v>66</v>
      </c>
      <c r="R3" s="39" t="s">
        <v>67</v>
      </c>
      <c r="S3" s="41" t="s">
        <v>68</v>
      </c>
      <c r="T3" s="39" t="s">
        <v>69</v>
      </c>
      <c r="U3" s="41" t="s">
        <v>70</v>
      </c>
      <c r="V3" s="39" t="s">
        <v>72</v>
      </c>
      <c r="W3" s="41" t="s">
        <v>73</v>
      </c>
      <c r="AE3" s="2"/>
      <c r="AF3" s="61" t="s">
        <v>21</v>
      </c>
      <c r="AG3" s="61" t="s">
        <v>23</v>
      </c>
      <c r="AH3" s="61" t="s">
        <v>22</v>
      </c>
      <c r="AI3" s="61" t="s">
        <v>24</v>
      </c>
    </row>
    <row r="4" spans="2:38">
      <c r="B4" s="42">
        <v>180</v>
      </c>
      <c r="C4" s="45">
        <v>5363</v>
      </c>
      <c r="D4" s="8">
        <f>SQRT(C4)</f>
        <v>73.232506443518645</v>
      </c>
      <c r="E4" s="46">
        <v>32</v>
      </c>
      <c r="F4" s="46">
        <v>5150</v>
      </c>
      <c r="G4" s="8">
        <f>SQRT(F4)</f>
        <v>71.763500472036625</v>
      </c>
      <c r="H4" s="46">
        <v>29</v>
      </c>
      <c r="I4" s="46">
        <v>1038</v>
      </c>
      <c r="J4" s="8">
        <f>SQRT(I4)</f>
        <v>32.218007387174026</v>
      </c>
      <c r="K4" s="47">
        <v>877</v>
      </c>
      <c r="L4" s="53">
        <f>C4/E4</f>
        <v>167.59375</v>
      </c>
      <c r="M4" s="8">
        <f>SQRT(D4^2/E4^2+(1/12)*C4^2/E4^4)</f>
        <v>2.7428242233099422</v>
      </c>
      <c r="N4" s="8">
        <f>F4/H4</f>
        <v>177.58620689655172</v>
      </c>
      <c r="O4" s="8">
        <f>SQRT(G4^2/H4^2+(1/12)*F4^2/H4^4)</f>
        <v>3.041150929730128</v>
      </c>
      <c r="P4" s="8">
        <f>I4/K4</f>
        <v>1.1835803876852908</v>
      </c>
      <c r="Q4" s="10">
        <f>SQRT(J4^2/K4^2+(1/12)*I4^2/K4^4)</f>
        <v>3.6738676206832035E-2</v>
      </c>
      <c r="R4" s="53">
        <f>2*$C$1*L4*N4</f>
        <v>0.21964605711206894</v>
      </c>
      <c r="S4" s="10">
        <f>SQRT($D$1^2*4*L4^2*N4^2 + M4^2*4*$C$1^2*N4^2 + O4^2*4*$C$1^2*L4^2)</f>
        <v>1.5764498739402381E-2</v>
      </c>
      <c r="T4" s="53">
        <f>P4-R4</f>
        <v>0.96393433057322186</v>
      </c>
      <c r="U4" s="10">
        <f>SQRT(Q4^2+S4^2)</f>
        <v>3.9978115887758715E-2</v>
      </c>
      <c r="V4" s="57">
        <f>T4/$T$8</f>
        <v>0.97966376341689243</v>
      </c>
      <c r="W4" s="58">
        <f>SQRT(U4^2/$T$8^2+$U$8^2*T4^2/$T$8^4)</f>
        <v>5.8896750544763225E-2</v>
      </c>
      <c r="AE4" s="29" t="s">
        <v>4</v>
      </c>
      <c r="AF4" s="31">
        <v>0.39529999999999998</v>
      </c>
      <c r="AG4" s="31">
        <v>2.7000000000000001E-3</v>
      </c>
      <c r="AH4" s="31">
        <v>-32.6</v>
      </c>
      <c r="AI4" s="31">
        <v>6.2</v>
      </c>
    </row>
    <row r="5" spans="2:38">
      <c r="B5" s="43">
        <v>150</v>
      </c>
      <c r="C5" s="48">
        <v>5254</v>
      </c>
      <c r="D5" s="2">
        <f t="shared" ref="D5:D11" si="0">SQRT(C5)</f>
        <v>72.484481097680487</v>
      </c>
      <c r="E5" s="37">
        <v>30</v>
      </c>
      <c r="F5" s="37">
        <v>5466</v>
      </c>
      <c r="G5" s="2">
        <f t="shared" ref="G5:G11" si="1">SQRT(F5)</f>
        <v>73.932401557098089</v>
      </c>
      <c r="H5" s="37">
        <v>31</v>
      </c>
      <c r="I5" s="37">
        <v>1048</v>
      </c>
      <c r="J5" s="2">
        <f t="shared" ref="J5:J11" si="2">SQRT(I5)</f>
        <v>32.372828112477293</v>
      </c>
      <c r="K5" s="49">
        <v>880</v>
      </c>
      <c r="L5" s="54">
        <f t="shared" ref="L5:L11" si="3">C5/E5</f>
        <v>175.13333333333333</v>
      </c>
      <c r="M5" s="2">
        <f t="shared" ref="M5:M11" si="4">SQRT(D5^2/E5^2+(1/12)*C5^2/E5^4)</f>
        <v>2.9458018534298573</v>
      </c>
      <c r="N5" s="2">
        <f t="shared" ref="N5:N11" si="5">F5/H5</f>
        <v>176.32258064516128</v>
      </c>
      <c r="O5" s="2">
        <f t="shared" ref="O5:O11" si="6">SQRT(G5^2/H5^2+(1/12)*F5^2/H5^4)</f>
        <v>2.8954743060993353</v>
      </c>
      <c r="P5" s="2">
        <f t="shared" ref="P5:P11" si="7">I5/K5</f>
        <v>1.1909090909090909</v>
      </c>
      <c r="Q5" s="55">
        <f t="shared" ref="Q5:Q11" si="8">SQRT(J5^2/K5^2+(1/12)*I5^2/K5^4)</f>
        <v>3.6789378967798637E-2</v>
      </c>
      <c r="R5" s="54">
        <f t="shared" ref="R5:R11" si="9">2*$C$1*L5*N5</f>
        <v>0.22789411432258058</v>
      </c>
      <c r="S5" s="55">
        <f t="shared" ref="S5:S11" si="10">SQRT($D$1^2*4*L5^2*N5^2 + M5^2*4*$C$1^2*N5^2 + O5^2*4*$C$1^2*L5^2)</f>
        <v>1.6342951664130356E-2</v>
      </c>
      <c r="T5" s="54">
        <f>P5-R5</f>
        <v>0.96301497658651036</v>
      </c>
      <c r="U5" s="55">
        <f t="shared" ref="U5:U11" si="11">SQRT(Q5^2+S5^2)</f>
        <v>4.0256061331585907E-2</v>
      </c>
      <c r="V5" s="57">
        <f>T5/$T$8</f>
        <v>0.97872940745718862</v>
      </c>
      <c r="W5" s="58">
        <f>SQRT(U5^2/$T$8^2+$U$8^2*T5^2/$T$8^4)</f>
        <v>5.9062640643408174E-2</v>
      </c>
      <c r="AE5" s="29" t="s">
        <v>5</v>
      </c>
      <c r="AF5" s="31">
        <v>0.39610000000000001</v>
      </c>
      <c r="AG5" s="31">
        <v>1.5E-3</v>
      </c>
      <c r="AH5" s="31">
        <v>-24.1</v>
      </c>
      <c r="AI5" s="31">
        <v>3.4</v>
      </c>
    </row>
    <row r="6" spans="2:38">
      <c r="B6" s="43">
        <v>120</v>
      </c>
      <c r="C6" s="48">
        <v>5363</v>
      </c>
      <c r="D6" s="2">
        <f t="shared" si="0"/>
        <v>73.232506443518645</v>
      </c>
      <c r="E6" s="37">
        <v>29</v>
      </c>
      <c r="F6" s="37">
        <v>5476</v>
      </c>
      <c r="G6" s="2">
        <f>SQRT(F6)</f>
        <v>74</v>
      </c>
      <c r="H6" s="37">
        <v>30</v>
      </c>
      <c r="I6" s="37">
        <v>1039</v>
      </c>
      <c r="J6" s="2">
        <f t="shared" si="2"/>
        <v>32.233522922572398</v>
      </c>
      <c r="K6" s="49">
        <v>812</v>
      </c>
      <c r="L6" s="54">
        <f t="shared" si="3"/>
        <v>184.93103448275863</v>
      </c>
      <c r="M6" s="2">
        <f t="shared" si="4"/>
        <v>3.12501268352342</v>
      </c>
      <c r="N6" s="2">
        <f t="shared" si="5"/>
        <v>182.53333333333333</v>
      </c>
      <c r="O6" s="2">
        <f t="shared" si="6"/>
        <v>3.0281154415860727</v>
      </c>
      <c r="P6" s="2">
        <f t="shared" si="7"/>
        <v>1.2795566502463054</v>
      </c>
      <c r="Q6" s="55">
        <f t="shared" si="8"/>
        <v>3.9699063133190104E-2</v>
      </c>
      <c r="R6" s="54">
        <f t="shared" si="9"/>
        <v>0.24911985682758619</v>
      </c>
      <c r="S6" s="55">
        <f t="shared" si="10"/>
        <v>1.7879297813163528E-2</v>
      </c>
      <c r="T6" s="54">
        <f t="shared" ref="T6:T11" si="12">P6-R6</f>
        <v>1.0304367934187191</v>
      </c>
      <c r="U6" s="55">
        <f t="shared" si="11"/>
        <v>4.3539463753528337E-2</v>
      </c>
      <c r="V6" s="57">
        <f>T6/$T$8</f>
        <v>1.0472514101697259</v>
      </c>
      <c r="W6" s="58">
        <f>SQRT(U6^2/$T$8^2+$U$8^2*T6^2/$T$8^4)</f>
        <v>6.3525983849448145E-2</v>
      </c>
    </row>
    <row r="7" spans="2:38">
      <c r="B7" s="43">
        <v>100</v>
      </c>
      <c r="C7" s="48">
        <v>5210</v>
      </c>
      <c r="D7" s="2">
        <f t="shared" si="0"/>
        <v>72.180329730474355</v>
      </c>
      <c r="E7" s="37">
        <v>28</v>
      </c>
      <c r="F7" s="37">
        <v>5470</v>
      </c>
      <c r="G7" s="2">
        <f t="shared" si="1"/>
        <v>73.95944834840239</v>
      </c>
      <c r="H7" s="37">
        <v>31</v>
      </c>
      <c r="I7" s="37">
        <v>991</v>
      </c>
      <c r="J7" s="2">
        <f t="shared" si="2"/>
        <v>31.480152477394387</v>
      </c>
      <c r="K7" s="49">
        <v>788</v>
      </c>
      <c r="L7" s="54">
        <f t="shared" si="3"/>
        <v>186.07142857142858</v>
      </c>
      <c r="M7" s="2">
        <f t="shared" si="4"/>
        <v>3.2133361118881942</v>
      </c>
      <c r="N7" s="2">
        <f t="shared" si="5"/>
        <v>176.45161290322579</v>
      </c>
      <c r="O7" s="2">
        <f t="shared" si="6"/>
        <v>2.8968743501159757</v>
      </c>
      <c r="P7" s="2">
        <f t="shared" si="7"/>
        <v>1.2576142131979695</v>
      </c>
      <c r="Q7" s="55">
        <f t="shared" si="8"/>
        <v>3.9952088555451529E-2</v>
      </c>
      <c r="R7" s="54">
        <f t="shared" si="9"/>
        <v>0.24230461520737329</v>
      </c>
      <c r="S7" s="55">
        <f t="shared" si="10"/>
        <v>1.7401986127480749E-2</v>
      </c>
      <c r="T7" s="54">
        <f t="shared" si="12"/>
        <v>1.0153095979905962</v>
      </c>
      <c r="U7" s="55">
        <f t="shared" si="11"/>
        <v>4.3577499941181499E-2</v>
      </c>
      <c r="V7" s="57">
        <f>T7/$T$8</f>
        <v>1.0318773699130157</v>
      </c>
      <c r="W7" s="58">
        <f>SQRT(U7^2/$T$8^2+$U$8^2*T7^2/$T$8^4)</f>
        <v>6.3074751024659315E-2</v>
      </c>
    </row>
    <row r="8" spans="2:38">
      <c r="B8" s="43">
        <v>90</v>
      </c>
      <c r="C8" s="48">
        <v>5277</v>
      </c>
      <c r="D8" s="2">
        <f>SQRT(C8)</f>
        <v>72.642962494656018</v>
      </c>
      <c r="E8" s="37">
        <v>29</v>
      </c>
      <c r="F8" s="37">
        <v>5262</v>
      </c>
      <c r="G8" s="2">
        <f t="shared" si="1"/>
        <v>72.539644333288535</v>
      </c>
      <c r="H8" s="37">
        <v>29</v>
      </c>
      <c r="I8" s="37">
        <v>987</v>
      </c>
      <c r="J8" s="2">
        <f t="shared" si="2"/>
        <v>31.416556144810016</v>
      </c>
      <c r="K8" s="49">
        <v>804</v>
      </c>
      <c r="L8" s="54">
        <f>C8/E8</f>
        <v>181.9655172413793</v>
      </c>
      <c r="M8" s="2">
        <f>SQRT(D8^2/E8^2+(1/12)*C8^2/E8^4)</f>
        <v>3.0912187114101082</v>
      </c>
      <c r="N8" s="2">
        <f t="shared" si="5"/>
        <v>181.44827586206895</v>
      </c>
      <c r="O8" s="2">
        <f t="shared" si="6"/>
        <v>3.0853154304418822</v>
      </c>
      <c r="P8" s="2">
        <f t="shared" si="7"/>
        <v>1.2276119402985075</v>
      </c>
      <c r="Q8" s="55">
        <f t="shared" si="8"/>
        <v>3.9077804481618073E-2</v>
      </c>
      <c r="R8" s="54">
        <f t="shared" si="9"/>
        <v>0.24366789074910816</v>
      </c>
      <c r="S8" s="55">
        <f t="shared" si="10"/>
        <v>1.7516780301529051E-2</v>
      </c>
      <c r="T8" s="54">
        <f t="shared" si="12"/>
        <v>0.9839440495493994</v>
      </c>
      <c r="U8" s="55">
        <f t="shared" si="11"/>
        <v>4.2824203381214294E-2</v>
      </c>
      <c r="V8" s="57">
        <f t="shared" ref="V8" si="13">T8/$T$8</f>
        <v>1</v>
      </c>
      <c r="W8" s="58">
        <f t="shared" ref="W8" si="14">SQRT(U8^2/$T$8^2+$U$8^2*T8^2/$T$8^4)</f>
        <v>6.1550826235772099E-2</v>
      </c>
      <c r="AD8" s="19"/>
      <c r="AE8" s="25" t="s">
        <v>74</v>
      </c>
      <c r="AF8" s="25" t="s">
        <v>75</v>
      </c>
      <c r="AG8" s="25" t="s">
        <v>76</v>
      </c>
      <c r="AH8" s="25" t="s">
        <v>77</v>
      </c>
      <c r="AI8" s="25" t="s">
        <v>78</v>
      </c>
      <c r="AJ8" s="25" t="s">
        <v>79</v>
      </c>
      <c r="AK8" s="25" t="s">
        <v>80</v>
      </c>
      <c r="AL8" s="25" t="s">
        <v>81</v>
      </c>
    </row>
    <row r="9" spans="2:38">
      <c r="B9" s="43">
        <v>80</v>
      </c>
      <c r="C9" s="48">
        <v>5164</v>
      </c>
      <c r="D9" s="2">
        <f t="shared" si="0"/>
        <v>71.860976892886725</v>
      </c>
      <c r="E9" s="37">
        <v>28</v>
      </c>
      <c r="F9" s="37">
        <v>5241</v>
      </c>
      <c r="G9" s="2">
        <f t="shared" si="1"/>
        <v>72.394751190953059</v>
      </c>
      <c r="H9" s="37">
        <v>29</v>
      </c>
      <c r="I9" s="37">
        <v>991</v>
      </c>
      <c r="J9" s="2">
        <f t="shared" si="2"/>
        <v>31.480152477394387</v>
      </c>
      <c r="K9" s="49">
        <v>793</v>
      </c>
      <c r="L9" s="54">
        <f t="shared" si="3"/>
        <v>184.42857142857142</v>
      </c>
      <c r="M9" s="2">
        <f t="shared" si="4"/>
        <v>3.194081639716138</v>
      </c>
      <c r="N9" s="2">
        <f t="shared" si="5"/>
        <v>180.72413793103448</v>
      </c>
      <c r="O9" s="2">
        <f t="shared" si="6"/>
        <v>3.0770462843126323</v>
      </c>
      <c r="P9" s="2">
        <f t="shared" si="7"/>
        <v>1.2496847414880201</v>
      </c>
      <c r="Q9" s="55">
        <f t="shared" si="8"/>
        <v>3.9700150653845322E-2</v>
      </c>
      <c r="R9" s="54">
        <f t="shared" si="9"/>
        <v>0.24598052600985218</v>
      </c>
      <c r="S9" s="55">
        <f t="shared" si="10"/>
        <v>1.7703741243983571E-2</v>
      </c>
      <c r="T9" s="54">
        <f t="shared" si="12"/>
        <v>1.0037042154781679</v>
      </c>
      <c r="U9" s="55">
        <f t="shared" si="11"/>
        <v>4.3468660158462902E-2</v>
      </c>
      <c r="V9" s="57">
        <f>T9/$T$8</f>
        <v>1.0200826113413843</v>
      </c>
      <c r="W9" s="58">
        <f>SQRT(U9^2/$T$8^2+$U$8^2*T9^2/$T$8^4)</f>
        <v>6.2632204323665286E-2</v>
      </c>
      <c r="AD9" s="25" t="s">
        <v>4</v>
      </c>
      <c r="AE9" s="21">
        <v>3070</v>
      </c>
      <c r="AF9" s="20">
        <v>78.400000000000006</v>
      </c>
      <c r="AG9" s="20">
        <v>3448.8</v>
      </c>
      <c r="AH9" s="20">
        <v>91.4</v>
      </c>
      <c r="AI9" s="20">
        <f>AF4*AE9+AH4</f>
        <v>1180.971</v>
      </c>
      <c r="AJ9" s="20">
        <f>AF4*AF9</f>
        <v>30.991520000000001</v>
      </c>
      <c r="AK9" s="20">
        <f>AF4*AG9+AH4</f>
        <v>1330.71064</v>
      </c>
      <c r="AL9" s="20"/>
    </row>
    <row r="10" spans="2:38">
      <c r="B10" s="43">
        <v>60</v>
      </c>
      <c r="C10" s="48">
        <v>8167</v>
      </c>
      <c r="D10" s="2">
        <f t="shared" si="0"/>
        <v>90.371455670471519</v>
      </c>
      <c r="E10" s="37">
        <v>44</v>
      </c>
      <c r="F10" s="37">
        <v>10128</v>
      </c>
      <c r="G10" s="2">
        <f t="shared" si="1"/>
        <v>100.637965003273</v>
      </c>
      <c r="H10" s="37">
        <v>57</v>
      </c>
      <c r="I10" s="37">
        <v>1070</v>
      </c>
      <c r="J10" s="2">
        <f t="shared" si="2"/>
        <v>32.710854467592249</v>
      </c>
      <c r="K10" s="49">
        <v>838</v>
      </c>
      <c r="L10" s="54">
        <f t="shared" si="3"/>
        <v>185.61363636363637</v>
      </c>
      <c r="M10" s="2">
        <f t="shared" si="4"/>
        <v>2.3877739519833434</v>
      </c>
      <c r="N10" s="2">
        <f t="shared" si="5"/>
        <v>177.68421052631578</v>
      </c>
      <c r="O10" s="2">
        <f t="shared" si="6"/>
        <v>1.9816776318421609</v>
      </c>
      <c r="P10" s="2">
        <f t="shared" si="7"/>
        <v>1.2768496420047732</v>
      </c>
      <c r="Q10" s="55">
        <f t="shared" si="8"/>
        <v>3.9036910637499887E-2</v>
      </c>
      <c r="R10" s="54">
        <f t="shared" si="9"/>
        <v>0.24339691980861242</v>
      </c>
      <c r="S10" s="55">
        <f t="shared" si="10"/>
        <v>1.7003025676457277E-2</v>
      </c>
      <c r="T10" s="54">
        <f t="shared" si="12"/>
        <v>1.0334527221961609</v>
      </c>
      <c r="U10" s="55">
        <f t="shared" si="11"/>
        <v>4.2579141305038287E-2</v>
      </c>
      <c r="V10" s="57">
        <f>T10/$T$8</f>
        <v>1.0503165527241454</v>
      </c>
      <c r="W10" s="58">
        <f>SQRT(U10^2/$T$8^2+$U$8^2*T10^2/$T$8^4)</f>
        <v>6.294685640040977E-2</v>
      </c>
      <c r="AD10" s="25" t="s">
        <v>5</v>
      </c>
      <c r="AE10" s="21">
        <v>3033</v>
      </c>
      <c r="AF10" s="20">
        <v>68.3</v>
      </c>
      <c r="AG10" s="20">
        <v>3425.2</v>
      </c>
      <c r="AH10" s="20">
        <v>77.7</v>
      </c>
      <c r="AI10" s="20">
        <f>AF5*AE10+AH5</f>
        <v>1177.2713000000001</v>
      </c>
      <c r="AJ10" s="20">
        <f>AF5*AF10</f>
        <v>27.053629999999998</v>
      </c>
      <c r="AK10" s="20">
        <f>AF5*AG10+AH5</f>
        <v>1332.6217200000001</v>
      </c>
      <c r="AL10" s="20"/>
    </row>
    <row r="11" spans="2:38" ht="15" thickBot="1">
      <c r="B11" s="44">
        <v>50</v>
      </c>
      <c r="C11" s="50">
        <v>9227</v>
      </c>
      <c r="D11" s="11">
        <f t="shared" si="0"/>
        <v>96.0572745813663</v>
      </c>
      <c r="E11" s="51">
        <v>52</v>
      </c>
      <c r="F11" s="51">
        <v>6213</v>
      </c>
      <c r="G11" s="11">
        <f t="shared" si="1"/>
        <v>78.822585595754219</v>
      </c>
      <c r="H11" s="51">
        <v>35</v>
      </c>
      <c r="I11" s="51">
        <v>989</v>
      </c>
      <c r="J11" s="11">
        <f t="shared" si="2"/>
        <v>31.448370387032774</v>
      </c>
      <c r="K11" s="52">
        <v>771</v>
      </c>
      <c r="L11" s="56">
        <f t="shared" si="3"/>
        <v>177.44230769230768</v>
      </c>
      <c r="M11" s="11">
        <f t="shared" si="4"/>
        <v>2.0934893421544123</v>
      </c>
      <c r="N11" s="11">
        <f t="shared" si="5"/>
        <v>177.51428571428571</v>
      </c>
      <c r="O11" s="11">
        <f t="shared" si="6"/>
        <v>2.6861615842393149</v>
      </c>
      <c r="P11" s="11">
        <f t="shared" si="7"/>
        <v>1.2827496757457848</v>
      </c>
      <c r="Q11" s="12">
        <f t="shared" si="8"/>
        <v>4.0791894165443751E-2</v>
      </c>
      <c r="R11" s="56">
        <f t="shared" si="9"/>
        <v>0.23245925845054941</v>
      </c>
      <c r="S11" s="12">
        <f t="shared" si="10"/>
        <v>1.6368714845151903E-2</v>
      </c>
      <c r="T11" s="56">
        <f t="shared" si="12"/>
        <v>1.0502904172952354</v>
      </c>
      <c r="U11" s="12">
        <f t="shared" si="11"/>
        <v>4.3953537460444073E-2</v>
      </c>
      <c r="V11" s="59">
        <f>T11/$T$8</f>
        <v>1.0674290045010379</v>
      </c>
      <c r="W11" s="60">
        <f>SQRT(U11^2/$T$8^2+$U$8^2*T11^2/$T$8^4)</f>
        <v>6.4449959863912068E-2</v>
      </c>
    </row>
    <row r="12" spans="2:38">
      <c r="B12" s="2"/>
      <c r="C12" s="27"/>
      <c r="D12" s="2" t="s">
        <v>97</v>
      </c>
      <c r="E12" s="37"/>
      <c r="F12" s="27"/>
      <c r="G12" s="2" t="s">
        <v>97</v>
      </c>
      <c r="H12" s="27"/>
      <c r="I12" s="27"/>
      <c r="J12" s="2" t="s">
        <v>97</v>
      </c>
      <c r="K12" s="27"/>
      <c r="L12" s="2"/>
      <c r="M12" s="2" t="s">
        <v>97</v>
      </c>
      <c r="N12" s="2"/>
      <c r="O12" s="2" t="s">
        <v>97</v>
      </c>
      <c r="P12" s="2"/>
      <c r="Q12" s="2" t="s">
        <v>97</v>
      </c>
      <c r="R12" s="2"/>
      <c r="S12" s="2" t="s">
        <v>97</v>
      </c>
      <c r="T12" s="2"/>
      <c r="U12" s="2" t="s">
        <v>97</v>
      </c>
      <c r="W12" s="2" t="s">
        <v>97</v>
      </c>
    </row>
    <row r="13" spans="2:38">
      <c r="B13" s="2"/>
      <c r="C13" s="37"/>
      <c r="D13" s="2">
        <f>100*D4/C4</f>
        <v>1.3655138251635026</v>
      </c>
      <c r="E13" s="37"/>
      <c r="F13" s="37"/>
      <c r="G13" s="2">
        <f>100*G4/F4</f>
        <v>1.3934660285832354</v>
      </c>
      <c r="H13" s="37"/>
      <c r="I13" s="37"/>
      <c r="J13" s="2">
        <f>100*J4/I4</f>
        <v>3.1038542762210044</v>
      </c>
      <c r="K13" s="37"/>
      <c r="L13" s="2"/>
      <c r="M13" s="2">
        <f>100*M4/L4</f>
        <v>1.6365909965675582</v>
      </c>
      <c r="N13" s="2"/>
      <c r="O13" s="2">
        <f>100*O4/N4</f>
        <v>1.7124927565470625</v>
      </c>
      <c r="P13" s="2"/>
      <c r="Q13" s="2">
        <f>100*Q4/P4</f>
        <v>3.1040288086119165</v>
      </c>
      <c r="R13" s="2"/>
      <c r="S13" s="2">
        <f>100*S4/R4</f>
        <v>7.1772281946126348</v>
      </c>
      <c r="T13" s="2"/>
      <c r="U13" s="2">
        <f>100*U4/T4</f>
        <v>4.1473899849572708</v>
      </c>
      <c r="W13" s="2">
        <f>100*W4/V4</f>
        <v>6.0119351908395453</v>
      </c>
    </row>
    <row r="14" spans="2:38">
      <c r="B14" s="2"/>
      <c r="C14" s="37"/>
      <c r="D14" s="2">
        <f t="shared" ref="D14:D19" si="15">100*D5/C5</f>
        <v>1.3796056546950988</v>
      </c>
      <c r="E14" s="37"/>
      <c r="F14" s="37"/>
      <c r="G14" s="2">
        <f t="shared" ref="G14:G19" si="16">100*G5/F5</f>
        <v>1.3525869293285417</v>
      </c>
      <c r="H14" s="37"/>
      <c r="I14" s="37"/>
      <c r="J14" s="2">
        <f t="shared" ref="J14:J19" si="17">100*J5/I5</f>
        <v>3.0890103160760773</v>
      </c>
      <c r="K14" s="37"/>
      <c r="L14" s="2"/>
      <c r="M14" s="2">
        <f t="shared" ref="M14:M19" si="18">100*M5/L5</f>
        <v>1.6820337952587689</v>
      </c>
      <c r="N14" s="2"/>
      <c r="O14" s="2">
        <f t="shared" ref="O14:Q19" si="19">100*O5/N5</f>
        <v>1.6421460572462385</v>
      </c>
      <c r="P14" s="2"/>
      <c r="Q14" s="2">
        <f t="shared" si="19"/>
        <v>3.0891844934792747</v>
      </c>
      <c r="R14" s="2"/>
      <c r="S14" s="2">
        <f t="shared" ref="S14:U14" si="20">100*S5/R5</f>
        <v>7.1712916819769914</v>
      </c>
      <c r="T14" s="2"/>
      <c r="U14" s="2">
        <f t="shared" si="20"/>
        <v>4.1802113477276324</v>
      </c>
      <c r="W14" s="2">
        <f t="shared" ref="W14" si="21">100*W5/V5</f>
        <v>6.034624094606218</v>
      </c>
    </row>
    <row r="15" spans="2:38">
      <c r="B15" s="2"/>
      <c r="C15" s="37"/>
      <c r="D15" s="2">
        <f t="shared" si="15"/>
        <v>1.3655138251635026</v>
      </c>
      <c r="E15" s="37"/>
      <c r="F15" s="37"/>
      <c r="G15" s="2">
        <f t="shared" si="16"/>
        <v>1.3513513513513513</v>
      </c>
      <c r="H15" s="37"/>
      <c r="I15" s="37"/>
      <c r="J15" s="2">
        <f t="shared" si="17"/>
        <v>3.1023602427884884</v>
      </c>
      <c r="K15" s="37"/>
      <c r="L15" s="2"/>
      <c r="M15" s="2">
        <f t="shared" si="18"/>
        <v>1.6898259895987164</v>
      </c>
      <c r="N15" s="2"/>
      <c r="O15" s="2">
        <f t="shared" si="19"/>
        <v>1.6589383354196892</v>
      </c>
      <c r="P15" s="2"/>
      <c r="Q15" s="2">
        <f t="shared" si="19"/>
        <v>3.1025639330269845</v>
      </c>
      <c r="R15" s="2"/>
      <c r="S15" s="2">
        <f t="shared" ref="S15:U15" si="22">100*S6/R6</f>
        <v>7.1769862269701141</v>
      </c>
      <c r="T15" s="2"/>
      <c r="U15" s="2">
        <f t="shared" si="22"/>
        <v>4.2253405576751399</v>
      </c>
      <c r="W15" s="2">
        <f t="shared" ref="W15" si="23">100*W6/V6</f>
        <v>6.0659726243913692</v>
      </c>
    </row>
    <row r="16" spans="2:38">
      <c r="B16" s="2"/>
      <c r="C16" s="37"/>
      <c r="D16" s="2">
        <f t="shared" si="15"/>
        <v>1.385418996746149</v>
      </c>
      <c r="E16" s="37"/>
      <c r="F16" s="37"/>
      <c r="G16" s="2">
        <f t="shared" si="16"/>
        <v>1.352092291561287</v>
      </c>
      <c r="H16" s="37"/>
      <c r="I16" s="37"/>
      <c r="J16" s="2">
        <f t="shared" si="17"/>
        <v>3.1766046899489795</v>
      </c>
      <c r="K16" s="37"/>
      <c r="L16" s="2"/>
      <c r="M16" s="2">
        <f t="shared" si="18"/>
        <v>1.7269368739514286</v>
      </c>
      <c r="N16" s="2"/>
      <c r="O16" s="2">
        <f t="shared" si="19"/>
        <v>1.6417386627713941</v>
      </c>
      <c r="P16" s="2"/>
      <c r="Q16" s="2">
        <f t="shared" si="19"/>
        <v>3.1768159214627452</v>
      </c>
      <c r="R16" s="2"/>
      <c r="S16" s="2">
        <f t="shared" ref="S16:U16" si="24">100*S7/R7</f>
        <v>7.181863256128028</v>
      </c>
      <c r="T16" s="2"/>
      <c r="U16" s="2">
        <f t="shared" si="24"/>
        <v>4.2920405783049747</v>
      </c>
      <c r="W16" s="2">
        <f t="shared" ref="W16" si="25">100*W7/V7</f>
        <v>6.1126208272186773</v>
      </c>
    </row>
    <row r="17" spans="2:23">
      <c r="B17" s="2"/>
      <c r="C17" s="37"/>
      <c r="D17" s="2">
        <f t="shared" si="15"/>
        <v>1.3765958403383745</v>
      </c>
      <c r="E17" s="37"/>
      <c r="F17" s="37"/>
      <c r="G17" s="2">
        <f t="shared" si="16"/>
        <v>1.378556524767931</v>
      </c>
      <c r="H17" s="37"/>
      <c r="I17" s="37"/>
      <c r="J17" s="2">
        <f t="shared" si="17"/>
        <v>3.1830350703961514</v>
      </c>
      <c r="K17" s="37"/>
      <c r="L17" s="2"/>
      <c r="M17" s="2">
        <f t="shared" si="18"/>
        <v>1.6987936826017274</v>
      </c>
      <c r="N17" s="2"/>
      <c r="O17" s="2">
        <f t="shared" si="19"/>
        <v>1.7003828864084869</v>
      </c>
      <c r="P17" s="2"/>
      <c r="Q17" s="2">
        <f t="shared" si="19"/>
        <v>3.1832375687153927</v>
      </c>
      <c r="R17" s="2"/>
      <c r="S17" s="2">
        <f t="shared" ref="S17:U17" si="26">100*S8/R8</f>
        <v>7.1887930115359948</v>
      </c>
      <c r="T17" s="2"/>
      <c r="U17" s="2">
        <f t="shared" si="26"/>
        <v>4.3523006618949305</v>
      </c>
      <c r="W17" s="2">
        <f t="shared" ref="W17" si="27">100*W8/V8</f>
        <v>6.1550826235772096</v>
      </c>
    </row>
    <row r="18" spans="2:23">
      <c r="B18" s="2"/>
      <c r="C18" s="37"/>
      <c r="D18" s="2">
        <f t="shared" si="15"/>
        <v>1.3915758499784416</v>
      </c>
      <c r="E18" s="37"/>
      <c r="F18" s="37"/>
      <c r="G18" s="2">
        <f t="shared" si="16"/>
        <v>1.3813156113518996</v>
      </c>
      <c r="H18" s="37"/>
      <c r="I18" s="37"/>
      <c r="J18" s="2">
        <f t="shared" si="17"/>
        <v>3.1766046899489795</v>
      </c>
      <c r="K18" s="37"/>
      <c r="L18" s="2"/>
      <c r="M18" s="2">
        <f t="shared" si="18"/>
        <v>1.7318800525184328</v>
      </c>
      <c r="N18" s="2"/>
      <c r="O18" s="2">
        <f t="shared" si="19"/>
        <v>1.7026205351090697</v>
      </c>
      <c r="P18" s="2"/>
      <c r="Q18" s="2">
        <f t="shared" si="19"/>
        <v>3.1768132662461492</v>
      </c>
      <c r="R18" s="2"/>
      <c r="S18" s="2">
        <f t="shared" ref="S18:U18" si="28">100*S9/R9</f>
        <v>7.1972125318873772</v>
      </c>
      <c r="T18" s="2"/>
      <c r="U18" s="2">
        <f t="shared" si="28"/>
        <v>4.3308237116204884</v>
      </c>
      <c r="W18" s="2">
        <f t="shared" ref="W18" si="29">100*W9/V9</f>
        <v>6.1399149076078681</v>
      </c>
    </row>
    <row r="19" spans="2:23">
      <c r="B19" s="2"/>
      <c r="C19" s="37"/>
      <c r="D19" s="2">
        <f t="shared" si="15"/>
        <v>1.1065440880429964</v>
      </c>
      <c r="E19" s="37"/>
      <c r="F19" s="37"/>
      <c r="G19" s="2">
        <f t="shared" si="16"/>
        <v>0.9936607918964554</v>
      </c>
      <c r="H19" s="37"/>
      <c r="I19" s="37"/>
      <c r="J19" s="2">
        <f t="shared" si="17"/>
        <v>3.0570892025787146</v>
      </c>
      <c r="K19" s="37"/>
      <c r="L19" s="2"/>
      <c r="M19" s="2">
        <f t="shared" si="18"/>
        <v>1.2864216222268532</v>
      </c>
      <c r="N19" s="2"/>
      <c r="O19" s="2">
        <f t="shared" si="19"/>
        <v>1.1152806577310741</v>
      </c>
      <c r="P19" s="2"/>
      <c r="Q19" s="2">
        <f t="shared" si="19"/>
        <v>3.057283281703262</v>
      </c>
      <c r="R19" s="2"/>
      <c r="S19" s="2">
        <f t="shared" ref="S19:U19" si="30">100*S10/R10</f>
        <v>6.9857193303132501</v>
      </c>
      <c r="T19" s="2"/>
      <c r="U19" s="2">
        <f t="shared" si="30"/>
        <v>4.1200860368875478</v>
      </c>
      <c r="W19" s="2">
        <f t="shared" ref="W19" si="31">100*W10/V10</f>
        <v>5.9931319026771641</v>
      </c>
    </row>
    <row r="20" spans="2:23">
      <c r="B20" s="2"/>
      <c r="C20" s="37"/>
      <c r="D20" s="2">
        <f>100*D11/C11</f>
        <v>1.0410455682384989</v>
      </c>
      <c r="E20" s="37"/>
      <c r="F20" s="37"/>
      <c r="G20" s="2">
        <f>100*G11/F11</f>
        <v>1.2686719072228265</v>
      </c>
      <c r="H20" s="37"/>
      <c r="I20" s="37"/>
      <c r="J20" s="2">
        <f>100*J11/I11</f>
        <v>3.1798150037444666</v>
      </c>
      <c r="K20" s="37"/>
      <c r="L20" s="2"/>
      <c r="M20" s="2">
        <f>100*M11/L11</f>
        <v>1.1798140868324423</v>
      </c>
      <c r="N20" s="2"/>
      <c r="O20" s="2">
        <f>100*O11/N11</f>
        <v>1.5132086825748596</v>
      </c>
      <c r="P20" s="2"/>
      <c r="Q20" s="2">
        <f>100*Q11/P11</f>
        <v>3.180035429884442</v>
      </c>
      <c r="R20" s="2"/>
      <c r="S20" s="2">
        <f>100*S11/R11</f>
        <v>7.0415413669720488</v>
      </c>
      <c r="T20" s="2"/>
      <c r="U20" s="2">
        <f>100*U11/T11</f>
        <v>4.1848936957489906</v>
      </c>
      <c r="W20" s="2">
        <f>100*W11/V11</f>
        <v>6.0378685226038744</v>
      </c>
    </row>
    <row r="21" spans="2:23">
      <c r="B21" s="2"/>
      <c r="C21" s="37"/>
      <c r="D21" s="2"/>
      <c r="E21" s="37"/>
      <c r="F21" s="37"/>
      <c r="G21" s="2"/>
      <c r="H21" s="37"/>
      <c r="I21" s="37"/>
      <c r="J21" s="2"/>
      <c r="K21" s="37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23">
      <c r="B22" s="2"/>
      <c r="C22" s="37"/>
      <c r="D22" s="2"/>
      <c r="E22" s="37"/>
      <c r="F22" s="37"/>
      <c r="G22" s="2"/>
      <c r="H22" s="37"/>
      <c r="I22" s="37"/>
      <c r="J22" s="2"/>
      <c r="K22" s="37"/>
      <c r="L22" s="2"/>
      <c r="M22" s="2"/>
      <c r="N22" s="2"/>
      <c r="O22" s="2"/>
      <c r="P22" s="2"/>
      <c r="Q22" s="2"/>
      <c r="R22" s="2"/>
      <c r="S22" s="2"/>
      <c r="T22" s="2"/>
      <c r="U22" s="2"/>
    </row>
    <row r="40" spans="3:22">
      <c r="C40" s="2"/>
      <c r="D40" s="37"/>
      <c r="E40" s="2"/>
      <c r="F40" s="37"/>
      <c r="G40" s="37"/>
      <c r="H40" s="2"/>
      <c r="I40" s="37"/>
      <c r="J40" s="37"/>
      <c r="K40" s="2"/>
      <c r="L40" s="37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3:22">
      <c r="C41" s="2"/>
      <c r="D41" s="37"/>
      <c r="E41" s="2"/>
      <c r="F41" s="37"/>
      <c r="G41" s="37"/>
      <c r="H41" s="2"/>
      <c r="I41" s="37"/>
      <c r="J41" s="37"/>
      <c r="K41" s="2"/>
      <c r="L41" s="37"/>
      <c r="M41" s="2"/>
      <c r="N41" s="2"/>
      <c r="O41" s="2"/>
      <c r="P41" s="2"/>
      <c r="Q41" s="2"/>
      <c r="R41" s="2"/>
      <c r="S41" s="2"/>
      <c r="T41" s="2"/>
      <c r="U41" s="2"/>
      <c r="V4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2CEE-6890-4644-9EA0-31A5D6261E8C}">
  <dimension ref="A2:H22"/>
  <sheetViews>
    <sheetView topLeftCell="A87" workbookViewId="0">
      <selection activeCell="G19" sqref="G19"/>
    </sheetView>
  </sheetViews>
  <sheetFormatPr baseColWidth="10" defaultRowHeight="14.4"/>
  <cols>
    <col min="1" max="1" width="12.33203125" customWidth="1"/>
    <col min="7" max="7" width="12" bestFit="1" customWidth="1"/>
  </cols>
  <sheetData>
    <row r="2" spans="1:7">
      <c r="B2" t="s">
        <v>96</v>
      </c>
      <c r="C2" t="s">
        <v>82</v>
      </c>
      <c r="D2" t="s">
        <v>83</v>
      </c>
      <c r="E2" t="s">
        <v>84</v>
      </c>
      <c r="F2" t="s">
        <v>48</v>
      </c>
    </row>
    <row r="3" spans="1:7">
      <c r="A3" t="s">
        <v>85</v>
      </c>
      <c r="B3">
        <v>1.2981</v>
      </c>
      <c r="C3">
        <f>2^9</f>
        <v>512</v>
      </c>
      <c r="D3">
        <v>9</v>
      </c>
      <c r="E3">
        <f>C3-D3</f>
        <v>503</v>
      </c>
      <c r="F3" s="62">
        <f>B3*E3</f>
        <v>652.9443</v>
      </c>
      <c r="G3">
        <f>_xlfn.CHISQ.DIST.RT(F3,E3)</f>
        <v>6.9278315100854615E-6</v>
      </c>
    </row>
    <row r="4" spans="1:7">
      <c r="B4">
        <v>2.4156</v>
      </c>
      <c r="C4">
        <f t="shared" ref="C4:C19" si="0">2^9</f>
        <v>512</v>
      </c>
      <c r="D4">
        <v>9</v>
      </c>
      <c r="E4">
        <f t="shared" ref="E4:E23" si="1">C4-D4</f>
        <v>503</v>
      </c>
      <c r="F4" s="62">
        <f t="shared" ref="F4:F22" si="2">B4*E4</f>
        <v>1215.0468000000001</v>
      </c>
      <c r="G4">
        <f t="shared" ref="G4:G22" si="3">_xlfn.CHISQ.DIST.RT(F4,E4)</f>
        <v>9.1051796154382545E-61</v>
      </c>
    </row>
    <row r="5" spans="1:7">
      <c r="A5" t="s">
        <v>86</v>
      </c>
      <c r="B5">
        <v>11.311999999999999</v>
      </c>
      <c r="C5">
        <f t="shared" si="0"/>
        <v>512</v>
      </c>
      <c r="D5">
        <v>6</v>
      </c>
      <c r="E5">
        <f>C5-D5</f>
        <v>506</v>
      </c>
      <c r="F5" s="62">
        <f t="shared" si="2"/>
        <v>5723.8719999999994</v>
      </c>
      <c r="G5">
        <f t="shared" si="3"/>
        <v>0</v>
      </c>
    </row>
    <row r="6" spans="1:7">
      <c r="B6">
        <v>3.7082999999999999</v>
      </c>
      <c r="C6">
        <f t="shared" si="0"/>
        <v>512</v>
      </c>
      <c r="D6">
        <v>6</v>
      </c>
      <c r="E6">
        <f t="shared" si="1"/>
        <v>506</v>
      </c>
      <c r="F6" s="62">
        <f t="shared" si="2"/>
        <v>1876.3997999999999</v>
      </c>
      <c r="G6">
        <f t="shared" si="3"/>
        <v>2.4453976071513762E-156</v>
      </c>
    </row>
    <row r="7" spans="1:7">
      <c r="A7" t="s">
        <v>87</v>
      </c>
      <c r="B7">
        <v>5.1006999999999998</v>
      </c>
      <c r="C7">
        <f t="shared" si="0"/>
        <v>512</v>
      </c>
      <c r="D7">
        <v>6</v>
      </c>
      <c r="E7">
        <f t="shared" si="1"/>
        <v>506</v>
      </c>
      <c r="F7" s="62">
        <f t="shared" si="2"/>
        <v>2580.9541999999997</v>
      </c>
      <c r="G7">
        <f t="shared" si="3"/>
        <v>1.7602895104315765E-274</v>
      </c>
    </row>
    <row r="8" spans="1:7">
      <c r="B8">
        <v>1.9573</v>
      </c>
      <c r="C8">
        <f t="shared" si="0"/>
        <v>512</v>
      </c>
      <c r="D8">
        <v>6</v>
      </c>
      <c r="E8">
        <f t="shared" si="1"/>
        <v>506</v>
      </c>
      <c r="F8" s="62">
        <f t="shared" si="2"/>
        <v>990.39380000000006</v>
      </c>
      <c r="G8">
        <f t="shared" si="3"/>
        <v>1.0449527091320529E-33</v>
      </c>
    </row>
    <row r="9" spans="1:7">
      <c r="A9" t="s">
        <v>88</v>
      </c>
      <c r="B9">
        <v>2.6230000000000002</v>
      </c>
      <c r="C9">
        <f t="shared" si="0"/>
        <v>512</v>
      </c>
      <c r="D9">
        <v>6</v>
      </c>
      <c r="E9">
        <f t="shared" si="1"/>
        <v>506</v>
      </c>
      <c r="F9" s="62">
        <f t="shared" si="2"/>
        <v>1327.2380000000001</v>
      </c>
      <c r="G9">
        <f t="shared" si="3"/>
        <v>6.510180599797697E-75</v>
      </c>
    </row>
    <row r="10" spans="1:7">
      <c r="B10">
        <v>1.3869</v>
      </c>
      <c r="C10">
        <f t="shared" si="0"/>
        <v>512</v>
      </c>
      <c r="D10">
        <v>6</v>
      </c>
      <c r="E10">
        <f t="shared" si="1"/>
        <v>506</v>
      </c>
      <c r="F10" s="62">
        <f t="shared" si="2"/>
        <v>701.77139999999997</v>
      </c>
      <c r="G10">
        <f t="shared" si="3"/>
        <v>1.6711988872414492E-8</v>
      </c>
    </row>
    <row r="11" spans="1:7">
      <c r="A11" t="s">
        <v>89</v>
      </c>
      <c r="B11">
        <v>1.1047</v>
      </c>
      <c r="C11">
        <f t="shared" si="0"/>
        <v>512</v>
      </c>
      <c r="D11">
        <v>6</v>
      </c>
      <c r="E11">
        <f t="shared" si="1"/>
        <v>506</v>
      </c>
      <c r="F11" s="62">
        <f t="shared" si="2"/>
        <v>558.97820000000002</v>
      </c>
      <c r="G11" s="63">
        <f t="shared" si="3"/>
        <v>5.1410748984915024E-2</v>
      </c>
    </row>
    <row r="12" spans="1:7">
      <c r="B12">
        <v>1.4271</v>
      </c>
      <c r="C12">
        <f t="shared" si="0"/>
        <v>512</v>
      </c>
      <c r="D12">
        <v>6</v>
      </c>
      <c r="E12">
        <f t="shared" si="1"/>
        <v>506</v>
      </c>
      <c r="F12" s="62">
        <f t="shared" si="2"/>
        <v>722.11260000000004</v>
      </c>
      <c r="G12">
        <f t="shared" si="3"/>
        <v>8.0309425380786833E-10</v>
      </c>
    </row>
    <row r="13" spans="1:7">
      <c r="A13" t="s">
        <v>90</v>
      </c>
      <c r="B13">
        <v>1.3852</v>
      </c>
      <c r="C13">
        <f t="shared" si="0"/>
        <v>512</v>
      </c>
      <c r="D13">
        <v>6</v>
      </c>
      <c r="E13">
        <f t="shared" si="1"/>
        <v>506</v>
      </c>
      <c r="F13" s="62">
        <f t="shared" si="2"/>
        <v>700.91120000000001</v>
      </c>
      <c r="G13">
        <f t="shared" si="3"/>
        <v>1.8917412796613849E-8</v>
      </c>
    </row>
    <row r="14" spans="1:7">
      <c r="B14">
        <v>1.0344</v>
      </c>
      <c r="C14">
        <f t="shared" si="0"/>
        <v>512</v>
      </c>
      <c r="D14">
        <v>6</v>
      </c>
      <c r="E14">
        <f t="shared" si="1"/>
        <v>506</v>
      </c>
      <c r="F14" s="62">
        <f t="shared" si="2"/>
        <v>523.40639999999996</v>
      </c>
      <c r="G14" s="63">
        <f t="shared" si="3"/>
        <v>0.28708752550527039</v>
      </c>
    </row>
    <row r="15" spans="1:7">
      <c r="A15" t="s">
        <v>91</v>
      </c>
      <c r="B15">
        <v>4.0585000000000004</v>
      </c>
      <c r="C15">
        <f t="shared" si="0"/>
        <v>512</v>
      </c>
      <c r="D15">
        <v>24</v>
      </c>
      <c r="E15">
        <f t="shared" si="1"/>
        <v>488</v>
      </c>
      <c r="F15" s="62">
        <f t="shared" si="2"/>
        <v>1980.5480000000002</v>
      </c>
      <c r="G15">
        <f t="shared" si="3"/>
        <v>1.8167810401422894E-178</v>
      </c>
    </row>
    <row r="16" spans="1:7">
      <c r="B16">
        <v>2.4156</v>
      </c>
      <c r="C16">
        <f t="shared" si="0"/>
        <v>512</v>
      </c>
      <c r="D16">
        <v>24</v>
      </c>
      <c r="E16">
        <f t="shared" si="1"/>
        <v>488</v>
      </c>
      <c r="F16" s="62">
        <f t="shared" si="2"/>
        <v>1178.8127999999999</v>
      </c>
      <c r="G16">
        <f t="shared" si="3"/>
        <v>5.0583888325127121E-59</v>
      </c>
    </row>
    <row r="17" spans="1:8">
      <c r="A17" t="s">
        <v>92</v>
      </c>
      <c r="B17">
        <v>4.2799999999999998E-2</v>
      </c>
      <c r="C17">
        <v>7</v>
      </c>
      <c r="D17">
        <v>2</v>
      </c>
      <c r="E17">
        <f t="shared" si="1"/>
        <v>5</v>
      </c>
      <c r="F17" s="62">
        <f>B17*E17</f>
        <v>0.214</v>
      </c>
      <c r="G17">
        <f>_xlfn.CHISQ.DIST.RT(F17,E17)</f>
        <v>0.99895575091454569</v>
      </c>
      <c r="H17">
        <f>1-G17</f>
        <v>1.0442490854543074E-3</v>
      </c>
    </row>
    <row r="18" spans="1:8">
      <c r="B18">
        <v>1.49E-2</v>
      </c>
      <c r="C18">
        <v>7</v>
      </c>
      <c r="D18">
        <v>2</v>
      </c>
      <c r="E18">
        <f t="shared" si="1"/>
        <v>5</v>
      </c>
      <c r="F18" s="62">
        <f t="shared" si="2"/>
        <v>7.4499999999999997E-2</v>
      </c>
      <c r="G18">
        <f t="shared" si="3"/>
        <v>0.99992153105022952</v>
      </c>
      <c r="H18">
        <f>1-G18</f>
        <v>7.8468949770482688E-5</v>
      </c>
    </row>
    <row r="19" spans="1:8">
      <c r="A19" t="s">
        <v>93</v>
      </c>
      <c r="B19">
        <v>1.9970000000000001</v>
      </c>
      <c r="C19">
        <v>7</v>
      </c>
      <c r="D19">
        <v>2</v>
      </c>
      <c r="E19">
        <f t="shared" si="1"/>
        <v>5</v>
      </c>
      <c r="F19" s="62">
        <f t="shared" si="2"/>
        <v>9.9850000000000012</v>
      </c>
      <c r="G19">
        <f t="shared" si="3"/>
        <v>7.566138186455168E-2</v>
      </c>
    </row>
    <row r="20" spans="1:8">
      <c r="B20">
        <v>3.7673000000000001</v>
      </c>
      <c r="C20">
        <v>7</v>
      </c>
      <c r="D20">
        <v>2</v>
      </c>
      <c r="E20">
        <f t="shared" si="1"/>
        <v>5</v>
      </c>
      <c r="F20" s="62">
        <f t="shared" si="2"/>
        <v>18.836500000000001</v>
      </c>
      <c r="G20">
        <f t="shared" si="3"/>
        <v>2.0616662466004174E-3</v>
      </c>
    </row>
    <row r="21" spans="1:8">
      <c r="A21" t="s">
        <v>94</v>
      </c>
      <c r="B21">
        <v>3.1199999999999999E-2</v>
      </c>
      <c r="C21">
        <v>6</v>
      </c>
      <c r="D21">
        <v>3</v>
      </c>
      <c r="E21">
        <f t="shared" si="1"/>
        <v>3</v>
      </c>
      <c r="F21" s="62">
        <f t="shared" si="2"/>
        <v>9.3599999999999989E-2</v>
      </c>
      <c r="G21">
        <f t="shared" si="3"/>
        <v>0.99259422951499832</v>
      </c>
      <c r="H21">
        <f>1-G21</f>
        <v>7.4057704850016837E-3</v>
      </c>
    </row>
    <row r="22" spans="1:8">
      <c r="A22" t="s">
        <v>95</v>
      </c>
      <c r="B22">
        <v>5.3243999999999998</v>
      </c>
      <c r="C22">
        <v>6</v>
      </c>
      <c r="D22">
        <v>3</v>
      </c>
      <c r="E22">
        <f t="shared" si="1"/>
        <v>3</v>
      </c>
      <c r="F22" s="62">
        <f t="shared" si="2"/>
        <v>15.973199999999999</v>
      </c>
      <c r="G22">
        <f t="shared" si="3"/>
        <v>1.1484213797238994E-3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calibracion</vt:lpstr>
      <vt:lpstr>resolucion</vt:lpstr>
      <vt:lpstr>eficiencias</vt:lpstr>
      <vt:lpstr>coincidencias</vt:lpstr>
      <vt:lpstr>estadistica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Chavert</dc:creator>
  <cp:lastModifiedBy>Alfredo Chavert</cp:lastModifiedBy>
  <dcterms:created xsi:type="dcterms:W3CDTF">2015-06-05T18:19:34Z</dcterms:created>
  <dcterms:modified xsi:type="dcterms:W3CDTF">2024-04-01T15:03:47Z</dcterms:modified>
</cp:coreProperties>
</file>