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catenated_words" sheetId="1" r:id="rId4"/>
  </sheets>
  <definedNames/>
  <calcPr/>
</workbook>
</file>

<file path=xl/sharedStrings.xml><?xml version="1.0" encoding="utf-8"?>
<sst xmlns="http://schemas.openxmlformats.org/spreadsheetml/2006/main" count="33521" uniqueCount="27314">
  <si>
    <t>Word</t>
  </si>
  <si>
    <t>Darija_Translation</t>
  </si>
  <si>
    <t>Darija_Writing</t>
  </si>
  <si>
    <t>MSA</t>
  </si>
  <si>
    <t>a lot</t>
  </si>
  <si>
    <t>bzaaf</t>
  </si>
  <si>
    <t>بزاف</t>
  </si>
  <si>
    <t>kteer</t>
  </si>
  <si>
    <t>كتير</t>
  </si>
  <si>
    <t>about</t>
  </si>
  <si>
    <t>3laa</t>
  </si>
  <si>
    <t>على</t>
  </si>
  <si>
    <t>about to …</t>
  </si>
  <si>
    <t>yallaah bghaa …</t>
  </si>
  <si>
    <t>above</t>
  </si>
  <si>
    <t>fooq mn</t>
  </si>
  <si>
    <t>فوق من</t>
  </si>
  <si>
    <t>Abraham</t>
  </si>
  <si>
    <t>braaheem</t>
  </si>
  <si>
    <t>براهيم</t>
  </si>
  <si>
    <t>abroad</t>
  </si>
  <si>
    <t>khaarij</t>
  </si>
  <si>
    <t>خارِج</t>
  </si>
  <si>
    <t>brraa</t>
  </si>
  <si>
    <t>برّا</t>
  </si>
  <si>
    <t>ghorba</t>
  </si>
  <si>
    <t>غُربة</t>
  </si>
  <si>
    <t>absence</t>
  </si>
  <si>
    <t>ghyaab</t>
  </si>
  <si>
    <t>غياب</t>
  </si>
  <si>
    <t>absent</t>
  </si>
  <si>
    <t>ghaayb</t>
  </si>
  <si>
    <t>غايب</t>
  </si>
  <si>
    <t>ghaab (gheeb)</t>
  </si>
  <si>
    <t>غاب</t>
  </si>
  <si>
    <t>absinthe</t>
  </si>
  <si>
    <t>sheeba</t>
  </si>
  <si>
    <t>شيبة</t>
  </si>
  <si>
    <t>accept</t>
  </si>
  <si>
    <t>qbl</t>
  </si>
  <si>
    <t>قبل</t>
  </si>
  <si>
    <t>qaabl</t>
  </si>
  <si>
    <t>قابل</t>
  </si>
  <si>
    <t>acceptable</t>
  </si>
  <si>
    <t>mqboul</t>
  </si>
  <si>
    <t>مقبول</t>
  </si>
  <si>
    <t>accident</t>
  </si>
  <si>
    <t>kseeda</t>
  </si>
  <si>
    <t>Haadeeta</t>
  </si>
  <si>
    <t>حادِتة</t>
  </si>
  <si>
    <t>accomplish</t>
  </si>
  <si>
    <t>Hqqeq</t>
  </si>
  <si>
    <t>حقّق</t>
  </si>
  <si>
    <t>account</t>
  </si>
  <si>
    <t>Hsaab</t>
  </si>
  <si>
    <t>حساب</t>
  </si>
  <si>
    <t>accuse</t>
  </si>
  <si>
    <t>ttahm</t>
  </si>
  <si>
    <t>تَّهم</t>
  </si>
  <si>
    <t>accustomed</t>
  </si>
  <si>
    <t>mowellef</t>
  </si>
  <si>
    <t>موَلَّف</t>
  </si>
  <si>
    <t>acheive</t>
  </si>
  <si>
    <t>aching</t>
  </si>
  <si>
    <t>mdeegadeeg</t>
  </si>
  <si>
    <t>ة</t>
  </si>
  <si>
    <t>act</t>
  </si>
  <si>
    <t>mttel</t>
  </si>
  <si>
    <t>متَّل</t>
  </si>
  <si>
    <t>activity</t>
  </si>
  <si>
    <t>nashaaT</t>
  </si>
  <si>
    <t>نَشاط</t>
  </si>
  <si>
    <t>actor</t>
  </si>
  <si>
    <t>momattel</t>
  </si>
  <si>
    <t>ممَتّل</t>
  </si>
  <si>
    <t>actrice</t>
  </si>
  <si>
    <t>momattela</t>
  </si>
  <si>
    <t>ممَتّلة</t>
  </si>
  <si>
    <t>add</t>
  </si>
  <si>
    <t>zaad (zeed)</t>
  </si>
  <si>
    <t>زاد</t>
  </si>
  <si>
    <t>sqaa (sqee)</t>
  </si>
  <si>
    <t>سقى</t>
  </si>
  <si>
    <t>add water</t>
  </si>
  <si>
    <t>addicted</t>
  </si>
  <si>
    <t>mblee</t>
  </si>
  <si>
    <t>مبلي</t>
  </si>
  <si>
    <t>addiction</t>
  </si>
  <si>
    <t>bleeya</t>
  </si>
  <si>
    <t>بلية</t>
  </si>
  <si>
    <t>address</t>
  </si>
  <si>
    <t>drees</t>
  </si>
  <si>
    <t>administration</t>
  </si>
  <si>
    <t>‘idaara</t>
  </si>
  <si>
    <t>إدارة</t>
  </si>
  <si>
    <t>adolescence</t>
  </si>
  <si>
    <t>moraahaqa</t>
  </si>
  <si>
    <t>مُراهَقة</t>
  </si>
  <si>
    <t>adopt</t>
  </si>
  <si>
    <t>tbnnaa</t>
  </si>
  <si>
    <t>تبنّى</t>
  </si>
  <si>
    <t>adult</t>
  </si>
  <si>
    <t>baaligh</t>
  </si>
  <si>
    <t>بالِغ</t>
  </si>
  <si>
    <t>adulthood</t>
  </si>
  <si>
    <t>boloogh</t>
  </si>
  <si>
    <t>بُلوغ</t>
  </si>
  <si>
    <t>adventure</t>
  </si>
  <si>
    <t>moghaamara</t>
  </si>
  <si>
    <t>مُغامَرة</t>
  </si>
  <si>
    <t>adversity</t>
  </si>
  <si>
    <t>tamaara</t>
  </si>
  <si>
    <t>meHna</t>
  </si>
  <si>
    <t>advice</t>
  </si>
  <si>
    <t>naSeeHa</t>
  </si>
  <si>
    <t>نَصيحة</t>
  </si>
  <si>
    <t>advise</t>
  </si>
  <si>
    <t>nSeH</t>
  </si>
  <si>
    <t>نصح</t>
  </si>
  <si>
    <t>afraid</t>
  </si>
  <si>
    <t>khaayef</t>
  </si>
  <si>
    <t>خايَف</t>
  </si>
  <si>
    <t>mkhloo3</t>
  </si>
  <si>
    <t>مخلوع</t>
  </si>
  <si>
    <t>khowaaf</t>
  </si>
  <si>
    <t>khaaf</t>
  </si>
  <si>
    <t>خاف</t>
  </si>
  <si>
    <t>Africa</t>
  </si>
  <si>
    <t>‘ifreeqeeyaa</t>
  </si>
  <si>
    <t>إفريقيا</t>
  </si>
  <si>
    <t>African</t>
  </si>
  <si>
    <t>‘ifreeqee(ya)</t>
  </si>
  <si>
    <t>إفريقي</t>
  </si>
  <si>
    <t>after</t>
  </si>
  <si>
    <t>mn b3d</t>
  </si>
  <si>
    <t>من بعد</t>
  </si>
  <si>
    <t>b3D maa …</t>
  </si>
  <si>
    <t>بعد ما …</t>
  </si>
  <si>
    <t>mooraa</t>
  </si>
  <si>
    <t>afternoon</t>
  </si>
  <si>
    <t>woost nhaar</t>
  </si>
  <si>
    <t>dohr</t>
  </si>
  <si>
    <t>afternoon nap</t>
  </si>
  <si>
    <t>la seeyest</t>
  </si>
  <si>
    <t>qayloola</t>
  </si>
  <si>
    <t>قَيلولة</t>
  </si>
  <si>
    <t>afternoon snack</t>
  </si>
  <si>
    <t>gootee</t>
  </si>
  <si>
    <t>afternoon tea</t>
  </si>
  <si>
    <t>Agadir</t>
  </si>
  <si>
    <t>agaadir</t>
  </si>
  <si>
    <t>أگادإر</t>
  </si>
  <si>
    <t>again</t>
  </si>
  <si>
    <t>3aawetaanee</t>
  </si>
  <si>
    <t>agency</t>
  </si>
  <si>
    <t>wakaala</t>
  </si>
  <si>
    <t>وَكالة</t>
  </si>
  <si>
    <t>ago</t>
  </si>
  <si>
    <t>hadee</t>
  </si>
  <si>
    <t>هَدي</t>
  </si>
  <si>
    <t>agree</t>
  </si>
  <si>
    <t>ttaafq</t>
  </si>
  <si>
    <t>تّافق</t>
  </si>
  <si>
    <t>waafq</t>
  </si>
  <si>
    <t>وافق</t>
  </si>
  <si>
    <t>agriculural worker</t>
  </si>
  <si>
    <t>rbaa3</t>
  </si>
  <si>
    <t>aid</t>
  </si>
  <si>
    <t>mosa3ada</t>
  </si>
  <si>
    <t>مُساعَدة</t>
  </si>
  <si>
    <t>mo3aawana</t>
  </si>
  <si>
    <t>معاوَنة</t>
  </si>
  <si>
    <t>3awn</t>
  </si>
  <si>
    <t>عَون</t>
  </si>
  <si>
    <t>air conditioner</t>
  </si>
  <si>
    <t>kleemateesoor</t>
  </si>
  <si>
    <t>air conditioning</t>
  </si>
  <si>
    <t>airplane</t>
  </si>
  <si>
    <t>Teiyaara</t>
  </si>
  <si>
    <t>طَيّارة</t>
  </si>
  <si>
    <t>airport</t>
  </si>
  <si>
    <t>maTaar</t>
  </si>
  <si>
    <t>مطار</t>
  </si>
  <si>
    <t>alarm clock</t>
  </si>
  <si>
    <t>saa3a</t>
  </si>
  <si>
    <t>ساعة</t>
  </si>
  <si>
    <t>magaana</t>
  </si>
  <si>
    <t>مݣانة</t>
  </si>
  <si>
    <t>alcohol</t>
  </si>
  <si>
    <t>shraab</t>
  </si>
  <si>
    <t>شراب</t>
  </si>
  <si>
    <t>Algeria</t>
  </si>
  <si>
    <t>ljazaa’ir</t>
  </si>
  <si>
    <t>الجَزائِر</t>
  </si>
  <si>
    <t>alive</t>
  </si>
  <si>
    <t>Hey</t>
  </si>
  <si>
    <t>3aaysh</t>
  </si>
  <si>
    <t>عايش</t>
  </si>
  <si>
    <t>all</t>
  </si>
  <si>
    <t>koloo</t>
  </si>
  <si>
    <t>kaaml</t>
  </si>
  <si>
    <t>all of us</t>
  </si>
  <si>
    <t>kol-naa</t>
  </si>
  <si>
    <t>Hnaa kaamleen</t>
  </si>
  <si>
    <t>all of you</t>
  </si>
  <si>
    <t>kol-kom</t>
  </si>
  <si>
    <t>ntoomaa kaamleen</t>
  </si>
  <si>
    <t>allergic</t>
  </si>
  <si>
    <t>3nd lHasaaseeya</t>
  </si>
  <si>
    <t>daar (deer)</t>
  </si>
  <si>
    <t>allergy</t>
  </si>
  <si>
    <t>Hasaaseeya</t>
  </si>
  <si>
    <t>حساسية</t>
  </si>
  <si>
    <t>alley</t>
  </si>
  <si>
    <t>drb</t>
  </si>
  <si>
    <t>درب</t>
  </si>
  <si>
    <t>alligator</t>
  </si>
  <si>
    <t>timsaaH</t>
  </si>
  <si>
    <t>تِمساح</t>
  </si>
  <si>
    <t>almond</t>
  </si>
  <si>
    <t>looz</t>
  </si>
  <si>
    <t>لوز</t>
  </si>
  <si>
    <t>alms</t>
  </si>
  <si>
    <t>zakaat</t>
  </si>
  <si>
    <t>fTra</t>
  </si>
  <si>
    <t>3shoor</t>
  </si>
  <si>
    <t>alone</t>
  </si>
  <si>
    <t>boHed</t>
  </si>
  <si>
    <t>بوحد</t>
  </si>
  <si>
    <t>already</t>
  </si>
  <si>
    <t>mn qbl</t>
  </si>
  <si>
    <t>من قبل</t>
  </si>
  <si>
    <t>ba3da</t>
  </si>
  <si>
    <t>also</t>
  </si>
  <si>
    <t>Httaa</t>
  </si>
  <si>
    <t>حتّا</t>
  </si>
  <si>
    <t>always</t>
  </si>
  <si>
    <t>deemaa</t>
  </si>
  <si>
    <t>ديما</t>
  </si>
  <si>
    <t>amazing</t>
  </si>
  <si>
    <t>ra’i</t>
  </si>
  <si>
    <t>ambassador</t>
  </si>
  <si>
    <t>safeer</t>
  </si>
  <si>
    <t>سَفير</t>
  </si>
  <si>
    <t>ambulance</t>
  </si>
  <si>
    <t>ambulans</t>
  </si>
  <si>
    <t>is3af</t>
  </si>
  <si>
    <t>America</t>
  </si>
  <si>
    <t>mireekaan</t>
  </si>
  <si>
    <t>مِريكان</t>
  </si>
  <si>
    <t>‘amereekaa</t>
  </si>
  <si>
    <t>أَمريكا</t>
  </si>
  <si>
    <t>American</t>
  </si>
  <si>
    <t>mireekaanee(ya)</t>
  </si>
  <si>
    <t>مِريكاني</t>
  </si>
  <si>
    <t>‘amereekee(ya)</t>
  </si>
  <si>
    <t>أَمريكي</t>
  </si>
  <si>
    <t>analysis</t>
  </si>
  <si>
    <t>t-Hleel</t>
  </si>
  <si>
    <t>تحليل</t>
  </si>
  <si>
    <t>ancient</t>
  </si>
  <si>
    <t>qdeem</t>
  </si>
  <si>
    <t>قديم</t>
  </si>
  <si>
    <t>and</t>
  </si>
  <si>
    <t>oo</t>
  </si>
  <si>
    <t>و</t>
  </si>
  <si>
    <t>angel</t>
  </si>
  <si>
    <t>malaak</t>
  </si>
  <si>
    <t>ملاك</t>
  </si>
  <si>
    <t>anger</t>
  </si>
  <si>
    <t>ghaDab</t>
  </si>
  <si>
    <t>angry</t>
  </si>
  <si>
    <t>ghDbaan</t>
  </si>
  <si>
    <t>mqlleq</t>
  </si>
  <si>
    <t>مقلّق</t>
  </si>
  <si>
    <t>t3ssab</t>
  </si>
  <si>
    <t>ghDaab</t>
  </si>
  <si>
    <t>animal</t>
  </si>
  <si>
    <t>Hayawaan</t>
  </si>
  <si>
    <t>حَيَوان</t>
  </si>
  <si>
    <t>aniseed</t>
  </si>
  <si>
    <t>naafe3</t>
  </si>
  <si>
    <t>نافع</t>
  </si>
  <si>
    <t>ankle</t>
  </si>
  <si>
    <t>k3ba</t>
  </si>
  <si>
    <t>announcement</t>
  </si>
  <si>
    <t>‘i3laan</t>
  </si>
  <si>
    <t>إعلان</t>
  </si>
  <si>
    <t>answer</t>
  </si>
  <si>
    <t>jawaab</t>
  </si>
  <si>
    <t>جَواب</t>
  </si>
  <si>
    <t>jaaweb</t>
  </si>
  <si>
    <t>جاوب</t>
  </si>
  <si>
    <t>rdd</t>
  </si>
  <si>
    <t>ردّ</t>
  </si>
  <si>
    <t>ant</t>
  </si>
  <si>
    <t>nml</t>
  </si>
  <si>
    <t>نمل</t>
  </si>
  <si>
    <t>any</t>
  </si>
  <si>
    <t>‘aye</t>
  </si>
  <si>
    <t>أي</t>
  </si>
  <si>
    <t>apartment</t>
  </si>
  <si>
    <t>parTma</t>
  </si>
  <si>
    <t>پرطمة</t>
  </si>
  <si>
    <t>apartment building</t>
  </si>
  <si>
    <t>3imaara</t>
  </si>
  <si>
    <t>عِمارة</t>
  </si>
  <si>
    <t>mobeel</t>
  </si>
  <si>
    <t>appear</t>
  </si>
  <si>
    <t>baan</t>
  </si>
  <si>
    <t>بان</t>
  </si>
  <si>
    <t>appetite</t>
  </si>
  <si>
    <t>shaheeya</t>
  </si>
  <si>
    <t>applaud</t>
  </si>
  <si>
    <t>Sffeq</t>
  </si>
  <si>
    <t>صفّق</t>
  </si>
  <si>
    <t>apple</t>
  </si>
  <si>
    <t>tfaaH</t>
  </si>
  <si>
    <t>تفاح</t>
  </si>
  <si>
    <t>apply</t>
  </si>
  <si>
    <t>dhen</t>
  </si>
  <si>
    <t>دهن</t>
  </si>
  <si>
    <t>appointment</t>
  </si>
  <si>
    <t>maw3id</t>
  </si>
  <si>
    <t>مَوعِد</t>
  </si>
  <si>
    <t>mee3aad</t>
  </si>
  <si>
    <t>ميعاد</t>
  </si>
  <si>
    <t>approach</t>
  </si>
  <si>
    <t>qrrb</t>
  </si>
  <si>
    <t>قرّب</t>
  </si>
  <si>
    <t>apricot</t>
  </si>
  <si>
    <t>mshmaash</t>
  </si>
  <si>
    <t>مشماش</t>
  </si>
  <si>
    <t>april</t>
  </si>
  <si>
    <t>sh-her rb3a</t>
  </si>
  <si>
    <t>شهر ربعة</t>
  </si>
  <si>
    <t>‘abreel</t>
  </si>
  <si>
    <t>أبريل</t>
  </si>
  <si>
    <t>apron</t>
  </si>
  <si>
    <t>Taableeya</t>
  </si>
  <si>
    <t>طابلية</t>
  </si>
  <si>
    <t>Arabic</t>
  </si>
  <si>
    <t>3rbeeya</t>
  </si>
  <si>
    <t>عربيّة</t>
  </si>
  <si>
    <t>area</t>
  </si>
  <si>
    <t>mntaaqa</t>
  </si>
  <si>
    <t>blaaSa</t>
  </si>
  <si>
    <t>بلاصة</t>
  </si>
  <si>
    <t>jiht</t>
  </si>
  <si>
    <t>argument</t>
  </si>
  <si>
    <t>mkhaasema</t>
  </si>
  <si>
    <t>arm</t>
  </si>
  <si>
    <t>draa3</t>
  </si>
  <si>
    <t>دراع</t>
  </si>
  <si>
    <t>armchair</t>
  </si>
  <si>
    <t>fotooy</t>
  </si>
  <si>
    <t>around</t>
  </si>
  <si>
    <t>jwaayeh</t>
  </si>
  <si>
    <t>جوايه</t>
  </si>
  <si>
    <t>qddaam</t>
  </si>
  <si>
    <t>قدّام</t>
  </si>
  <si>
    <t>deeyar l</t>
  </si>
  <si>
    <t>arrest</t>
  </si>
  <si>
    <t>Hbs</t>
  </si>
  <si>
    <t>حبس</t>
  </si>
  <si>
    <t>arrive</t>
  </si>
  <si>
    <t>ooSl</t>
  </si>
  <si>
    <t>وصل</t>
  </si>
  <si>
    <t>art</t>
  </si>
  <si>
    <t>fenn</t>
  </si>
  <si>
    <t>فَنّ</t>
  </si>
  <si>
    <t>art gallery</t>
  </si>
  <si>
    <t>m3reed</t>
  </si>
  <si>
    <t>artichoke</t>
  </si>
  <si>
    <t>qooq</t>
  </si>
  <si>
    <t>قوق</t>
  </si>
  <si>
    <t>artist</t>
  </si>
  <si>
    <t>fnnaan</t>
  </si>
  <si>
    <t>فنّان</t>
  </si>
  <si>
    <t>as for</t>
  </si>
  <si>
    <t>‘ammaa</t>
  </si>
  <si>
    <t>أمّا</t>
  </si>
  <si>
    <t>ash</t>
  </si>
  <si>
    <t>rmaad</t>
  </si>
  <si>
    <t>رماد</t>
  </si>
  <si>
    <t>ashamed</t>
  </si>
  <si>
    <t>Hshmaan</t>
  </si>
  <si>
    <t>حشمان</t>
  </si>
  <si>
    <t>Asian</t>
  </si>
  <si>
    <t>aseeyawee</t>
  </si>
  <si>
    <t>آسيَوي</t>
  </si>
  <si>
    <t>ask</t>
  </si>
  <si>
    <t>soowel</t>
  </si>
  <si>
    <t>سوّل</t>
  </si>
  <si>
    <t>Tleb</t>
  </si>
  <si>
    <t>طلب</t>
  </si>
  <si>
    <t>asleep</t>
  </si>
  <si>
    <t>naa3s</t>
  </si>
  <si>
    <t>ناعس</t>
  </si>
  <si>
    <t>assemble</t>
  </si>
  <si>
    <t>jm3</t>
  </si>
  <si>
    <t>جمع</t>
  </si>
  <si>
    <t>association</t>
  </si>
  <si>
    <t>jm3eeya</t>
  </si>
  <si>
    <t>جمعية</t>
  </si>
  <si>
    <t>assure</t>
  </si>
  <si>
    <t>akked</t>
  </si>
  <si>
    <t>أَكّد</t>
  </si>
  <si>
    <t>at</t>
  </si>
  <si>
    <t>f</t>
  </si>
  <si>
    <t>ﻑ</t>
  </si>
  <si>
    <t>m3a</t>
  </si>
  <si>
    <t>معَ</t>
  </si>
  <si>
    <t>at least</t>
  </si>
  <si>
    <t>3laqal</t>
  </si>
  <si>
    <t>at the moment</t>
  </si>
  <si>
    <t>f had lweqt</t>
  </si>
  <si>
    <t>ف هَد لوقت</t>
  </si>
  <si>
    <t>at this time</t>
  </si>
  <si>
    <t>atmosphere</t>
  </si>
  <si>
    <t>Haal</t>
  </si>
  <si>
    <t>حال</t>
  </si>
  <si>
    <t>attack</t>
  </si>
  <si>
    <t>hoojoom</t>
  </si>
  <si>
    <t>hjm</t>
  </si>
  <si>
    <t>هجم على</t>
  </si>
  <si>
    <t>attract</t>
  </si>
  <si>
    <t>jlab</t>
  </si>
  <si>
    <t>جلَب</t>
  </si>
  <si>
    <t>jdab</t>
  </si>
  <si>
    <t>جدَب</t>
  </si>
  <si>
    <t>aubergine</t>
  </si>
  <si>
    <t>dnjaal</t>
  </si>
  <si>
    <t>دنجال</t>
  </si>
  <si>
    <t>audio-visual</t>
  </si>
  <si>
    <t>sawt oo soorra</t>
  </si>
  <si>
    <t>August</t>
  </si>
  <si>
    <t>sh-her tmeneeya</t>
  </si>
  <si>
    <t>شهر تمنية</t>
  </si>
  <si>
    <t>ghosht</t>
  </si>
  <si>
    <t>غشت</t>
  </si>
  <si>
    <t>aunt</t>
  </si>
  <si>
    <t>3mma</t>
  </si>
  <si>
    <t>عمّة</t>
  </si>
  <si>
    <t>khaala</t>
  </si>
  <si>
    <t>خالة</t>
  </si>
  <si>
    <t>Australia</t>
  </si>
  <si>
    <t>ostraaleeyaa</t>
  </si>
  <si>
    <t>autumn</t>
  </si>
  <si>
    <t>khreef</t>
  </si>
  <si>
    <t>خريف</t>
  </si>
  <si>
    <t>available</t>
  </si>
  <si>
    <t>msaalee</t>
  </si>
  <si>
    <t>avenge</t>
  </si>
  <si>
    <t>ntaaqm</t>
  </si>
  <si>
    <t>نتاقم</t>
  </si>
  <si>
    <t>avenue</t>
  </si>
  <si>
    <t>shaari3</t>
  </si>
  <si>
    <t>شارِع</t>
  </si>
  <si>
    <t>average</t>
  </si>
  <si>
    <t>mtweseT</t>
  </si>
  <si>
    <t>متوسط</t>
  </si>
  <si>
    <t>avocado</t>
  </si>
  <si>
    <t>lavooka</t>
  </si>
  <si>
    <t>axe</t>
  </si>
  <si>
    <t>faas</t>
  </si>
  <si>
    <t>surname</t>
  </si>
  <si>
    <t>kneeya</t>
  </si>
  <si>
    <t>كنية</t>
  </si>
  <si>
    <t>reconcile</t>
  </si>
  <si>
    <t>tSaaleH</t>
  </si>
  <si>
    <t>تصالح</t>
  </si>
  <si>
    <t>forgiveness</t>
  </si>
  <si>
    <t>mosaamaHa</t>
  </si>
  <si>
    <t>مُسامَحة</t>
  </si>
  <si>
    <t>inform</t>
  </si>
  <si>
    <t>3alm</t>
  </si>
  <si>
    <t>عَلْم</t>
  </si>
  <si>
    <t>baby</t>
  </si>
  <si>
    <t>trbeeya</t>
  </si>
  <si>
    <t>bneeya</t>
  </si>
  <si>
    <t>wleeyed</t>
  </si>
  <si>
    <t>back</t>
  </si>
  <si>
    <t>Dher</t>
  </si>
  <si>
    <t>ضهر</t>
  </si>
  <si>
    <t>backpack</t>
  </si>
  <si>
    <t>saakaaDo</t>
  </si>
  <si>
    <t>ساكاضو</t>
  </si>
  <si>
    <t>bad</t>
  </si>
  <si>
    <t>khaayb</t>
  </si>
  <si>
    <t>خايب</t>
  </si>
  <si>
    <t>bad person</t>
  </si>
  <si>
    <t>slgoot(a)</t>
  </si>
  <si>
    <t>wld</t>
  </si>
  <si>
    <t>bag</t>
  </si>
  <si>
    <t>saak</t>
  </si>
  <si>
    <t>ساك</t>
  </si>
  <si>
    <t>baggage</t>
  </si>
  <si>
    <t>baagaaj</t>
  </si>
  <si>
    <t>باگاج</t>
  </si>
  <si>
    <t>baker</t>
  </si>
  <si>
    <t>khbbaaz</t>
  </si>
  <si>
    <t>خبّاز</t>
  </si>
  <si>
    <t>baking powder</t>
  </si>
  <si>
    <t>khameera</t>
  </si>
  <si>
    <t>balcony</t>
  </si>
  <si>
    <t>baalkoon</t>
  </si>
  <si>
    <t>بالكون</t>
  </si>
  <si>
    <t>ball</t>
  </si>
  <si>
    <t>kora</t>
  </si>
  <si>
    <t>كُرة</t>
  </si>
  <si>
    <t>ban</t>
  </si>
  <si>
    <t>Hrrm</t>
  </si>
  <si>
    <t>حرّم</t>
  </si>
  <si>
    <t>banana</t>
  </si>
  <si>
    <t>banaan</t>
  </si>
  <si>
    <t>بَنان</t>
  </si>
  <si>
    <t>bank</t>
  </si>
  <si>
    <t>banka</t>
  </si>
  <si>
    <t>بَنكة</t>
  </si>
  <si>
    <t>bankee</t>
  </si>
  <si>
    <t>بَنكي</t>
  </si>
  <si>
    <t>banking</t>
  </si>
  <si>
    <t>banned</t>
  </si>
  <si>
    <t>mamnoo3</t>
  </si>
  <si>
    <t>مَمنوع</t>
  </si>
  <si>
    <t>interdee</t>
  </si>
  <si>
    <t>Hraam</t>
  </si>
  <si>
    <t>حرام</t>
  </si>
  <si>
    <t>barbecue</t>
  </si>
  <si>
    <t>mjmr</t>
  </si>
  <si>
    <t>bark</t>
  </si>
  <si>
    <t>nbeH</t>
  </si>
  <si>
    <t>نبح</t>
  </si>
  <si>
    <t>barley</t>
  </si>
  <si>
    <t>sh3eer</t>
  </si>
  <si>
    <t>شعير</t>
  </si>
  <si>
    <t>base</t>
  </si>
  <si>
    <t>qaa3</t>
  </si>
  <si>
    <t>قاع</t>
  </si>
  <si>
    <t>basement</t>
  </si>
  <si>
    <t>lakaav</t>
  </si>
  <si>
    <t>لَكاڤ</t>
  </si>
  <si>
    <t>basil</t>
  </si>
  <si>
    <t>Hbeq</t>
  </si>
  <si>
    <t>حبق</t>
  </si>
  <si>
    <t>basin</t>
  </si>
  <si>
    <t>baanyo</t>
  </si>
  <si>
    <t>بانيو</t>
  </si>
  <si>
    <t>Taas</t>
  </si>
  <si>
    <t>طاس</t>
  </si>
  <si>
    <t>mghsl</t>
  </si>
  <si>
    <t>مغسل</t>
  </si>
  <si>
    <t>basket</t>
  </si>
  <si>
    <t>qoffa</t>
  </si>
  <si>
    <t>قُفّة</t>
  </si>
  <si>
    <t>goffa</t>
  </si>
  <si>
    <t>slla</t>
  </si>
  <si>
    <t>سلّة</t>
  </si>
  <si>
    <t>tbg</t>
  </si>
  <si>
    <t>tbiga</t>
  </si>
  <si>
    <t>بانيو صغير</t>
  </si>
  <si>
    <t>bastard</t>
  </si>
  <si>
    <t>bath</t>
  </si>
  <si>
    <t>bathrobe</t>
  </si>
  <si>
    <t>peenwaar</t>
  </si>
  <si>
    <t>پينوار</t>
  </si>
  <si>
    <t>bathroom</t>
  </si>
  <si>
    <t>beet</t>
  </si>
  <si>
    <t>بيت الما</t>
  </si>
  <si>
    <t>kabeena</t>
  </si>
  <si>
    <t>Twaalet</t>
  </si>
  <si>
    <t>طواليت</t>
  </si>
  <si>
    <t>bathtub</t>
  </si>
  <si>
    <t>battery</t>
  </si>
  <si>
    <t>Hjra</t>
  </si>
  <si>
    <t>حجرة</t>
  </si>
  <si>
    <t>حجرة د الراديو</t>
  </si>
  <si>
    <t>be</t>
  </si>
  <si>
    <t>kaan (koon)</t>
  </si>
  <si>
    <t>كان</t>
  </si>
  <si>
    <t>be able to</t>
  </si>
  <si>
    <t>qdr</t>
  </si>
  <si>
    <t>قدر</t>
  </si>
  <si>
    <t>gdd</t>
  </si>
  <si>
    <t>گدّ</t>
  </si>
  <si>
    <t>qdd</t>
  </si>
  <si>
    <t>قدّ</t>
  </si>
  <si>
    <t>be accustomed</t>
  </si>
  <si>
    <t>wellef</t>
  </si>
  <si>
    <t>وَلَّف</t>
  </si>
  <si>
    <t>be ashamed</t>
  </si>
  <si>
    <t>Hshm</t>
  </si>
  <si>
    <t>حشم</t>
  </si>
  <si>
    <t>be born</t>
  </si>
  <si>
    <t>tzaad</t>
  </si>
  <si>
    <t>be called</t>
  </si>
  <si>
    <t>smeeya</t>
  </si>
  <si>
    <t>سمية</t>
  </si>
  <si>
    <t>be careful</t>
  </si>
  <si>
    <t>ردّ بالك</t>
  </si>
  <si>
    <t>ردّ البال</t>
  </si>
  <si>
    <t>be choked</t>
  </si>
  <si>
    <t>tkhneq</t>
  </si>
  <si>
    <t>تخنق</t>
  </si>
  <si>
    <t>khneq</t>
  </si>
  <si>
    <t>be easy</t>
  </si>
  <si>
    <t>t-hnnaa</t>
  </si>
  <si>
    <t>تهنّى</t>
  </si>
  <si>
    <t>be fulfilled</t>
  </si>
  <si>
    <t>tHqqeq</t>
  </si>
  <si>
    <t>تحقّق</t>
  </si>
  <si>
    <t>be interested</t>
  </si>
  <si>
    <t>htm</t>
  </si>
  <si>
    <t>هتم</t>
  </si>
  <si>
    <t>be quiet</t>
  </si>
  <si>
    <t>skt</t>
  </si>
  <si>
    <t>سكت</t>
  </si>
  <si>
    <t>qT3</t>
  </si>
  <si>
    <t>be right</t>
  </si>
  <si>
    <t>3nd</t>
  </si>
  <si>
    <t>عند… الحقّ</t>
  </si>
  <si>
    <t>عند … الصَحّ</t>
  </si>
  <si>
    <t>be used to</t>
  </si>
  <si>
    <t>bear</t>
  </si>
  <si>
    <t>dobb</t>
  </si>
  <si>
    <t>دُبّ</t>
  </si>
  <si>
    <t>beard</t>
  </si>
  <si>
    <t>leHya</t>
  </si>
  <si>
    <t>لحية</t>
  </si>
  <si>
    <t>beat</t>
  </si>
  <si>
    <t>Drb</t>
  </si>
  <si>
    <t>ضرب</t>
  </si>
  <si>
    <t>ghlb</t>
  </si>
  <si>
    <t>غلب</t>
  </si>
  <si>
    <t>beautiful</t>
  </si>
  <si>
    <t>zween</t>
  </si>
  <si>
    <t>زوين</t>
  </si>
  <si>
    <t>beauty</t>
  </si>
  <si>
    <t>ghzaala</t>
  </si>
  <si>
    <t>qooqa</t>
  </si>
  <si>
    <t>قوقة</t>
  </si>
  <si>
    <t>qortaasa</t>
  </si>
  <si>
    <t>qanboola</t>
  </si>
  <si>
    <t>because</t>
  </si>
  <si>
    <t>Heet</t>
  </si>
  <si>
    <t>حيت</t>
  </si>
  <si>
    <t>3laaHqqaash</t>
  </si>
  <si>
    <t>علاحقّاش</t>
  </si>
  <si>
    <t>become</t>
  </si>
  <si>
    <t>wllaa (wllee)</t>
  </si>
  <si>
    <t>ولّى</t>
  </si>
  <si>
    <t>bed</t>
  </si>
  <si>
    <t>naamooseeya</t>
  </si>
  <si>
    <t>ناموسية</t>
  </si>
  <si>
    <t>bedroom</t>
  </si>
  <si>
    <t>bee</t>
  </si>
  <si>
    <t>nHl</t>
  </si>
  <si>
    <t>نحل</t>
  </si>
  <si>
    <t>beef</t>
  </si>
  <si>
    <t>bgree</t>
  </si>
  <si>
    <t>بگري</t>
  </si>
  <si>
    <t>beer</t>
  </si>
  <si>
    <t>beerraa</t>
  </si>
  <si>
    <t>بيرّرا</t>
  </si>
  <si>
    <t>baarbaa</t>
  </si>
  <si>
    <t>باربا</t>
  </si>
  <si>
    <t>beetle</t>
  </si>
  <si>
    <t>khnfoosa</t>
  </si>
  <si>
    <t>خنفوسة</t>
  </si>
  <si>
    <t>beetroot</t>
  </si>
  <si>
    <t>before</t>
  </si>
  <si>
    <t>beforehand</t>
  </si>
  <si>
    <t>beg</t>
  </si>
  <si>
    <t>beggar</t>
  </si>
  <si>
    <t>Tllaab(a)</t>
  </si>
  <si>
    <t>طلّاب</t>
  </si>
  <si>
    <t>beginning</t>
  </si>
  <si>
    <t>bdaaya</t>
  </si>
  <si>
    <t>بداية</t>
  </si>
  <si>
    <t>loowel</t>
  </si>
  <si>
    <t>لوّل</t>
  </si>
  <si>
    <t>behind</t>
  </si>
  <si>
    <t>مورا</t>
  </si>
  <si>
    <t>ooraa</t>
  </si>
  <si>
    <t>وراء</t>
  </si>
  <si>
    <t>f loor</t>
  </si>
  <si>
    <t>beige</t>
  </si>
  <si>
    <t>baaj</t>
  </si>
  <si>
    <t>believe</t>
  </si>
  <si>
    <t>Dnn</t>
  </si>
  <si>
    <t>ضنّ</t>
  </si>
  <si>
    <t>teeyeq</t>
  </si>
  <si>
    <t>تيّق</t>
  </si>
  <si>
    <t>Sddeq</t>
  </si>
  <si>
    <t>صدَّق</t>
  </si>
  <si>
    <t>‘amn</t>
  </si>
  <si>
    <t>أمن</t>
  </si>
  <si>
    <t>bellows</t>
  </si>
  <si>
    <t>raabooz</t>
  </si>
  <si>
    <t>رابوز</t>
  </si>
  <si>
    <t>belly</t>
  </si>
  <si>
    <t>krsh</t>
  </si>
  <si>
    <t>كرش</t>
  </si>
  <si>
    <t>belly ache</t>
  </si>
  <si>
    <t>looje3</t>
  </si>
  <si>
    <t>لوجع</t>
  </si>
  <si>
    <t>belonging to</t>
  </si>
  <si>
    <t>dyaal</t>
  </si>
  <si>
    <t>ديال</t>
  </si>
  <si>
    <t>beloved</t>
  </si>
  <si>
    <t>Hbeeb</t>
  </si>
  <si>
    <t>حبيب</t>
  </si>
  <si>
    <t>below</t>
  </si>
  <si>
    <t>tHt</t>
  </si>
  <si>
    <t>تحت</t>
  </si>
  <si>
    <t>belt</t>
  </si>
  <si>
    <t>SmTa</t>
  </si>
  <si>
    <t>صمطة</t>
  </si>
  <si>
    <t>bench</t>
  </si>
  <si>
    <t>korsee</t>
  </si>
  <si>
    <t>كُرسي</t>
  </si>
  <si>
    <t>bend</t>
  </si>
  <si>
    <t>tnaa (tnee)</t>
  </si>
  <si>
    <t>تنى</t>
  </si>
  <si>
    <t>Twaa (Twee)</t>
  </si>
  <si>
    <t>طوى</t>
  </si>
  <si>
    <t>bend down</t>
  </si>
  <si>
    <t>tHder</t>
  </si>
  <si>
    <t>تحدر</t>
  </si>
  <si>
    <t>beneath</t>
  </si>
  <si>
    <t>tHt mn</t>
  </si>
  <si>
    <t>تحت من</t>
  </si>
  <si>
    <t>bent</t>
  </si>
  <si>
    <t>tnee</t>
  </si>
  <si>
    <t>best</t>
  </si>
  <si>
    <t>‘aHsn</t>
  </si>
  <si>
    <t>أحسن</t>
  </si>
  <si>
    <t>better</t>
  </si>
  <si>
    <t>Hsn</t>
  </si>
  <si>
    <t>حسن</t>
  </si>
  <si>
    <t>betting</t>
  </si>
  <si>
    <t>tirsee</t>
  </si>
  <si>
    <t>between</t>
  </si>
  <si>
    <t>been</t>
  </si>
  <si>
    <t>بين</t>
  </si>
  <si>
    <t>beenaat</t>
  </si>
  <si>
    <t>bewildered</t>
  </si>
  <si>
    <t>mroowen</t>
  </si>
  <si>
    <t>مروّن</t>
  </si>
  <si>
    <t>bicycle</t>
  </si>
  <si>
    <t>peekaala</t>
  </si>
  <si>
    <t>پيكاله</t>
  </si>
  <si>
    <t>bishkalaat</t>
  </si>
  <si>
    <t>big</t>
  </si>
  <si>
    <t>kbeer</t>
  </si>
  <si>
    <t>كبير</t>
  </si>
  <si>
    <t>bigger</t>
  </si>
  <si>
    <t>kber</t>
  </si>
  <si>
    <t>كبر</t>
  </si>
  <si>
    <t>biggest</t>
  </si>
  <si>
    <t>‘akber</t>
  </si>
  <si>
    <t>أكبر</t>
  </si>
  <si>
    <t>bike</t>
  </si>
  <si>
    <t>bichkalaat</t>
  </si>
  <si>
    <t>bill</t>
  </si>
  <si>
    <t>billion</t>
  </si>
  <si>
    <t>mlyaar</t>
  </si>
  <si>
    <t>مليار</t>
  </si>
  <si>
    <t>bin</t>
  </si>
  <si>
    <t>zbl</t>
  </si>
  <si>
    <t>sTel</t>
  </si>
  <si>
    <t>bird</t>
  </si>
  <si>
    <t>Teeyer</t>
  </si>
  <si>
    <t>طير</t>
  </si>
  <si>
    <t>tweeyer</t>
  </si>
  <si>
    <t>birth</t>
  </si>
  <si>
    <t>zyaada</t>
  </si>
  <si>
    <t>زيادة</t>
  </si>
  <si>
    <t>birthday</t>
  </si>
  <si>
    <t>3eed meelaad</t>
  </si>
  <si>
    <t>عيد ميلاد</t>
  </si>
  <si>
    <t>biscuit</t>
  </si>
  <si>
    <t>biskwee</t>
  </si>
  <si>
    <t>بِسكوي</t>
  </si>
  <si>
    <t>fqaaS</t>
  </si>
  <si>
    <t>فقاص</t>
  </si>
  <si>
    <t>bite</t>
  </si>
  <si>
    <t>3DD</t>
  </si>
  <si>
    <t>عضّ</t>
  </si>
  <si>
    <t>black</t>
  </si>
  <si>
    <t>k-Hel</t>
  </si>
  <si>
    <t>كحل</t>
  </si>
  <si>
    <t>black board</t>
  </si>
  <si>
    <t>Sbboora</t>
  </si>
  <si>
    <t>blame</t>
  </si>
  <si>
    <t>laam (loum)</t>
  </si>
  <si>
    <t>لام</t>
  </si>
  <si>
    <t>3atb</t>
  </si>
  <si>
    <t>bland</t>
  </si>
  <si>
    <t>mssoos</t>
  </si>
  <si>
    <t>مسّوس</t>
  </si>
  <si>
    <t>blanket</t>
  </si>
  <si>
    <t>maanTa</t>
  </si>
  <si>
    <t>مانطة</t>
  </si>
  <si>
    <t>bleach</t>
  </si>
  <si>
    <t>jaaveel</t>
  </si>
  <si>
    <t>جاڤيل</t>
  </si>
  <si>
    <t>blender</t>
  </si>
  <si>
    <t>moolinex</t>
  </si>
  <si>
    <t>blessed</t>
  </si>
  <si>
    <t>mbrook</t>
  </si>
  <si>
    <t>مبروك</t>
  </si>
  <si>
    <t>mobaarak(a)</t>
  </si>
  <si>
    <t>مُبارَك</t>
  </si>
  <si>
    <t>blessing</t>
  </si>
  <si>
    <t>baarakaa</t>
  </si>
  <si>
    <t>بارَكا</t>
  </si>
  <si>
    <t>blind</t>
  </si>
  <si>
    <t>3mee</t>
  </si>
  <si>
    <t>blindness</t>
  </si>
  <si>
    <t>3ma</t>
  </si>
  <si>
    <t>block</t>
  </si>
  <si>
    <t>sdd</t>
  </si>
  <si>
    <t>سدّ</t>
  </si>
  <si>
    <t>خنق</t>
  </si>
  <si>
    <t>blocked</t>
  </si>
  <si>
    <t>msdood</t>
  </si>
  <si>
    <t>مسدود</t>
  </si>
  <si>
    <t>mkhnooq</t>
  </si>
  <si>
    <t>blood</t>
  </si>
  <si>
    <t>demm</t>
  </si>
  <si>
    <t>دَمّ</t>
  </si>
  <si>
    <t>blood pressure</t>
  </si>
  <si>
    <t>Deght</t>
  </si>
  <si>
    <t>tonsion</t>
  </si>
  <si>
    <t>blow one’s nose</t>
  </si>
  <si>
    <t>saas (soos)</t>
  </si>
  <si>
    <t>ساس</t>
  </si>
  <si>
    <t>blue</t>
  </si>
  <si>
    <t>zrq</t>
  </si>
  <si>
    <t>زرق</t>
  </si>
  <si>
    <t>blunt</t>
  </si>
  <si>
    <t>Haafee</t>
  </si>
  <si>
    <t>حافي</t>
  </si>
  <si>
    <t>boat</t>
  </si>
  <si>
    <t>baaTo</t>
  </si>
  <si>
    <t>باطو</t>
  </si>
  <si>
    <t>flooka</t>
  </si>
  <si>
    <t>فلوكة</t>
  </si>
  <si>
    <t>body</t>
  </si>
  <si>
    <t>jism</t>
  </si>
  <si>
    <t>جِسم</t>
  </si>
  <si>
    <t>daat</t>
  </si>
  <si>
    <t>دات</t>
  </si>
  <si>
    <t>boil</t>
  </si>
  <si>
    <t>Taab</t>
  </si>
  <si>
    <t>طاب</t>
  </si>
  <si>
    <t>tshHer</t>
  </si>
  <si>
    <t>Tbkh</t>
  </si>
  <si>
    <t>طبخ</t>
  </si>
  <si>
    <t>slq</t>
  </si>
  <si>
    <t>سلق</t>
  </si>
  <si>
    <t>slg</t>
  </si>
  <si>
    <t>سلگ</t>
  </si>
  <si>
    <t>boiled</t>
  </si>
  <si>
    <t>mslooq</t>
  </si>
  <si>
    <t>مسلوق</t>
  </si>
  <si>
    <t>bolt</t>
  </si>
  <si>
    <t>zkroom</t>
  </si>
  <si>
    <t>زكروم</t>
  </si>
  <si>
    <t>dar (deer)</t>
  </si>
  <si>
    <t>دار الزكروم</t>
  </si>
  <si>
    <t>bomb</t>
  </si>
  <si>
    <t>bon appétit</t>
  </si>
  <si>
    <t>b SS-Ha oo rraaHa</t>
  </si>
  <si>
    <t>ب الصحة و الراحة</t>
  </si>
  <si>
    <t>bone</t>
  </si>
  <si>
    <t>3Dm</t>
  </si>
  <si>
    <t>عضم</t>
  </si>
  <si>
    <t>boneless meat</t>
  </si>
  <si>
    <t>hbra</t>
  </si>
  <si>
    <t>هبرة</t>
  </si>
  <si>
    <t>book</t>
  </si>
  <si>
    <t>ktaab</t>
  </si>
  <si>
    <t>كتاب</t>
  </si>
  <si>
    <t>bookshop</t>
  </si>
  <si>
    <t>maktaba</t>
  </si>
  <si>
    <t>مَكتَبة</t>
  </si>
  <si>
    <t>bookstore</t>
  </si>
  <si>
    <t>boot</t>
  </si>
  <si>
    <t>boTiyou</t>
  </si>
  <si>
    <t>بوطيو</t>
  </si>
  <si>
    <t>boT</t>
  </si>
  <si>
    <t>بوط</t>
  </si>
  <si>
    <t>koofer</t>
  </si>
  <si>
    <t>كوفر</t>
  </si>
  <si>
    <t>border</t>
  </si>
  <si>
    <t>Hodood</t>
  </si>
  <si>
    <t>حُدود</t>
  </si>
  <si>
    <t>boredom</t>
  </si>
  <si>
    <t>malaal</t>
  </si>
  <si>
    <t>boring</t>
  </si>
  <si>
    <t>momil</t>
  </si>
  <si>
    <t>مُمِل</t>
  </si>
  <si>
    <t>borrow</t>
  </si>
  <si>
    <t>tsllef</t>
  </si>
  <si>
    <t>تسلّف</t>
  </si>
  <si>
    <t>boss</t>
  </si>
  <si>
    <t>shef</t>
  </si>
  <si>
    <t>both</t>
  </si>
  <si>
    <t>bjooj</t>
  </si>
  <si>
    <t>بجوج</t>
  </si>
  <si>
    <t>bottle</t>
  </si>
  <si>
    <t>qr3a</t>
  </si>
  <si>
    <t>قرعة</t>
  </si>
  <si>
    <t>beedoo</t>
  </si>
  <si>
    <t>بيدو</t>
  </si>
  <si>
    <t>bottle top</t>
  </si>
  <si>
    <t>ghTaa</t>
  </si>
  <si>
    <t>booshoon</t>
  </si>
  <si>
    <t>bottom</t>
  </si>
  <si>
    <t>bouquet garni</t>
  </si>
  <si>
    <t>Hzma</t>
  </si>
  <si>
    <t>حزمة</t>
  </si>
  <si>
    <t>rbta</t>
  </si>
  <si>
    <t>bow-tie shaped pasta</t>
  </si>
  <si>
    <t>graafaat</t>
  </si>
  <si>
    <t>bowl</t>
  </si>
  <si>
    <t>zlaafa</t>
  </si>
  <si>
    <t>زلافة</t>
  </si>
  <si>
    <t>bowtie</t>
  </si>
  <si>
    <t>graafa</t>
  </si>
  <si>
    <t>box</t>
  </si>
  <si>
    <t>booaaTa</t>
  </si>
  <si>
    <t>بواطة</t>
  </si>
  <si>
    <t>Sndooq</t>
  </si>
  <si>
    <t>صندوق</t>
  </si>
  <si>
    <t>boy</t>
  </si>
  <si>
    <t>ولد</t>
  </si>
  <si>
    <t>drree</t>
  </si>
  <si>
    <t>دراري</t>
  </si>
  <si>
    <t>bra</t>
  </si>
  <si>
    <t>sootyaanaat</t>
  </si>
  <si>
    <t>سوتيانات</t>
  </si>
  <si>
    <t>bracelet</t>
  </si>
  <si>
    <t>braaslee</t>
  </si>
  <si>
    <t>dbleej</t>
  </si>
  <si>
    <t>دبليج</t>
  </si>
  <si>
    <t>srtla</t>
  </si>
  <si>
    <t>brain</t>
  </si>
  <si>
    <t>mokh-kh</t>
  </si>
  <si>
    <t>مُخّ</t>
  </si>
  <si>
    <t>baal</t>
  </si>
  <si>
    <t>بال</t>
  </si>
  <si>
    <t>brambles</t>
  </si>
  <si>
    <t>shook</t>
  </si>
  <si>
    <t>branch</t>
  </si>
  <si>
    <t>ghoSen</t>
  </si>
  <si>
    <t>غُصن</t>
  </si>
  <si>
    <t>brand</t>
  </si>
  <si>
    <t>maraka</t>
  </si>
  <si>
    <t>brass</t>
  </si>
  <si>
    <t>nHaas</t>
  </si>
  <si>
    <t>نحاس صفر</t>
  </si>
  <si>
    <t>Brazil</t>
  </si>
  <si>
    <t>braazeel</t>
  </si>
  <si>
    <t>برازيل</t>
  </si>
  <si>
    <t>Brazilian</t>
  </si>
  <si>
    <t>braazeelee(ya)</t>
  </si>
  <si>
    <t>برازيلي</t>
  </si>
  <si>
    <t>bread</t>
  </si>
  <si>
    <t>khobz</t>
  </si>
  <si>
    <t>خبز</t>
  </si>
  <si>
    <t>bread cooked in a frying pan</t>
  </si>
  <si>
    <t>baTboT</t>
  </si>
  <si>
    <t>بَطبوط</t>
  </si>
  <si>
    <t>bread machine</t>
  </si>
  <si>
    <t>3jaana</t>
  </si>
  <si>
    <t>break</t>
  </si>
  <si>
    <t>hrrs</t>
  </si>
  <si>
    <t>هرّس</t>
  </si>
  <si>
    <t>khsser</t>
  </si>
  <si>
    <t>خسّر</t>
  </si>
  <si>
    <t>t-hrrs</t>
  </si>
  <si>
    <t>تهرّس</t>
  </si>
  <si>
    <t>tkhsser</t>
  </si>
  <si>
    <t>تخسّر</t>
  </si>
  <si>
    <t>break down</t>
  </si>
  <si>
    <t>break the fast</t>
  </si>
  <si>
    <t>frrq</t>
  </si>
  <si>
    <t>breakfast</t>
  </si>
  <si>
    <t>fTour</t>
  </si>
  <si>
    <t>فطور</t>
  </si>
  <si>
    <t>fTr</t>
  </si>
  <si>
    <t>فطر</t>
  </si>
  <si>
    <t>breaktime</t>
  </si>
  <si>
    <t>stiraaHa</t>
  </si>
  <si>
    <t>breast</t>
  </si>
  <si>
    <t>Sdr</t>
  </si>
  <si>
    <t>صدر</t>
  </si>
  <si>
    <t>breath</t>
  </si>
  <si>
    <t>nfs</t>
  </si>
  <si>
    <t>نفس</t>
  </si>
  <si>
    <t>breathe</t>
  </si>
  <si>
    <t>tneffes</t>
  </si>
  <si>
    <t>تنفّس</t>
  </si>
  <si>
    <t>breeze</t>
  </si>
  <si>
    <t>hwa</t>
  </si>
  <si>
    <t>brick</t>
  </si>
  <si>
    <t>yaajoor</t>
  </si>
  <si>
    <t>ياجور</t>
  </si>
  <si>
    <t>yaajoor Hmer</t>
  </si>
  <si>
    <t>ياجور حمر</t>
  </si>
  <si>
    <t>breek</t>
  </si>
  <si>
    <t>بريك</t>
  </si>
  <si>
    <t>bride</t>
  </si>
  <si>
    <t>mzooweja</t>
  </si>
  <si>
    <t>مزوّجة</t>
  </si>
  <si>
    <t>mjooweja</t>
  </si>
  <si>
    <t>ات</t>
  </si>
  <si>
    <t>bridge</t>
  </si>
  <si>
    <t>qntera</t>
  </si>
  <si>
    <t>قنطرة</t>
  </si>
  <si>
    <t>briefs</t>
  </si>
  <si>
    <t>sleep</t>
  </si>
  <si>
    <t>سليپ</t>
  </si>
  <si>
    <t>bring</t>
  </si>
  <si>
    <t>jaab (jeeb)</t>
  </si>
  <si>
    <t>جاب</t>
  </si>
  <si>
    <t>broad</t>
  </si>
  <si>
    <t>3reeD</t>
  </si>
  <si>
    <t>عريض</t>
  </si>
  <si>
    <t>waase3</t>
  </si>
  <si>
    <t>broad bean</t>
  </si>
  <si>
    <t>fool</t>
  </si>
  <si>
    <t>فول</t>
  </si>
  <si>
    <t>broken</t>
  </si>
  <si>
    <t>mhrrs</t>
  </si>
  <si>
    <t>مهرّس</t>
  </si>
  <si>
    <t>broken down</t>
  </si>
  <si>
    <t>khaaser</t>
  </si>
  <si>
    <t>خاسر</t>
  </si>
  <si>
    <t>broom</t>
  </si>
  <si>
    <t>shTTaaba</t>
  </si>
  <si>
    <t>شطّابة</t>
  </si>
  <si>
    <t>brother</t>
  </si>
  <si>
    <t>kho</t>
  </si>
  <si>
    <t>خو</t>
  </si>
  <si>
    <t>brother-in-law</t>
  </si>
  <si>
    <t>lous</t>
  </si>
  <si>
    <t>nseeb</t>
  </si>
  <si>
    <t>نسيب</t>
  </si>
  <si>
    <t>brown</t>
  </si>
  <si>
    <t>qhwee</t>
  </si>
  <si>
    <t>قهوي</t>
  </si>
  <si>
    <t>marron</t>
  </si>
  <si>
    <t>Hmmer</t>
  </si>
  <si>
    <t>حمّر</t>
  </si>
  <si>
    <t>brush</t>
  </si>
  <si>
    <t>sheeta</t>
  </si>
  <si>
    <t>شيتة</t>
  </si>
  <si>
    <t>mshT</t>
  </si>
  <si>
    <t>مشط</t>
  </si>
  <si>
    <t>Hkk</t>
  </si>
  <si>
    <t>حكّ</t>
  </si>
  <si>
    <t>brush hair</t>
  </si>
  <si>
    <t>bucket</t>
  </si>
  <si>
    <t>سطل</t>
  </si>
  <si>
    <t>build</t>
  </si>
  <si>
    <t>bnaa (bnee)</t>
  </si>
  <si>
    <t>بنى</t>
  </si>
  <si>
    <t>tbnaa</t>
  </si>
  <si>
    <t>تبنى</t>
  </si>
  <si>
    <t>builder</t>
  </si>
  <si>
    <t>m3aalm</t>
  </si>
  <si>
    <t>bnnay</t>
  </si>
  <si>
    <t>بنّاي</t>
  </si>
  <si>
    <t>building</t>
  </si>
  <si>
    <t>bnee</t>
  </si>
  <si>
    <t>bateema</t>
  </si>
  <si>
    <t>built</t>
  </si>
  <si>
    <t>mebnee</t>
  </si>
  <si>
    <t>مَبني</t>
  </si>
  <si>
    <t>bullet</t>
  </si>
  <si>
    <t>bunch</t>
  </si>
  <si>
    <t>bookay</t>
  </si>
  <si>
    <t>bundle</t>
  </si>
  <si>
    <t>burgundy</t>
  </si>
  <si>
    <t>grona</t>
  </si>
  <si>
    <t>buried</t>
  </si>
  <si>
    <t>mdfoon</t>
  </si>
  <si>
    <t>مدفون</t>
  </si>
  <si>
    <t>burn</t>
  </si>
  <si>
    <t>Hrq</t>
  </si>
  <si>
    <t>حرق</t>
  </si>
  <si>
    <t>Hrqa</t>
  </si>
  <si>
    <t>tHrq</t>
  </si>
  <si>
    <t>تحرق</t>
  </si>
  <si>
    <t>bury</t>
  </si>
  <si>
    <t>dfn</t>
  </si>
  <si>
    <t>دفن</t>
  </si>
  <si>
    <t>bus</t>
  </si>
  <si>
    <t>Tobees</t>
  </si>
  <si>
    <t>طوبيس</t>
  </si>
  <si>
    <t>bus station</t>
  </si>
  <si>
    <t>maHTTa</t>
  </si>
  <si>
    <t>مَحطّة د الطوبيسات</t>
  </si>
  <si>
    <t>bus stop</t>
  </si>
  <si>
    <t>بلاصة ديال الطوبيس</t>
  </si>
  <si>
    <t>blaaka</t>
  </si>
  <si>
    <t>بلاكة ديال الطوبيس</t>
  </si>
  <si>
    <t>business</t>
  </si>
  <si>
    <t>sharika</t>
  </si>
  <si>
    <t>شَرِكة</t>
  </si>
  <si>
    <t>busy</t>
  </si>
  <si>
    <t>mshghool</t>
  </si>
  <si>
    <t>مشغول</t>
  </si>
  <si>
    <t>but</t>
  </si>
  <si>
    <t>walakin</t>
  </si>
  <si>
    <t>وَلَكِن</t>
  </si>
  <si>
    <t>butcher</t>
  </si>
  <si>
    <t>gzzaar</t>
  </si>
  <si>
    <t>گزّار</t>
  </si>
  <si>
    <t>butcher’s shop</t>
  </si>
  <si>
    <t>3nd lgzzaar</t>
  </si>
  <si>
    <t>عند الگزّار</t>
  </si>
  <si>
    <t>butter</t>
  </si>
  <si>
    <t>zbda</t>
  </si>
  <si>
    <t>زبدة</t>
  </si>
  <si>
    <t>butterfly</t>
  </si>
  <si>
    <t>feraasha</t>
  </si>
  <si>
    <t>فراشة</t>
  </si>
  <si>
    <t>buy</t>
  </si>
  <si>
    <t>shraa (shree)</t>
  </si>
  <si>
    <t>شرى</t>
  </si>
  <si>
    <t>tqddaa</t>
  </si>
  <si>
    <t>تقدّى</t>
  </si>
  <si>
    <t>قطع</t>
  </si>
  <si>
    <t>ksaa</t>
  </si>
  <si>
    <t>كسى</t>
  </si>
  <si>
    <t>by</t>
  </si>
  <si>
    <t>b</t>
  </si>
  <si>
    <t>ب</t>
  </si>
  <si>
    <t>by oneself</t>
  </si>
  <si>
    <t>cabbage</t>
  </si>
  <si>
    <t>mkoower</t>
  </si>
  <si>
    <t>مكوّر</t>
  </si>
  <si>
    <t>cable</t>
  </si>
  <si>
    <t>kheeT</t>
  </si>
  <si>
    <t>خيط د ضو</t>
  </si>
  <si>
    <t>cactus</t>
  </si>
  <si>
    <t>drg</t>
  </si>
  <si>
    <t>درگ</t>
  </si>
  <si>
    <t>café</t>
  </si>
  <si>
    <t>qhwa</t>
  </si>
  <si>
    <t>قهوة</t>
  </si>
  <si>
    <t>cake</t>
  </si>
  <si>
    <t>Hloowa</t>
  </si>
  <si>
    <t>حلوة</t>
  </si>
  <si>
    <t>keeka</t>
  </si>
  <si>
    <t>cake pan</t>
  </si>
  <si>
    <t>qaalb</t>
  </si>
  <si>
    <t>mool</t>
  </si>
  <si>
    <t>cake tin</t>
  </si>
  <si>
    <t>calf</t>
  </si>
  <si>
    <t>3jel(a)</t>
  </si>
  <si>
    <t>call</t>
  </si>
  <si>
    <t>3eeyeT</t>
  </si>
  <si>
    <t>عيّط على</t>
  </si>
  <si>
    <t>ttaSl</t>
  </si>
  <si>
    <t>تَّصل ب</t>
  </si>
  <si>
    <t>doower</t>
  </si>
  <si>
    <t>دوّر ل</t>
  </si>
  <si>
    <t>gaal (gool)</t>
  </si>
  <si>
    <t>گال</t>
  </si>
  <si>
    <t>call back</t>
  </si>
  <si>
    <t>3aawed</t>
  </si>
  <si>
    <t>عاود</t>
  </si>
  <si>
    <t>call to prayer</t>
  </si>
  <si>
    <t>‘adaan</t>
  </si>
  <si>
    <t>أدان</t>
  </si>
  <si>
    <t>calm</t>
  </si>
  <si>
    <t>mhaddn</t>
  </si>
  <si>
    <t>hddn</t>
  </si>
  <si>
    <t>هدّن</t>
  </si>
  <si>
    <t>calm down</t>
  </si>
  <si>
    <t>thddn</t>
  </si>
  <si>
    <t>تهدّن</t>
  </si>
  <si>
    <t>camel</t>
  </si>
  <si>
    <t>jml</t>
  </si>
  <si>
    <t>جمل</t>
  </si>
  <si>
    <t>camomile</t>
  </si>
  <si>
    <t>baaboonaj</t>
  </si>
  <si>
    <t>بابونَج</t>
  </si>
  <si>
    <t>camp</t>
  </si>
  <si>
    <t>kheeyem</t>
  </si>
  <si>
    <t>خيّم</t>
  </si>
  <si>
    <t>camping site</t>
  </si>
  <si>
    <t>mokheeyam</t>
  </si>
  <si>
    <t>مُخيَم</t>
  </si>
  <si>
    <t>campsite</t>
  </si>
  <si>
    <t>can</t>
  </si>
  <si>
    <t>Hok</t>
  </si>
  <si>
    <t>حُك</t>
  </si>
  <si>
    <t>cancel</t>
  </si>
  <si>
    <t>lghaa (lghee)</t>
  </si>
  <si>
    <t>لغى</t>
  </si>
  <si>
    <t>tlghaa</t>
  </si>
  <si>
    <t>تلغى</t>
  </si>
  <si>
    <t>maa-bqaa-sh</t>
  </si>
  <si>
    <t>cancer</t>
  </si>
  <si>
    <t>saraTaan</t>
  </si>
  <si>
    <t>سَرَطان</t>
  </si>
  <si>
    <t>candle</t>
  </si>
  <si>
    <t>shm3</t>
  </si>
  <si>
    <t>شمع</t>
  </si>
  <si>
    <t>candy</t>
  </si>
  <si>
    <t>faneed</t>
  </si>
  <si>
    <t>فَنيد</t>
  </si>
  <si>
    <t>cane</t>
  </si>
  <si>
    <t>3kkaaz</t>
  </si>
  <si>
    <t>عكّاز</t>
  </si>
  <si>
    <t>cap</t>
  </si>
  <si>
    <t>kaskeeT</t>
  </si>
  <si>
    <t>kaskeeTa</t>
  </si>
  <si>
    <t>capable</t>
  </si>
  <si>
    <t>jbha</t>
  </si>
  <si>
    <t>capital</t>
  </si>
  <si>
    <t>raasilmel</t>
  </si>
  <si>
    <t>capsule</t>
  </si>
  <si>
    <t>faaneed</t>
  </si>
  <si>
    <t>car</t>
  </si>
  <si>
    <t>Tomobeela</t>
  </si>
  <si>
    <t>طُموبيلة</t>
  </si>
  <si>
    <t>Tomobeel</t>
  </si>
  <si>
    <t>طُموبيل</t>
  </si>
  <si>
    <t>cardamom</t>
  </si>
  <si>
    <t>bsibeesa</t>
  </si>
  <si>
    <t>cards</t>
  </si>
  <si>
    <t>kaarTa</t>
  </si>
  <si>
    <t>كارطة</t>
  </si>
  <si>
    <t>carpenter</t>
  </si>
  <si>
    <t>njjaar</t>
  </si>
  <si>
    <t>نجّار</t>
  </si>
  <si>
    <t>carrot</t>
  </si>
  <si>
    <t>kheezo</t>
  </si>
  <si>
    <t>خيزو</t>
  </si>
  <si>
    <t>carry</t>
  </si>
  <si>
    <t>hzz</t>
  </si>
  <si>
    <t>هزّ</t>
  </si>
  <si>
    <t>haazz</t>
  </si>
  <si>
    <t>هازّ</t>
  </si>
  <si>
    <t>carry out</t>
  </si>
  <si>
    <t>Casablanca</t>
  </si>
  <si>
    <t>dar biyeDa</t>
  </si>
  <si>
    <t>casserole dish</t>
  </si>
  <si>
    <t>kookoot</t>
  </si>
  <si>
    <t>كوكوت</t>
  </si>
  <si>
    <t>cast a spell</t>
  </si>
  <si>
    <t>sHer</t>
  </si>
  <si>
    <t>سحَر</t>
  </si>
  <si>
    <t>castle</t>
  </si>
  <si>
    <t>qSr</t>
  </si>
  <si>
    <t>قصر</t>
  </si>
  <si>
    <t>cat</t>
  </si>
  <si>
    <t>msh</t>
  </si>
  <si>
    <t>مش</t>
  </si>
  <si>
    <t>cauliflower</t>
  </si>
  <si>
    <t>sheefloor</t>
  </si>
  <si>
    <t>شِفلور</t>
  </si>
  <si>
    <t>cause</t>
  </si>
  <si>
    <t>sabab</t>
  </si>
  <si>
    <t>سَبَب</t>
  </si>
  <si>
    <t>sbib</t>
  </si>
  <si>
    <t>cave</t>
  </si>
  <si>
    <t>kahf</t>
  </si>
  <si>
    <t>كَهف</t>
  </si>
  <si>
    <t>maghaara</t>
  </si>
  <si>
    <t>مَغارة</t>
  </si>
  <si>
    <t>cavern</t>
  </si>
  <si>
    <t>ceiling</t>
  </si>
  <si>
    <t>sqef</t>
  </si>
  <si>
    <t>سقف</t>
  </si>
  <si>
    <t>sqoofa</t>
  </si>
  <si>
    <t>celebrate</t>
  </si>
  <si>
    <t>Htafel</t>
  </si>
  <si>
    <t>حتَفل ب</t>
  </si>
  <si>
    <t>celery</t>
  </si>
  <si>
    <t>kraafs</t>
  </si>
  <si>
    <t>كرافس</t>
  </si>
  <si>
    <t>cell phone</t>
  </si>
  <si>
    <t>tileefoon</t>
  </si>
  <si>
    <t>تِليفون</t>
  </si>
  <si>
    <t>porTaabl</t>
  </si>
  <si>
    <t>پورطابل</t>
  </si>
  <si>
    <t>cellar</t>
  </si>
  <si>
    <t>cement</t>
  </si>
  <si>
    <t>seema</t>
  </si>
  <si>
    <t>cemetery</t>
  </si>
  <si>
    <t>mqbaara</t>
  </si>
  <si>
    <t>center</t>
  </si>
  <si>
    <t>woost</t>
  </si>
  <si>
    <t>wasaT</t>
  </si>
  <si>
    <t>وَسَط</t>
  </si>
  <si>
    <t>dar</t>
  </si>
  <si>
    <t>centre</t>
  </si>
  <si>
    <t>ceremony</t>
  </si>
  <si>
    <t>s-hra</t>
  </si>
  <si>
    <t>chair</t>
  </si>
  <si>
    <t>chlaya</t>
  </si>
  <si>
    <t>chalk</t>
  </si>
  <si>
    <t>Tabaacheer</t>
  </si>
  <si>
    <t>طَباشير</t>
  </si>
  <si>
    <t>chameleon</t>
  </si>
  <si>
    <t>boowa</t>
  </si>
  <si>
    <t>بوة</t>
  </si>
  <si>
    <t>change</t>
  </si>
  <si>
    <t>bddl</t>
  </si>
  <si>
    <t>بدّل</t>
  </si>
  <si>
    <t>gheeyer</t>
  </si>
  <si>
    <t>غيّر</t>
  </si>
  <si>
    <t>tbddl</t>
  </si>
  <si>
    <t>تبدّل</t>
  </si>
  <si>
    <t>Serf</t>
  </si>
  <si>
    <t>صرف</t>
  </si>
  <si>
    <t>change money</t>
  </si>
  <si>
    <t>Srrf</t>
  </si>
  <si>
    <t>صرّف</t>
  </si>
  <si>
    <t>channel</t>
  </si>
  <si>
    <t>qana</t>
  </si>
  <si>
    <t>قَنة</t>
  </si>
  <si>
    <t>charity</t>
  </si>
  <si>
    <t>cheap</t>
  </si>
  <si>
    <t>rkheeS</t>
  </si>
  <si>
    <t>رخيص</t>
  </si>
  <si>
    <t>cheaper</t>
  </si>
  <si>
    <t>rkheS</t>
  </si>
  <si>
    <t>رخص</t>
  </si>
  <si>
    <t>check</t>
  </si>
  <si>
    <t>shikaat</t>
  </si>
  <si>
    <t>karow</t>
  </si>
  <si>
    <t>cheek</t>
  </si>
  <si>
    <t>Hnk</t>
  </si>
  <si>
    <t>حنك</t>
  </si>
  <si>
    <t>cheese</t>
  </si>
  <si>
    <t>fromaaj</t>
  </si>
  <si>
    <t>فرُماج</t>
  </si>
  <si>
    <t>chef</t>
  </si>
  <si>
    <t>Tbaakh</t>
  </si>
  <si>
    <t>طباخ</t>
  </si>
  <si>
    <t>cheque</t>
  </si>
  <si>
    <t>cherry</t>
  </si>
  <si>
    <t>Heblmlook</t>
  </si>
  <si>
    <t>حبلملوك</t>
  </si>
  <si>
    <t>chess</t>
  </si>
  <si>
    <t>sTranj</t>
  </si>
  <si>
    <t>سطرنج</t>
  </si>
  <si>
    <t>chest</t>
  </si>
  <si>
    <t>chest of drawers</t>
  </si>
  <si>
    <t>komod</t>
  </si>
  <si>
    <t>chew</t>
  </si>
  <si>
    <t>mDgh</t>
  </si>
  <si>
    <t>مضغ</t>
  </si>
  <si>
    <t>chewing gum</t>
  </si>
  <si>
    <t>mska</t>
  </si>
  <si>
    <t>مسكة</t>
  </si>
  <si>
    <t>chick</t>
  </si>
  <si>
    <t>faarkh</t>
  </si>
  <si>
    <t>ktkoot</t>
  </si>
  <si>
    <t>chicken</t>
  </si>
  <si>
    <t>djaaj</t>
  </si>
  <si>
    <t>دجاج</t>
  </si>
  <si>
    <t>chicken breast</t>
  </si>
  <si>
    <t>chickpea</t>
  </si>
  <si>
    <t>HmmeS</t>
  </si>
  <si>
    <t>حمّص</t>
  </si>
  <si>
    <t>child</t>
  </si>
  <si>
    <t>dree</t>
  </si>
  <si>
    <t>دري</t>
  </si>
  <si>
    <t>wlaad</t>
  </si>
  <si>
    <t>ولاد</t>
  </si>
  <si>
    <t>childhood</t>
  </si>
  <si>
    <t>Tofoola</t>
  </si>
  <si>
    <t>طُفولة</t>
  </si>
  <si>
    <t>chili pepper</t>
  </si>
  <si>
    <t>flfla</t>
  </si>
  <si>
    <t>فلفلة حارة</t>
  </si>
  <si>
    <t>فلفلة سودانية</t>
  </si>
  <si>
    <t>chimney</t>
  </si>
  <si>
    <t>lqeedoos</t>
  </si>
  <si>
    <t>chin</t>
  </si>
  <si>
    <t>dqn</t>
  </si>
  <si>
    <t>chinese</t>
  </si>
  <si>
    <t>sheenwa</t>
  </si>
  <si>
    <t>chips</t>
  </si>
  <si>
    <t>freet</t>
  </si>
  <si>
    <t>فريت</t>
  </si>
  <si>
    <t>chocolate</t>
  </si>
  <si>
    <t>shklaaT</t>
  </si>
  <si>
    <t>شكلاط</t>
  </si>
  <si>
    <t>choice</t>
  </si>
  <si>
    <t>khtyaar</t>
  </si>
  <si>
    <t>ختيار</t>
  </si>
  <si>
    <t>choked</t>
  </si>
  <si>
    <t>choking</t>
  </si>
  <si>
    <t>khnqa</t>
  </si>
  <si>
    <t>choose</t>
  </si>
  <si>
    <t>khtaar</t>
  </si>
  <si>
    <t>ختار</t>
  </si>
  <si>
    <t>chop</t>
  </si>
  <si>
    <t>grrD</t>
  </si>
  <si>
    <t>گرّض</t>
  </si>
  <si>
    <t>chopping board</t>
  </si>
  <si>
    <t>graaDa</t>
  </si>
  <si>
    <t>christian</t>
  </si>
  <si>
    <t>maSeeHey</t>
  </si>
  <si>
    <t>nesraanee</t>
  </si>
  <si>
    <t>church</t>
  </si>
  <si>
    <t>keneesa</t>
  </si>
  <si>
    <t>كنيسة</t>
  </si>
  <si>
    <t>cigarette</t>
  </si>
  <si>
    <t>gaarroo</t>
  </si>
  <si>
    <t>گارّو</t>
  </si>
  <si>
    <t>cinema</t>
  </si>
  <si>
    <t>seeneemaa</t>
  </si>
  <si>
    <t>سِنيما</t>
  </si>
  <si>
    <t>cinnamon</t>
  </si>
  <si>
    <t>qrfa</t>
  </si>
  <si>
    <t>قرفة</t>
  </si>
  <si>
    <t>circle</t>
  </si>
  <si>
    <t>daa’ira</t>
  </si>
  <si>
    <t>دائِرة</t>
  </si>
  <si>
    <t>citizen</t>
  </si>
  <si>
    <t>mwaaTen</t>
  </si>
  <si>
    <t>مواطن</t>
  </si>
  <si>
    <t>city</t>
  </si>
  <si>
    <t>mdeena</t>
  </si>
  <si>
    <t>مدينة</t>
  </si>
  <si>
    <t>qaareeya</t>
  </si>
  <si>
    <t>city hall</t>
  </si>
  <si>
    <t>baladeeya</t>
  </si>
  <si>
    <t>بَلَديّة</t>
  </si>
  <si>
    <t>civil servant</t>
  </si>
  <si>
    <t>mooDDaf</t>
  </si>
  <si>
    <t>موضَّف</t>
  </si>
  <si>
    <t>civilisation</t>
  </si>
  <si>
    <t>HaDaara</t>
  </si>
  <si>
    <t>حَضارة</t>
  </si>
  <si>
    <t>clap</t>
  </si>
  <si>
    <t>class</t>
  </si>
  <si>
    <t>drs</t>
  </si>
  <si>
    <t>درس</t>
  </si>
  <si>
    <t>classical</t>
  </si>
  <si>
    <t>klaseeqee</t>
  </si>
  <si>
    <t>Classical Arabic</t>
  </si>
  <si>
    <t>fooSHa</t>
  </si>
  <si>
    <t>فوصحة</t>
  </si>
  <si>
    <t>classroom</t>
  </si>
  <si>
    <t>qism</t>
  </si>
  <si>
    <t>قِسم</t>
  </si>
  <si>
    <t>clean</t>
  </si>
  <si>
    <t>nqqaa (nqqee)</t>
  </si>
  <si>
    <t>نقّى</t>
  </si>
  <si>
    <t>Saawb</t>
  </si>
  <si>
    <t>صاوب</t>
  </si>
  <si>
    <t>seeyeq</t>
  </si>
  <si>
    <t>سيّق</t>
  </si>
  <si>
    <t>jffef</t>
  </si>
  <si>
    <t>جفّف</t>
  </si>
  <si>
    <t>nqee</t>
  </si>
  <si>
    <t>نقي</t>
  </si>
  <si>
    <t>cleaning lady</t>
  </si>
  <si>
    <t>khddaama</t>
  </si>
  <si>
    <t>خدّامة</t>
  </si>
  <si>
    <t>faam de menaaj</t>
  </si>
  <si>
    <t>clear</t>
  </si>
  <si>
    <t>saafee</t>
  </si>
  <si>
    <t>wDoH</t>
  </si>
  <si>
    <t>clear the table</t>
  </si>
  <si>
    <t>جمع الطبلة</t>
  </si>
  <si>
    <t>clearly</t>
  </si>
  <si>
    <t>bowDoH</t>
  </si>
  <si>
    <t>clever</t>
  </si>
  <si>
    <t>maaDee</t>
  </si>
  <si>
    <t>ماضي</t>
  </si>
  <si>
    <t>client</t>
  </si>
  <si>
    <t>klyaan</t>
  </si>
  <si>
    <t>كليّان</t>
  </si>
  <si>
    <t>clinic</t>
  </si>
  <si>
    <t>kleeneek</t>
  </si>
  <si>
    <t>close</t>
  </si>
  <si>
    <t>tsdd</t>
  </si>
  <si>
    <t>saad</t>
  </si>
  <si>
    <t>qreeb</t>
  </si>
  <si>
    <t>قريب</t>
  </si>
  <si>
    <t>closed</t>
  </si>
  <si>
    <t>closet</t>
  </si>
  <si>
    <t>maaryoo</t>
  </si>
  <si>
    <t>ماريو</t>
  </si>
  <si>
    <t>3allaaqa</t>
  </si>
  <si>
    <t>عَلاّقة</t>
  </si>
  <si>
    <t>cloth</t>
  </si>
  <si>
    <t>toob</t>
  </si>
  <si>
    <t>توب</t>
  </si>
  <si>
    <t>sheefoon</t>
  </si>
  <si>
    <t>clothes</t>
  </si>
  <si>
    <t>Hwaayj</t>
  </si>
  <si>
    <t>حوايج</t>
  </si>
  <si>
    <t>kswa</t>
  </si>
  <si>
    <t>كسوة</t>
  </si>
  <si>
    <t>clothes hanger</t>
  </si>
  <si>
    <t>clothes peg</t>
  </si>
  <si>
    <t>qrarsa</t>
  </si>
  <si>
    <t>clothes pin</t>
  </si>
  <si>
    <t>clothes shop</t>
  </si>
  <si>
    <t>mool Hwaayj</t>
  </si>
  <si>
    <t>cloud</t>
  </si>
  <si>
    <t>Dbaab</t>
  </si>
  <si>
    <t>ضباب</t>
  </si>
  <si>
    <t>s-haab</t>
  </si>
  <si>
    <t>ghyoom</t>
  </si>
  <si>
    <t>cloudy</t>
  </si>
  <si>
    <t>mgheeyem</t>
  </si>
  <si>
    <t>clove</t>
  </si>
  <si>
    <t>qrnfl</t>
  </si>
  <si>
    <t>قرنفل</t>
  </si>
  <si>
    <t>co-operative</t>
  </si>
  <si>
    <t>coach</t>
  </si>
  <si>
    <t>kaar</t>
  </si>
  <si>
    <t>كار</t>
  </si>
  <si>
    <t>coach station</t>
  </si>
  <si>
    <t>مَحطّة د الكيران</t>
  </si>
  <si>
    <t>coast</t>
  </si>
  <si>
    <t>shate’e</t>
  </si>
  <si>
    <t>coat</t>
  </si>
  <si>
    <t>monto</t>
  </si>
  <si>
    <t>coat hanger</t>
  </si>
  <si>
    <t>coat rack</t>
  </si>
  <si>
    <t>m3llaq</t>
  </si>
  <si>
    <t>cobbler</t>
  </si>
  <si>
    <t>khraaz</t>
  </si>
  <si>
    <t>خراز</t>
  </si>
  <si>
    <t>cock</t>
  </si>
  <si>
    <t>frrooj</t>
  </si>
  <si>
    <t>فرّوج</t>
  </si>
  <si>
    <t>cock-a-doodle-doo</t>
  </si>
  <si>
    <t>kokoo3oo</t>
  </si>
  <si>
    <t>cockroach</t>
  </si>
  <si>
    <t>srraaq</t>
  </si>
  <si>
    <t>سرّاق الزيت</t>
  </si>
  <si>
    <t>coconut</t>
  </si>
  <si>
    <t>kookoo</t>
  </si>
  <si>
    <t>كوكو</t>
  </si>
  <si>
    <t>coffee</t>
  </si>
  <si>
    <t>coffee pot</t>
  </si>
  <si>
    <t>breeq</t>
  </si>
  <si>
    <t>بريق</t>
  </si>
  <si>
    <t>cola</t>
  </si>
  <si>
    <t>kookaa</t>
  </si>
  <si>
    <t>كوكا</t>
  </si>
  <si>
    <t>colander</t>
  </si>
  <si>
    <t>Sffaaya</t>
  </si>
  <si>
    <t>صفّاية</t>
  </si>
  <si>
    <t>cold</t>
  </si>
  <si>
    <t>brd</t>
  </si>
  <si>
    <t>برد</t>
  </si>
  <si>
    <t>rwaaH</t>
  </si>
  <si>
    <t>رواح</t>
  </si>
  <si>
    <t>baard</t>
  </si>
  <si>
    <t>بارد</t>
  </si>
  <si>
    <t>collar</t>
  </si>
  <si>
    <t>collect</t>
  </si>
  <si>
    <t>college</t>
  </si>
  <si>
    <t>jaami3a</t>
  </si>
  <si>
    <t>جامِعة</t>
  </si>
  <si>
    <t>lafak</t>
  </si>
  <si>
    <t>colour</t>
  </si>
  <si>
    <t>loon</t>
  </si>
  <si>
    <t>لون</t>
  </si>
  <si>
    <t>come</t>
  </si>
  <si>
    <t>jaa (jee)</t>
  </si>
  <si>
    <t>جى</t>
  </si>
  <si>
    <t>yallah m3a …</t>
  </si>
  <si>
    <t>jaay</t>
  </si>
  <si>
    <t>جاي</t>
  </si>
  <si>
    <t>come back</t>
  </si>
  <si>
    <t>rj3</t>
  </si>
  <si>
    <t>رجع</t>
  </si>
  <si>
    <t>come true</t>
  </si>
  <si>
    <t>comfort</t>
  </si>
  <si>
    <t>raaHa</t>
  </si>
  <si>
    <t>راحة</t>
  </si>
  <si>
    <t>comfortable</t>
  </si>
  <si>
    <t>moreeH</t>
  </si>
  <si>
    <t>مريح</t>
  </si>
  <si>
    <t>mrtaaH</t>
  </si>
  <si>
    <t>مرتاح</t>
  </si>
  <si>
    <t>b rraaHa</t>
  </si>
  <si>
    <t>بالراحة</t>
  </si>
  <si>
    <t>commerce</t>
  </si>
  <si>
    <t>tijaara</t>
  </si>
  <si>
    <t>تِجارة</t>
  </si>
  <si>
    <t>commit suicide</t>
  </si>
  <si>
    <t>ntaaHer</t>
  </si>
  <si>
    <t>نتاحَر</t>
  </si>
  <si>
    <t>communicate</t>
  </si>
  <si>
    <t>taSl</t>
  </si>
  <si>
    <t>تَصل</t>
  </si>
  <si>
    <t>twaSl</t>
  </si>
  <si>
    <t>company</t>
  </si>
  <si>
    <t>compare</t>
  </si>
  <si>
    <t>qaaren</t>
  </si>
  <si>
    <t>قارن</t>
  </si>
  <si>
    <t>comparison</t>
  </si>
  <si>
    <t>moqaarana</t>
  </si>
  <si>
    <t>مُقارَنة</t>
  </si>
  <si>
    <t>compassion</t>
  </si>
  <si>
    <t>Hanan</t>
  </si>
  <si>
    <t>competition</t>
  </si>
  <si>
    <t>monaafasa</t>
  </si>
  <si>
    <t>مُنافَسة</t>
  </si>
  <si>
    <t>complain</t>
  </si>
  <si>
    <t>ngr</t>
  </si>
  <si>
    <t>نگر</t>
  </si>
  <si>
    <t>complete</t>
  </si>
  <si>
    <t>كامل</t>
  </si>
  <si>
    <t>completely</t>
  </si>
  <si>
    <t>tmaaman</t>
  </si>
  <si>
    <t>complicated</t>
  </si>
  <si>
    <t>m3qqd</t>
  </si>
  <si>
    <t>معقّد</t>
  </si>
  <si>
    <t>computer</t>
  </si>
  <si>
    <t>peesee</t>
  </si>
  <si>
    <t>concentrate</t>
  </si>
  <si>
    <t>rkkz</t>
  </si>
  <si>
    <t>concern</t>
  </si>
  <si>
    <t>shghl</t>
  </si>
  <si>
    <t>شغل</t>
  </si>
  <si>
    <t>condition</t>
  </si>
  <si>
    <t>sherT</t>
  </si>
  <si>
    <t>confess</t>
  </si>
  <si>
    <t>3taref</t>
  </si>
  <si>
    <t>عتَرف</t>
  </si>
  <si>
    <t>gerr</t>
  </si>
  <si>
    <t>گرّ</t>
  </si>
  <si>
    <t>confidence</t>
  </si>
  <si>
    <t>teeqa</t>
  </si>
  <si>
    <t>تيقة</t>
  </si>
  <si>
    <t>confused</t>
  </si>
  <si>
    <t>Haayr</t>
  </si>
  <si>
    <t>حاير</t>
  </si>
  <si>
    <t>congratulate</t>
  </si>
  <si>
    <t>baarek</t>
  </si>
  <si>
    <t>بارَك</t>
  </si>
  <si>
    <t>congratulations</t>
  </si>
  <si>
    <t>llah eekmml bikheer</t>
  </si>
  <si>
    <t>الله يكمّل بِخير</t>
  </si>
  <si>
    <t>connection</t>
  </si>
  <si>
    <t>koneksion</t>
  </si>
  <si>
    <t>conquer</t>
  </si>
  <si>
    <t>constipation</t>
  </si>
  <si>
    <t>qebT</t>
  </si>
  <si>
    <t>قَبض</t>
  </si>
  <si>
    <t>contact</t>
  </si>
  <si>
    <t>teessal</t>
  </si>
  <si>
    <t>contagious</t>
  </si>
  <si>
    <t>3daa (3dee)</t>
  </si>
  <si>
    <t>عدى</t>
  </si>
  <si>
    <t>contaminate</t>
  </si>
  <si>
    <t>3dwaa</t>
  </si>
  <si>
    <t>continent</t>
  </si>
  <si>
    <t>qaarra</t>
  </si>
  <si>
    <t>قارّة</t>
  </si>
  <si>
    <t>continue</t>
  </si>
  <si>
    <t>kmml</t>
  </si>
  <si>
    <t>كمّل</t>
  </si>
  <si>
    <t>contract</t>
  </si>
  <si>
    <t>koontraa</t>
  </si>
  <si>
    <t>كونترا</t>
  </si>
  <si>
    <t>control</t>
  </si>
  <si>
    <t>Hkm</t>
  </si>
  <si>
    <t>komand</t>
  </si>
  <si>
    <t>tHkkm</t>
  </si>
  <si>
    <t>تحكّم</t>
  </si>
  <si>
    <t>control oneself</t>
  </si>
  <si>
    <t>تحكّم ف راسي</t>
  </si>
  <si>
    <t>cook</t>
  </si>
  <si>
    <t>Teeyeb</t>
  </si>
  <si>
    <t>طيّب</t>
  </si>
  <si>
    <t>cooked</t>
  </si>
  <si>
    <t>Taayb</t>
  </si>
  <si>
    <t>طايب</t>
  </si>
  <si>
    <t>cooker</t>
  </si>
  <si>
    <t>boTaa</t>
  </si>
  <si>
    <t>بوطا</t>
  </si>
  <si>
    <t>cookery</t>
  </si>
  <si>
    <t>Tabkh</t>
  </si>
  <si>
    <t>طَبخ</t>
  </si>
  <si>
    <t>cooking pot</t>
  </si>
  <si>
    <t>gameela</t>
  </si>
  <si>
    <t>گَميلة</t>
  </si>
  <si>
    <t>cool</t>
  </si>
  <si>
    <t>cope</t>
  </si>
  <si>
    <t>sllek</t>
  </si>
  <si>
    <t>سلّك راس</t>
  </si>
  <si>
    <t>copper</t>
  </si>
  <si>
    <t>نحاس</t>
  </si>
  <si>
    <t>coriander</t>
  </si>
  <si>
    <t>qzboor</t>
  </si>
  <si>
    <t>قزبور</t>
  </si>
  <si>
    <t>cork</t>
  </si>
  <si>
    <t>corner</t>
  </si>
  <si>
    <t>qnt</t>
  </si>
  <si>
    <t>shooka</t>
  </si>
  <si>
    <t>zaaweeya</t>
  </si>
  <si>
    <t>زاوية</t>
  </si>
  <si>
    <t>correct</t>
  </si>
  <si>
    <t>SHHeH</t>
  </si>
  <si>
    <t>صحّح</t>
  </si>
  <si>
    <t>corridor</t>
  </si>
  <si>
    <t>kooloor</t>
  </si>
  <si>
    <t>corruption</t>
  </si>
  <si>
    <t>fsaad</t>
  </si>
  <si>
    <t>فساد</t>
  </si>
  <si>
    <t>cost</t>
  </si>
  <si>
    <t>cosy</t>
  </si>
  <si>
    <t>mjmowe3</t>
  </si>
  <si>
    <t>cough</t>
  </si>
  <si>
    <t>kHeb</t>
  </si>
  <si>
    <t>كحب</t>
  </si>
  <si>
    <t>count</t>
  </si>
  <si>
    <t>Hsb</t>
  </si>
  <si>
    <t>حسب</t>
  </si>
  <si>
    <t>country</t>
  </si>
  <si>
    <t>blaad</t>
  </si>
  <si>
    <t>بلاد</t>
  </si>
  <si>
    <t>3robeeya</t>
  </si>
  <si>
    <t>عرُبية</t>
  </si>
  <si>
    <t>countryside</t>
  </si>
  <si>
    <t>couple</t>
  </si>
  <si>
    <t>koupl</t>
  </si>
  <si>
    <t>mzoujeen</t>
  </si>
  <si>
    <t>mra ou raajlhaa</t>
  </si>
  <si>
    <t>courgette</t>
  </si>
  <si>
    <t>gr3a</t>
  </si>
  <si>
    <t>گرعة خضرة</t>
  </si>
  <si>
    <t>koorjeeT</t>
  </si>
  <si>
    <t>كورجيط</t>
  </si>
  <si>
    <t>court</t>
  </si>
  <si>
    <t>maHkama</t>
  </si>
  <si>
    <t>مَحكَمة</t>
  </si>
  <si>
    <t>courtyard</t>
  </si>
  <si>
    <t>couscous</t>
  </si>
  <si>
    <t>sksoo</t>
  </si>
  <si>
    <t>سكسو</t>
  </si>
  <si>
    <t>ksksoo</t>
  </si>
  <si>
    <t>كسكسو</t>
  </si>
  <si>
    <t>couscous pot</t>
  </si>
  <si>
    <t>brma</t>
  </si>
  <si>
    <t>برمة</t>
  </si>
  <si>
    <t>cousin</t>
  </si>
  <si>
    <t>ولد العمّ</t>
  </si>
  <si>
    <t>ولد العمّة</t>
  </si>
  <si>
    <t>ولد الخال</t>
  </si>
  <si>
    <t>ولد الخالة</t>
  </si>
  <si>
    <t>bnt</t>
  </si>
  <si>
    <t>بنت العمّ</t>
  </si>
  <si>
    <t>بنت العمّة</t>
  </si>
  <si>
    <t>بنت الخال</t>
  </si>
  <si>
    <t>بنت الخالة</t>
  </si>
  <si>
    <t>cover</t>
  </si>
  <si>
    <t>ghTTaa (ghTTee)</t>
  </si>
  <si>
    <t>غطّى</t>
  </si>
  <si>
    <t>covered</t>
  </si>
  <si>
    <t>mghTTee</t>
  </si>
  <si>
    <t>مغطّي</t>
  </si>
  <si>
    <t>3aamr</t>
  </si>
  <si>
    <t>عامر</t>
  </si>
  <si>
    <t>covet</t>
  </si>
  <si>
    <t>Tm3</t>
  </si>
  <si>
    <t>طمع</t>
  </si>
  <si>
    <t>cow</t>
  </si>
  <si>
    <t>bgr</t>
  </si>
  <si>
    <t>بگر</t>
  </si>
  <si>
    <t>craft complex</t>
  </si>
  <si>
    <t>mjma3</t>
  </si>
  <si>
    <t>crazy</t>
  </si>
  <si>
    <t>Hmeq</t>
  </si>
  <si>
    <t>حمق</t>
  </si>
  <si>
    <t>mhwer</t>
  </si>
  <si>
    <t>msTee</t>
  </si>
  <si>
    <t>مسطي</t>
  </si>
  <si>
    <t>sTaa (sTee)</t>
  </si>
  <si>
    <t>cream</t>
  </si>
  <si>
    <t>lakreem</t>
  </si>
  <si>
    <t>pomaada</t>
  </si>
  <si>
    <t>پومادة</t>
  </si>
  <si>
    <t>create</t>
  </si>
  <si>
    <t>khlq</t>
  </si>
  <si>
    <t>خلق</t>
  </si>
  <si>
    <t>crescent</t>
  </si>
  <si>
    <t>hilaal</t>
  </si>
  <si>
    <t>هِلال</t>
  </si>
  <si>
    <t>crescent moon</t>
  </si>
  <si>
    <t>crime</t>
  </si>
  <si>
    <t>jareema</t>
  </si>
  <si>
    <t>جَريمة</t>
  </si>
  <si>
    <t>criminal</t>
  </si>
  <si>
    <t>mojerim</t>
  </si>
  <si>
    <t>مُجرِم</t>
  </si>
  <si>
    <t>mataham</t>
  </si>
  <si>
    <t>criteria</t>
  </si>
  <si>
    <t>crocodile</t>
  </si>
  <si>
    <t>krokodeen</t>
  </si>
  <si>
    <t>cross</t>
  </si>
  <si>
    <t>Saleeb</t>
  </si>
  <si>
    <t>صَليب</t>
  </si>
  <si>
    <t>3alaama</t>
  </si>
  <si>
    <t>عَلامة</t>
  </si>
  <si>
    <t>crowd</t>
  </si>
  <si>
    <t>zHaam</t>
  </si>
  <si>
    <t>crown</t>
  </si>
  <si>
    <t>taaj</t>
  </si>
  <si>
    <t>تاج</t>
  </si>
  <si>
    <t>crunchy</t>
  </si>
  <si>
    <t>mgrml</t>
  </si>
  <si>
    <t>cry</t>
  </si>
  <si>
    <t>bkaa (bkee)</t>
  </si>
  <si>
    <t>بكى</t>
  </si>
  <si>
    <t>CTM</t>
  </si>
  <si>
    <t>satyaam</t>
  </si>
  <si>
    <t>سَتيام</t>
  </si>
  <si>
    <t>cucumber</t>
  </si>
  <si>
    <t>khyaar</t>
  </si>
  <si>
    <t>خيار</t>
  </si>
  <si>
    <t>cuddle</t>
  </si>
  <si>
    <t>t3neeqa</t>
  </si>
  <si>
    <t>3nnq</t>
  </si>
  <si>
    <t>عنّق</t>
  </si>
  <si>
    <t>3nng</t>
  </si>
  <si>
    <t>عنّگ</t>
  </si>
  <si>
    <t>cultural</t>
  </si>
  <si>
    <t>taqaafee</t>
  </si>
  <si>
    <t>تَقافي</t>
  </si>
  <si>
    <t>culture</t>
  </si>
  <si>
    <t>taqaafa</t>
  </si>
  <si>
    <t>تَقافة</t>
  </si>
  <si>
    <t>cumin</t>
  </si>
  <si>
    <t>kamoon</t>
  </si>
  <si>
    <t>cup</t>
  </si>
  <si>
    <t>kaas</t>
  </si>
  <si>
    <t>كاس</t>
  </si>
  <si>
    <t>cupboard</t>
  </si>
  <si>
    <t>plakaar</t>
  </si>
  <si>
    <t>khzaana</t>
  </si>
  <si>
    <t>خزانة</t>
  </si>
  <si>
    <t>cure</t>
  </si>
  <si>
    <t>shaafaa (shaafee)</t>
  </si>
  <si>
    <t>شافى</t>
  </si>
  <si>
    <t>tshaafaa (tshaafee)</t>
  </si>
  <si>
    <t>تشافى</t>
  </si>
  <si>
    <t>braa</t>
  </si>
  <si>
    <t>برى</t>
  </si>
  <si>
    <t>curiosity</t>
  </si>
  <si>
    <t>fDol</t>
  </si>
  <si>
    <t>فضول</t>
  </si>
  <si>
    <t>curious</t>
  </si>
  <si>
    <t>fDolee</t>
  </si>
  <si>
    <t>فضولي</t>
  </si>
  <si>
    <t>curtain</t>
  </si>
  <si>
    <t>khameeya</t>
  </si>
  <si>
    <t>خمية</t>
  </si>
  <si>
    <t>reedo</t>
  </si>
  <si>
    <t>ريدو</t>
  </si>
  <si>
    <t>curtain pole</t>
  </si>
  <si>
    <t>jaaba</t>
  </si>
  <si>
    <t>curtain rail</t>
  </si>
  <si>
    <t>curtain rod</t>
  </si>
  <si>
    <t>cushion</t>
  </si>
  <si>
    <t>mkhdda</t>
  </si>
  <si>
    <t>مخدّة</t>
  </si>
  <si>
    <t>oosaada</t>
  </si>
  <si>
    <t>وسادة</t>
  </si>
  <si>
    <t>customs</t>
  </si>
  <si>
    <t>deewaana</t>
  </si>
  <si>
    <t>cut</t>
  </si>
  <si>
    <t>Hssn</t>
  </si>
  <si>
    <t>حسّن</t>
  </si>
  <si>
    <t>qTT3</t>
  </si>
  <si>
    <t>cyber cafe</t>
  </si>
  <si>
    <t>seeber</t>
  </si>
  <si>
    <t>سيبر</t>
  </si>
  <si>
    <t>cycle</t>
  </si>
  <si>
    <t>dad</t>
  </si>
  <si>
    <t>baabaa</t>
  </si>
  <si>
    <t>بابا</t>
  </si>
  <si>
    <t>daily</t>
  </si>
  <si>
    <t>yawmeeyan</t>
  </si>
  <si>
    <t>يَوميّاً</t>
  </si>
  <si>
    <t>dance</t>
  </si>
  <si>
    <t>shTeH</t>
  </si>
  <si>
    <t>شطح</t>
  </si>
  <si>
    <t>danger</t>
  </si>
  <si>
    <t>khaTar</t>
  </si>
  <si>
    <t>خَطَر</t>
  </si>
  <si>
    <t>dangerous</t>
  </si>
  <si>
    <t>khaTeer</t>
  </si>
  <si>
    <t>خَطير</t>
  </si>
  <si>
    <t>dark</t>
  </si>
  <si>
    <t>Dlaam</t>
  </si>
  <si>
    <t>ضلام</t>
  </si>
  <si>
    <t>mghlooq</t>
  </si>
  <si>
    <t>مغلوق</t>
  </si>
  <si>
    <t>ghaameq</t>
  </si>
  <si>
    <t>غامق</t>
  </si>
  <si>
    <t>darkness</t>
  </si>
  <si>
    <t>date</t>
  </si>
  <si>
    <t>taareekh</t>
  </si>
  <si>
    <t>تاريخ</t>
  </si>
  <si>
    <t>tmer</t>
  </si>
  <si>
    <t>تمر</t>
  </si>
  <si>
    <t>daughter</t>
  </si>
  <si>
    <t>بنت</t>
  </si>
  <si>
    <t>day</t>
  </si>
  <si>
    <t>nhaar</t>
  </si>
  <si>
    <t>نهار</t>
  </si>
  <si>
    <t>yoom</t>
  </si>
  <si>
    <t>يوم</t>
  </si>
  <si>
    <t>dead</t>
  </si>
  <si>
    <t>meeyet</t>
  </si>
  <si>
    <t>ميَّت</t>
  </si>
  <si>
    <t>deaf</t>
  </si>
  <si>
    <t>Smk</t>
  </si>
  <si>
    <t>صمك</t>
  </si>
  <si>
    <t>dear</t>
  </si>
  <si>
    <t>death</t>
  </si>
  <si>
    <t>moot</t>
  </si>
  <si>
    <t>موت</t>
  </si>
  <si>
    <t>deceased</t>
  </si>
  <si>
    <t>December</t>
  </si>
  <si>
    <t>sh-her Tnaach</t>
  </si>
  <si>
    <t>شهر طناش</t>
  </si>
  <si>
    <t>desember</t>
  </si>
  <si>
    <t>dojanbeer</t>
  </si>
  <si>
    <t>دُجَنبِر</t>
  </si>
  <si>
    <t>decide</t>
  </si>
  <si>
    <t>qrrer</t>
  </si>
  <si>
    <t>قرّر</t>
  </si>
  <si>
    <t>declare</t>
  </si>
  <si>
    <t>3ln</t>
  </si>
  <si>
    <t>علن</t>
  </si>
  <si>
    <t>decor</t>
  </si>
  <si>
    <t>deecor</t>
  </si>
  <si>
    <t>decorate</t>
  </si>
  <si>
    <t>zooweq</t>
  </si>
  <si>
    <t>زوّق</t>
  </si>
  <si>
    <t>ziyan</t>
  </si>
  <si>
    <t>زيَّن</t>
  </si>
  <si>
    <t>decorated</t>
  </si>
  <si>
    <t>mzwq</t>
  </si>
  <si>
    <t>decoration</t>
  </si>
  <si>
    <t>zowaaq</t>
  </si>
  <si>
    <t>tzeen</t>
  </si>
  <si>
    <t>deep</t>
  </si>
  <si>
    <t>ghaarq</t>
  </si>
  <si>
    <t>غارق</t>
  </si>
  <si>
    <t>3meeq(a)</t>
  </si>
  <si>
    <t>عميق</t>
  </si>
  <si>
    <t>defeat</t>
  </si>
  <si>
    <t>defend</t>
  </si>
  <si>
    <t>daaf3</t>
  </si>
  <si>
    <t>دافع على</t>
  </si>
  <si>
    <t>defense</t>
  </si>
  <si>
    <t>dafaa3</t>
  </si>
  <si>
    <t>دَفاع</t>
  </si>
  <si>
    <t>defrost</t>
  </si>
  <si>
    <t>tlq</t>
  </si>
  <si>
    <t>daab (doob)</t>
  </si>
  <si>
    <t>داب</t>
  </si>
  <si>
    <t>degree</t>
  </si>
  <si>
    <t>daraja</t>
  </si>
  <si>
    <t>دَرَجة</t>
  </si>
  <si>
    <t>delete</t>
  </si>
  <si>
    <t>mseH</t>
  </si>
  <si>
    <t>مسح</t>
  </si>
  <si>
    <t>delicious</t>
  </si>
  <si>
    <t>bneen</t>
  </si>
  <si>
    <t>بنين</t>
  </si>
  <si>
    <t>demand money owned</t>
  </si>
  <si>
    <t>saal</t>
  </si>
  <si>
    <t>dentist</t>
  </si>
  <si>
    <t>Tbeeb(a)</t>
  </si>
  <si>
    <t>طبيب د السنان</t>
  </si>
  <si>
    <t>descend</t>
  </si>
  <si>
    <t>nzel</t>
  </si>
  <si>
    <t>نزل</t>
  </si>
  <si>
    <t>hbeT</t>
  </si>
  <si>
    <t>هبط</t>
  </si>
  <si>
    <t>descended</t>
  </si>
  <si>
    <t>naazl</t>
  </si>
  <si>
    <t>نازل</t>
  </si>
  <si>
    <t>haabT</t>
  </si>
  <si>
    <t>هابط</t>
  </si>
  <si>
    <t>describe</t>
  </si>
  <si>
    <t>wSf</t>
  </si>
  <si>
    <t>وصف</t>
  </si>
  <si>
    <t>description</t>
  </si>
  <si>
    <t>wSfa</t>
  </si>
  <si>
    <t>desert</t>
  </si>
  <si>
    <t>saHraa</t>
  </si>
  <si>
    <t>سحرا</t>
  </si>
  <si>
    <t>deserve</t>
  </si>
  <si>
    <t>staHq</t>
  </si>
  <si>
    <t>ستَحق</t>
  </si>
  <si>
    <t>desire</t>
  </si>
  <si>
    <t>tsh-haa</t>
  </si>
  <si>
    <t>تشها</t>
  </si>
  <si>
    <t>desk</t>
  </si>
  <si>
    <t>mkteb</t>
  </si>
  <si>
    <t>مكتب</t>
  </si>
  <si>
    <t>beeroo</t>
  </si>
  <si>
    <t>بيرو</t>
  </si>
  <si>
    <t>Tbla dyaal lbeeroo</t>
  </si>
  <si>
    <t>طبلة ديال البيرو</t>
  </si>
  <si>
    <t>despite</t>
  </si>
  <si>
    <t>waakhaa</t>
  </si>
  <si>
    <t>واخا</t>
  </si>
  <si>
    <t>dessert</t>
  </si>
  <si>
    <t>deeseer</t>
  </si>
  <si>
    <t>ديسير</t>
  </si>
  <si>
    <t>destroy</t>
  </si>
  <si>
    <t>hddm</t>
  </si>
  <si>
    <t>هدّم</t>
  </si>
  <si>
    <t>detergent</t>
  </si>
  <si>
    <t>teed</t>
  </si>
  <si>
    <t>تيد</t>
  </si>
  <si>
    <t>diabetes</t>
  </si>
  <si>
    <t>sokar</t>
  </si>
  <si>
    <t>سُكَر</t>
  </si>
  <si>
    <t>diabetic</t>
  </si>
  <si>
    <t>ف … السُكَر</t>
  </si>
  <si>
    <t>diarrhea</t>
  </si>
  <si>
    <t>sehaal</t>
  </si>
  <si>
    <t>سهال</t>
  </si>
  <si>
    <t>‘isehaal</t>
  </si>
  <si>
    <t>إسهال</t>
  </si>
  <si>
    <t>diarrhoea</t>
  </si>
  <si>
    <t>dictionary</t>
  </si>
  <si>
    <t>qaamoos</t>
  </si>
  <si>
    <t>قاموس</t>
  </si>
  <si>
    <t>die</t>
  </si>
  <si>
    <t>maat (moot)</t>
  </si>
  <si>
    <t>مات</t>
  </si>
  <si>
    <t>diet</t>
  </si>
  <si>
    <t>reejeem</t>
  </si>
  <si>
    <t>ريجيم</t>
  </si>
  <si>
    <t>difference</t>
  </si>
  <si>
    <t>different</t>
  </si>
  <si>
    <t>mkhtaalf</t>
  </si>
  <si>
    <t>مختالف</t>
  </si>
  <si>
    <t>difficult</t>
  </si>
  <si>
    <t>S3eeb</t>
  </si>
  <si>
    <t>صعيب</t>
  </si>
  <si>
    <t>dig</t>
  </si>
  <si>
    <t>Hfr</t>
  </si>
  <si>
    <t>حفر</t>
  </si>
  <si>
    <t>digest</t>
  </si>
  <si>
    <t>hDm</t>
  </si>
  <si>
    <t>هضم</t>
  </si>
  <si>
    <t>dinner</t>
  </si>
  <si>
    <t>3shaa</t>
  </si>
  <si>
    <t>عشا</t>
  </si>
  <si>
    <t>t3sh-shaa</t>
  </si>
  <si>
    <t>تعشّى</t>
  </si>
  <si>
    <t>direct</t>
  </si>
  <si>
    <t>khrj</t>
  </si>
  <si>
    <t>direction</t>
  </si>
  <si>
    <t>jiha</t>
  </si>
  <si>
    <t>جِهة</t>
  </si>
  <si>
    <t>itijah</t>
  </si>
  <si>
    <t>director</t>
  </si>
  <si>
    <t>modeer(a)</t>
  </si>
  <si>
    <t>مُدير</t>
  </si>
  <si>
    <t>mokhrij</t>
  </si>
  <si>
    <t>مُخرِج</t>
  </si>
  <si>
    <t>dirham</t>
  </si>
  <si>
    <t>drhm</t>
  </si>
  <si>
    <t>درهم</t>
  </si>
  <si>
    <t>dirty</t>
  </si>
  <si>
    <t>moossekh</t>
  </si>
  <si>
    <t>موسّخ</t>
  </si>
  <si>
    <t>disabled</t>
  </si>
  <si>
    <t>mo3aaq</t>
  </si>
  <si>
    <t>مُعاق</t>
  </si>
  <si>
    <t>disappear</t>
  </si>
  <si>
    <t>ghebr</t>
  </si>
  <si>
    <t>غبر</t>
  </si>
  <si>
    <t>discover</t>
  </si>
  <si>
    <t>ktaashef</t>
  </si>
  <si>
    <t>كتاشَف</t>
  </si>
  <si>
    <t>discuss</t>
  </si>
  <si>
    <t>naaqsh</t>
  </si>
  <si>
    <t>ناقش</t>
  </si>
  <si>
    <t>tnaaqsh</t>
  </si>
  <si>
    <t>dish</t>
  </si>
  <si>
    <t>maakla</t>
  </si>
  <si>
    <t>ماكلة</t>
  </si>
  <si>
    <t>okla</t>
  </si>
  <si>
    <t>dishes</t>
  </si>
  <si>
    <t>maa3n</t>
  </si>
  <si>
    <t>ماعن</t>
  </si>
  <si>
    <t>disperse</t>
  </si>
  <si>
    <t>shttet</t>
  </si>
  <si>
    <t>شتَّت</t>
  </si>
  <si>
    <t>distance</t>
  </si>
  <si>
    <t>msasaafa</t>
  </si>
  <si>
    <t>distinguish</t>
  </si>
  <si>
    <t>meeyez</t>
  </si>
  <si>
    <t>ميَّز</t>
  </si>
  <si>
    <t>distribute</t>
  </si>
  <si>
    <t>فرّق</t>
  </si>
  <si>
    <t>district</t>
  </si>
  <si>
    <t>Hay</t>
  </si>
  <si>
    <t>حَيّ</t>
  </si>
  <si>
    <t>Hooma</t>
  </si>
  <si>
    <t>disturb</t>
  </si>
  <si>
    <t>Sdd3</t>
  </si>
  <si>
    <t>صدّع</t>
  </si>
  <si>
    <t>berzaT</t>
  </si>
  <si>
    <t>بَرزَط</t>
  </si>
  <si>
    <t>divide</t>
  </si>
  <si>
    <t>qsm</t>
  </si>
  <si>
    <t>قسم</t>
  </si>
  <si>
    <t>divided</t>
  </si>
  <si>
    <t>mqsoom</t>
  </si>
  <si>
    <t>مقسوم</t>
  </si>
  <si>
    <t>divorce</t>
  </si>
  <si>
    <t>Tlleq</t>
  </si>
  <si>
    <t>طلّق</t>
  </si>
  <si>
    <t>dizziness</t>
  </si>
  <si>
    <t>dookha</t>
  </si>
  <si>
    <t>دوخة</t>
  </si>
  <si>
    <t>dizzy</t>
  </si>
  <si>
    <t>daaykh</t>
  </si>
  <si>
    <t>دايخ</t>
  </si>
  <si>
    <t>daakh (dookh)</t>
  </si>
  <si>
    <t>داخ</t>
  </si>
  <si>
    <t>djellaba</t>
  </si>
  <si>
    <t>jllaaba</t>
  </si>
  <si>
    <t>جلّابة</t>
  </si>
  <si>
    <t>do</t>
  </si>
  <si>
    <t>دار</t>
  </si>
  <si>
    <t>qaad</t>
  </si>
  <si>
    <t>gaad</t>
  </si>
  <si>
    <t>daayr</t>
  </si>
  <si>
    <t>دايَر</t>
  </si>
  <si>
    <t>do ….?</t>
  </si>
  <si>
    <t>waach … ?</t>
  </si>
  <si>
    <t>واش</t>
  </si>
  <si>
    <t>yek … ?</t>
  </si>
  <si>
    <t>do magic</t>
  </si>
  <si>
    <t>do one’s best</t>
  </si>
  <si>
    <t>do the shopping</t>
  </si>
  <si>
    <t>doctor</t>
  </si>
  <si>
    <t>طبيب</t>
  </si>
  <si>
    <t>doctor’s office</t>
  </si>
  <si>
    <t>3yaada</t>
  </si>
  <si>
    <t>عيادة</t>
  </si>
  <si>
    <t>dog</t>
  </si>
  <si>
    <t>kelb</t>
  </si>
  <si>
    <t>كَلب</t>
  </si>
  <si>
    <t>doll</t>
  </si>
  <si>
    <t>moneeka</t>
  </si>
  <si>
    <t>مُنيكة</t>
  </si>
  <si>
    <t>dolphin</t>
  </si>
  <si>
    <t>dilfeen</t>
  </si>
  <si>
    <t>دلفين</t>
  </si>
  <si>
    <t>don’t bother</t>
  </si>
  <si>
    <t>blaash!</t>
  </si>
  <si>
    <t>don’t mention it</t>
  </si>
  <si>
    <t>laa shokran 3laa waajb</t>
  </si>
  <si>
    <t>لا شكرا على واجب</t>
  </si>
  <si>
    <t>3aadee</t>
  </si>
  <si>
    <t>عادي</t>
  </si>
  <si>
    <t>don’t worry</t>
  </si>
  <si>
    <t>gheer koon(ee) haanee(ya)</t>
  </si>
  <si>
    <t>غير كوني هاني</t>
  </si>
  <si>
    <t>donkey</t>
  </si>
  <si>
    <t>Hmaar</t>
  </si>
  <si>
    <t>حمار</t>
  </si>
  <si>
    <t>door</t>
  </si>
  <si>
    <t>baab</t>
  </si>
  <si>
    <t>باب</t>
  </si>
  <si>
    <t>door frame</t>
  </si>
  <si>
    <t>rtaaj</t>
  </si>
  <si>
    <t>door handle</t>
  </si>
  <si>
    <t>pwanee</t>
  </si>
  <si>
    <t>doorframe</t>
  </si>
  <si>
    <t>dough</t>
  </si>
  <si>
    <t>3jeen</t>
  </si>
  <si>
    <t>عجين</t>
  </si>
  <si>
    <t>doughnut</t>
  </si>
  <si>
    <t>sfenj</t>
  </si>
  <si>
    <t>سفنج</t>
  </si>
  <si>
    <t>dragon</t>
  </si>
  <si>
    <t>tneen</t>
  </si>
  <si>
    <t>drain</t>
  </si>
  <si>
    <t>Srb</t>
  </si>
  <si>
    <t>صرب</t>
  </si>
  <si>
    <t>draining rack</t>
  </si>
  <si>
    <t>shbka</t>
  </si>
  <si>
    <t>شبكة ديال الماعن</t>
  </si>
  <si>
    <t>draw</t>
  </si>
  <si>
    <t>rsm</t>
  </si>
  <si>
    <t>رسم</t>
  </si>
  <si>
    <t>draw a line</t>
  </si>
  <si>
    <t>Traasaa (Traasee)</t>
  </si>
  <si>
    <t>طراسى</t>
  </si>
  <si>
    <t>drawer</t>
  </si>
  <si>
    <t>mjer</t>
  </si>
  <si>
    <t>مجَر</t>
  </si>
  <si>
    <t>teeroor</t>
  </si>
  <si>
    <t>drawing</t>
  </si>
  <si>
    <t>rosoom</t>
  </si>
  <si>
    <t>رُسوم</t>
  </si>
  <si>
    <t>dream</t>
  </si>
  <si>
    <t>Holm</t>
  </si>
  <si>
    <t>حُلم</t>
  </si>
  <si>
    <t>Hlm</t>
  </si>
  <si>
    <t>حلم</t>
  </si>
  <si>
    <t>shaaf (shoof)</t>
  </si>
  <si>
    <t>شاف حُلم</t>
  </si>
  <si>
    <t>dregs</t>
  </si>
  <si>
    <t>chlila</t>
  </si>
  <si>
    <t>dress</t>
  </si>
  <si>
    <t>lebsa</t>
  </si>
  <si>
    <t>dresser</t>
  </si>
  <si>
    <t>dressing gown</t>
  </si>
  <si>
    <t>dressmaker</t>
  </si>
  <si>
    <t>khyaaT(a)</t>
  </si>
  <si>
    <t>خياط</t>
  </si>
  <si>
    <t>drill</t>
  </si>
  <si>
    <t>tqb</t>
  </si>
  <si>
    <t>تقب</t>
  </si>
  <si>
    <t>shneeol</t>
  </si>
  <si>
    <t>drink</t>
  </si>
  <si>
    <t>shrb</t>
  </si>
  <si>
    <t>شرب</t>
  </si>
  <si>
    <t>moonaadaa</t>
  </si>
  <si>
    <t>مونادا</t>
  </si>
  <si>
    <t>drip</t>
  </si>
  <si>
    <t>qTr</t>
  </si>
  <si>
    <t>قطر</t>
  </si>
  <si>
    <t>drive</t>
  </si>
  <si>
    <t>Saag (Soog)</t>
  </si>
  <si>
    <t>صاگ</t>
  </si>
  <si>
    <t>driver</t>
  </si>
  <si>
    <t>cheefoor</t>
  </si>
  <si>
    <t>شيفور</t>
  </si>
  <si>
    <t>drop</t>
  </si>
  <si>
    <t>nqTa</t>
  </si>
  <si>
    <t>نقطة</t>
  </si>
  <si>
    <t>drugstore</t>
  </si>
  <si>
    <t>frmaseeyaan</t>
  </si>
  <si>
    <t>فرمَسيان</t>
  </si>
  <si>
    <t>drunk</t>
  </si>
  <si>
    <t>skraan</t>
  </si>
  <si>
    <t>سكران</t>
  </si>
  <si>
    <t>drunkard</t>
  </si>
  <si>
    <t>skaayree(ya)</t>
  </si>
  <si>
    <t>dry</t>
  </si>
  <si>
    <t>naashf</t>
  </si>
  <si>
    <t>ناشف</t>
  </si>
  <si>
    <t>nshef</t>
  </si>
  <si>
    <t>نشف</t>
  </si>
  <si>
    <t>dust</t>
  </si>
  <si>
    <t>ghobra</t>
  </si>
  <si>
    <t>غُبرة</t>
  </si>
  <si>
    <t>dustbin</t>
  </si>
  <si>
    <t>dustpan</t>
  </si>
  <si>
    <t>baala</t>
  </si>
  <si>
    <t>each</t>
  </si>
  <si>
    <t>kol</t>
  </si>
  <si>
    <t>كُل</t>
  </si>
  <si>
    <t>kola</t>
  </si>
  <si>
    <t>each other</t>
  </si>
  <si>
    <t>b3deeyat</t>
  </si>
  <si>
    <t>ear</t>
  </si>
  <si>
    <t>oodn</t>
  </si>
  <si>
    <t>ودن</t>
  </si>
  <si>
    <t>early</t>
  </si>
  <si>
    <t>bkree</t>
  </si>
  <si>
    <t>بكري</t>
  </si>
  <si>
    <t>earring</t>
  </si>
  <si>
    <t>twang</t>
  </si>
  <si>
    <t>توَنگ</t>
  </si>
  <si>
    <t>earth</t>
  </si>
  <si>
    <t>traab</t>
  </si>
  <si>
    <t>تراب</t>
  </si>
  <si>
    <t>‘arD</t>
  </si>
  <si>
    <t>أَرض</t>
  </si>
  <si>
    <t>East</t>
  </si>
  <si>
    <t>sharq</t>
  </si>
  <si>
    <t>شَرق</t>
  </si>
  <si>
    <t>Easter</t>
  </si>
  <si>
    <t>3eed lqeeyama</t>
  </si>
  <si>
    <t>easy</t>
  </si>
  <si>
    <t>saahl</t>
  </si>
  <si>
    <t>ساهل</t>
  </si>
  <si>
    <t>easy in one’s mind</t>
  </si>
  <si>
    <t>haanee</t>
  </si>
  <si>
    <t>هاني</t>
  </si>
  <si>
    <t>eat</t>
  </si>
  <si>
    <t>klaa</t>
  </si>
  <si>
    <t>كلا</t>
  </si>
  <si>
    <t>eat the meal before sunrise during Ramadan</t>
  </si>
  <si>
    <t>tsHHer</t>
  </si>
  <si>
    <t>تسحّر</t>
  </si>
  <si>
    <t>economic</t>
  </si>
  <si>
    <t>qtiSaadee</t>
  </si>
  <si>
    <t>قتِصادي</t>
  </si>
  <si>
    <t>economise</t>
  </si>
  <si>
    <t>qtaSd</t>
  </si>
  <si>
    <t>قتَصد</t>
  </si>
  <si>
    <t>economy</t>
  </si>
  <si>
    <t>qtiSaad</t>
  </si>
  <si>
    <t>قتِصاد</t>
  </si>
  <si>
    <t>Hayaat</t>
  </si>
  <si>
    <t>حَيات قتِصادية</t>
  </si>
  <si>
    <t>edge</t>
  </si>
  <si>
    <t>Haafa</t>
  </si>
  <si>
    <t>حافة</t>
  </si>
  <si>
    <t>Haasheeya</t>
  </si>
  <si>
    <t>حاشية</t>
  </si>
  <si>
    <t>lekher</t>
  </si>
  <si>
    <t>educated</t>
  </si>
  <si>
    <t>mrbee</t>
  </si>
  <si>
    <t>effort</t>
  </si>
  <si>
    <t>jhd</t>
  </si>
  <si>
    <t>جهد</t>
  </si>
  <si>
    <t>egg</t>
  </si>
  <si>
    <t>beyD</t>
  </si>
  <si>
    <t>بيض</t>
  </si>
  <si>
    <t>eggplant</t>
  </si>
  <si>
    <t>Egypt</t>
  </si>
  <si>
    <t>meSr</t>
  </si>
  <si>
    <t>مصر</t>
  </si>
  <si>
    <t>Egyptian</t>
  </si>
  <si>
    <t>meSree(ya)</t>
  </si>
  <si>
    <t>مصري</t>
  </si>
  <si>
    <t>eight</t>
  </si>
  <si>
    <t>tmeneeya</t>
  </si>
  <si>
    <t>تمنية</t>
  </si>
  <si>
    <t>tmen</t>
  </si>
  <si>
    <t>تمن</t>
  </si>
  <si>
    <t>eighteen</t>
  </si>
  <si>
    <t>tmnTaash</t>
  </si>
  <si>
    <t>تمنطاش</t>
  </si>
  <si>
    <t>eighth</t>
  </si>
  <si>
    <t>taamn</t>
  </si>
  <si>
    <t>تامن</t>
  </si>
  <si>
    <t>eighty</t>
  </si>
  <si>
    <t>tmaaneen</t>
  </si>
  <si>
    <t>تمانين</t>
  </si>
  <si>
    <t>either</t>
  </si>
  <si>
    <t>‘immaa</t>
  </si>
  <si>
    <t>إمّا</t>
  </si>
  <si>
    <t>elastic hair tie</t>
  </si>
  <si>
    <t>asteek</t>
  </si>
  <si>
    <t>elbow</t>
  </si>
  <si>
    <t>mrfq</t>
  </si>
  <si>
    <t>مرفق</t>
  </si>
  <si>
    <t>eldest</t>
  </si>
  <si>
    <t>kbeer(a)</t>
  </si>
  <si>
    <t>electrician</t>
  </si>
  <si>
    <t>treesyaan</t>
  </si>
  <si>
    <t>تريسيان</t>
  </si>
  <si>
    <t>electricity</t>
  </si>
  <si>
    <t>Do</t>
  </si>
  <si>
    <t>ضو</t>
  </si>
  <si>
    <t>elephant</t>
  </si>
  <si>
    <t>feel</t>
  </si>
  <si>
    <t>فيل</t>
  </si>
  <si>
    <t>elevator</t>
  </si>
  <si>
    <t>saansoor</t>
  </si>
  <si>
    <t>سانسور</t>
  </si>
  <si>
    <t>eleven</t>
  </si>
  <si>
    <t>HDaash</t>
  </si>
  <si>
    <t>حضاش</t>
  </si>
  <si>
    <t>eleventh</t>
  </si>
  <si>
    <t>HaaDsh</t>
  </si>
  <si>
    <t>حاضش</t>
  </si>
  <si>
    <t>embassy</t>
  </si>
  <si>
    <t>seefaara</t>
  </si>
  <si>
    <t>سِفارة</t>
  </si>
  <si>
    <t>embroider</t>
  </si>
  <si>
    <t>Trz</t>
  </si>
  <si>
    <t>طرز</t>
  </si>
  <si>
    <t>embroidery</t>
  </si>
  <si>
    <t>employee</t>
  </si>
  <si>
    <t>empty</t>
  </si>
  <si>
    <t>khaawee</t>
  </si>
  <si>
    <t>خاوي</t>
  </si>
  <si>
    <t>khwaa (khwee)</t>
  </si>
  <si>
    <t>خوى</t>
  </si>
  <si>
    <t>encourage</t>
  </si>
  <si>
    <t>shjj3</t>
  </si>
  <si>
    <t>شجّع</t>
  </si>
  <si>
    <t>end</t>
  </si>
  <si>
    <t>kher</t>
  </si>
  <si>
    <t>nihaaya</t>
  </si>
  <si>
    <t>نِهاية</t>
  </si>
  <si>
    <t>enemy</t>
  </si>
  <si>
    <t>3adoo(wa)</t>
  </si>
  <si>
    <t>عَدو</t>
  </si>
  <si>
    <t>engaged</t>
  </si>
  <si>
    <t>mkhToob</t>
  </si>
  <si>
    <t>مخطوب</t>
  </si>
  <si>
    <t>engagement</t>
  </si>
  <si>
    <t>khoTooba</t>
  </si>
  <si>
    <t>خُطوبة</t>
  </si>
  <si>
    <t>engagement present</t>
  </si>
  <si>
    <t>hdeeya</t>
  </si>
  <si>
    <t>hedaya</t>
  </si>
  <si>
    <t>England</t>
  </si>
  <si>
    <t>nngleez</t>
  </si>
  <si>
    <t>النگليز</t>
  </si>
  <si>
    <t>English</t>
  </si>
  <si>
    <t>ngleezee(ya)</t>
  </si>
  <si>
    <t>نگليزي</t>
  </si>
  <si>
    <t>ngleezeeya</t>
  </si>
  <si>
    <t>نگليزيّة</t>
  </si>
  <si>
    <t>enough</t>
  </si>
  <si>
    <t>kaafee</t>
  </si>
  <si>
    <t>كافي</t>
  </si>
  <si>
    <t>qadd</t>
  </si>
  <si>
    <t>enter</t>
  </si>
  <si>
    <t>dkhl</t>
  </si>
  <si>
    <t>دخل</t>
  </si>
  <si>
    <t>dkh-khl</t>
  </si>
  <si>
    <t>دخّل</t>
  </si>
  <si>
    <t>enthusiatic</t>
  </si>
  <si>
    <t>mtHmms</t>
  </si>
  <si>
    <t>entire</t>
  </si>
  <si>
    <t>entrance</t>
  </si>
  <si>
    <t>dkhla</t>
  </si>
  <si>
    <t>entrepreneur</t>
  </si>
  <si>
    <t>moqaaweel</t>
  </si>
  <si>
    <t>moseeyer</t>
  </si>
  <si>
    <t>environment</t>
  </si>
  <si>
    <t>bay’a</t>
  </si>
  <si>
    <t>بَيئة</t>
  </si>
  <si>
    <t>equal</t>
  </si>
  <si>
    <t>tosaawee</t>
  </si>
  <si>
    <t>تُساوي</t>
  </si>
  <si>
    <t>erase</t>
  </si>
  <si>
    <t>errand</t>
  </si>
  <si>
    <t>skhoora</t>
  </si>
  <si>
    <t>error</t>
  </si>
  <si>
    <t>ghalaat</t>
  </si>
  <si>
    <t>‘aghlaat</t>
  </si>
  <si>
    <t>khata</t>
  </si>
  <si>
    <t>escape</t>
  </si>
  <si>
    <t>hreb</t>
  </si>
  <si>
    <t>هرب</t>
  </si>
  <si>
    <t>especially</t>
  </si>
  <si>
    <t>khoSooSan</t>
  </si>
  <si>
    <t>خُصوصاً</t>
  </si>
  <si>
    <t>Essaouira</t>
  </si>
  <si>
    <t>Sweera</t>
  </si>
  <si>
    <t>صويرة</t>
  </si>
  <si>
    <t>estate agent</t>
  </si>
  <si>
    <t>smsaar</t>
  </si>
  <si>
    <t>سمسار</t>
  </si>
  <si>
    <t>eternal</t>
  </si>
  <si>
    <t>‘abadee</t>
  </si>
  <si>
    <t>أَبَدي</t>
  </si>
  <si>
    <t>Europe</t>
  </si>
  <si>
    <t>oropa</t>
  </si>
  <si>
    <t>European</t>
  </si>
  <si>
    <t>oropee(ya)</t>
  </si>
  <si>
    <t>eve</t>
  </si>
  <si>
    <t>leela</t>
  </si>
  <si>
    <t>ليلة</t>
  </si>
  <si>
    <t>even if</t>
  </si>
  <si>
    <t>walaw</t>
  </si>
  <si>
    <t>وَلَو</t>
  </si>
  <si>
    <t>evening</t>
  </si>
  <si>
    <t>3sheeya</t>
  </si>
  <si>
    <t>عشية</t>
  </si>
  <si>
    <t>every</t>
  </si>
  <si>
    <t>everyone</t>
  </si>
  <si>
    <t>kolshee</t>
  </si>
  <si>
    <t>كُلشي</t>
  </si>
  <si>
    <t>kol waaHd</t>
  </si>
  <si>
    <t>kol ‘insaan</t>
  </si>
  <si>
    <t>everything</t>
  </si>
  <si>
    <t>evil spirit</t>
  </si>
  <si>
    <t>‘arwaaH shireera</t>
  </si>
  <si>
    <t>jnoon khaaybeen</t>
  </si>
  <si>
    <t>ewe</t>
  </si>
  <si>
    <t>na3j</t>
  </si>
  <si>
    <t>نَعج</t>
  </si>
  <si>
    <t>exactly</t>
  </si>
  <si>
    <t>b DDbT</t>
  </si>
  <si>
    <t>ب الضبط</t>
  </si>
  <si>
    <t>exam</t>
  </si>
  <si>
    <t>mtiHaan</t>
  </si>
  <si>
    <t>متِحان</t>
  </si>
  <si>
    <t>kitaabee</t>
  </si>
  <si>
    <t>shefawee</t>
  </si>
  <si>
    <t>examination</t>
  </si>
  <si>
    <t>example</t>
  </si>
  <si>
    <t>mtaal</t>
  </si>
  <si>
    <t>متال</t>
  </si>
  <si>
    <t>excavate</t>
  </si>
  <si>
    <t>excavator</t>
  </si>
  <si>
    <t>traks</t>
  </si>
  <si>
    <t>except</t>
  </si>
  <si>
    <t>mn gheer</t>
  </si>
  <si>
    <t>exchange</t>
  </si>
  <si>
    <t>tbaadl</t>
  </si>
  <si>
    <t>تبادل</t>
  </si>
  <si>
    <t>excited</t>
  </si>
  <si>
    <t>excrement</t>
  </si>
  <si>
    <t>bzeq</t>
  </si>
  <si>
    <t>exercise</t>
  </si>
  <si>
    <t>Tmrin</t>
  </si>
  <si>
    <t>ryaaDa</t>
  </si>
  <si>
    <t>رياضة</t>
  </si>
  <si>
    <t>exercise book</t>
  </si>
  <si>
    <t>dftar</t>
  </si>
  <si>
    <t>دفتَر</t>
  </si>
  <si>
    <t>expensive</t>
  </si>
  <si>
    <t>ghaalee</t>
  </si>
  <si>
    <t>غالي</t>
  </si>
  <si>
    <t>experience</t>
  </si>
  <si>
    <t>tejriba</t>
  </si>
  <si>
    <t>تَجرِبة</t>
  </si>
  <si>
    <t>khibra</t>
  </si>
  <si>
    <t>خِبرة</t>
  </si>
  <si>
    <t>expert</t>
  </si>
  <si>
    <t>explain</t>
  </si>
  <si>
    <t>fsser</t>
  </si>
  <si>
    <t>فسّر</t>
  </si>
  <si>
    <t>shreH</t>
  </si>
  <si>
    <t>شرح</t>
  </si>
  <si>
    <t>expression</t>
  </si>
  <si>
    <t>m3na</t>
  </si>
  <si>
    <t>exterior</t>
  </si>
  <si>
    <t>eye</t>
  </si>
  <si>
    <t>3een</t>
  </si>
  <si>
    <t>عين</t>
  </si>
  <si>
    <t>eyebrow</t>
  </si>
  <si>
    <t>Haajb</t>
  </si>
  <si>
    <t>حاجب</t>
  </si>
  <si>
    <t>eyelash</t>
  </si>
  <si>
    <t>shfra</t>
  </si>
  <si>
    <t>eyelid</t>
  </si>
  <si>
    <t>jfn</t>
  </si>
  <si>
    <t>جفن</t>
  </si>
  <si>
    <t>fabric</t>
  </si>
  <si>
    <t>face</t>
  </si>
  <si>
    <t>woojh</t>
  </si>
  <si>
    <t>وجه</t>
  </si>
  <si>
    <t>face flannel glove</t>
  </si>
  <si>
    <t>kees</t>
  </si>
  <si>
    <t>facing</t>
  </si>
  <si>
    <t>mqaabl m3a</t>
  </si>
  <si>
    <t>مقابل معَ</t>
  </si>
  <si>
    <t>fact</t>
  </si>
  <si>
    <t>Haqeeqa</t>
  </si>
  <si>
    <t>حَقيقة</t>
  </si>
  <si>
    <t>factory</t>
  </si>
  <si>
    <t>m3mel</t>
  </si>
  <si>
    <t>معمل</t>
  </si>
  <si>
    <t>msna3</t>
  </si>
  <si>
    <t>lozeen</t>
  </si>
  <si>
    <t>لُزين</t>
  </si>
  <si>
    <t>faint</t>
  </si>
  <si>
    <t>skhf</t>
  </si>
  <si>
    <t>سخف</t>
  </si>
  <si>
    <t>fair</t>
  </si>
  <si>
    <t>3adl</t>
  </si>
  <si>
    <t>عَدل</t>
  </si>
  <si>
    <t>fall</t>
  </si>
  <si>
    <t>TeeHa</t>
  </si>
  <si>
    <t>طيحة</t>
  </si>
  <si>
    <t>TaaH (TeeH)</t>
  </si>
  <si>
    <t>طاح</t>
  </si>
  <si>
    <t>ghaaleT</t>
  </si>
  <si>
    <t>غالط</t>
  </si>
  <si>
    <t>family</t>
  </si>
  <si>
    <t>3aa’ila</t>
  </si>
  <si>
    <t>عائلة</t>
  </si>
  <si>
    <t>faameelaa</t>
  </si>
  <si>
    <t>فاميلا</t>
  </si>
  <si>
    <t>famine</t>
  </si>
  <si>
    <t>joo3</t>
  </si>
  <si>
    <t>جوع</t>
  </si>
  <si>
    <t>famous</t>
  </si>
  <si>
    <t>m3roof</t>
  </si>
  <si>
    <t>معروف</t>
  </si>
  <si>
    <t>fan</t>
  </si>
  <si>
    <t>frfaara</t>
  </si>
  <si>
    <t>mrwaHa</t>
  </si>
  <si>
    <t>far</t>
  </si>
  <si>
    <t>b3eed</t>
  </si>
  <si>
    <t>بعيد</t>
  </si>
  <si>
    <t>farm</t>
  </si>
  <si>
    <t>ferma</t>
  </si>
  <si>
    <t>فرمة</t>
  </si>
  <si>
    <t>farmer</t>
  </si>
  <si>
    <t>fllaaH(a)</t>
  </si>
  <si>
    <t>فلّاح</t>
  </si>
  <si>
    <t>fast</t>
  </si>
  <si>
    <t>sree3</t>
  </si>
  <si>
    <t>dgheeya</t>
  </si>
  <si>
    <t>دغيّة</t>
  </si>
  <si>
    <t>b zzrba</t>
  </si>
  <si>
    <t>ب الزربة</t>
  </si>
  <si>
    <t>Syaam</t>
  </si>
  <si>
    <t>صيام</t>
  </si>
  <si>
    <t>Saam (Soom)</t>
  </si>
  <si>
    <t>صام</t>
  </si>
  <si>
    <t>Saaym</t>
  </si>
  <si>
    <t>صايم</t>
  </si>
  <si>
    <t>fat</t>
  </si>
  <si>
    <t>shHma</t>
  </si>
  <si>
    <t>شحمة</t>
  </si>
  <si>
    <t>ghleeD</t>
  </si>
  <si>
    <t>غليض</t>
  </si>
  <si>
    <t>father</t>
  </si>
  <si>
    <t>‘ab</t>
  </si>
  <si>
    <t>أَب</t>
  </si>
  <si>
    <t>baat</t>
  </si>
  <si>
    <t>بات</t>
  </si>
  <si>
    <t>waalid</t>
  </si>
  <si>
    <t>والِد</t>
  </si>
  <si>
    <t>father-in-law</t>
  </si>
  <si>
    <t>shikh</t>
  </si>
  <si>
    <t>fault</t>
  </si>
  <si>
    <t>fava bean</t>
  </si>
  <si>
    <t>favourite</t>
  </si>
  <si>
    <t>mofDDal</t>
  </si>
  <si>
    <t>مفضَّل</t>
  </si>
  <si>
    <t>fear</t>
  </si>
  <si>
    <t>khoof</t>
  </si>
  <si>
    <t>خوف</t>
  </si>
  <si>
    <t>feather</t>
  </si>
  <si>
    <t>reesh</t>
  </si>
  <si>
    <t>ريش</t>
  </si>
  <si>
    <t>February</t>
  </si>
  <si>
    <t>sh-her jooj</t>
  </si>
  <si>
    <t>شهر جوج</t>
  </si>
  <si>
    <t>fbraayr</t>
  </si>
  <si>
    <t>فبراير</t>
  </si>
  <si>
    <t>Hss</t>
  </si>
  <si>
    <t>حسّ ب</t>
  </si>
  <si>
    <t>sh3er</t>
  </si>
  <si>
    <t>feel better</t>
  </si>
  <si>
    <t>feeling</t>
  </si>
  <si>
    <t>aHassis</t>
  </si>
  <si>
    <t>masha3er</t>
  </si>
  <si>
    <t>fence</t>
  </si>
  <si>
    <t>seeaaj</t>
  </si>
  <si>
    <t>سياج</t>
  </si>
  <si>
    <t>greeaaj</t>
  </si>
  <si>
    <t>festival</t>
  </si>
  <si>
    <t>mehrajaan</t>
  </si>
  <si>
    <t>مهرَجان</t>
  </si>
  <si>
    <t>fever</t>
  </si>
  <si>
    <t>skhaana</t>
  </si>
  <si>
    <t>سخانة</t>
  </si>
  <si>
    <t>few</t>
  </si>
  <si>
    <t>qleel</t>
  </si>
  <si>
    <t>قليل</t>
  </si>
  <si>
    <t>fiancé</t>
  </si>
  <si>
    <t>khaTib(a)</t>
  </si>
  <si>
    <t>field</t>
  </si>
  <si>
    <t>bHeera</t>
  </si>
  <si>
    <t>jnaan</t>
  </si>
  <si>
    <t>Haql</t>
  </si>
  <si>
    <t>حَقل</t>
  </si>
  <si>
    <t>fifteen</t>
  </si>
  <si>
    <t>khmsTaash</t>
  </si>
  <si>
    <t>خمسطاش</t>
  </si>
  <si>
    <t>fifth</t>
  </si>
  <si>
    <t>khaams</t>
  </si>
  <si>
    <t>خامس</t>
  </si>
  <si>
    <t>fifty</t>
  </si>
  <si>
    <t>khmseen</t>
  </si>
  <si>
    <t>خمسين</t>
  </si>
  <si>
    <t>fig</t>
  </si>
  <si>
    <t>krmoos</t>
  </si>
  <si>
    <t>كرموس</t>
  </si>
  <si>
    <t>fig tree</t>
  </si>
  <si>
    <t>krm</t>
  </si>
  <si>
    <t>fight</t>
  </si>
  <si>
    <t>tdaabz</t>
  </si>
  <si>
    <t>daabz</t>
  </si>
  <si>
    <t>tDaarb</t>
  </si>
  <si>
    <t>file</t>
  </si>
  <si>
    <t>Dosee</t>
  </si>
  <si>
    <t>fill</t>
  </si>
  <si>
    <t>3mmer</t>
  </si>
  <si>
    <t>عمّر</t>
  </si>
  <si>
    <t>chb3</t>
  </si>
  <si>
    <t>شبع</t>
  </si>
  <si>
    <t>film</t>
  </si>
  <si>
    <t>feelm</t>
  </si>
  <si>
    <t>فيلم</t>
  </si>
  <si>
    <t>filter</t>
  </si>
  <si>
    <t>feelta</t>
  </si>
  <si>
    <t>Sffaa (Sffee)</t>
  </si>
  <si>
    <t>صفّى</t>
  </si>
  <si>
    <t>finally</t>
  </si>
  <si>
    <t>‘akheeran</t>
  </si>
  <si>
    <t>أَخيراً</t>
  </si>
  <si>
    <t>financial</t>
  </si>
  <si>
    <t>maaddee</t>
  </si>
  <si>
    <t>مادّي</t>
  </si>
  <si>
    <t>find</t>
  </si>
  <si>
    <t>lqaa</t>
  </si>
  <si>
    <t>لقى</t>
  </si>
  <si>
    <t>lgaa</t>
  </si>
  <si>
    <t>fine</t>
  </si>
  <si>
    <t>laa baas</t>
  </si>
  <si>
    <t>لا بَاس</t>
  </si>
  <si>
    <t>bikheer</t>
  </si>
  <si>
    <t>بِخير</t>
  </si>
  <si>
    <t>finger</t>
  </si>
  <si>
    <t>Sb3</t>
  </si>
  <si>
    <t>صبع</t>
  </si>
  <si>
    <t>fingernail</t>
  </si>
  <si>
    <t>Dfr</t>
  </si>
  <si>
    <t>ضفر</t>
  </si>
  <si>
    <t>fingerprint</t>
  </si>
  <si>
    <t>bsma</t>
  </si>
  <si>
    <t>finish</t>
  </si>
  <si>
    <t>saalaa (saalee)</t>
  </si>
  <si>
    <t>سالى</t>
  </si>
  <si>
    <t>fire</t>
  </si>
  <si>
    <t>3feeya</t>
  </si>
  <si>
    <t>عفية</t>
  </si>
  <si>
    <t>first</t>
  </si>
  <si>
    <t>‘awwel</t>
  </si>
  <si>
    <t>أَوَّل</t>
  </si>
  <si>
    <t>f lloowel</t>
  </si>
  <si>
    <t>ف اللوّل</t>
  </si>
  <si>
    <t>first aid</t>
  </si>
  <si>
    <t>‘is3aafaat ‘awweleeya</t>
  </si>
  <si>
    <t>إسعافات أَوَّليّة</t>
  </si>
  <si>
    <t>firstly</t>
  </si>
  <si>
    <t>‘awwelan</t>
  </si>
  <si>
    <t>أَوَّلاً</t>
  </si>
  <si>
    <t>fish</t>
  </si>
  <si>
    <t>Hoot</t>
  </si>
  <si>
    <t>حوت</t>
  </si>
  <si>
    <t>‘asmak</t>
  </si>
  <si>
    <t>Seeyed</t>
  </si>
  <si>
    <t>صيّد</t>
  </si>
  <si>
    <t>fisherman</t>
  </si>
  <si>
    <t>Syaad</t>
  </si>
  <si>
    <t>صياد</t>
  </si>
  <si>
    <t>fitness room</t>
  </si>
  <si>
    <t>lasal</t>
  </si>
  <si>
    <t>five</t>
  </si>
  <si>
    <t>khamsa</t>
  </si>
  <si>
    <t>خمسة</t>
  </si>
  <si>
    <t>khms</t>
  </si>
  <si>
    <t>خمس</t>
  </si>
  <si>
    <t>five minutes</t>
  </si>
  <si>
    <t>qSm</t>
  </si>
  <si>
    <t>قصم</t>
  </si>
  <si>
    <t>fixed</t>
  </si>
  <si>
    <t>mfeexee</t>
  </si>
  <si>
    <t>fizzy drink</t>
  </si>
  <si>
    <t>flag</t>
  </si>
  <si>
    <t>raaya</t>
  </si>
  <si>
    <t>راية</t>
  </si>
  <si>
    <t>3alam</t>
  </si>
  <si>
    <t>عَلَم</t>
  </si>
  <si>
    <t>flashlight</t>
  </si>
  <si>
    <t>peel</t>
  </si>
  <si>
    <t>flat</t>
  </si>
  <si>
    <t>flea</t>
  </si>
  <si>
    <t>brghoot</t>
  </si>
  <si>
    <t>flee</t>
  </si>
  <si>
    <t>hrb</t>
  </si>
  <si>
    <t>flesh</t>
  </si>
  <si>
    <t>lHm</t>
  </si>
  <si>
    <t>لحم</t>
  </si>
  <si>
    <t>flood</t>
  </si>
  <si>
    <t>fayaDaan</t>
  </si>
  <si>
    <t>فَيَضان</t>
  </si>
  <si>
    <t>Toofaan</t>
  </si>
  <si>
    <t>طوفان</t>
  </si>
  <si>
    <t>floor</t>
  </si>
  <si>
    <t>Tbqa</t>
  </si>
  <si>
    <t>طبقة</t>
  </si>
  <si>
    <t>floor squeegee</t>
  </si>
  <si>
    <t>krrata</t>
  </si>
  <si>
    <t>jfaafa</t>
  </si>
  <si>
    <t>جفافة</t>
  </si>
  <si>
    <t>flour</t>
  </si>
  <si>
    <t>T-Hayn</t>
  </si>
  <si>
    <t>طحين</t>
  </si>
  <si>
    <t>dgeeg</t>
  </si>
  <si>
    <t>دگيگ</t>
  </si>
  <si>
    <t>dqeeq</t>
  </si>
  <si>
    <t>دقيق</t>
  </si>
  <si>
    <t>flower</t>
  </si>
  <si>
    <t>wrd</t>
  </si>
  <si>
    <t>ورد</t>
  </si>
  <si>
    <t>fly</t>
  </si>
  <si>
    <t>dbbaan</t>
  </si>
  <si>
    <t>دبّان</t>
  </si>
  <si>
    <t>Taar (Teer)</t>
  </si>
  <si>
    <t>طار</t>
  </si>
  <si>
    <t>focus</t>
  </si>
  <si>
    <t>ركّز</t>
  </si>
  <si>
    <t>fog</t>
  </si>
  <si>
    <t>Dbaaba</t>
  </si>
  <si>
    <t>ضبابة</t>
  </si>
  <si>
    <t>foggy</t>
  </si>
  <si>
    <t>mDbaab</t>
  </si>
  <si>
    <t>fold</t>
  </si>
  <si>
    <t>folded</t>
  </si>
  <si>
    <t>follow</t>
  </si>
  <si>
    <t>tb3</t>
  </si>
  <si>
    <t>تبع</t>
  </si>
  <si>
    <t>following day</t>
  </si>
  <si>
    <t>ghad leeh</t>
  </si>
  <si>
    <t>food</t>
  </si>
  <si>
    <t>reda’ey</t>
  </si>
  <si>
    <t>food processor</t>
  </si>
  <si>
    <t>3jaan</t>
  </si>
  <si>
    <t>robo</t>
  </si>
  <si>
    <t>food products</t>
  </si>
  <si>
    <t>mawad reda’ya</t>
  </si>
  <si>
    <t>foot</t>
  </si>
  <si>
    <t>rjl</t>
  </si>
  <si>
    <t>رجل</t>
  </si>
  <si>
    <t>d3aayf</t>
  </si>
  <si>
    <t>football</t>
  </si>
  <si>
    <t>koora</t>
  </si>
  <si>
    <t>كورة</t>
  </si>
  <si>
    <t>football field</t>
  </si>
  <si>
    <t>teeraan</t>
  </si>
  <si>
    <t>تيران</t>
  </si>
  <si>
    <t>football ground</t>
  </si>
  <si>
    <t>football pitch</t>
  </si>
  <si>
    <t>for</t>
  </si>
  <si>
    <t>l</t>
  </si>
  <si>
    <t>ل</t>
  </si>
  <si>
    <t>3laa qbl</t>
  </si>
  <si>
    <t>mn</t>
  </si>
  <si>
    <t>من</t>
  </si>
  <si>
    <t>for example</t>
  </si>
  <si>
    <t>matalan</t>
  </si>
  <si>
    <t>مَتَلاً</t>
  </si>
  <si>
    <t>for sale</t>
  </si>
  <si>
    <t>lel bee3</t>
  </si>
  <si>
    <t>للبيعِ</t>
  </si>
  <si>
    <t>force</t>
  </si>
  <si>
    <t>qoowa</t>
  </si>
  <si>
    <t>قوّة</t>
  </si>
  <si>
    <t>forehead</t>
  </si>
  <si>
    <t>جبهة</t>
  </si>
  <si>
    <t>foreign</t>
  </si>
  <si>
    <t>ajnabee</t>
  </si>
  <si>
    <t>أَجنَبي</t>
  </si>
  <si>
    <t>neSraanee(ya)</t>
  </si>
  <si>
    <t>foreigner</t>
  </si>
  <si>
    <t>forest</t>
  </si>
  <si>
    <t>ghaaba</t>
  </si>
  <si>
    <t>غابة</t>
  </si>
  <si>
    <t>forget</t>
  </si>
  <si>
    <t>nsaa</t>
  </si>
  <si>
    <t>نسى</t>
  </si>
  <si>
    <t>forgive</t>
  </si>
  <si>
    <t>smeH</t>
  </si>
  <si>
    <t>سمح</t>
  </si>
  <si>
    <t>ghfr</t>
  </si>
  <si>
    <t>غفر</t>
  </si>
  <si>
    <t>fork</t>
  </si>
  <si>
    <t>frsheeTa</t>
  </si>
  <si>
    <t>فرشيطة</t>
  </si>
  <si>
    <t>forty</t>
  </si>
  <si>
    <t>rb3ayn</t>
  </si>
  <si>
    <t>ربعين</t>
  </si>
  <si>
    <t>fountain</t>
  </si>
  <si>
    <t>sqaaya</t>
  </si>
  <si>
    <t>سقاية</t>
  </si>
  <si>
    <t>four</t>
  </si>
  <si>
    <t>rb3a</t>
  </si>
  <si>
    <t>ربعة</t>
  </si>
  <si>
    <t>rb3</t>
  </si>
  <si>
    <t>ربع</t>
  </si>
  <si>
    <t>fourteen</t>
  </si>
  <si>
    <t>rb3Taash</t>
  </si>
  <si>
    <t>ربعطاش</t>
  </si>
  <si>
    <t>fourth</t>
  </si>
  <si>
    <t>raab3</t>
  </si>
  <si>
    <t>رابع</t>
  </si>
  <si>
    <t>fox</t>
  </si>
  <si>
    <t>ta3leb</t>
  </si>
  <si>
    <t>تَعلَب</t>
  </si>
  <si>
    <t>frame</t>
  </si>
  <si>
    <t>kadr</t>
  </si>
  <si>
    <t>كَدر</t>
  </si>
  <si>
    <t>France</t>
  </si>
  <si>
    <t>fransaa</t>
  </si>
  <si>
    <t>فرَنسا</t>
  </si>
  <si>
    <t>free</t>
  </si>
  <si>
    <t>faboor</t>
  </si>
  <si>
    <t>فابور</t>
  </si>
  <si>
    <t>Horr</t>
  </si>
  <si>
    <t>حُرّ</t>
  </si>
  <si>
    <t>freedom</t>
  </si>
  <si>
    <t>Horeeya</t>
  </si>
  <si>
    <t>حُريّة</t>
  </si>
  <si>
    <t>freezer</t>
  </si>
  <si>
    <t>freego</t>
  </si>
  <si>
    <t>فريگو</t>
  </si>
  <si>
    <t>French</t>
  </si>
  <si>
    <t>fransaawee(ya)</t>
  </si>
  <si>
    <t>فرَنساوي</t>
  </si>
  <si>
    <t>faransee(ya)</t>
  </si>
  <si>
    <t>فرَنسي</t>
  </si>
  <si>
    <t>faranseeya</t>
  </si>
  <si>
    <t>فرَنسية</t>
  </si>
  <si>
    <t>Friday</t>
  </si>
  <si>
    <t>nhaar jjm3a</t>
  </si>
  <si>
    <t>نهار الجمعة</t>
  </si>
  <si>
    <t>jjm3a</t>
  </si>
  <si>
    <t>الجمعة</t>
  </si>
  <si>
    <t>fridge</t>
  </si>
  <si>
    <t>tlaaja</t>
  </si>
  <si>
    <t>تلاجة</t>
  </si>
  <si>
    <t>fried</t>
  </si>
  <si>
    <t>mqlee</t>
  </si>
  <si>
    <t>مقلي</t>
  </si>
  <si>
    <t>fried fish</t>
  </si>
  <si>
    <t>freeter</t>
  </si>
  <si>
    <t>friend</t>
  </si>
  <si>
    <t>SaaHeb(a)</t>
  </si>
  <si>
    <t>صاحب</t>
  </si>
  <si>
    <t>fries</t>
  </si>
  <si>
    <t>frightened</t>
  </si>
  <si>
    <t>frog</t>
  </si>
  <si>
    <t>jraan</t>
  </si>
  <si>
    <t>جران</t>
  </si>
  <si>
    <t>from</t>
  </si>
  <si>
    <t>from time to time</t>
  </si>
  <si>
    <t>mrra mrra</t>
  </si>
  <si>
    <t>مرّة مرّة</t>
  </si>
  <si>
    <t>from where</t>
  </si>
  <si>
    <t>mneen</t>
  </si>
  <si>
    <t>منين</t>
  </si>
  <si>
    <t>frozen</t>
  </si>
  <si>
    <t>mtllej</t>
  </si>
  <si>
    <t>متلَّج</t>
  </si>
  <si>
    <t>qaaseH</t>
  </si>
  <si>
    <t>قاصح</t>
  </si>
  <si>
    <t>mglaasee</t>
  </si>
  <si>
    <t>fruit</t>
  </si>
  <si>
    <t>دِسير</t>
  </si>
  <si>
    <t>fawaakee</t>
  </si>
  <si>
    <t>ghlla</t>
  </si>
  <si>
    <t>fry</t>
  </si>
  <si>
    <t>qlaa (qlee)</t>
  </si>
  <si>
    <t>قلى</t>
  </si>
  <si>
    <t>frying pan</t>
  </si>
  <si>
    <t>mqla</t>
  </si>
  <si>
    <t>مقلة</t>
  </si>
  <si>
    <t>fuel</t>
  </si>
  <si>
    <t>mazooT</t>
  </si>
  <si>
    <t>fulfill</t>
  </si>
  <si>
    <t>full</t>
  </si>
  <si>
    <t>shb3</t>
  </si>
  <si>
    <t>function</t>
  </si>
  <si>
    <t>khdm</t>
  </si>
  <si>
    <t>خدم</t>
  </si>
  <si>
    <t>funeral procession</t>
  </si>
  <si>
    <t>gnaazaa</t>
  </si>
  <si>
    <t>گنازا</t>
  </si>
  <si>
    <t>funny</t>
  </si>
  <si>
    <t>moDHik</t>
  </si>
  <si>
    <t>مُضحِك</t>
  </si>
  <si>
    <t>fur</t>
  </si>
  <si>
    <t>farwa</t>
  </si>
  <si>
    <t>furious</t>
  </si>
  <si>
    <t>ghdbaan</t>
  </si>
  <si>
    <t>future</t>
  </si>
  <si>
    <t>mosteqbal</t>
  </si>
  <si>
    <t>مُستَقبَل</t>
  </si>
  <si>
    <t>gamble</t>
  </si>
  <si>
    <t>qmmer</t>
  </si>
  <si>
    <t>قمّر</t>
  </si>
  <si>
    <t>gambler</t>
  </si>
  <si>
    <t>qmmaar(a)</t>
  </si>
  <si>
    <t>قمّار</t>
  </si>
  <si>
    <t>gambling</t>
  </si>
  <si>
    <t>qmer</t>
  </si>
  <si>
    <t>قمَر</t>
  </si>
  <si>
    <t>game</t>
  </si>
  <si>
    <t>l3ba</t>
  </si>
  <si>
    <t>لعبة</t>
  </si>
  <si>
    <t>garage</t>
  </si>
  <si>
    <t>garaaj</t>
  </si>
  <si>
    <t>گَراج</t>
  </si>
  <si>
    <t>garbage can</t>
  </si>
  <si>
    <t>garden</t>
  </si>
  <si>
    <t>jrda</t>
  </si>
  <si>
    <t>جردة</t>
  </si>
  <si>
    <t>Hadeeqa</t>
  </si>
  <si>
    <t>حَديقة</t>
  </si>
  <si>
    <t>gardener</t>
  </si>
  <si>
    <t>jaardeenee</t>
  </si>
  <si>
    <t>جارديني</t>
  </si>
  <si>
    <t>garlic</t>
  </si>
  <si>
    <t>tooma</t>
  </si>
  <si>
    <t>تومة</t>
  </si>
  <si>
    <t>garlic press</t>
  </si>
  <si>
    <t>3Saara dyaal ttooma</t>
  </si>
  <si>
    <t>gas</t>
  </si>
  <si>
    <t>gaaz</t>
  </si>
  <si>
    <t>gas bottle</t>
  </si>
  <si>
    <t>قرعة د البوطا</t>
  </si>
  <si>
    <t>gas regulator</t>
  </si>
  <si>
    <t>tandoor</t>
  </si>
  <si>
    <t>gather together</t>
  </si>
  <si>
    <t>gather wood in the forest</t>
  </si>
  <si>
    <t>HTeb</t>
  </si>
  <si>
    <t>حطَب</t>
  </si>
  <si>
    <t>gazelle</t>
  </si>
  <si>
    <t>generally</t>
  </si>
  <si>
    <t>3adatan</t>
  </si>
  <si>
    <t>generosity</t>
  </si>
  <si>
    <t>karam</t>
  </si>
  <si>
    <t>كَرَم</t>
  </si>
  <si>
    <t>generous</t>
  </si>
  <si>
    <t>kreem</t>
  </si>
  <si>
    <t>كريم</t>
  </si>
  <si>
    <t>skhee</t>
  </si>
  <si>
    <t>سخي</t>
  </si>
  <si>
    <t>كرم</t>
  </si>
  <si>
    <t>genie</t>
  </si>
  <si>
    <t>jnn</t>
  </si>
  <si>
    <t>jnneeya</t>
  </si>
  <si>
    <t>germ</t>
  </si>
  <si>
    <t>mikroob</t>
  </si>
  <si>
    <t>مِكروب</t>
  </si>
  <si>
    <t>German</t>
  </si>
  <si>
    <t>almaanee</t>
  </si>
  <si>
    <t>ألماني</t>
  </si>
  <si>
    <t>almaaneeya</t>
  </si>
  <si>
    <t>ألمانيّة</t>
  </si>
  <si>
    <t>Germany</t>
  </si>
  <si>
    <t>almaaneeyaa</t>
  </si>
  <si>
    <t>ألمانيا</t>
  </si>
  <si>
    <t>gesture</t>
  </si>
  <si>
    <t>Haraka</t>
  </si>
  <si>
    <t>حَرَكة</t>
  </si>
  <si>
    <t>get accustomed</t>
  </si>
  <si>
    <t>t3oowed</t>
  </si>
  <si>
    <t>تعوّد</t>
  </si>
  <si>
    <t>get better</t>
  </si>
  <si>
    <t>ولّى بِخير</t>
  </si>
  <si>
    <t>get bored</t>
  </si>
  <si>
    <t>mll</t>
  </si>
  <si>
    <t>ملّ</t>
  </si>
  <si>
    <t>get dressed</t>
  </si>
  <si>
    <t>lbs</t>
  </si>
  <si>
    <t>لبس</t>
  </si>
  <si>
    <t>get drunk</t>
  </si>
  <si>
    <t>skr</t>
  </si>
  <si>
    <t>سكر</t>
  </si>
  <si>
    <t>get hurt</t>
  </si>
  <si>
    <t>jrH</t>
  </si>
  <si>
    <t>جرح</t>
  </si>
  <si>
    <t>get out</t>
  </si>
  <si>
    <t>khrrj</t>
  </si>
  <si>
    <t>خرّج</t>
  </si>
  <si>
    <t>jbd</t>
  </si>
  <si>
    <t>جبد</t>
  </si>
  <si>
    <t>get pregnant</t>
  </si>
  <si>
    <t>Hml</t>
  </si>
  <si>
    <t>حمل</t>
  </si>
  <si>
    <t>get to know</t>
  </si>
  <si>
    <t>t3rrf</t>
  </si>
  <si>
    <t>تعرّف</t>
  </si>
  <si>
    <t>get up</t>
  </si>
  <si>
    <t>naaD (nooD)</t>
  </si>
  <si>
    <t>ناض</t>
  </si>
  <si>
    <t>ooqaf</t>
  </si>
  <si>
    <t>وقف</t>
  </si>
  <si>
    <t>naayeD</t>
  </si>
  <si>
    <t>نايَض</t>
  </si>
  <si>
    <t>get used to</t>
  </si>
  <si>
    <t>ghost</t>
  </si>
  <si>
    <t>shaabaaH</t>
  </si>
  <si>
    <t>gift</t>
  </si>
  <si>
    <t>kaaDo</t>
  </si>
  <si>
    <t>كاضو</t>
  </si>
  <si>
    <t>gift voucher</t>
  </si>
  <si>
    <t>qaseema sheera</t>
  </si>
  <si>
    <t>ginger</t>
  </si>
  <si>
    <t>sknjebeer</t>
  </si>
  <si>
    <t>سكنجبير</t>
  </si>
  <si>
    <t>giraffe</t>
  </si>
  <si>
    <t>zraafa</t>
  </si>
  <si>
    <t>زرافة</t>
  </si>
  <si>
    <t>girl</t>
  </si>
  <si>
    <t>give</t>
  </si>
  <si>
    <t>3Taa (3Tee)</t>
  </si>
  <si>
    <t>عطى</t>
  </si>
  <si>
    <t>‘araa</t>
  </si>
  <si>
    <t>أرا</t>
  </si>
  <si>
    <t>give alms</t>
  </si>
  <si>
    <t>zkaa</t>
  </si>
  <si>
    <t>3shr</t>
  </si>
  <si>
    <t>give back</t>
  </si>
  <si>
    <t>give birth</t>
  </si>
  <si>
    <t>give the call to prayer</t>
  </si>
  <si>
    <t>waddn</t>
  </si>
  <si>
    <t>وَدّن</t>
  </si>
  <si>
    <t>glance</t>
  </si>
  <si>
    <t>nDra</t>
  </si>
  <si>
    <t>glass</t>
  </si>
  <si>
    <t>jaaj</t>
  </si>
  <si>
    <t>glasses</t>
  </si>
  <si>
    <t>nDaaDr</t>
  </si>
  <si>
    <t>glove</t>
  </si>
  <si>
    <t>sba3eeya</t>
  </si>
  <si>
    <t>leegaat</t>
  </si>
  <si>
    <t>ليڭات</t>
  </si>
  <si>
    <t>glue</t>
  </si>
  <si>
    <t>skotch pomaad</t>
  </si>
  <si>
    <t>lSSq</t>
  </si>
  <si>
    <t>لصّق</t>
  </si>
  <si>
    <t>gnat</t>
  </si>
  <si>
    <t>chenweela</t>
  </si>
  <si>
    <t>go</t>
  </si>
  <si>
    <t>mshaa (mshee)</t>
  </si>
  <si>
    <t>مشّى</t>
  </si>
  <si>
    <t>seer(ee)</t>
  </si>
  <si>
    <t>سير</t>
  </si>
  <si>
    <t>ghaadee</t>
  </si>
  <si>
    <t>غادي</t>
  </si>
  <si>
    <t>go away</t>
  </si>
  <si>
    <t>b33d</t>
  </si>
  <si>
    <t>بعّد</t>
  </si>
  <si>
    <t>go down</t>
  </si>
  <si>
    <t>go fishing</t>
  </si>
  <si>
    <t>go for a walk</t>
  </si>
  <si>
    <t>Dar (Door)</t>
  </si>
  <si>
    <t>ضار</t>
  </si>
  <si>
    <t>tmshaa</t>
  </si>
  <si>
    <t>تمشى</t>
  </si>
  <si>
    <t>tsaaraa</t>
  </si>
  <si>
    <t>تسارى</t>
  </si>
  <si>
    <t>go off</t>
  </si>
  <si>
    <t>khser</t>
  </si>
  <si>
    <t>خسر</t>
  </si>
  <si>
    <t>go out</t>
  </si>
  <si>
    <t>خرج</t>
  </si>
  <si>
    <t>khaarj</t>
  </si>
  <si>
    <t>خارج</t>
  </si>
  <si>
    <t>go shopping</t>
  </si>
  <si>
    <t>go to bed</t>
  </si>
  <si>
    <t>n3s</t>
  </si>
  <si>
    <t>tekkaa</t>
  </si>
  <si>
    <t>go to sleep</t>
  </si>
  <si>
    <t>نعس</t>
  </si>
  <si>
    <t>ghleb 3leeyaa n3aas</t>
  </si>
  <si>
    <t>daatnee 3eeneeyaa</t>
  </si>
  <si>
    <t>daanee n3aas</t>
  </si>
  <si>
    <t>go up</t>
  </si>
  <si>
    <t>Tle3</t>
  </si>
  <si>
    <t>طلع</t>
  </si>
  <si>
    <t>goat</t>
  </si>
  <si>
    <t>me3z</t>
  </si>
  <si>
    <t>معز</t>
  </si>
  <si>
    <t>goat meat</t>
  </si>
  <si>
    <t>m3zee</t>
  </si>
  <si>
    <t>معزي</t>
  </si>
  <si>
    <t>God</t>
  </si>
  <si>
    <t>llah</t>
  </si>
  <si>
    <t>الله</t>
  </si>
  <si>
    <t>rabb</t>
  </si>
  <si>
    <t>ربّ</t>
  </si>
  <si>
    <t>God bless you</t>
  </si>
  <si>
    <t>tbaarek llah 3leek</t>
  </si>
  <si>
    <t>baarak llahou feek</t>
  </si>
  <si>
    <t>lbaarakaa f raasek</t>
  </si>
  <si>
    <t>God willing</t>
  </si>
  <si>
    <t>inshaa llah</t>
  </si>
  <si>
    <t>إنشا الله</t>
  </si>
  <si>
    <t>gold</t>
  </si>
  <si>
    <t>dheb</t>
  </si>
  <si>
    <t>دهَب</t>
  </si>
  <si>
    <t>golden</t>
  </si>
  <si>
    <t>dhbee</t>
  </si>
  <si>
    <t>دهبي</t>
  </si>
  <si>
    <t>good</t>
  </si>
  <si>
    <t>mzyaan</t>
  </si>
  <si>
    <t>مزيان</t>
  </si>
  <si>
    <t>good afternoon</t>
  </si>
  <si>
    <t>msaa lkheer</t>
  </si>
  <si>
    <t>مسا الخير</t>
  </si>
  <si>
    <t>msaa nnoor</t>
  </si>
  <si>
    <t>good evening</t>
  </si>
  <si>
    <t>good morning</t>
  </si>
  <si>
    <t>SbaaH lkheer</t>
  </si>
  <si>
    <t>صباح الخير</t>
  </si>
  <si>
    <t>SbaaH nnoor</t>
  </si>
  <si>
    <t>صباح النور</t>
  </si>
  <si>
    <t>good night</t>
  </si>
  <si>
    <t>tSbeH 3laa kheer</t>
  </si>
  <si>
    <t>تصبح على خير</t>
  </si>
  <si>
    <t>llah ‘amsik 3laa kheer</t>
  </si>
  <si>
    <t>الله أمسك على خير</t>
  </si>
  <si>
    <t>layla sa3eeda</t>
  </si>
  <si>
    <t>لَيلة سَعيدة</t>
  </si>
  <si>
    <t>goodbye</t>
  </si>
  <si>
    <t>bslaama / b sslaama</t>
  </si>
  <si>
    <t>بسلامة / ب السلامة</t>
  </si>
  <si>
    <t>llah ee3awen</t>
  </si>
  <si>
    <t>الله يعاون</t>
  </si>
  <si>
    <t>llah ee3awenek</t>
  </si>
  <si>
    <t>الله يعاونك</t>
  </si>
  <si>
    <t>llah ee3awenkom</t>
  </si>
  <si>
    <t>الله يعاونكُم</t>
  </si>
  <si>
    <t>llah ehneek</t>
  </si>
  <si>
    <t>الله يهنيك</t>
  </si>
  <si>
    <t>grace</t>
  </si>
  <si>
    <t>grade</t>
  </si>
  <si>
    <t>mo3dal</t>
  </si>
  <si>
    <t>grain</t>
  </si>
  <si>
    <t>zree3a</t>
  </si>
  <si>
    <t>زرّيعة</t>
  </si>
  <si>
    <t>gram</t>
  </si>
  <si>
    <t>graam</t>
  </si>
  <si>
    <t>گرام</t>
  </si>
  <si>
    <t>grandfather</t>
  </si>
  <si>
    <t>jdd</t>
  </si>
  <si>
    <t>جدّ</t>
  </si>
  <si>
    <t>grandmother</t>
  </si>
  <si>
    <t>jdda</t>
  </si>
  <si>
    <t>جدّة</t>
  </si>
  <si>
    <t>grandparent</t>
  </si>
  <si>
    <t>granulated sugar</t>
  </si>
  <si>
    <t>saneeda</t>
  </si>
  <si>
    <t>grape</t>
  </si>
  <si>
    <t>3neb</t>
  </si>
  <si>
    <t>عنب</t>
  </si>
  <si>
    <t>grapefruit</t>
  </si>
  <si>
    <t>pampleemous</t>
  </si>
  <si>
    <t>grass</t>
  </si>
  <si>
    <t>rbee3</t>
  </si>
  <si>
    <t>ربيع</t>
  </si>
  <si>
    <t>grave</t>
  </si>
  <si>
    <t>qbr</t>
  </si>
  <si>
    <t>gravel</t>
  </si>
  <si>
    <t>kayaas</t>
  </si>
  <si>
    <t>great</t>
  </si>
  <si>
    <t>3aadeem</t>
  </si>
  <si>
    <t>greed</t>
  </si>
  <si>
    <t>Tma3</t>
  </si>
  <si>
    <t>طمَع</t>
  </si>
  <si>
    <t>green</t>
  </si>
  <si>
    <t>khDer</t>
  </si>
  <si>
    <t>خضر</t>
  </si>
  <si>
    <t>green bean</t>
  </si>
  <si>
    <t>loobeeya</t>
  </si>
  <si>
    <t>لوبية خضرة</t>
  </si>
  <si>
    <t>greenery</t>
  </si>
  <si>
    <t>greengrocer</t>
  </si>
  <si>
    <t>khDDaar</t>
  </si>
  <si>
    <t>خضّار</t>
  </si>
  <si>
    <t>greet</t>
  </si>
  <si>
    <t>tsaalem</t>
  </si>
  <si>
    <t>تسالم</t>
  </si>
  <si>
    <t>grey</t>
  </si>
  <si>
    <t>rmaadee</t>
  </si>
  <si>
    <t>رمادي</t>
  </si>
  <si>
    <t>gree</t>
  </si>
  <si>
    <t>grill</t>
  </si>
  <si>
    <t>shwwaaya</t>
  </si>
  <si>
    <t>شوّاية</t>
  </si>
  <si>
    <t>grilled</t>
  </si>
  <si>
    <t>mshwee</t>
  </si>
  <si>
    <t>grilled flour with ground sesame seeds, almonds, etc.</t>
  </si>
  <si>
    <t>sleeloo</t>
  </si>
  <si>
    <t>grimace</t>
  </si>
  <si>
    <t>grind</t>
  </si>
  <si>
    <t>T-Han</t>
  </si>
  <si>
    <t>طحن</t>
  </si>
  <si>
    <t>grocer</t>
  </si>
  <si>
    <t>mool lHaanoot</t>
  </si>
  <si>
    <t>مول الحانوت</t>
  </si>
  <si>
    <t>bqal</t>
  </si>
  <si>
    <t>grocer’s shop</t>
  </si>
  <si>
    <t>Haanoot</t>
  </si>
  <si>
    <t>حانوت</t>
  </si>
  <si>
    <t>maHl</t>
  </si>
  <si>
    <t>groom</t>
  </si>
  <si>
    <t>mzoowej</t>
  </si>
  <si>
    <t>مزوّج</t>
  </si>
  <si>
    <t>mjoowej</t>
  </si>
  <si>
    <t>ground</t>
  </si>
  <si>
    <t>mT-Hoon</t>
  </si>
  <si>
    <t>مطحون</t>
  </si>
  <si>
    <t>ground beef</t>
  </si>
  <si>
    <t>kfta</t>
  </si>
  <si>
    <t>كفتة</t>
  </si>
  <si>
    <t>ground floor</t>
  </si>
  <si>
    <t>reedooshosee</t>
  </si>
  <si>
    <t>group</t>
  </si>
  <si>
    <t>groopa</t>
  </si>
  <si>
    <t>jmaa3a</t>
  </si>
  <si>
    <t>grow</t>
  </si>
  <si>
    <t>kbr</t>
  </si>
  <si>
    <t>grow old</t>
  </si>
  <si>
    <t>shrf</t>
  </si>
  <si>
    <t>شرف</t>
  </si>
  <si>
    <t>grumble</t>
  </si>
  <si>
    <t>guest</t>
  </si>
  <si>
    <t>Deef(a)</t>
  </si>
  <si>
    <t>ضيف</t>
  </si>
  <si>
    <t>m3rooD</t>
  </si>
  <si>
    <t>معروض</t>
  </si>
  <si>
    <t>guitar</t>
  </si>
  <si>
    <t>geeTaar</t>
  </si>
  <si>
    <t>گيطار</t>
  </si>
  <si>
    <t>gum</t>
  </si>
  <si>
    <t>ltta</t>
  </si>
  <si>
    <t>لحم د السنان</t>
  </si>
  <si>
    <t>gym</t>
  </si>
  <si>
    <t>habit</t>
  </si>
  <si>
    <t>welf</t>
  </si>
  <si>
    <t>وَلف</t>
  </si>
  <si>
    <t>3aada</t>
  </si>
  <si>
    <t>عادة</t>
  </si>
  <si>
    <t>hair</t>
  </si>
  <si>
    <t>sh3r</t>
  </si>
  <si>
    <t>شعر</t>
  </si>
  <si>
    <t>zgheb</t>
  </si>
  <si>
    <t>hair clip</t>
  </si>
  <si>
    <t>mqbt</t>
  </si>
  <si>
    <t>krap</t>
  </si>
  <si>
    <t>hair salon</t>
  </si>
  <si>
    <t>3nd lHllaaq</t>
  </si>
  <si>
    <t>3nd lkwaafoora</t>
  </si>
  <si>
    <t>Saalon</t>
  </si>
  <si>
    <t>hairbrush</t>
  </si>
  <si>
    <t>شيتة د الشعر</t>
  </si>
  <si>
    <t>mshTa</t>
  </si>
  <si>
    <t>مشطة</t>
  </si>
  <si>
    <t>hairdresser</t>
  </si>
  <si>
    <t>Hllaaq</t>
  </si>
  <si>
    <t>حلّاق</t>
  </si>
  <si>
    <t>kwaafoor(a)</t>
  </si>
  <si>
    <t>كوافور</t>
  </si>
  <si>
    <t>hairstyle</t>
  </si>
  <si>
    <t>Hsaana</t>
  </si>
  <si>
    <t>حسانة</t>
  </si>
  <si>
    <t>half</t>
  </si>
  <si>
    <t>nS</t>
  </si>
  <si>
    <t>نص</t>
  </si>
  <si>
    <t>half-brother</t>
  </si>
  <si>
    <t>half-sister</t>
  </si>
  <si>
    <t>kht</t>
  </si>
  <si>
    <t>hamburger</t>
  </si>
  <si>
    <t>haamboorgr</t>
  </si>
  <si>
    <t>هامبورگر</t>
  </si>
  <si>
    <t>hand</t>
  </si>
  <si>
    <t>yedd / eedd</t>
  </si>
  <si>
    <t>إيدّ / يدّ</t>
  </si>
  <si>
    <t>hand brush</t>
  </si>
  <si>
    <t>handbag</t>
  </si>
  <si>
    <t>handcuffs</t>
  </si>
  <si>
    <t>meenot</t>
  </si>
  <si>
    <t>handicapped</t>
  </si>
  <si>
    <t>hang</t>
  </si>
  <si>
    <t>3llq</t>
  </si>
  <si>
    <t>علّق</t>
  </si>
  <si>
    <t>m3llq</t>
  </si>
  <si>
    <t>معلَّق</t>
  </si>
  <si>
    <t>hang on to</t>
  </si>
  <si>
    <t>t3llq</t>
  </si>
  <si>
    <t>تعلّق</t>
  </si>
  <si>
    <t>hang out</t>
  </si>
  <si>
    <t>nshr</t>
  </si>
  <si>
    <t>نشر</t>
  </si>
  <si>
    <t>hang up</t>
  </si>
  <si>
    <t>happen</t>
  </si>
  <si>
    <t>ooqe3</t>
  </si>
  <si>
    <t>وقع</t>
  </si>
  <si>
    <t>waaqe3</t>
  </si>
  <si>
    <t>happiness</t>
  </si>
  <si>
    <t>bhja</t>
  </si>
  <si>
    <t>sa3eeda</t>
  </si>
  <si>
    <t>happy</t>
  </si>
  <si>
    <t>frHaan</t>
  </si>
  <si>
    <t>فرحان</t>
  </si>
  <si>
    <t>freH</t>
  </si>
  <si>
    <t>فرح</t>
  </si>
  <si>
    <t>frreH</t>
  </si>
  <si>
    <t>فرّح</t>
  </si>
  <si>
    <t>Happy Birthday</t>
  </si>
  <si>
    <t>3eed meelaad s3eed</t>
  </si>
  <si>
    <t>عيد ميلاد سعيد</t>
  </si>
  <si>
    <t>Sana Hlwa yaa gameel</t>
  </si>
  <si>
    <t>سَنة حلوة يا جَميل</t>
  </si>
  <si>
    <t>hard</t>
  </si>
  <si>
    <t>qaaSeH</t>
  </si>
  <si>
    <t>s3eeb</t>
  </si>
  <si>
    <t>سعيب</t>
  </si>
  <si>
    <t>hard-worker</t>
  </si>
  <si>
    <t>Hadga</t>
  </si>
  <si>
    <t>hard-working</t>
  </si>
  <si>
    <t>mojtahid</t>
  </si>
  <si>
    <t>مُجتَهٍد</t>
  </si>
  <si>
    <t>hardworking</t>
  </si>
  <si>
    <t>harm</t>
  </si>
  <si>
    <t>baas</t>
  </si>
  <si>
    <t>باس</t>
  </si>
  <si>
    <t>harvest</t>
  </si>
  <si>
    <t>HSed</t>
  </si>
  <si>
    <t>حصد</t>
  </si>
  <si>
    <t>jnaa</t>
  </si>
  <si>
    <t>جنى</t>
  </si>
  <si>
    <t>hashish</t>
  </si>
  <si>
    <t>Hsheesh</t>
  </si>
  <si>
    <t>حشيش</t>
  </si>
  <si>
    <t>haste</t>
  </si>
  <si>
    <t>zrba</t>
  </si>
  <si>
    <t>زربة</t>
  </si>
  <si>
    <t>hat</t>
  </si>
  <si>
    <t>shapo</t>
  </si>
  <si>
    <t>hate</t>
  </si>
  <si>
    <t>kreh</t>
  </si>
  <si>
    <t>كره</t>
  </si>
  <si>
    <t>have</t>
  </si>
  <si>
    <t>عند</t>
  </si>
  <si>
    <t>have a baby</t>
  </si>
  <si>
    <t>have a dream</t>
  </si>
  <si>
    <t>have a laugh</t>
  </si>
  <si>
    <t>DHk</t>
  </si>
  <si>
    <t>ضحك</t>
  </si>
  <si>
    <t>have an operation</t>
  </si>
  <si>
    <t>دار عَمَلية</t>
  </si>
  <si>
    <t>fteH</t>
  </si>
  <si>
    <t>فتح</t>
  </si>
  <si>
    <t>have breakfast</t>
  </si>
  <si>
    <t>have dinner</t>
  </si>
  <si>
    <t>have goose bumps</t>
  </si>
  <si>
    <t>tboorsh</t>
  </si>
  <si>
    <t>have just … (done something)</t>
  </si>
  <si>
    <t>bHraa</t>
  </si>
  <si>
    <t>بحرا</t>
  </si>
  <si>
    <t>yallaah</t>
  </si>
  <si>
    <t>يلّاه</t>
  </si>
  <si>
    <t>have lunch</t>
  </si>
  <si>
    <t>tghdaa</t>
  </si>
  <si>
    <t>تغدى</t>
  </si>
  <si>
    <t>have to</t>
  </si>
  <si>
    <t>khaaS</t>
  </si>
  <si>
    <t>خاص</t>
  </si>
  <si>
    <t>haven’t yet …</t>
  </si>
  <si>
    <t>maa …  baaqee</t>
  </si>
  <si>
    <t>maa …  maazaal</t>
  </si>
  <si>
    <t>he</t>
  </si>
  <si>
    <t>howa</t>
  </si>
  <si>
    <t>هُوَ</t>
  </si>
  <si>
    <t>head</t>
  </si>
  <si>
    <t>raas</t>
  </si>
  <si>
    <t>راس</t>
  </si>
  <si>
    <t>head of family</t>
  </si>
  <si>
    <t>headband</t>
  </si>
  <si>
    <t>banda</t>
  </si>
  <si>
    <t>headscarf</t>
  </si>
  <si>
    <t>foolaar</t>
  </si>
  <si>
    <t>فولار</t>
  </si>
  <si>
    <t>shaal</t>
  </si>
  <si>
    <t>شال</t>
  </si>
  <si>
    <t>heal</t>
  </si>
  <si>
    <t>healing</t>
  </si>
  <si>
    <t>shifaa’</t>
  </si>
  <si>
    <t>شِفاء</t>
  </si>
  <si>
    <t>health</t>
  </si>
  <si>
    <t>S-Ha</t>
  </si>
  <si>
    <t>صحة</t>
  </si>
  <si>
    <t>healthy</t>
  </si>
  <si>
    <t>seHee</t>
  </si>
  <si>
    <t>hear</t>
  </si>
  <si>
    <t>sm3</t>
  </si>
  <si>
    <t>سمع</t>
  </si>
  <si>
    <t>smma3</t>
  </si>
  <si>
    <t>سمَّع</t>
  </si>
  <si>
    <t>hear about</t>
  </si>
  <si>
    <t>f raas</t>
  </si>
  <si>
    <t>heart</t>
  </si>
  <si>
    <t>qlb</t>
  </si>
  <si>
    <t>قلب</t>
  </si>
  <si>
    <t>heart attack</t>
  </si>
  <si>
    <t>skta qlbeeya</t>
  </si>
  <si>
    <t>سكتة قلبية</t>
  </si>
  <si>
    <t>heat</t>
  </si>
  <si>
    <t>S-hd</t>
  </si>
  <si>
    <t>صهد</t>
  </si>
  <si>
    <t>harara</t>
  </si>
  <si>
    <t>heat diffuser used under a tagine</t>
  </si>
  <si>
    <t>Hdeeda</t>
  </si>
  <si>
    <t>حديدة ديال الطاجين</t>
  </si>
  <si>
    <t>tHt Taajeen</t>
  </si>
  <si>
    <t>heat up</t>
  </si>
  <si>
    <t>skh-khn</t>
  </si>
  <si>
    <t>سخّن</t>
  </si>
  <si>
    <t>طيب</t>
  </si>
  <si>
    <t>heating</t>
  </si>
  <si>
    <t>choofaaj</t>
  </si>
  <si>
    <t>شوفاج</t>
  </si>
  <si>
    <t>skhoneeya</t>
  </si>
  <si>
    <t>heaven</t>
  </si>
  <si>
    <t>jennaa</t>
  </si>
  <si>
    <t>heavier</t>
  </si>
  <si>
    <t>tqel</t>
  </si>
  <si>
    <t>تقل</t>
  </si>
  <si>
    <t>heavy</t>
  </si>
  <si>
    <t>tqeel</t>
  </si>
  <si>
    <t>تقيل</t>
  </si>
  <si>
    <t>hectare</t>
  </si>
  <si>
    <t>gtaar</t>
  </si>
  <si>
    <t>heel</t>
  </si>
  <si>
    <t>gdem</t>
  </si>
  <si>
    <t>گدم</t>
  </si>
  <si>
    <t>height</t>
  </si>
  <si>
    <t>3loo</t>
  </si>
  <si>
    <t>hello</t>
  </si>
  <si>
    <t>ssalaamou 3alaykom</t>
  </si>
  <si>
    <t>السَلامُ عَلَيكُم</t>
  </si>
  <si>
    <t>salaam</t>
  </si>
  <si>
    <t>help</t>
  </si>
  <si>
    <t>3aawen</t>
  </si>
  <si>
    <t>عاون</t>
  </si>
  <si>
    <t>help out</t>
  </si>
  <si>
    <t>depanaa (depanee)</t>
  </si>
  <si>
    <t>helpful</t>
  </si>
  <si>
    <t>m3awen</t>
  </si>
  <si>
    <t>hen</t>
  </si>
  <si>
    <t>henna</t>
  </si>
  <si>
    <t>Henna</t>
  </si>
  <si>
    <t>حَنّا</t>
  </si>
  <si>
    <t>nqesh</t>
  </si>
  <si>
    <t>نقَش</t>
  </si>
  <si>
    <t>Hennaa (Hennee)</t>
  </si>
  <si>
    <t>حَنّى</t>
  </si>
  <si>
    <t>nqaasha</t>
  </si>
  <si>
    <t>نقّاشة</t>
  </si>
  <si>
    <t>her</t>
  </si>
  <si>
    <t>-haa</t>
  </si>
  <si>
    <t>ها</t>
  </si>
  <si>
    <t>dyaalhaa</t>
  </si>
  <si>
    <t>ديالها</t>
  </si>
  <si>
    <t>dyaawlhaa</t>
  </si>
  <si>
    <t>here</t>
  </si>
  <si>
    <t>hnaa</t>
  </si>
  <si>
    <t>هنا</t>
  </si>
  <si>
    <t>hnaya</t>
  </si>
  <si>
    <t>here you go</t>
  </si>
  <si>
    <t>hi</t>
  </si>
  <si>
    <t>hide</t>
  </si>
  <si>
    <t>khbbaa (khbbee)</t>
  </si>
  <si>
    <t>خبّى</t>
  </si>
  <si>
    <t>tkhbbaa</t>
  </si>
  <si>
    <t>mkhabee</t>
  </si>
  <si>
    <t>high</t>
  </si>
  <si>
    <t>3aalee</t>
  </si>
  <si>
    <t>عالي</t>
  </si>
  <si>
    <t>higher</t>
  </si>
  <si>
    <t>highest</t>
  </si>
  <si>
    <t>‘a3laa</t>
  </si>
  <si>
    <t>أعلى</t>
  </si>
  <si>
    <t>his</t>
  </si>
  <si>
    <t>-oo</t>
  </si>
  <si>
    <t>-h</t>
  </si>
  <si>
    <t>ه</t>
  </si>
  <si>
    <t>dyaaloo</t>
  </si>
  <si>
    <t>ديالو</t>
  </si>
  <si>
    <t>dyaawloo</t>
  </si>
  <si>
    <t>history</t>
  </si>
  <si>
    <t>hit</t>
  </si>
  <si>
    <t>mDroob</t>
  </si>
  <si>
    <t>مضروب</t>
  </si>
  <si>
    <t>hive</t>
  </si>
  <si>
    <t>khaleeya</t>
  </si>
  <si>
    <t>خَليّة</t>
  </si>
  <si>
    <t>hob</t>
  </si>
  <si>
    <t>forno</t>
  </si>
  <si>
    <t>hold</t>
  </si>
  <si>
    <t>shdd</t>
  </si>
  <si>
    <t>شدّ</t>
  </si>
  <si>
    <t>shaadd</t>
  </si>
  <si>
    <t>شادّ</t>
  </si>
  <si>
    <t>hole</t>
  </si>
  <si>
    <t>tqba</t>
  </si>
  <si>
    <t>تقبة</t>
  </si>
  <si>
    <t>Hafera</t>
  </si>
  <si>
    <t>حَفرة</t>
  </si>
  <si>
    <t>holey</t>
  </si>
  <si>
    <t>mtqoob</t>
  </si>
  <si>
    <t>متقوب</t>
  </si>
  <si>
    <t>holidays</t>
  </si>
  <si>
    <t>3oTla</t>
  </si>
  <si>
    <t>عُطلة</t>
  </si>
  <si>
    <t>home</t>
  </si>
  <si>
    <t>homework</t>
  </si>
  <si>
    <t>Tamereen</t>
  </si>
  <si>
    <t>honest</t>
  </si>
  <si>
    <t>m3qool</t>
  </si>
  <si>
    <t>معقول</t>
  </si>
  <si>
    <t>honey</t>
  </si>
  <si>
    <t>3sl</t>
  </si>
  <si>
    <t>عسل</t>
  </si>
  <si>
    <t>hood</t>
  </si>
  <si>
    <t>qob</t>
  </si>
  <si>
    <t>hoodie</t>
  </si>
  <si>
    <t>qobeeya</t>
  </si>
  <si>
    <t>hook</t>
  </si>
  <si>
    <t>hope</t>
  </si>
  <si>
    <t>tmnnaa</t>
  </si>
  <si>
    <t>تمنّى</t>
  </si>
  <si>
    <t>horn</t>
  </si>
  <si>
    <t>gern</t>
  </si>
  <si>
    <t>horse</t>
  </si>
  <si>
    <t>3awed(a)</t>
  </si>
  <si>
    <t>عود</t>
  </si>
  <si>
    <t>hosepipe</t>
  </si>
  <si>
    <t>teeyoo</t>
  </si>
  <si>
    <t>hospital</t>
  </si>
  <si>
    <t>SbeeTaar</t>
  </si>
  <si>
    <t>صبيطار</t>
  </si>
  <si>
    <t>hospitality</t>
  </si>
  <si>
    <t>Dyaafa</t>
  </si>
  <si>
    <t>ضيافة</t>
  </si>
  <si>
    <t>hot</t>
  </si>
  <si>
    <t>skhon</t>
  </si>
  <si>
    <t>سخون</t>
  </si>
  <si>
    <t>skhn</t>
  </si>
  <si>
    <t>سخن</t>
  </si>
  <si>
    <t>hot and spicy</t>
  </si>
  <si>
    <t>Haar</t>
  </si>
  <si>
    <t>حار</t>
  </si>
  <si>
    <t>hot chocolate</t>
  </si>
  <si>
    <t>Hleeb</t>
  </si>
  <si>
    <t>حلإب سخون ب الشكلاط</t>
  </si>
  <si>
    <t>hot water bottle</t>
  </si>
  <si>
    <t>boyooT</t>
  </si>
  <si>
    <t>بُيوط</t>
  </si>
  <si>
    <t>hotel</t>
  </si>
  <si>
    <t>‘oteel</t>
  </si>
  <si>
    <t>أُوطيل</t>
  </si>
  <si>
    <t>hour</t>
  </si>
  <si>
    <t>house</t>
  </si>
  <si>
    <t>household chores</t>
  </si>
  <si>
    <t>shghol</t>
  </si>
  <si>
    <t>شغُل</t>
  </si>
  <si>
    <t>shghol dyaal dar</t>
  </si>
  <si>
    <t>housework</t>
  </si>
  <si>
    <t>how</t>
  </si>
  <si>
    <t>kee faash</t>
  </si>
  <si>
    <t>كيفاش</t>
  </si>
  <si>
    <t>kee</t>
  </si>
  <si>
    <t>كي</t>
  </si>
  <si>
    <t>how are you?</t>
  </si>
  <si>
    <t>kee daayr?</t>
  </si>
  <si>
    <t>كي داير ؟</t>
  </si>
  <si>
    <t>kee daayra?</t>
  </si>
  <si>
    <t>كي دايرة ؟</t>
  </si>
  <si>
    <t>kee daayreen?</t>
  </si>
  <si>
    <t>كي دايرين ؟</t>
  </si>
  <si>
    <t>how long has it been since … ?</t>
  </si>
  <si>
    <t>shHaal hadee … ?</t>
  </si>
  <si>
    <t>شحال هَدي</t>
  </si>
  <si>
    <t>shHaal d lweqt … ?</t>
  </si>
  <si>
    <t>شحال د لوقت</t>
  </si>
  <si>
    <t>how much</t>
  </si>
  <si>
    <t>shHaal</t>
  </si>
  <si>
    <t>شحال</t>
  </si>
  <si>
    <t>bshHaal</t>
  </si>
  <si>
    <t>بشحال</t>
  </si>
  <si>
    <t>how’s it going?</t>
  </si>
  <si>
    <t>however</t>
  </si>
  <si>
    <t>baynama</t>
  </si>
  <si>
    <t>hug</t>
  </si>
  <si>
    <t>human</t>
  </si>
  <si>
    <t>‘insaan</t>
  </si>
  <si>
    <t>إنسان</t>
  </si>
  <si>
    <t>hundred</t>
  </si>
  <si>
    <t>meeya</t>
  </si>
  <si>
    <t>ميّة</t>
  </si>
  <si>
    <t>hunger</t>
  </si>
  <si>
    <t>hungry</t>
  </si>
  <si>
    <t>jee3aan</t>
  </si>
  <si>
    <t>جيعان</t>
  </si>
  <si>
    <t>hunt</t>
  </si>
  <si>
    <t>hurry</t>
  </si>
  <si>
    <t>zrb</t>
  </si>
  <si>
    <t>زرب</t>
  </si>
  <si>
    <t>hurt</t>
  </si>
  <si>
    <t>Drr</t>
  </si>
  <si>
    <t>ضرّ</t>
  </si>
  <si>
    <t>tjreH</t>
  </si>
  <si>
    <t>تجرح</t>
  </si>
  <si>
    <t>3ddb</t>
  </si>
  <si>
    <t>عدّب</t>
  </si>
  <si>
    <t>mjrooH</t>
  </si>
  <si>
    <t>مجروح</t>
  </si>
  <si>
    <t>husband</t>
  </si>
  <si>
    <t>raajl</t>
  </si>
  <si>
    <t>راجل</t>
  </si>
  <si>
    <t>hymn</t>
  </si>
  <si>
    <t>taraneem</t>
  </si>
  <si>
    <t>I</t>
  </si>
  <si>
    <t>‘anaa</t>
  </si>
  <si>
    <t>أنا</t>
  </si>
  <si>
    <t>‘anaaya</t>
  </si>
  <si>
    <t>ice cream</t>
  </si>
  <si>
    <t>laglas</t>
  </si>
  <si>
    <t>ice cube</t>
  </si>
  <si>
    <t>tlj</t>
  </si>
  <si>
    <t>تلج</t>
  </si>
  <si>
    <t>icing sugar</t>
  </si>
  <si>
    <t>skkar</t>
  </si>
  <si>
    <t>idea</t>
  </si>
  <si>
    <t>fikra</t>
  </si>
  <si>
    <t>فِكرة</t>
  </si>
  <si>
    <t>if</t>
  </si>
  <si>
    <t>‘ilaa</t>
  </si>
  <si>
    <t>إلا / اِلى</t>
  </si>
  <si>
    <t>waash</t>
  </si>
  <si>
    <t>yek</t>
  </si>
  <si>
    <t>ill</t>
  </si>
  <si>
    <t>mreeD</t>
  </si>
  <si>
    <t>مريض</t>
  </si>
  <si>
    <t>mrrD</t>
  </si>
  <si>
    <t>مرّض</t>
  </si>
  <si>
    <t>illness</t>
  </si>
  <si>
    <t>maraD</t>
  </si>
  <si>
    <t>مَرَض</t>
  </si>
  <si>
    <t>image</t>
  </si>
  <si>
    <t>tSweera</t>
  </si>
  <si>
    <t>تصويرة</t>
  </si>
  <si>
    <t>imagine</t>
  </si>
  <si>
    <t>important</t>
  </si>
  <si>
    <t>mohim</t>
  </si>
  <si>
    <t>مهم</t>
  </si>
  <si>
    <t>welebda</t>
  </si>
  <si>
    <t>imprisoned</t>
  </si>
  <si>
    <t>mHeboos</t>
  </si>
  <si>
    <t>محبوس</t>
  </si>
  <si>
    <t>imprudence</t>
  </si>
  <si>
    <t>shooha</t>
  </si>
  <si>
    <t>in</t>
  </si>
  <si>
    <t>ف</t>
  </si>
  <si>
    <t>mn dabaa</t>
  </si>
  <si>
    <t>من دَبا</t>
  </si>
  <si>
    <t>in a moment</t>
  </si>
  <si>
    <t>f waaHd shweeya</t>
  </si>
  <si>
    <t>in a rush</t>
  </si>
  <si>
    <t>mzroob</t>
  </si>
  <si>
    <t>مزروب</t>
  </si>
  <si>
    <t>in addition</t>
  </si>
  <si>
    <t>ozaydoon</t>
  </si>
  <si>
    <t>in agreement</t>
  </si>
  <si>
    <t>mttaafq</t>
  </si>
  <si>
    <t>متّافق</t>
  </si>
  <si>
    <t>in charge</t>
  </si>
  <si>
    <t>mkllf</t>
  </si>
  <si>
    <t>مكلّف</t>
  </si>
  <si>
    <t>tkllef</t>
  </si>
  <si>
    <t>تكلّف</t>
  </si>
  <si>
    <t>in front of</t>
  </si>
  <si>
    <t>in order to</t>
  </si>
  <si>
    <t>baash</t>
  </si>
  <si>
    <t>باش</t>
  </si>
  <si>
    <t>in the future</t>
  </si>
  <si>
    <t>f lmosteqbal</t>
  </si>
  <si>
    <t>mn hna l qdaam</t>
  </si>
  <si>
    <t>in the middle of</t>
  </si>
  <si>
    <t>f woost …</t>
  </si>
  <si>
    <t>f bowest …</t>
  </si>
  <si>
    <t>in the name of God</t>
  </si>
  <si>
    <t>bismillah</t>
  </si>
  <si>
    <t>بِسمِ الله</t>
  </si>
  <si>
    <t>in-laws</t>
  </si>
  <si>
    <t>walee raajl</t>
  </si>
  <si>
    <t>nsab</t>
  </si>
  <si>
    <t>incorrect</t>
  </si>
  <si>
    <t>increase</t>
  </si>
  <si>
    <t>India</t>
  </si>
  <si>
    <t>hnd</t>
  </si>
  <si>
    <t>هند</t>
  </si>
  <si>
    <t>Indian</t>
  </si>
  <si>
    <t>hndee</t>
  </si>
  <si>
    <t>هندي</t>
  </si>
  <si>
    <t>industrial</t>
  </si>
  <si>
    <t>Sinaa3ee</t>
  </si>
  <si>
    <t>صِناعي</t>
  </si>
  <si>
    <t>inexpensive</t>
  </si>
  <si>
    <t>infect</t>
  </si>
  <si>
    <t>information</t>
  </si>
  <si>
    <t>m3loomaat</t>
  </si>
  <si>
    <t>ingredients</t>
  </si>
  <si>
    <t>maqadir</t>
  </si>
  <si>
    <t>inhaler</t>
  </si>
  <si>
    <t>inheritance</t>
  </si>
  <si>
    <t>wrata</t>
  </si>
  <si>
    <t>inject</t>
  </si>
  <si>
    <t>daag (doog)</t>
  </si>
  <si>
    <t>Drbt leebra</t>
  </si>
  <si>
    <t>injection</t>
  </si>
  <si>
    <t>شوكة</t>
  </si>
  <si>
    <t>injure</t>
  </si>
  <si>
    <t>injured</t>
  </si>
  <si>
    <t>ink</t>
  </si>
  <si>
    <t>mdaad</t>
  </si>
  <si>
    <t>مداد</t>
  </si>
  <si>
    <t>innocent</t>
  </si>
  <si>
    <t>baree</t>
  </si>
  <si>
    <t>insect</t>
  </si>
  <si>
    <t>Hashara</t>
  </si>
  <si>
    <t>حَشَرة</t>
  </si>
  <si>
    <t>insect bite</t>
  </si>
  <si>
    <t>Hba</t>
  </si>
  <si>
    <t>inside</t>
  </si>
  <si>
    <t>daakhel</t>
  </si>
  <si>
    <t>داخل</t>
  </si>
  <si>
    <t>insist</t>
  </si>
  <si>
    <t>leHH</t>
  </si>
  <si>
    <t>لَحّ</t>
  </si>
  <si>
    <t>inspector</t>
  </si>
  <si>
    <t>kontrol</t>
  </si>
  <si>
    <t>instal</t>
  </si>
  <si>
    <t>rkkeb</t>
  </si>
  <si>
    <t>ركّب</t>
  </si>
  <si>
    <t>install</t>
  </si>
  <si>
    <t>installation</t>
  </si>
  <si>
    <t>stalasyon</t>
  </si>
  <si>
    <t>institute</t>
  </si>
  <si>
    <t>m3hel</t>
  </si>
  <si>
    <t>instructions</t>
  </si>
  <si>
    <t>tHdir</t>
  </si>
  <si>
    <t>insult</t>
  </si>
  <si>
    <t>sbbaan</t>
  </si>
  <si>
    <t>سبّان</t>
  </si>
  <si>
    <t>insurance</t>
  </si>
  <si>
    <t>t’ameen</t>
  </si>
  <si>
    <t>تأمين</t>
  </si>
  <si>
    <t>laaSooraanS</t>
  </si>
  <si>
    <t>لاصورانص</t>
  </si>
  <si>
    <t>intelligent</t>
  </si>
  <si>
    <t>dkee</t>
  </si>
  <si>
    <t>دكي</t>
  </si>
  <si>
    <t>interesting</t>
  </si>
  <si>
    <t>interior</t>
  </si>
  <si>
    <t>international</t>
  </si>
  <si>
    <t>dawlee</t>
  </si>
  <si>
    <t>دَولي</t>
  </si>
  <si>
    <t>3lamee</t>
  </si>
  <si>
    <t>internet cafe</t>
  </si>
  <si>
    <t>interpret</t>
  </si>
  <si>
    <t>trjm</t>
  </si>
  <si>
    <t>ترجم</t>
  </si>
  <si>
    <t>interpretation</t>
  </si>
  <si>
    <t>terjama</t>
  </si>
  <si>
    <t>تَرجَمة</t>
  </si>
  <si>
    <t>interpreter</t>
  </si>
  <si>
    <t>motrjim(a)</t>
  </si>
  <si>
    <t>مترجم</t>
  </si>
  <si>
    <t>intestine</t>
  </si>
  <si>
    <t>mSaaren</t>
  </si>
  <si>
    <t>مصارن</t>
  </si>
  <si>
    <t>into the small hours</t>
  </si>
  <si>
    <t>Httaa l nsasaat d lleel</t>
  </si>
  <si>
    <t>introduce oneself</t>
  </si>
  <si>
    <t>qddm</t>
  </si>
  <si>
    <t>قدّم</t>
  </si>
  <si>
    <t>investigation</t>
  </si>
  <si>
    <t>lanket</t>
  </si>
  <si>
    <t>invitation</t>
  </si>
  <si>
    <t>3rDa</t>
  </si>
  <si>
    <t>عرضة</t>
  </si>
  <si>
    <t>invite</t>
  </si>
  <si>
    <t>3rD</t>
  </si>
  <si>
    <t>عرض على</t>
  </si>
  <si>
    <t>invite out</t>
  </si>
  <si>
    <t>عرض على برّا</t>
  </si>
  <si>
    <t>iris</t>
  </si>
  <si>
    <t>blboza</t>
  </si>
  <si>
    <t>iron</t>
  </si>
  <si>
    <t>Hdeed</t>
  </si>
  <si>
    <t>حديد</t>
  </si>
  <si>
    <t>حديدة</t>
  </si>
  <si>
    <t>irrigation channel</t>
  </si>
  <si>
    <t>saageeya</t>
  </si>
  <si>
    <t>is that’s all?</t>
  </si>
  <si>
    <t>Saafee?</t>
  </si>
  <si>
    <t>صافي</t>
  </si>
  <si>
    <t>isn’t it?</t>
  </si>
  <si>
    <t>yaak?</t>
  </si>
  <si>
    <t>it depends</t>
  </si>
  <si>
    <t>3laa Hsaab</t>
  </si>
  <si>
    <t>it’s … o’clock</t>
  </si>
  <si>
    <t>hadee l …</t>
  </si>
  <si>
    <t>هَدي ل</t>
  </si>
  <si>
    <t>It’s been</t>
  </si>
  <si>
    <t>it’s been …</t>
  </si>
  <si>
    <t>it’s difficult to say goodbye</t>
  </si>
  <si>
    <t>s3eeb lfraaq</t>
  </si>
  <si>
    <t>s3eeb lwaad3aa</t>
  </si>
  <si>
    <t>s3eeb nfrqoo</t>
  </si>
  <si>
    <t>it’s none of your business</t>
  </si>
  <si>
    <t>maachee chghlek</t>
  </si>
  <si>
    <t>ماشي شغلك</t>
  </si>
  <si>
    <t>it’s not worth it</t>
  </si>
  <si>
    <t>it’s the same</t>
  </si>
  <si>
    <t>bHaal bHaal</t>
  </si>
  <si>
    <t>بحال بحال</t>
  </si>
  <si>
    <t>keef keef</t>
  </si>
  <si>
    <t>كيف كيف</t>
  </si>
  <si>
    <t>Italian</t>
  </si>
  <si>
    <t>Taalyaanee(ya)</t>
  </si>
  <si>
    <t>‘iTaalee(ya)</t>
  </si>
  <si>
    <t>إيطاليّ</t>
  </si>
  <si>
    <t>‘iTaaleeya</t>
  </si>
  <si>
    <t>إيطاليّة</t>
  </si>
  <si>
    <t>Italy</t>
  </si>
  <si>
    <t>‘iTaaleeyaa</t>
  </si>
  <si>
    <t>إيطاليا</t>
  </si>
  <si>
    <t>itching</t>
  </si>
  <si>
    <t>Hekka</t>
  </si>
  <si>
    <t>حَكّة</t>
  </si>
  <si>
    <t>ivory</t>
  </si>
  <si>
    <t>3aaj</t>
  </si>
  <si>
    <t>عاج</t>
  </si>
  <si>
    <t>3aajee</t>
  </si>
  <si>
    <t>عاجي</t>
  </si>
  <si>
    <t>jab</t>
  </si>
  <si>
    <t>jacket</t>
  </si>
  <si>
    <t>tjaakeeT</t>
  </si>
  <si>
    <t>تجاكيط</t>
  </si>
  <si>
    <t>tjaakeeTa</t>
  </si>
  <si>
    <t>تجاكيطة</t>
  </si>
  <si>
    <t>fista</t>
  </si>
  <si>
    <t>فِستة</t>
  </si>
  <si>
    <t>Jacob</t>
  </si>
  <si>
    <t>ya3qoob</t>
  </si>
  <si>
    <t>يَعقوب</t>
  </si>
  <si>
    <t>jam</t>
  </si>
  <si>
    <t>koufeeteer</t>
  </si>
  <si>
    <t>كوفيتير</t>
  </si>
  <si>
    <t>konfitoor</t>
  </si>
  <si>
    <t>كُنفِتور</t>
  </si>
  <si>
    <t>January</t>
  </si>
  <si>
    <t>sh-her waaHd</t>
  </si>
  <si>
    <t>شهر واحد</t>
  </si>
  <si>
    <t>yanaayer</t>
  </si>
  <si>
    <t>يَناير</t>
  </si>
  <si>
    <t>japanese plum</t>
  </si>
  <si>
    <t>mzaaH</t>
  </si>
  <si>
    <t>مزاح</t>
  </si>
  <si>
    <t>jar</t>
  </si>
  <si>
    <t>gdra</t>
  </si>
  <si>
    <t>jealous</t>
  </si>
  <si>
    <t>ghaar (gheer)</t>
  </si>
  <si>
    <t>غار</t>
  </si>
  <si>
    <t>jealousy</t>
  </si>
  <si>
    <t>gheera</t>
  </si>
  <si>
    <t>غيرة</t>
  </si>
  <si>
    <t>jeans</t>
  </si>
  <si>
    <t>djeen</t>
  </si>
  <si>
    <t>دجين</t>
  </si>
  <si>
    <t>srwaal</t>
  </si>
  <si>
    <t>Jesus</t>
  </si>
  <si>
    <t>yasoo3</t>
  </si>
  <si>
    <t>يَسوع</t>
  </si>
  <si>
    <t>jew</t>
  </si>
  <si>
    <t>eehoodee</t>
  </si>
  <si>
    <t>يهودي</t>
  </si>
  <si>
    <t>jewel</t>
  </si>
  <si>
    <t>jawha</t>
  </si>
  <si>
    <t>jewish</t>
  </si>
  <si>
    <t>eehoodee(ya)</t>
  </si>
  <si>
    <t>jewish quarter</t>
  </si>
  <si>
    <t>mallaaH</t>
  </si>
  <si>
    <t>مَلاّح</t>
  </si>
  <si>
    <t>jinn</t>
  </si>
  <si>
    <t>joiner</t>
  </si>
  <si>
    <t>joke</t>
  </si>
  <si>
    <t>nokta</t>
  </si>
  <si>
    <t>نُكتة</t>
  </si>
  <si>
    <t>nokat</t>
  </si>
  <si>
    <t>nkt</t>
  </si>
  <si>
    <t>Joseph</t>
  </si>
  <si>
    <t>yoosef</t>
  </si>
  <si>
    <t>يوسف</t>
  </si>
  <si>
    <t>journalist</t>
  </si>
  <si>
    <t>SaHafee</t>
  </si>
  <si>
    <t>صَحَفي</t>
  </si>
  <si>
    <t>journey</t>
  </si>
  <si>
    <t>safar</t>
  </si>
  <si>
    <t>joy</t>
  </si>
  <si>
    <t>joyful</t>
  </si>
  <si>
    <t>s3eed</t>
  </si>
  <si>
    <t>سعيد</t>
  </si>
  <si>
    <t>judge</t>
  </si>
  <si>
    <t>qaaDee</t>
  </si>
  <si>
    <t>قاضي</t>
  </si>
  <si>
    <t>Haakam</t>
  </si>
  <si>
    <t>حاكَم</t>
  </si>
  <si>
    <t>jug</t>
  </si>
  <si>
    <t>ghrraaf</t>
  </si>
  <si>
    <t>غرّاف</t>
  </si>
  <si>
    <t>juice</t>
  </si>
  <si>
    <t>3Seer</t>
  </si>
  <si>
    <t>عصير</t>
  </si>
  <si>
    <t>juicer</t>
  </si>
  <si>
    <t>3Saara</t>
  </si>
  <si>
    <t>عصارة</t>
  </si>
  <si>
    <t>July</t>
  </si>
  <si>
    <t>sh-her seb3a</t>
  </si>
  <si>
    <t>شهر سبعة</t>
  </si>
  <si>
    <t>yoolyooz</t>
  </si>
  <si>
    <t>يوليوز</t>
  </si>
  <si>
    <t>jump</t>
  </si>
  <si>
    <t>qfez</t>
  </si>
  <si>
    <t>قفز</t>
  </si>
  <si>
    <t>nqqz</t>
  </si>
  <si>
    <t>نقّز</t>
  </si>
  <si>
    <t>jumper</t>
  </si>
  <si>
    <t>treeko</t>
  </si>
  <si>
    <t>تريكو</t>
  </si>
  <si>
    <t>June</t>
  </si>
  <si>
    <t>sh-her stta</t>
  </si>
  <si>
    <t>شهر ستّة</t>
  </si>
  <si>
    <t>yoonyoo</t>
  </si>
  <si>
    <t>يونيو</t>
  </si>
  <si>
    <t>just</t>
  </si>
  <si>
    <t>gheer</t>
  </si>
  <si>
    <t>غير</t>
  </si>
  <si>
    <t>just now</t>
  </si>
  <si>
    <t>gbeela</t>
  </si>
  <si>
    <t>justice</t>
  </si>
  <si>
    <t>kaftan</t>
  </si>
  <si>
    <t>gndoora</t>
  </si>
  <si>
    <t>گندورة</t>
  </si>
  <si>
    <t>kebab</t>
  </si>
  <si>
    <t>blfaaf</t>
  </si>
  <si>
    <t>بلفاف</t>
  </si>
  <si>
    <t>keep</t>
  </si>
  <si>
    <t>bqaa</t>
  </si>
  <si>
    <t>بقى</t>
  </si>
  <si>
    <t>khllaa (khllee)</t>
  </si>
  <si>
    <t>خلّى</t>
  </si>
  <si>
    <t>keep watch over</t>
  </si>
  <si>
    <t>3ss</t>
  </si>
  <si>
    <t>عسّ</t>
  </si>
  <si>
    <t>3aass</t>
  </si>
  <si>
    <t>عاسّ</t>
  </si>
  <si>
    <t>kettle</t>
  </si>
  <si>
    <t>mqraaj</t>
  </si>
  <si>
    <t>مقراج</t>
  </si>
  <si>
    <t>key</t>
  </si>
  <si>
    <t>saaroot</t>
  </si>
  <si>
    <t>ساروت</t>
  </si>
  <si>
    <t>kidney</t>
  </si>
  <si>
    <t>klwa</t>
  </si>
  <si>
    <t>كلوة</t>
  </si>
  <si>
    <t>kill</t>
  </si>
  <si>
    <t>qtl</t>
  </si>
  <si>
    <t>قتل</t>
  </si>
  <si>
    <t>dbeH</t>
  </si>
  <si>
    <t>ذبح</t>
  </si>
  <si>
    <t>kilo</t>
  </si>
  <si>
    <t>keeloo</t>
  </si>
  <si>
    <t>كيلو</t>
  </si>
  <si>
    <t>kind</t>
  </si>
  <si>
    <t>Dreeyef</t>
  </si>
  <si>
    <t>ضريف</t>
  </si>
  <si>
    <t>kinder</t>
  </si>
  <si>
    <t>Drf</t>
  </si>
  <si>
    <t>ضرف</t>
  </si>
  <si>
    <t>king</t>
  </si>
  <si>
    <t>malik</t>
  </si>
  <si>
    <t>مَلِك</t>
  </si>
  <si>
    <t>kingdom</t>
  </si>
  <si>
    <t>mamlaka</t>
  </si>
  <si>
    <t>مَملَكة</t>
  </si>
  <si>
    <t>kiss</t>
  </si>
  <si>
    <t>baas (boos)</t>
  </si>
  <si>
    <t>kitchen</t>
  </si>
  <si>
    <t>koozeena</t>
  </si>
  <si>
    <t>كوزينة</t>
  </si>
  <si>
    <t>kitchen counter</t>
  </si>
  <si>
    <t>potaajee</t>
  </si>
  <si>
    <t>kitchen worktop</t>
  </si>
  <si>
    <t>kitten</t>
  </si>
  <si>
    <t>mshyaash</t>
  </si>
  <si>
    <t>kiwi</t>
  </si>
  <si>
    <t>keewee</t>
  </si>
  <si>
    <t>كيوي</t>
  </si>
  <si>
    <t>knead</t>
  </si>
  <si>
    <t>3jn</t>
  </si>
  <si>
    <t>عجن</t>
  </si>
  <si>
    <t>knee</t>
  </si>
  <si>
    <t>rkba</t>
  </si>
  <si>
    <t>ركبة</t>
  </si>
  <si>
    <t>knife</t>
  </si>
  <si>
    <t>moos</t>
  </si>
  <si>
    <t>موس</t>
  </si>
  <si>
    <t>knock</t>
  </si>
  <si>
    <t>dqq</t>
  </si>
  <si>
    <t>دقّ</t>
  </si>
  <si>
    <t>dqaan</t>
  </si>
  <si>
    <t>knot</t>
  </si>
  <si>
    <t>3oqda</t>
  </si>
  <si>
    <t>عُقدة</t>
  </si>
  <si>
    <t>3ged</t>
  </si>
  <si>
    <t>عگَد</t>
  </si>
  <si>
    <t>3qed</t>
  </si>
  <si>
    <t>عقَد</t>
  </si>
  <si>
    <t>know</t>
  </si>
  <si>
    <t>3rf</t>
  </si>
  <si>
    <t>عرف</t>
  </si>
  <si>
    <t>known</t>
  </si>
  <si>
    <t>kohl</t>
  </si>
  <si>
    <t>kHel</t>
  </si>
  <si>
    <t>Koran</t>
  </si>
  <si>
    <t>qor’aan</t>
  </si>
  <si>
    <t>قُرآن</t>
  </si>
  <si>
    <t>lab</t>
  </si>
  <si>
    <t>labooraatwaar</t>
  </si>
  <si>
    <t>لَبوراتوار</t>
  </si>
  <si>
    <t>mokhtaber</t>
  </si>
  <si>
    <t>مُختَبَر</t>
  </si>
  <si>
    <t>laboratory</t>
  </si>
  <si>
    <t>lack</t>
  </si>
  <si>
    <t>bqaa l</t>
  </si>
  <si>
    <t>khaS</t>
  </si>
  <si>
    <t>خَص / خاص</t>
  </si>
  <si>
    <t>lacking</t>
  </si>
  <si>
    <t>ladder</t>
  </si>
  <si>
    <t>taskela</t>
  </si>
  <si>
    <t>ladle</t>
  </si>
  <si>
    <t>mghorfa</t>
  </si>
  <si>
    <t>مغرفة</t>
  </si>
  <si>
    <t>laid up</t>
  </si>
  <si>
    <t>lamb</t>
  </si>
  <si>
    <t>ghnmee</t>
  </si>
  <si>
    <t>غنمي</t>
  </si>
  <si>
    <t>ghnm</t>
  </si>
  <si>
    <t>غنم</t>
  </si>
  <si>
    <t>khroof</t>
  </si>
  <si>
    <t>خروف</t>
  </si>
  <si>
    <t>landlord</t>
  </si>
  <si>
    <t>mool ddar</t>
  </si>
  <si>
    <t>ms’ool 3laa ddar</t>
  </si>
  <si>
    <t>language</t>
  </si>
  <si>
    <t>logha</t>
  </si>
  <si>
    <t>لُغة</t>
  </si>
  <si>
    <t>lantern</t>
  </si>
  <si>
    <t>qndeel</t>
  </si>
  <si>
    <t>قنديل</t>
  </si>
  <si>
    <t>laptop computer</t>
  </si>
  <si>
    <t>large</t>
  </si>
  <si>
    <t>lash</t>
  </si>
  <si>
    <t>last</t>
  </si>
  <si>
    <t>‘akhir</t>
  </si>
  <si>
    <t>أخِر</t>
  </si>
  <si>
    <t>llee faat</t>
  </si>
  <si>
    <t>اللي فات</t>
  </si>
  <si>
    <t>l’akher</t>
  </si>
  <si>
    <t>late</t>
  </si>
  <si>
    <t>m3TTl</t>
  </si>
  <si>
    <t>معطّل</t>
  </si>
  <si>
    <t>t3TTl</t>
  </si>
  <si>
    <t>تعطّل</t>
  </si>
  <si>
    <t>later</t>
  </si>
  <si>
    <t>laugh</t>
  </si>
  <si>
    <t>DaHk</t>
  </si>
  <si>
    <t>ضَحك</t>
  </si>
  <si>
    <t>DHHek</t>
  </si>
  <si>
    <t>ضحَّك</t>
  </si>
  <si>
    <t>laundry</t>
  </si>
  <si>
    <t>nshaar</t>
  </si>
  <si>
    <t>Saaboon</t>
  </si>
  <si>
    <t>صابون</t>
  </si>
  <si>
    <t>laundry basket</t>
  </si>
  <si>
    <t>شبكة ديال الحوايج</t>
  </si>
  <si>
    <t>laundry room</t>
  </si>
  <si>
    <t>lavatory</t>
  </si>
  <si>
    <t>bit</t>
  </si>
  <si>
    <t>law</t>
  </si>
  <si>
    <t>qaanoon</t>
  </si>
  <si>
    <t>قانون</t>
  </si>
  <si>
    <t>lawyer</t>
  </si>
  <si>
    <t>moHaamee</t>
  </si>
  <si>
    <t>محامي</t>
  </si>
  <si>
    <t>lay the table</t>
  </si>
  <si>
    <t>wjjed</t>
  </si>
  <si>
    <t>وجّد الطبلة</t>
  </si>
  <si>
    <t>lazy</t>
  </si>
  <si>
    <t>m3gaaz</t>
  </si>
  <si>
    <t>معگاز</t>
  </si>
  <si>
    <t>fanian</t>
  </si>
  <si>
    <t>kssool</t>
  </si>
  <si>
    <t>leaf</t>
  </si>
  <si>
    <t>wrqa</t>
  </si>
  <si>
    <t>ورقة</t>
  </si>
  <si>
    <t>leak</t>
  </si>
  <si>
    <t>saal (seel)</t>
  </si>
  <si>
    <t>سال</t>
  </si>
  <si>
    <t>learn</t>
  </si>
  <si>
    <t>t3llm</t>
  </si>
  <si>
    <t>تعلّم</t>
  </si>
  <si>
    <t>leather</t>
  </si>
  <si>
    <t>jld</t>
  </si>
  <si>
    <t>leave</t>
  </si>
  <si>
    <t>خرج من</t>
  </si>
  <si>
    <t>koonjee</t>
  </si>
  <si>
    <t>leek</t>
  </si>
  <si>
    <t>bwaaroo</t>
  </si>
  <si>
    <t>بوارو</t>
  </si>
  <si>
    <t>left</t>
  </si>
  <si>
    <t>3laa leeser</t>
  </si>
  <si>
    <t>على ليسر</t>
  </si>
  <si>
    <t>3l leeser</t>
  </si>
  <si>
    <t>عل ليسر</t>
  </si>
  <si>
    <t>leg</t>
  </si>
  <si>
    <t>fkhd</t>
  </si>
  <si>
    <t>فخد</t>
  </si>
  <si>
    <t>legalisation centre</t>
  </si>
  <si>
    <t>moqata3a</t>
  </si>
  <si>
    <t>legalise</t>
  </si>
  <si>
    <t>gaaleezaa (gaaleezee)</t>
  </si>
  <si>
    <t>گاليزى</t>
  </si>
  <si>
    <t>wttq</t>
  </si>
  <si>
    <t>legalize</t>
  </si>
  <si>
    <t>lemon</t>
  </si>
  <si>
    <t>HaamD</t>
  </si>
  <si>
    <t>حامض</t>
  </si>
  <si>
    <t>lend</t>
  </si>
  <si>
    <t>sllef</t>
  </si>
  <si>
    <t>سلّف</t>
  </si>
  <si>
    <t>lentils</t>
  </si>
  <si>
    <t>3des</t>
  </si>
  <si>
    <t>عدس</t>
  </si>
  <si>
    <t>leopard</t>
  </si>
  <si>
    <t>fahed</t>
  </si>
  <si>
    <t>فَهد</t>
  </si>
  <si>
    <t>less</t>
  </si>
  <si>
    <t>ql</t>
  </si>
  <si>
    <t>قل</t>
  </si>
  <si>
    <t>lesson</t>
  </si>
  <si>
    <t>let</t>
  </si>
  <si>
    <t>letter</t>
  </si>
  <si>
    <t>برا</t>
  </si>
  <si>
    <t>Horoof</t>
  </si>
  <si>
    <t>lettuce</t>
  </si>
  <si>
    <t>khess</t>
  </si>
  <si>
    <t>خَسّ</t>
  </si>
  <si>
    <t>level</t>
  </si>
  <si>
    <t>mostawaa</t>
  </si>
  <si>
    <t>مُستَوى</t>
  </si>
  <si>
    <t>liar</t>
  </si>
  <si>
    <t>kdaab</t>
  </si>
  <si>
    <t>كذاب</t>
  </si>
  <si>
    <t>lice</t>
  </si>
  <si>
    <t>gmal</t>
  </si>
  <si>
    <t>گمل</t>
  </si>
  <si>
    <t>lick</t>
  </si>
  <si>
    <t>lHas</t>
  </si>
  <si>
    <t>لحَس</t>
  </si>
  <si>
    <t>lid</t>
  </si>
  <si>
    <t>lie</t>
  </si>
  <si>
    <t>kdeba</t>
  </si>
  <si>
    <t>كدبة</t>
  </si>
  <si>
    <t>kdb</t>
  </si>
  <si>
    <t>كدب</t>
  </si>
  <si>
    <t>lie down</t>
  </si>
  <si>
    <t>تكّا</t>
  </si>
  <si>
    <t>life</t>
  </si>
  <si>
    <t>حَيات</t>
  </si>
  <si>
    <t>dneeya</t>
  </si>
  <si>
    <t>lifeguard</t>
  </si>
  <si>
    <t>meeTr naajoor</t>
  </si>
  <si>
    <t>ميطر ناجور</t>
  </si>
  <si>
    <t>lift</t>
  </si>
  <si>
    <t>lift up</t>
  </si>
  <si>
    <t>lifted up</t>
  </si>
  <si>
    <t>taal3</t>
  </si>
  <si>
    <t>light</t>
  </si>
  <si>
    <t>khfeef</t>
  </si>
  <si>
    <t>خفيف</t>
  </si>
  <si>
    <t>mftooH</t>
  </si>
  <si>
    <t>مفتوح</t>
  </si>
  <si>
    <t>faatH</t>
  </si>
  <si>
    <t>فاتح</t>
  </si>
  <si>
    <t>sh3l</t>
  </si>
  <si>
    <t>شعل</t>
  </si>
  <si>
    <t>light bulb</t>
  </si>
  <si>
    <t>bola</t>
  </si>
  <si>
    <t>بولة</t>
  </si>
  <si>
    <t>light switch</t>
  </si>
  <si>
    <t>ngassa</t>
  </si>
  <si>
    <t>light up</t>
  </si>
  <si>
    <t>Dowaa (Dowee)</t>
  </si>
  <si>
    <t>ضوّى</t>
  </si>
  <si>
    <t>lighter</t>
  </si>
  <si>
    <t>breeka</t>
  </si>
  <si>
    <t>بريكة</t>
  </si>
  <si>
    <t>kheff</t>
  </si>
  <si>
    <t>خفّ</t>
  </si>
  <si>
    <t>lightning</t>
  </si>
  <si>
    <t>brq</t>
  </si>
  <si>
    <t>برق</t>
  </si>
  <si>
    <t>like</t>
  </si>
  <si>
    <t>3jb</t>
  </si>
  <si>
    <t>عجب</t>
  </si>
  <si>
    <t>bHaal</t>
  </si>
  <si>
    <t>بحال</t>
  </si>
  <si>
    <t>kima</t>
  </si>
  <si>
    <t>ki</t>
  </si>
  <si>
    <t>like that</t>
  </si>
  <si>
    <t>hakka</t>
  </si>
  <si>
    <t>hakda</t>
  </si>
  <si>
    <t>lime</t>
  </si>
  <si>
    <t>limescale</t>
  </si>
  <si>
    <t>kalkeer</t>
  </si>
  <si>
    <t>كَلكير</t>
  </si>
  <si>
    <t>line</t>
  </si>
  <si>
    <t>Hbl</t>
  </si>
  <si>
    <t>حبل</t>
  </si>
  <si>
    <t>خيط</t>
  </si>
  <si>
    <t>line up</t>
  </si>
  <si>
    <t>sttef</t>
  </si>
  <si>
    <t>ستّف</t>
  </si>
  <si>
    <t>lion</t>
  </si>
  <si>
    <t>sba3</t>
  </si>
  <si>
    <t>سبع</t>
  </si>
  <si>
    <t>‘asad</t>
  </si>
  <si>
    <t>أَسَد</t>
  </si>
  <si>
    <t>lip</t>
  </si>
  <si>
    <t>shaarb</t>
  </si>
  <si>
    <t>shnaayf</t>
  </si>
  <si>
    <t>شنايف</t>
  </si>
  <si>
    <t>liquorice</t>
  </si>
  <si>
    <t>3rq ssoos</t>
  </si>
  <si>
    <t>عرق السوس</t>
  </si>
  <si>
    <t>list</t>
  </si>
  <si>
    <t>laaleest</t>
  </si>
  <si>
    <t>لاليست</t>
  </si>
  <si>
    <t>listen</t>
  </si>
  <si>
    <t>tSnnat</t>
  </si>
  <si>
    <t>تصنَّت</t>
  </si>
  <si>
    <t>litre</t>
  </si>
  <si>
    <t>‘itroo</t>
  </si>
  <si>
    <t>إترو</t>
  </si>
  <si>
    <t>little</t>
  </si>
  <si>
    <t>shweeya</t>
  </si>
  <si>
    <t>شوية</t>
  </si>
  <si>
    <t>Sgheer</t>
  </si>
  <si>
    <t>صغير</t>
  </si>
  <si>
    <t>live</t>
  </si>
  <si>
    <t>skn</t>
  </si>
  <si>
    <t>سكن</t>
  </si>
  <si>
    <t>3aash (3eesh)</t>
  </si>
  <si>
    <t>عاش</t>
  </si>
  <si>
    <t>saakn</t>
  </si>
  <si>
    <t>ساكن</t>
  </si>
  <si>
    <t>liver</t>
  </si>
  <si>
    <t>kbda</t>
  </si>
  <si>
    <t>كبدة</t>
  </si>
  <si>
    <t>living room</t>
  </si>
  <si>
    <t>صالون</t>
  </si>
  <si>
    <t>mouraa</t>
  </si>
  <si>
    <t>lizard</t>
  </si>
  <si>
    <t>boboreeS</t>
  </si>
  <si>
    <t>بوبريص</t>
  </si>
  <si>
    <t>loaf</t>
  </si>
  <si>
    <t>khobza</t>
  </si>
  <si>
    <t>خُبزة</t>
  </si>
  <si>
    <t>lock</t>
  </si>
  <si>
    <t>qfl</t>
  </si>
  <si>
    <t>قفل</t>
  </si>
  <si>
    <t>log</t>
  </si>
  <si>
    <t>HTeba</t>
  </si>
  <si>
    <t>logic</t>
  </si>
  <si>
    <t>mentiq</t>
  </si>
  <si>
    <t>مَنطِق</t>
  </si>
  <si>
    <t>logical</t>
  </si>
  <si>
    <t>mentiqee</t>
  </si>
  <si>
    <t>مَنطِقي</t>
  </si>
  <si>
    <t>long</t>
  </si>
  <si>
    <t>Tweel</t>
  </si>
  <si>
    <t>طويل</t>
  </si>
  <si>
    <t>long time</t>
  </si>
  <si>
    <t>weqt Tweel</t>
  </si>
  <si>
    <t>وقت طويل</t>
  </si>
  <si>
    <t>moda Tweela</t>
  </si>
  <si>
    <t>look</t>
  </si>
  <si>
    <t>شاف</t>
  </si>
  <si>
    <t>Tll</t>
  </si>
  <si>
    <t>طلّ على</t>
  </si>
  <si>
    <t>طلّ ف</t>
  </si>
  <si>
    <t>qllb</t>
  </si>
  <si>
    <t>قلّب</t>
  </si>
  <si>
    <t>look after</t>
  </si>
  <si>
    <t>gaabl</t>
  </si>
  <si>
    <t>گَابل</t>
  </si>
  <si>
    <t>look for</t>
  </si>
  <si>
    <t>قلّب على</t>
  </si>
  <si>
    <t>look like</t>
  </si>
  <si>
    <t>shbeh</t>
  </si>
  <si>
    <t>شبه</t>
  </si>
  <si>
    <t>tshbeh</t>
  </si>
  <si>
    <t>تشبه</t>
  </si>
  <si>
    <t>Lord</t>
  </si>
  <si>
    <t>رَبّ</t>
  </si>
  <si>
    <t>syed</t>
  </si>
  <si>
    <t>lorry</t>
  </si>
  <si>
    <t>kamyoo</t>
  </si>
  <si>
    <t>كَميو</t>
  </si>
  <si>
    <t>lose</t>
  </si>
  <si>
    <t>weDDr</t>
  </si>
  <si>
    <t>وضّر</t>
  </si>
  <si>
    <t>tweDDr</t>
  </si>
  <si>
    <t>توضّر</t>
  </si>
  <si>
    <t>مشى</t>
  </si>
  <si>
    <t>lose weight</t>
  </si>
  <si>
    <t>D3aaf</t>
  </si>
  <si>
    <t>nqeS</t>
  </si>
  <si>
    <t>loudly</t>
  </si>
  <si>
    <t>bjjhd</t>
  </si>
  <si>
    <t>loudspeaker</t>
  </si>
  <si>
    <t>booq</t>
  </si>
  <si>
    <t>بوق</t>
  </si>
  <si>
    <t>lounge</t>
  </si>
  <si>
    <t>love</t>
  </si>
  <si>
    <t>Hobb</t>
  </si>
  <si>
    <t>حُبّ</t>
  </si>
  <si>
    <t>bghaa (bghee)</t>
  </si>
  <si>
    <t>بغى</t>
  </si>
  <si>
    <t>مات على</t>
  </si>
  <si>
    <t>Hmaaq</t>
  </si>
  <si>
    <t>حماق على</t>
  </si>
  <si>
    <t>Haabb (Heebb)</t>
  </si>
  <si>
    <t>love each other</t>
  </si>
  <si>
    <t>tHaabb</t>
  </si>
  <si>
    <t>loved</t>
  </si>
  <si>
    <t>loved one</t>
  </si>
  <si>
    <t>Hbeeb(a)</t>
  </si>
  <si>
    <t>lower</t>
  </si>
  <si>
    <t>Hder</t>
  </si>
  <si>
    <t>حدر</t>
  </si>
  <si>
    <t>نقص</t>
  </si>
  <si>
    <t>luck</t>
  </si>
  <si>
    <t>zhr</t>
  </si>
  <si>
    <t>زهر</t>
  </si>
  <si>
    <t>s3daat</t>
  </si>
  <si>
    <t>toofeeq</t>
  </si>
  <si>
    <t>luggage</t>
  </si>
  <si>
    <t>lumberjack</t>
  </si>
  <si>
    <t>HTTaab</t>
  </si>
  <si>
    <t>حطّاب</t>
  </si>
  <si>
    <t>khshaab</t>
  </si>
  <si>
    <t>lumpy</t>
  </si>
  <si>
    <t>mqower</t>
  </si>
  <si>
    <t>lunch</t>
  </si>
  <si>
    <t>ghdaa</t>
  </si>
  <si>
    <t>غدا</t>
  </si>
  <si>
    <t>lung</t>
  </si>
  <si>
    <t>reeya</t>
  </si>
  <si>
    <t>lute</t>
  </si>
  <si>
    <t>3ood</t>
  </si>
  <si>
    <t>luxurious</t>
  </si>
  <si>
    <t>fakhm</t>
  </si>
  <si>
    <t>lying down</t>
  </si>
  <si>
    <t>mtekkee</t>
  </si>
  <si>
    <t>متكّي</t>
  </si>
  <si>
    <t>n3aas</t>
  </si>
  <si>
    <t>machine</t>
  </si>
  <si>
    <t>makeena</t>
  </si>
  <si>
    <t>مَكينة</t>
  </si>
  <si>
    <t>madam</t>
  </si>
  <si>
    <t>lalaa</t>
  </si>
  <si>
    <t>لَلا</t>
  </si>
  <si>
    <t>made of</t>
  </si>
  <si>
    <t>madness</t>
  </si>
  <si>
    <t>magazine</t>
  </si>
  <si>
    <t>majella</t>
  </si>
  <si>
    <t>مَجَلّة</t>
  </si>
  <si>
    <t>magic</t>
  </si>
  <si>
    <t>siHer</t>
  </si>
  <si>
    <t>سِحر</t>
  </si>
  <si>
    <t>seeHeree</t>
  </si>
  <si>
    <t>سِحري</t>
  </si>
  <si>
    <t>magical</t>
  </si>
  <si>
    <t>main</t>
  </si>
  <si>
    <t>majority</t>
  </si>
  <si>
    <t>‘aghlabiya</t>
  </si>
  <si>
    <t>أَغلَبيّة</t>
  </si>
  <si>
    <t>make (someone) blush</t>
  </si>
  <si>
    <t>make a mistake</t>
  </si>
  <si>
    <t>ghlT</t>
  </si>
  <si>
    <t>غلط</t>
  </si>
  <si>
    <t>make an error</t>
  </si>
  <si>
    <t>make fun of</t>
  </si>
  <si>
    <t>stahza</t>
  </si>
  <si>
    <t>make noise</t>
  </si>
  <si>
    <t>make sure</t>
  </si>
  <si>
    <t>takked</t>
  </si>
  <si>
    <t>تأَكّد</t>
  </si>
  <si>
    <t>make way</t>
  </si>
  <si>
    <t>balaak !</t>
  </si>
  <si>
    <t>بَلاك</t>
  </si>
  <si>
    <t>man</t>
  </si>
  <si>
    <t>bnaadm</t>
  </si>
  <si>
    <t>بنادم</t>
  </si>
  <si>
    <t>man who gives the call to prayer</t>
  </si>
  <si>
    <t>mwaddn</t>
  </si>
  <si>
    <t>موَدّن</t>
  </si>
  <si>
    <t>manage</t>
  </si>
  <si>
    <t>syyer</t>
  </si>
  <si>
    <t>mandarin</t>
  </si>
  <si>
    <t>mandareen</t>
  </si>
  <si>
    <t>مَندَرين</t>
  </si>
  <si>
    <t>mango</t>
  </si>
  <si>
    <t>maangaa</t>
  </si>
  <si>
    <t>مانكَا</t>
  </si>
  <si>
    <t>manner</t>
  </si>
  <si>
    <t>Tareeqa</t>
  </si>
  <si>
    <t>طَريقة</t>
  </si>
  <si>
    <t>manure</t>
  </si>
  <si>
    <t>ghobar</t>
  </si>
  <si>
    <t>map</t>
  </si>
  <si>
    <t>khareeTa</t>
  </si>
  <si>
    <t>marble</t>
  </si>
  <si>
    <t>rkhaam</t>
  </si>
  <si>
    <t>March</t>
  </si>
  <si>
    <t>sh-her tlaata</t>
  </si>
  <si>
    <t>شهر تلاتة</t>
  </si>
  <si>
    <t>maars</t>
  </si>
  <si>
    <t>مارس</t>
  </si>
  <si>
    <t>mare</t>
  </si>
  <si>
    <t>3aweda</t>
  </si>
  <si>
    <t>mark</t>
  </si>
  <si>
    <t>marker</t>
  </si>
  <si>
    <t>mosHiH</t>
  </si>
  <si>
    <t>market</t>
  </si>
  <si>
    <t>sooq</t>
  </si>
  <si>
    <t>سوق</t>
  </si>
  <si>
    <t>maarchee</t>
  </si>
  <si>
    <t>مارشي</t>
  </si>
  <si>
    <t>Marrakech</t>
  </si>
  <si>
    <t>mraaksh</t>
  </si>
  <si>
    <t>مراكش</t>
  </si>
  <si>
    <t>marriage</t>
  </si>
  <si>
    <t>zwaaj</t>
  </si>
  <si>
    <t>زواج</t>
  </si>
  <si>
    <t>marry</t>
  </si>
  <si>
    <t>tzoowej</t>
  </si>
  <si>
    <t>تزوّج</t>
  </si>
  <si>
    <t>marvel</t>
  </si>
  <si>
    <t>t3ajjeb</t>
  </si>
  <si>
    <t>تعَجَّب</t>
  </si>
  <si>
    <t>mascara</t>
  </si>
  <si>
    <t>شيتة د شفار</t>
  </si>
  <si>
    <t>maskara</t>
  </si>
  <si>
    <t>مَسكَرة</t>
  </si>
  <si>
    <t>mason</t>
  </si>
  <si>
    <t>masseur at the Turkish baths</t>
  </si>
  <si>
    <t>ksaal(a)</t>
  </si>
  <si>
    <t>match</t>
  </si>
  <si>
    <t>looqeeda</t>
  </si>
  <si>
    <t>لوقيدة</t>
  </si>
  <si>
    <t>material</t>
  </si>
  <si>
    <t>math</t>
  </si>
  <si>
    <t>maat</t>
  </si>
  <si>
    <t>mathematics</t>
  </si>
  <si>
    <t>maths</t>
  </si>
  <si>
    <t>May</t>
  </si>
  <si>
    <t>sh-her khamsa</t>
  </si>
  <si>
    <t>شهر خمسة</t>
  </si>
  <si>
    <t>maay</t>
  </si>
  <si>
    <t>ماي</t>
  </si>
  <si>
    <t>maybe</t>
  </si>
  <si>
    <t>momken</t>
  </si>
  <si>
    <t>مُمكن</t>
  </si>
  <si>
    <t>yemken / eemken</t>
  </si>
  <si>
    <t>إيمكن</t>
  </si>
  <si>
    <t>waqila</t>
  </si>
  <si>
    <t>McDonald’s</t>
  </si>
  <si>
    <t>maakdoo</t>
  </si>
  <si>
    <t>ماكدو</t>
  </si>
  <si>
    <t>me</t>
  </si>
  <si>
    <t>‘aneeya</t>
  </si>
  <si>
    <t>meal</t>
  </si>
  <si>
    <t>meal eaten before sunrise during Ramadan</t>
  </si>
  <si>
    <t>sHoor</t>
  </si>
  <si>
    <t>سحور</t>
  </si>
  <si>
    <t>meaning</t>
  </si>
  <si>
    <t>m3aana</t>
  </si>
  <si>
    <t>measure</t>
  </si>
  <si>
    <t>3br</t>
  </si>
  <si>
    <t>عبر</t>
  </si>
  <si>
    <t>qaas</t>
  </si>
  <si>
    <t>قاس</t>
  </si>
  <si>
    <t>measurement</t>
  </si>
  <si>
    <t>3baar</t>
  </si>
  <si>
    <t>عبار</t>
  </si>
  <si>
    <t>qeeyaas</t>
  </si>
  <si>
    <t>قياس</t>
  </si>
  <si>
    <t>meat</t>
  </si>
  <si>
    <t>mechanic</t>
  </si>
  <si>
    <t>meekaaneesyaan</t>
  </si>
  <si>
    <t>ميكانيسيان</t>
  </si>
  <si>
    <t>meekaaneek</t>
  </si>
  <si>
    <t>mechanical digger</t>
  </si>
  <si>
    <t>medicine</t>
  </si>
  <si>
    <t>dwaa</t>
  </si>
  <si>
    <t>دوا</t>
  </si>
  <si>
    <t>medium</t>
  </si>
  <si>
    <t>meet</t>
  </si>
  <si>
    <t>tlaqaa</t>
  </si>
  <si>
    <t>تلاقى</t>
  </si>
  <si>
    <t>meeting</t>
  </si>
  <si>
    <t>jtimaa3</t>
  </si>
  <si>
    <t>جتِماع</t>
  </si>
  <si>
    <t>melon</t>
  </si>
  <si>
    <t>mnoon</t>
  </si>
  <si>
    <t>mhaya</t>
  </si>
  <si>
    <t>melt</t>
  </si>
  <si>
    <t>melted</t>
  </si>
  <si>
    <t>daayeb</t>
  </si>
  <si>
    <t>دايَب</t>
  </si>
  <si>
    <t>memory</t>
  </si>
  <si>
    <t>daakira</t>
  </si>
  <si>
    <t>داكِرة</t>
  </si>
  <si>
    <t>mentality</t>
  </si>
  <si>
    <t>3aqleeya</t>
  </si>
  <si>
    <t>عَقليّة</t>
  </si>
  <si>
    <t>menu</t>
  </si>
  <si>
    <t>meenoo</t>
  </si>
  <si>
    <t>مينو</t>
  </si>
  <si>
    <t>merciful</t>
  </si>
  <si>
    <t>raHeem</t>
  </si>
  <si>
    <t>رَحيم</t>
  </si>
  <si>
    <t>message</t>
  </si>
  <si>
    <t>meesaaj</t>
  </si>
  <si>
    <t>ميساج</t>
  </si>
  <si>
    <t>Messiah</t>
  </si>
  <si>
    <t>maseeH</t>
  </si>
  <si>
    <t>مَسِيح</t>
  </si>
  <si>
    <t>messy</t>
  </si>
  <si>
    <t>metal</t>
  </si>
  <si>
    <t>m3dn</t>
  </si>
  <si>
    <t>meteorological</t>
  </si>
  <si>
    <t>joowee</t>
  </si>
  <si>
    <t>جوّي</t>
  </si>
  <si>
    <t>meter</t>
  </si>
  <si>
    <t>kontoor</t>
  </si>
  <si>
    <t>كُنتور</t>
  </si>
  <si>
    <t>مَگانة</t>
  </si>
  <si>
    <t>method</t>
  </si>
  <si>
    <t>Tareeqaat</t>
  </si>
  <si>
    <t>metre</t>
  </si>
  <si>
    <t>mitr</t>
  </si>
  <si>
    <t>مِتر</t>
  </si>
  <si>
    <t>mee</t>
  </si>
  <si>
    <t>mic</t>
  </si>
  <si>
    <t>meekro</t>
  </si>
  <si>
    <t>ميكرو</t>
  </si>
  <si>
    <t>microbe</t>
  </si>
  <si>
    <t>microphone</t>
  </si>
  <si>
    <t>microwave</t>
  </si>
  <si>
    <t>meekroond</t>
  </si>
  <si>
    <t>ميكروند</t>
  </si>
  <si>
    <t>microwave oven</t>
  </si>
  <si>
    <t>midday</t>
  </si>
  <si>
    <t>Tnaash d nhaar</t>
  </si>
  <si>
    <t>طناش د نهار</t>
  </si>
  <si>
    <t>middle</t>
  </si>
  <si>
    <t>middle child</t>
  </si>
  <si>
    <t>woostanee(ya)</t>
  </si>
  <si>
    <t>midge</t>
  </si>
  <si>
    <t>midnight</t>
  </si>
  <si>
    <t>Tnaash d lleel</t>
  </si>
  <si>
    <t>midwife</t>
  </si>
  <si>
    <t>qaabla</t>
  </si>
  <si>
    <t>قابلة</t>
  </si>
  <si>
    <t>milk</t>
  </si>
  <si>
    <t>حليب</t>
  </si>
  <si>
    <t>mill</t>
  </si>
  <si>
    <t>T-Hoona</t>
  </si>
  <si>
    <t>million</t>
  </si>
  <si>
    <t>mlyoon</t>
  </si>
  <si>
    <t>مليون</t>
  </si>
  <si>
    <t>mince</t>
  </si>
  <si>
    <t>mind</t>
  </si>
  <si>
    <t>3ql</t>
  </si>
  <si>
    <t>عقل</t>
  </si>
  <si>
    <t>minister</t>
  </si>
  <si>
    <t>wazeer</t>
  </si>
  <si>
    <t>وَزير</t>
  </si>
  <si>
    <t>mint</t>
  </si>
  <si>
    <t>n3naa3</t>
  </si>
  <si>
    <t>نعناع</t>
  </si>
  <si>
    <t>minus</t>
  </si>
  <si>
    <t>naaqis</t>
  </si>
  <si>
    <t>ناقِص</t>
  </si>
  <si>
    <t>minute</t>
  </si>
  <si>
    <t>dqeeqa</t>
  </si>
  <si>
    <t>دقيقة</t>
  </si>
  <si>
    <t>miracle</t>
  </si>
  <si>
    <t>mo3jiza</t>
  </si>
  <si>
    <t>مُعجِزة</t>
  </si>
  <si>
    <t>hjib</t>
  </si>
  <si>
    <t>mirror</t>
  </si>
  <si>
    <t>mraaya</t>
  </si>
  <si>
    <t>مراية</t>
  </si>
  <si>
    <t>miserly</t>
  </si>
  <si>
    <t>sqram</t>
  </si>
  <si>
    <t>miss</t>
  </si>
  <si>
    <t>twaHHech</t>
  </si>
  <si>
    <t>توَحَّش</t>
  </si>
  <si>
    <t>mistake</t>
  </si>
  <si>
    <t>mix</t>
  </si>
  <si>
    <t>khllT</t>
  </si>
  <si>
    <t>خلّط</t>
  </si>
  <si>
    <t>mixed</t>
  </si>
  <si>
    <t>mkhllaT</t>
  </si>
  <si>
    <t>مخلَّط</t>
  </si>
  <si>
    <t>mixture</t>
  </si>
  <si>
    <t>shlaaDa</t>
  </si>
  <si>
    <t>شلاضة</t>
  </si>
  <si>
    <t>mobile phone</t>
  </si>
  <si>
    <t>modern</t>
  </si>
  <si>
    <t>3aSree</t>
  </si>
  <si>
    <t>عصري</t>
  </si>
  <si>
    <t>romee</t>
  </si>
  <si>
    <t>Modern Standard Arabic</t>
  </si>
  <si>
    <t>modest</t>
  </si>
  <si>
    <t>mtwaaD3</t>
  </si>
  <si>
    <t>mold</t>
  </si>
  <si>
    <t>قالب</t>
  </si>
  <si>
    <t>mom</t>
  </si>
  <si>
    <t>mama</t>
  </si>
  <si>
    <t>mey</t>
  </si>
  <si>
    <t>Monday</t>
  </si>
  <si>
    <t>nhaar tneen</t>
  </si>
  <si>
    <t>money</t>
  </si>
  <si>
    <t>floos</t>
  </si>
  <si>
    <t>فلوس</t>
  </si>
  <si>
    <t>monkey</t>
  </si>
  <si>
    <t>qerd</t>
  </si>
  <si>
    <t>قرد</t>
  </si>
  <si>
    <t>month</t>
  </si>
  <si>
    <t>sh-her</t>
  </si>
  <si>
    <t>شهر</t>
  </si>
  <si>
    <t>monthly</t>
  </si>
  <si>
    <t>sh-heree</t>
  </si>
  <si>
    <t>شهري</t>
  </si>
  <si>
    <t>mood</t>
  </si>
  <si>
    <t>khater</t>
  </si>
  <si>
    <t>moon</t>
  </si>
  <si>
    <t>qamar</t>
  </si>
  <si>
    <t>قَمَر</t>
  </si>
  <si>
    <t>qmera</t>
  </si>
  <si>
    <t>more</t>
  </si>
  <si>
    <t>ktr</t>
  </si>
  <si>
    <t>more expensive</t>
  </si>
  <si>
    <t>ghlaa</t>
  </si>
  <si>
    <t>غلى</t>
  </si>
  <si>
    <t>morning</t>
  </si>
  <si>
    <t>SbaaH</t>
  </si>
  <si>
    <t>صباح</t>
  </si>
  <si>
    <t>morning ceremony</t>
  </si>
  <si>
    <t>3azaa’</t>
  </si>
  <si>
    <t>عَزاء</t>
  </si>
  <si>
    <t>Moroccan</t>
  </si>
  <si>
    <t>mghribee</t>
  </si>
  <si>
    <t>مغرِبي</t>
  </si>
  <si>
    <t>Moroccan Arabic</t>
  </si>
  <si>
    <t>daarija</t>
  </si>
  <si>
    <t>دارِجة</t>
  </si>
  <si>
    <t>Morocco</t>
  </si>
  <si>
    <t>mghrib</t>
  </si>
  <si>
    <t>مغرِب</t>
  </si>
  <si>
    <t>mosque</t>
  </si>
  <si>
    <t>jaam3</t>
  </si>
  <si>
    <t>جامع</t>
  </si>
  <si>
    <t>mosquito</t>
  </si>
  <si>
    <t>naamoos</t>
  </si>
  <si>
    <t>ناموس</t>
  </si>
  <si>
    <t>mother</t>
  </si>
  <si>
    <t>‘omm</t>
  </si>
  <si>
    <t>أُمّ</t>
  </si>
  <si>
    <t>waleeda</t>
  </si>
  <si>
    <t>والِدة</t>
  </si>
  <si>
    <t>maamaa</t>
  </si>
  <si>
    <t>mother-in-law</t>
  </si>
  <si>
    <t>3gooza</t>
  </si>
  <si>
    <t>nseeba</t>
  </si>
  <si>
    <t>نسيبة</t>
  </si>
  <si>
    <t>motorbike</t>
  </si>
  <si>
    <t>mooToor</t>
  </si>
  <si>
    <t>موطور</t>
  </si>
  <si>
    <t>mould</t>
  </si>
  <si>
    <t>mountain</t>
  </si>
  <si>
    <t>jbl</t>
  </si>
  <si>
    <t>جبل</t>
  </si>
  <si>
    <t>mouse</t>
  </si>
  <si>
    <t>faar</t>
  </si>
  <si>
    <t>فار</t>
  </si>
  <si>
    <t>moustache</t>
  </si>
  <si>
    <t>moosTaash</t>
  </si>
  <si>
    <t>موسطاش</t>
  </si>
  <si>
    <t>mouth</t>
  </si>
  <si>
    <t>fmm</t>
  </si>
  <si>
    <t>فمّ</t>
  </si>
  <si>
    <t>move</t>
  </si>
  <si>
    <t>Hrrk</t>
  </si>
  <si>
    <t>حرّك</t>
  </si>
  <si>
    <t>kHHz</t>
  </si>
  <si>
    <t>كحّز</t>
  </si>
  <si>
    <t>tHrrk</t>
  </si>
  <si>
    <t>تحرّك</t>
  </si>
  <si>
    <t>kHz</t>
  </si>
  <si>
    <t>كحز</t>
  </si>
  <si>
    <t>move house</t>
  </si>
  <si>
    <t>rHl</t>
  </si>
  <si>
    <t>رحل</t>
  </si>
  <si>
    <t>movie</t>
  </si>
  <si>
    <t>Mr</t>
  </si>
  <si>
    <t>see</t>
  </si>
  <si>
    <t>Mrs</t>
  </si>
  <si>
    <t>la</t>
  </si>
  <si>
    <t>mud</t>
  </si>
  <si>
    <t>ghees</t>
  </si>
  <si>
    <t>غيس</t>
  </si>
  <si>
    <t>muddy</t>
  </si>
  <si>
    <t>mghees</t>
  </si>
  <si>
    <t>مغيس</t>
  </si>
  <si>
    <t>mug</t>
  </si>
  <si>
    <t>mule</t>
  </si>
  <si>
    <t>bghl</t>
  </si>
  <si>
    <t>بغل</t>
  </si>
  <si>
    <t>mum</t>
  </si>
  <si>
    <t>museum</t>
  </si>
  <si>
    <t>matHaf</t>
  </si>
  <si>
    <t>مَتحَف</t>
  </si>
  <si>
    <t>mushroom</t>
  </si>
  <si>
    <t>foggee3</t>
  </si>
  <si>
    <t>فُگّيع</t>
  </si>
  <si>
    <t>chambeenyoo</t>
  </si>
  <si>
    <t>شَمبِنيو</t>
  </si>
  <si>
    <t>music</t>
  </si>
  <si>
    <t>mooseeqaa</t>
  </si>
  <si>
    <t>موسيقى</t>
  </si>
  <si>
    <t>music group</t>
  </si>
  <si>
    <t>orkestra</t>
  </si>
  <si>
    <t>jooq</t>
  </si>
  <si>
    <t>musician</t>
  </si>
  <si>
    <t>mooseeqee</t>
  </si>
  <si>
    <t>موسيقي</t>
  </si>
  <si>
    <t>3abaat</t>
  </si>
  <si>
    <t>muslim</t>
  </si>
  <si>
    <t>mslm(a)</t>
  </si>
  <si>
    <t>مسلم</t>
  </si>
  <si>
    <t>must</t>
  </si>
  <si>
    <t>mustard</t>
  </si>
  <si>
    <t>motard</t>
  </si>
  <si>
    <t>my</t>
  </si>
  <si>
    <t>-ee</t>
  </si>
  <si>
    <t>ي</t>
  </si>
  <si>
    <t>-yaa</t>
  </si>
  <si>
    <t>يا</t>
  </si>
  <si>
    <t>dyaalee</t>
  </si>
  <si>
    <t>ديالي</t>
  </si>
  <si>
    <t>dyaawlee</t>
  </si>
  <si>
    <t>myself</t>
  </si>
  <si>
    <t>raasee</t>
  </si>
  <si>
    <t>راسي</t>
  </si>
  <si>
    <t>nail</t>
  </si>
  <si>
    <t>mesmaar</t>
  </si>
  <si>
    <t>مَسمار</t>
  </si>
  <si>
    <t>Trrq</t>
  </si>
  <si>
    <t>طرّق</t>
  </si>
  <si>
    <t>name</t>
  </si>
  <si>
    <t>sm</t>
  </si>
  <si>
    <t>smmaa (smmee)</t>
  </si>
  <si>
    <t>سْمَّى</t>
  </si>
  <si>
    <t>napkin</t>
  </si>
  <si>
    <t>serbeeta</t>
  </si>
  <si>
    <t>narrow</t>
  </si>
  <si>
    <t>Deeyeq</t>
  </si>
  <si>
    <t>mDeeyeq</t>
  </si>
  <si>
    <t>مضيق</t>
  </si>
  <si>
    <t>national anthem</t>
  </si>
  <si>
    <t>nasheed</t>
  </si>
  <si>
    <t>نَشيد وَطَني</t>
  </si>
  <si>
    <t>natural</t>
  </si>
  <si>
    <t>Tabee3ee</t>
  </si>
  <si>
    <t>طَبيعي</t>
  </si>
  <si>
    <t>nature</t>
  </si>
  <si>
    <t>Tabee3a</t>
  </si>
  <si>
    <t>طَبيعة</t>
  </si>
  <si>
    <t>naughtiness</t>
  </si>
  <si>
    <t>Dssaara</t>
  </si>
  <si>
    <t>bsaala</t>
  </si>
  <si>
    <t>بسالة</t>
  </si>
  <si>
    <t>naughty</t>
  </si>
  <si>
    <t>Daasr</t>
  </si>
  <si>
    <t>ضاسر</t>
  </si>
  <si>
    <t>baasl</t>
  </si>
  <si>
    <t>باسل</t>
  </si>
  <si>
    <t>navel</t>
  </si>
  <si>
    <t>ftq</t>
  </si>
  <si>
    <t>navy blue</t>
  </si>
  <si>
    <t>khzee</t>
  </si>
  <si>
    <t>خزي</t>
  </si>
  <si>
    <t>near</t>
  </si>
  <si>
    <t>nearly</t>
  </si>
  <si>
    <t>necessary</t>
  </si>
  <si>
    <t>Darooree</t>
  </si>
  <si>
    <t>ضَروري</t>
  </si>
  <si>
    <t>neck</t>
  </si>
  <si>
    <t>3nq</t>
  </si>
  <si>
    <t>عنق</t>
  </si>
  <si>
    <t>3ng</t>
  </si>
  <si>
    <t>necklace</t>
  </si>
  <si>
    <t>snsla</t>
  </si>
  <si>
    <t>سنسلة</t>
  </si>
  <si>
    <t>necktie</t>
  </si>
  <si>
    <t>kraavaaTaa</t>
  </si>
  <si>
    <t>كراڤاطا</t>
  </si>
  <si>
    <t>need</t>
  </si>
  <si>
    <t>Htaaj</t>
  </si>
  <si>
    <t>حتاج</t>
  </si>
  <si>
    <t>needed</t>
  </si>
  <si>
    <t>needle</t>
  </si>
  <si>
    <t>eebra</t>
  </si>
  <si>
    <t>يبرة</t>
  </si>
  <si>
    <t>neighbor</t>
  </si>
  <si>
    <t>jaar</t>
  </si>
  <si>
    <t>جار</t>
  </si>
  <si>
    <t>neighborhood</t>
  </si>
  <si>
    <t>joora</t>
  </si>
  <si>
    <t>neighbour</t>
  </si>
  <si>
    <t>neighbourhood</t>
  </si>
  <si>
    <t>neither … nor …</t>
  </si>
  <si>
    <t>maa …  laa … walaa …</t>
  </si>
  <si>
    <t>ما … لا … ولا</t>
  </si>
  <si>
    <t>nephew</t>
  </si>
  <si>
    <t>nephews and nieces</t>
  </si>
  <si>
    <t>wlaad kht</t>
  </si>
  <si>
    <t>wlaad kho</t>
  </si>
  <si>
    <t>net</t>
  </si>
  <si>
    <t>شبكة</t>
  </si>
  <si>
    <t>network</t>
  </si>
  <si>
    <t>reso</t>
  </si>
  <si>
    <t>never</t>
  </si>
  <si>
    <t>maa 3mmer</t>
  </si>
  <si>
    <t>ما عمّر</t>
  </si>
  <si>
    <t>new</t>
  </si>
  <si>
    <t>jdeed</t>
  </si>
  <si>
    <t>جديد</t>
  </si>
  <si>
    <t>New Year</t>
  </si>
  <si>
    <t>raas l3aam</t>
  </si>
  <si>
    <t>raas ssana</t>
  </si>
  <si>
    <t>newborn baby party</t>
  </si>
  <si>
    <t>sboo3</t>
  </si>
  <si>
    <t>سبوع</t>
  </si>
  <si>
    <t>news</t>
  </si>
  <si>
    <t>khbaar</t>
  </si>
  <si>
    <t>خبار</t>
  </si>
  <si>
    <t>‘akhbaar</t>
  </si>
  <si>
    <t>أَخبار</t>
  </si>
  <si>
    <t>3nawin</t>
  </si>
  <si>
    <t>info swaar</t>
  </si>
  <si>
    <t>newspaper</t>
  </si>
  <si>
    <t>joornaan</t>
  </si>
  <si>
    <t>next</t>
  </si>
  <si>
    <t>maajee</t>
  </si>
  <si>
    <t>ماجي</t>
  </si>
  <si>
    <t>jay</t>
  </si>
  <si>
    <t>next to</t>
  </si>
  <si>
    <t>Hdaa</t>
  </si>
  <si>
    <t>حدا</t>
  </si>
  <si>
    <t>jnb</t>
  </si>
  <si>
    <t>nice</t>
  </si>
  <si>
    <t>niece</t>
  </si>
  <si>
    <t>night</t>
  </si>
  <si>
    <t>leel</t>
  </si>
  <si>
    <t>لِيل</t>
  </si>
  <si>
    <t>Night of Power</t>
  </si>
  <si>
    <t>layla lqadr</t>
  </si>
  <si>
    <t>nightmare</t>
  </si>
  <si>
    <t>kabos</t>
  </si>
  <si>
    <t>nine</t>
  </si>
  <si>
    <t>ts3ood</t>
  </si>
  <si>
    <t>تسعود</t>
  </si>
  <si>
    <t>ts3</t>
  </si>
  <si>
    <t>تسع</t>
  </si>
  <si>
    <t>nineteen</t>
  </si>
  <si>
    <t>ts3Taash</t>
  </si>
  <si>
    <t>تسعطاش</t>
  </si>
  <si>
    <t>ninety</t>
  </si>
  <si>
    <t>ts3ayn</t>
  </si>
  <si>
    <t>تسعين</t>
  </si>
  <si>
    <t>ninth</t>
  </si>
  <si>
    <t>taase3</t>
  </si>
  <si>
    <t>تاسع</t>
  </si>
  <si>
    <t>no</t>
  </si>
  <si>
    <t>laa</t>
  </si>
  <si>
    <t>لا</t>
  </si>
  <si>
    <t>no-one</t>
  </si>
  <si>
    <t>maa … Httaa waaHd</t>
  </si>
  <si>
    <t>ما … حتّا واحد</t>
  </si>
  <si>
    <t>maa … Httaa Hd</t>
  </si>
  <si>
    <t>ما … حتّا حد</t>
  </si>
  <si>
    <t>noise</t>
  </si>
  <si>
    <t>Sda3</t>
  </si>
  <si>
    <t>صدَع</t>
  </si>
  <si>
    <t>Hess</t>
  </si>
  <si>
    <t>noodles</t>
  </si>
  <si>
    <t>sh3reeya</t>
  </si>
  <si>
    <t>شعرية</t>
  </si>
  <si>
    <t>normal</t>
  </si>
  <si>
    <t>North</t>
  </si>
  <si>
    <t>shamaal</t>
  </si>
  <si>
    <t>شَمال</t>
  </si>
  <si>
    <t>nose</t>
  </si>
  <si>
    <t>neef</t>
  </si>
  <si>
    <t>نيف</t>
  </si>
  <si>
    <t>mnkher</t>
  </si>
  <si>
    <t>منخر</t>
  </si>
  <si>
    <t>not</t>
  </si>
  <si>
    <t>maa … sh</t>
  </si>
  <si>
    <t>ما … ش</t>
  </si>
  <si>
    <t>not … anything</t>
  </si>
  <si>
    <t>maa …  waaloo</t>
  </si>
  <si>
    <t>ما … والو</t>
  </si>
  <si>
    <t>maa … Httaa Haaja</t>
  </si>
  <si>
    <t>ما … حتّى حاجة</t>
  </si>
  <si>
    <t>not at all</t>
  </si>
  <si>
    <t>maa …  gaa3</t>
  </si>
  <si>
    <t>ما … گَاع</t>
  </si>
  <si>
    <t>not yet</t>
  </si>
  <si>
    <t>laa baaqee</t>
  </si>
  <si>
    <t>لا باقي</t>
  </si>
  <si>
    <t>laa maazaal</t>
  </si>
  <si>
    <t>لا مازال</t>
  </si>
  <si>
    <t>maakaamlsh</t>
  </si>
  <si>
    <t>notary</t>
  </si>
  <si>
    <t>noTeer</t>
  </si>
  <si>
    <t>نُطير</t>
  </si>
  <si>
    <t>notebook</t>
  </si>
  <si>
    <t>nothing</t>
  </si>
  <si>
    <t>waaloo</t>
  </si>
  <si>
    <t>والو</t>
  </si>
  <si>
    <t>noun</t>
  </si>
  <si>
    <t>ism</t>
  </si>
  <si>
    <t>اِسْم</t>
  </si>
  <si>
    <t>November</t>
  </si>
  <si>
    <t>شهر حداش</t>
  </si>
  <si>
    <t>november</t>
  </si>
  <si>
    <t>noowanbeer</t>
  </si>
  <si>
    <t>نوَنبِر</t>
  </si>
  <si>
    <t>now</t>
  </si>
  <si>
    <t>dabaa</t>
  </si>
  <si>
    <t>دَبا</t>
  </si>
  <si>
    <t>drook</t>
  </si>
  <si>
    <t>دروك</t>
  </si>
  <si>
    <t>drooka</t>
  </si>
  <si>
    <t>دروكة</t>
  </si>
  <si>
    <t>nowhere</t>
  </si>
  <si>
    <t>Httaa blaaSa</t>
  </si>
  <si>
    <t>حتّا بلاصة</t>
  </si>
  <si>
    <t>number</t>
  </si>
  <si>
    <t>raqm</t>
  </si>
  <si>
    <t>رَقم</t>
  </si>
  <si>
    <t>nmra</t>
  </si>
  <si>
    <t>نمرة</t>
  </si>
  <si>
    <t>nurse</t>
  </si>
  <si>
    <t>fermlee(ya)</t>
  </si>
  <si>
    <t>فرملي</t>
  </si>
  <si>
    <t>nutmeg</t>
  </si>
  <si>
    <t>gooza</t>
  </si>
  <si>
    <t>گوزة</t>
  </si>
  <si>
    <t>obey</t>
  </si>
  <si>
    <t>Taa3 (Tee3)</t>
  </si>
  <si>
    <t>طاع</t>
  </si>
  <si>
    <t>ocean</t>
  </si>
  <si>
    <t>moHeeT</t>
  </si>
  <si>
    <t>مُحيط</t>
  </si>
  <si>
    <t>October</t>
  </si>
  <si>
    <t>شهر عشرة</t>
  </si>
  <si>
    <t>oktoober</t>
  </si>
  <si>
    <t>أكتوبر</t>
  </si>
  <si>
    <t>of</t>
  </si>
  <si>
    <t>d</t>
  </si>
  <si>
    <t>د</t>
  </si>
  <si>
    <t>of course</t>
  </si>
  <si>
    <t>m3loom</t>
  </si>
  <si>
    <t>معلوم</t>
  </si>
  <si>
    <t>‘akeed</t>
  </si>
  <si>
    <t>أكيد</t>
  </si>
  <si>
    <t>b TTab3</t>
  </si>
  <si>
    <t>بالطَبع</t>
  </si>
  <si>
    <t>off</t>
  </si>
  <si>
    <t>Taafee</t>
  </si>
  <si>
    <t>طافي</t>
  </si>
  <si>
    <t>office</t>
  </si>
  <si>
    <t>often</t>
  </si>
  <si>
    <t>b3D lmrraat</t>
  </si>
  <si>
    <t>بعض المرّات</t>
  </si>
  <si>
    <t>aghlabeeya</t>
  </si>
  <si>
    <t>oh my gosh!</t>
  </si>
  <si>
    <t>naaree!</t>
  </si>
  <si>
    <t>baaz!</t>
  </si>
  <si>
    <t>weellee!</t>
  </si>
  <si>
    <t>oil</t>
  </si>
  <si>
    <t>zeet</t>
  </si>
  <si>
    <t>زيت</t>
  </si>
  <si>
    <t>OK</t>
  </si>
  <si>
    <t>waakhaa!</t>
  </si>
  <si>
    <t>okay</t>
  </si>
  <si>
    <t>old</t>
  </si>
  <si>
    <t>shaarf</t>
  </si>
  <si>
    <t>شارف</t>
  </si>
  <si>
    <t>older</t>
  </si>
  <si>
    <t>qdm</t>
  </si>
  <si>
    <t>قدم</t>
  </si>
  <si>
    <t>olive</t>
  </si>
  <si>
    <t>zeetoon</t>
  </si>
  <si>
    <t>زيتون</t>
  </si>
  <si>
    <t>olive oil</t>
  </si>
  <si>
    <t>زيت الزيتون</t>
  </si>
  <si>
    <t>on</t>
  </si>
  <si>
    <t>fooq</t>
  </si>
  <si>
    <t>فوق</t>
  </si>
  <si>
    <t>shaa3l</t>
  </si>
  <si>
    <t>شاعل</t>
  </si>
  <si>
    <t>khddaam</t>
  </si>
  <si>
    <t>خدّام</t>
  </si>
  <si>
    <t>on all fours</t>
  </si>
  <si>
    <t>3laa rjl oo yedd</t>
  </si>
  <si>
    <t>on foot</t>
  </si>
  <si>
    <t>3laa rjleen</t>
  </si>
  <si>
    <t>on the dot</t>
  </si>
  <si>
    <t>waqfa</t>
  </si>
  <si>
    <t>neeshaan</t>
  </si>
  <si>
    <t>نيشان</t>
  </si>
  <si>
    <t>on top of</t>
  </si>
  <si>
    <t>one</t>
  </si>
  <si>
    <t>waaHd(a)</t>
  </si>
  <si>
    <t>واحد</t>
  </si>
  <si>
    <t>one another</t>
  </si>
  <si>
    <t>oneself</t>
  </si>
  <si>
    <t>onion</t>
  </si>
  <si>
    <t>bSla</t>
  </si>
  <si>
    <t>بصلة</t>
  </si>
  <si>
    <t>only</t>
  </si>
  <si>
    <t>open</t>
  </si>
  <si>
    <t>Hll</t>
  </si>
  <si>
    <t>حلّ</t>
  </si>
  <si>
    <t>ftaH</t>
  </si>
  <si>
    <t>فتَح</t>
  </si>
  <si>
    <t>tHll</t>
  </si>
  <si>
    <t>تحلّ</t>
  </si>
  <si>
    <t>mHlool</t>
  </si>
  <si>
    <t>محلول</t>
  </si>
  <si>
    <t>operation</t>
  </si>
  <si>
    <t>3amaleeya</t>
  </si>
  <si>
    <t>عَمَلية</t>
  </si>
  <si>
    <t>opinion</t>
  </si>
  <si>
    <t>‘afkaar</t>
  </si>
  <si>
    <t>أَفكار</t>
  </si>
  <si>
    <t>nisba</t>
  </si>
  <si>
    <t>opportunity</t>
  </si>
  <si>
    <t>monaasaba</t>
  </si>
  <si>
    <t>مُناسَبة</t>
  </si>
  <si>
    <t>forSa</t>
  </si>
  <si>
    <t>فُرصة</t>
  </si>
  <si>
    <t>opposite</t>
  </si>
  <si>
    <t>3eks</t>
  </si>
  <si>
    <t>or</t>
  </si>
  <si>
    <t>oolaa</t>
  </si>
  <si>
    <t>ولا</t>
  </si>
  <si>
    <t>orange</t>
  </si>
  <si>
    <t>leemoon</t>
  </si>
  <si>
    <t>ليمون</t>
  </si>
  <si>
    <t>leemoonee</t>
  </si>
  <si>
    <t>ليموني</t>
  </si>
  <si>
    <t>oraanj</t>
  </si>
  <si>
    <t>orange flower water</t>
  </si>
  <si>
    <t>order</t>
  </si>
  <si>
    <t>dfe3</t>
  </si>
  <si>
    <t>ooSSaa</t>
  </si>
  <si>
    <t>niDaam</t>
  </si>
  <si>
    <t>نِضام</t>
  </si>
  <si>
    <t>organise</t>
  </si>
  <si>
    <t>nDDm</t>
  </si>
  <si>
    <t>نضّم</t>
  </si>
  <si>
    <t>organised</t>
  </si>
  <si>
    <t>mneDDem</t>
  </si>
  <si>
    <t>منَضَّم</t>
  </si>
  <si>
    <t>origano</t>
  </si>
  <si>
    <t>z3tr</t>
  </si>
  <si>
    <t>زعتر</t>
  </si>
  <si>
    <t>origin</t>
  </si>
  <si>
    <t>‘aSl</t>
  </si>
  <si>
    <t>أَصل</t>
  </si>
  <si>
    <t>orphanage</t>
  </si>
  <si>
    <t>kheereeya</t>
  </si>
  <si>
    <t>other</t>
  </si>
  <si>
    <t>‘akhor</t>
  </si>
  <si>
    <t>أخُر</t>
  </si>
  <si>
    <t>our</t>
  </si>
  <si>
    <t>-naa</t>
  </si>
  <si>
    <t>نا</t>
  </si>
  <si>
    <t>dyaalnaa</t>
  </si>
  <si>
    <t>ديالنا</t>
  </si>
  <si>
    <t>dyaawlnaa</t>
  </si>
  <si>
    <t>outside</t>
  </si>
  <si>
    <t>3laa brraa</t>
  </si>
  <si>
    <t>عاى برّا</t>
  </si>
  <si>
    <t>oven</t>
  </si>
  <si>
    <t>frraan</t>
  </si>
  <si>
    <t>فرّان</t>
  </si>
  <si>
    <t>over</t>
  </si>
  <si>
    <t>overflow</t>
  </si>
  <si>
    <t>faaD (feeD)</t>
  </si>
  <si>
    <t>فاض</t>
  </si>
  <si>
    <t>owl</t>
  </si>
  <si>
    <t>booma</t>
  </si>
  <si>
    <t>بومة</t>
  </si>
  <si>
    <t>own</t>
  </si>
  <si>
    <t>mlek</t>
  </si>
  <si>
    <t>ملَك</t>
  </si>
  <si>
    <t>owner</t>
  </si>
  <si>
    <t>مول</t>
  </si>
  <si>
    <t>ms’ool</t>
  </si>
  <si>
    <t>مسؤول</t>
  </si>
  <si>
    <t>packet</t>
  </si>
  <si>
    <t>baakeeya</t>
  </si>
  <si>
    <t>باكية</t>
  </si>
  <si>
    <t>padlock</t>
  </si>
  <si>
    <t>page</t>
  </si>
  <si>
    <t>SfHa</t>
  </si>
  <si>
    <t>صفحة</t>
  </si>
  <si>
    <t>pain</t>
  </si>
  <si>
    <t>alam</t>
  </si>
  <si>
    <t>paint</t>
  </si>
  <si>
    <t>Sbaagha</t>
  </si>
  <si>
    <t>صباغة</t>
  </si>
  <si>
    <t>Sbgh</t>
  </si>
  <si>
    <t>صبغ</t>
  </si>
  <si>
    <t>painter</t>
  </si>
  <si>
    <t>sbaagh</t>
  </si>
  <si>
    <t>rssaam</t>
  </si>
  <si>
    <t>رسّام</t>
  </si>
  <si>
    <t>palace</t>
  </si>
  <si>
    <t>palm tree</t>
  </si>
  <si>
    <t>nkhl</t>
  </si>
  <si>
    <t>نخل</t>
  </si>
  <si>
    <t>pancake</t>
  </si>
  <si>
    <t>kraap</t>
  </si>
  <si>
    <t>imsemen</t>
  </si>
  <si>
    <t>pants</t>
  </si>
  <si>
    <t>سروال</t>
  </si>
  <si>
    <t>paper</t>
  </si>
  <si>
    <t>ooraaq</t>
  </si>
  <si>
    <t>soonet</t>
  </si>
  <si>
    <t>paprika</t>
  </si>
  <si>
    <t>tHameera</t>
  </si>
  <si>
    <t>تحميرة</t>
  </si>
  <si>
    <t>parable</t>
  </si>
  <si>
    <t>paralysed</t>
  </si>
  <si>
    <t>shalaal</t>
  </si>
  <si>
    <t>pardon?</t>
  </si>
  <si>
    <t>parent</t>
  </si>
  <si>
    <t>waalideen</t>
  </si>
  <si>
    <t>والِدين</t>
  </si>
  <si>
    <t>park</t>
  </si>
  <si>
    <t>3rSa</t>
  </si>
  <si>
    <t>HTT</t>
  </si>
  <si>
    <t>حطّ</t>
  </si>
  <si>
    <t>parsley</t>
  </si>
  <si>
    <t>m3dnoos</t>
  </si>
  <si>
    <t>معدنوس</t>
  </si>
  <si>
    <t>part</t>
  </si>
  <si>
    <t>joz’e</t>
  </si>
  <si>
    <t>جُزء</t>
  </si>
  <si>
    <t>participate</t>
  </si>
  <si>
    <t>shaark</t>
  </si>
  <si>
    <t>شارك</t>
  </si>
  <si>
    <t>participation</t>
  </si>
  <si>
    <t>moshaaraka</t>
  </si>
  <si>
    <t>مُشارَكة</t>
  </si>
  <si>
    <t>partner</t>
  </si>
  <si>
    <t>shareek</t>
  </si>
  <si>
    <t>شَريك</t>
  </si>
  <si>
    <t>party</t>
  </si>
  <si>
    <t>Hfla</t>
  </si>
  <si>
    <t>حفلة</t>
  </si>
  <si>
    <t>3rs</t>
  </si>
  <si>
    <t>عرس</t>
  </si>
  <si>
    <t>pass</t>
  </si>
  <si>
    <t>daaz (dooz)</t>
  </si>
  <si>
    <t>داز</t>
  </si>
  <si>
    <t>doowez</t>
  </si>
  <si>
    <t>دوّز</t>
  </si>
  <si>
    <t>faat (foot)</t>
  </si>
  <si>
    <t>فات</t>
  </si>
  <si>
    <t>pass away</t>
  </si>
  <si>
    <t>passionate</t>
  </si>
  <si>
    <t>passport</t>
  </si>
  <si>
    <t>paaspoor</t>
  </si>
  <si>
    <t>پاسپور</t>
  </si>
  <si>
    <t>past</t>
  </si>
  <si>
    <t>pasta</t>
  </si>
  <si>
    <t>makaronee</t>
  </si>
  <si>
    <t>pastilla</t>
  </si>
  <si>
    <t>bsTeela</t>
  </si>
  <si>
    <t>بسطيلة</t>
  </si>
  <si>
    <t>pastor</t>
  </si>
  <si>
    <t>qessees</t>
  </si>
  <si>
    <t>قَسّيس</t>
  </si>
  <si>
    <t>pasture</t>
  </si>
  <si>
    <t>kooree</t>
  </si>
  <si>
    <t>zreeba</t>
  </si>
  <si>
    <t>patch</t>
  </si>
  <si>
    <t>Hood</t>
  </si>
  <si>
    <t>patience</t>
  </si>
  <si>
    <t>Sber</t>
  </si>
  <si>
    <t>صبر</t>
  </si>
  <si>
    <t>patient</t>
  </si>
  <si>
    <t>Sbbaar</t>
  </si>
  <si>
    <t>صبّار</t>
  </si>
  <si>
    <t>pay</t>
  </si>
  <si>
    <t>khllS</t>
  </si>
  <si>
    <t>خلّص</t>
  </si>
  <si>
    <t>pay phone store</t>
  </si>
  <si>
    <t>tileebooteek</t>
  </si>
  <si>
    <t>تليبوتيك</t>
  </si>
  <si>
    <t>pea</t>
  </si>
  <si>
    <t>jlbaana</t>
  </si>
  <si>
    <t>جلبانة</t>
  </si>
  <si>
    <t>peach</t>
  </si>
  <si>
    <t>khookh</t>
  </si>
  <si>
    <t>خوخ</t>
  </si>
  <si>
    <t>peanut</t>
  </si>
  <si>
    <t>kaawkaaw</t>
  </si>
  <si>
    <t>كاو كاو</t>
  </si>
  <si>
    <t>pear</t>
  </si>
  <si>
    <t>boo3weed</t>
  </si>
  <si>
    <t>بوعويد</t>
  </si>
  <si>
    <t>peasant</t>
  </si>
  <si>
    <t>3robee(ya)</t>
  </si>
  <si>
    <t>qch-chr</t>
  </si>
  <si>
    <t>قشّر</t>
  </si>
  <si>
    <t>pen</t>
  </si>
  <si>
    <t>steelo</t>
  </si>
  <si>
    <t>ستيلو</t>
  </si>
  <si>
    <t>pencil</t>
  </si>
  <si>
    <t>qaalem</t>
  </si>
  <si>
    <t>penguin</t>
  </si>
  <si>
    <t>pangowaan</t>
  </si>
  <si>
    <t>pension</t>
  </si>
  <si>
    <t>taqaa3od</t>
  </si>
  <si>
    <t>تَقاعُد</t>
  </si>
  <si>
    <t>people</t>
  </si>
  <si>
    <t>naas</t>
  </si>
  <si>
    <t>ناس</t>
  </si>
  <si>
    <t>people of God</t>
  </si>
  <si>
    <t>3eebaad</t>
  </si>
  <si>
    <t>pepper</t>
  </si>
  <si>
    <t>ibzaar</t>
  </si>
  <si>
    <t>فلفلة</t>
  </si>
  <si>
    <t>فلفلة حلوة</t>
  </si>
  <si>
    <t>per</t>
  </si>
  <si>
    <t>perfect</t>
  </si>
  <si>
    <t>perfume</t>
  </si>
  <si>
    <t>reeHa</t>
  </si>
  <si>
    <t>ريحة</t>
  </si>
  <si>
    <t>period</t>
  </si>
  <si>
    <t>moda</t>
  </si>
  <si>
    <t>3aada sh-hereeya</t>
  </si>
  <si>
    <t>عادة شَهريّة</t>
  </si>
  <si>
    <t>raagl</t>
  </si>
  <si>
    <t>permitted</t>
  </si>
  <si>
    <t>Halaal</t>
  </si>
  <si>
    <t>حَلال</t>
  </si>
  <si>
    <t>person</t>
  </si>
  <si>
    <t>shekhS</t>
  </si>
  <si>
    <t>شخص</t>
  </si>
  <si>
    <t>person in charge</t>
  </si>
  <si>
    <t>person resposible</t>
  </si>
  <si>
    <t>personality</t>
  </si>
  <si>
    <t>shekhSeeya</t>
  </si>
  <si>
    <t>شخصيّة</t>
  </si>
  <si>
    <t>personally</t>
  </si>
  <si>
    <t>shekhSyan</t>
  </si>
  <si>
    <t>شخصياً</t>
  </si>
  <si>
    <t>perspiration</t>
  </si>
  <si>
    <t>3arg</t>
  </si>
  <si>
    <t>perspire</t>
  </si>
  <si>
    <t>3rg</t>
  </si>
  <si>
    <t>عرگ</t>
  </si>
  <si>
    <t>3rq</t>
  </si>
  <si>
    <t>عرق</t>
  </si>
  <si>
    <t>pharmacist</t>
  </si>
  <si>
    <t>frmasyaan</t>
  </si>
  <si>
    <t>pharmacy</t>
  </si>
  <si>
    <t>phone</t>
  </si>
  <si>
    <t>photo</t>
  </si>
  <si>
    <t>photograph</t>
  </si>
  <si>
    <t>picture</t>
  </si>
  <si>
    <t>piece</t>
  </si>
  <si>
    <t>Trf</t>
  </si>
  <si>
    <t>طرف</t>
  </si>
  <si>
    <t>pig</t>
  </si>
  <si>
    <t>Hlloof</t>
  </si>
  <si>
    <t>حلّوف</t>
  </si>
  <si>
    <t>pigeon</t>
  </si>
  <si>
    <t>Hmaam</t>
  </si>
  <si>
    <t>حمام</t>
  </si>
  <si>
    <t>pile up</t>
  </si>
  <si>
    <t>pill</t>
  </si>
  <si>
    <t>keena</t>
  </si>
  <si>
    <t>كينة</t>
  </si>
  <si>
    <t>pillow</t>
  </si>
  <si>
    <t>msnd</t>
  </si>
  <si>
    <t>pineapple</t>
  </si>
  <si>
    <t>anaanaas</t>
  </si>
  <si>
    <t>أناناس</t>
  </si>
  <si>
    <t>pink</t>
  </si>
  <si>
    <t>fanadee</t>
  </si>
  <si>
    <t>فنيدي</t>
  </si>
  <si>
    <t>wrdee</t>
  </si>
  <si>
    <t>وردي</t>
  </si>
  <si>
    <t>roz</t>
  </si>
  <si>
    <t>pipe</t>
  </si>
  <si>
    <t>j3ba</t>
  </si>
  <si>
    <t>qeedoos</t>
  </si>
  <si>
    <t>pitcher</t>
  </si>
  <si>
    <t>sacrifice</t>
  </si>
  <si>
    <t>tDHeeya</t>
  </si>
  <si>
    <t>تضحية</t>
  </si>
  <si>
    <t>sad</t>
  </si>
  <si>
    <t>Hzeen</t>
  </si>
  <si>
    <t>حزين</t>
  </si>
  <si>
    <t>sadness</t>
  </si>
  <si>
    <t>Hozen</t>
  </si>
  <si>
    <t>حُزن</t>
  </si>
  <si>
    <t>safe and sound</t>
  </si>
  <si>
    <t>3laa kheer</t>
  </si>
  <si>
    <t>على خير</t>
  </si>
  <si>
    <t>safety</t>
  </si>
  <si>
    <t>slaama</t>
  </si>
  <si>
    <t>saffron</t>
  </si>
  <si>
    <t>z3fraan</t>
  </si>
  <si>
    <t>زعفران</t>
  </si>
  <si>
    <t>saint</t>
  </si>
  <si>
    <t>SaaliH</t>
  </si>
  <si>
    <t>صالِح</t>
  </si>
  <si>
    <t>saint’s tomb</t>
  </si>
  <si>
    <t>DareeH</t>
  </si>
  <si>
    <t>ضَريح</t>
  </si>
  <si>
    <t>salad</t>
  </si>
  <si>
    <t>salary</t>
  </si>
  <si>
    <t>salaar</t>
  </si>
  <si>
    <t>kholSa</t>
  </si>
  <si>
    <t>‘ajar</t>
  </si>
  <si>
    <t>أَجر</t>
  </si>
  <si>
    <t>sale</t>
  </si>
  <si>
    <t>bee3</t>
  </si>
  <si>
    <t>بيع</t>
  </si>
  <si>
    <t>tkhfiD</t>
  </si>
  <si>
    <t>salesperson</t>
  </si>
  <si>
    <t>beeyaa3</t>
  </si>
  <si>
    <t>بيّاع</t>
  </si>
  <si>
    <t>salt</t>
  </si>
  <si>
    <t>mlHa</t>
  </si>
  <si>
    <t>ملحة</t>
  </si>
  <si>
    <t>salty</t>
  </si>
  <si>
    <t>maaleH</t>
  </si>
  <si>
    <t>مالح</t>
  </si>
  <si>
    <t>same</t>
  </si>
  <si>
    <t>nefs</t>
  </si>
  <si>
    <t>نَفس</t>
  </si>
  <si>
    <t>sand</t>
  </si>
  <si>
    <t>rmela</t>
  </si>
  <si>
    <t>sandals</t>
  </si>
  <si>
    <t>Sndala</t>
  </si>
  <si>
    <t>صندلة</t>
  </si>
  <si>
    <t>Sndara</t>
  </si>
  <si>
    <t>sardine</t>
  </si>
  <si>
    <t>srdeen</t>
  </si>
  <si>
    <t>سردين</t>
  </si>
  <si>
    <t>Satan</t>
  </si>
  <si>
    <t>sheetaan</t>
  </si>
  <si>
    <t>satchel</t>
  </si>
  <si>
    <t>shkara</t>
  </si>
  <si>
    <t>شكَرة</t>
  </si>
  <si>
    <t>Saturday</t>
  </si>
  <si>
    <t>nhaar ssebt</t>
  </si>
  <si>
    <t>نهار السبت</t>
  </si>
  <si>
    <t>ssebt</t>
  </si>
  <si>
    <t>السبت</t>
  </si>
  <si>
    <t>sauce</t>
  </si>
  <si>
    <t>mrqa</t>
  </si>
  <si>
    <t>saus</t>
  </si>
  <si>
    <t>saucepan</t>
  </si>
  <si>
    <t>kaasroona</t>
  </si>
  <si>
    <t>كاسرونة</t>
  </si>
  <si>
    <t>sausage</t>
  </si>
  <si>
    <t>SooSeT</t>
  </si>
  <si>
    <t>save</t>
  </si>
  <si>
    <t>njaa</t>
  </si>
  <si>
    <t>3tq</t>
  </si>
  <si>
    <t>عتق</t>
  </si>
  <si>
    <t>save up</t>
  </si>
  <si>
    <t>saw</t>
  </si>
  <si>
    <t>mnshaar</t>
  </si>
  <si>
    <t>say</t>
  </si>
  <si>
    <t>say goodbye (to each other)</t>
  </si>
  <si>
    <t>twaad3</t>
  </si>
  <si>
    <t>scales</t>
  </si>
  <si>
    <t>meezaan</t>
  </si>
  <si>
    <t>ميزان</t>
  </si>
  <si>
    <t>scare</t>
  </si>
  <si>
    <t>khl3</t>
  </si>
  <si>
    <t>خلع</t>
  </si>
  <si>
    <t>scared</t>
  </si>
  <si>
    <t>scarf</t>
  </si>
  <si>
    <t>kashkool</t>
  </si>
  <si>
    <t>scatter</t>
  </si>
  <si>
    <t>school</t>
  </si>
  <si>
    <t>mdrasa</t>
  </si>
  <si>
    <t>مدرَسة</t>
  </si>
  <si>
    <t>school bag</t>
  </si>
  <si>
    <t>science fiction</t>
  </si>
  <si>
    <t>khayaal</t>
  </si>
  <si>
    <t>خَيال عِلمي</t>
  </si>
  <si>
    <t>scientific</t>
  </si>
  <si>
    <t>3ilmee</t>
  </si>
  <si>
    <t>عِلمي</t>
  </si>
  <si>
    <t>scissors</t>
  </si>
  <si>
    <t>mqS</t>
  </si>
  <si>
    <t>scorpion</t>
  </si>
  <si>
    <t>3agreb</t>
  </si>
  <si>
    <t>عگرب</t>
  </si>
  <si>
    <t>Scotch tape</t>
  </si>
  <si>
    <t>skotsh</t>
  </si>
  <si>
    <t>سكوتش</t>
  </si>
  <si>
    <t>scrape</t>
  </si>
  <si>
    <t>scratch</t>
  </si>
  <si>
    <t>qmsh</t>
  </si>
  <si>
    <t>screen</t>
  </si>
  <si>
    <t>shaasha</t>
  </si>
  <si>
    <t>شاشة</t>
  </si>
  <si>
    <t>screw</t>
  </si>
  <si>
    <t>vees</t>
  </si>
  <si>
    <t>ڤيس</t>
  </si>
  <si>
    <t>screwdriver</t>
  </si>
  <si>
    <t>tornevees</t>
  </si>
  <si>
    <t>sea</t>
  </si>
  <si>
    <t>bHer</t>
  </si>
  <si>
    <t>بحر</t>
  </si>
  <si>
    <t>seafood</t>
  </si>
  <si>
    <t>fawakih</t>
  </si>
  <si>
    <t>seamstress</t>
  </si>
  <si>
    <t>season</t>
  </si>
  <si>
    <t>faSel</t>
  </si>
  <si>
    <t>فَصل</t>
  </si>
  <si>
    <t>seat</t>
  </si>
  <si>
    <t>second</t>
  </si>
  <si>
    <t>taanee</t>
  </si>
  <si>
    <t>تاني</t>
  </si>
  <si>
    <t>secretary</t>
  </si>
  <si>
    <t>seekreeteer(a)</t>
  </si>
  <si>
    <t>سيكريتير</t>
  </si>
  <si>
    <t>بان ل</t>
  </si>
  <si>
    <t>seed</t>
  </si>
  <si>
    <t>seedling</t>
  </si>
  <si>
    <t>noqla</t>
  </si>
  <si>
    <t>seem</t>
  </si>
  <si>
    <t>sell</t>
  </si>
  <si>
    <t>baa3 (bee3)</t>
  </si>
  <si>
    <t>باع</t>
  </si>
  <si>
    <t>seller</t>
  </si>
  <si>
    <t>Sellotape</t>
  </si>
  <si>
    <t>semolina</t>
  </si>
  <si>
    <t>smeeda</t>
  </si>
  <si>
    <t>send</t>
  </si>
  <si>
    <t>SeefT</t>
  </si>
  <si>
    <t>صيفط</t>
  </si>
  <si>
    <t>skh-kher</t>
  </si>
  <si>
    <t>سخّر</t>
  </si>
  <si>
    <t>send greetings</t>
  </si>
  <si>
    <t>sllm</t>
  </si>
  <si>
    <t>سلّم</t>
  </si>
  <si>
    <t>sensitive</t>
  </si>
  <si>
    <t>Hssaas</t>
  </si>
  <si>
    <t>حسّاس</t>
  </si>
  <si>
    <t>sentence</t>
  </si>
  <si>
    <t>jomla</t>
  </si>
  <si>
    <t>جُملة</t>
  </si>
  <si>
    <t>separate</t>
  </si>
  <si>
    <t>waad3</t>
  </si>
  <si>
    <t>tfaarq</t>
  </si>
  <si>
    <t>skhaa</t>
  </si>
  <si>
    <t>separation</t>
  </si>
  <si>
    <t>fraaq</t>
  </si>
  <si>
    <t>waad3aa</t>
  </si>
  <si>
    <t>September</t>
  </si>
  <si>
    <t>شهر تسعود</t>
  </si>
  <si>
    <t>september</t>
  </si>
  <si>
    <t>سبتمبر</t>
  </si>
  <si>
    <t>series</t>
  </si>
  <si>
    <t>moselsel</t>
  </si>
  <si>
    <t>مُسَلسَل</t>
  </si>
  <si>
    <t>sermon</t>
  </si>
  <si>
    <t>khoTba</t>
  </si>
  <si>
    <t>خُطبة</t>
  </si>
  <si>
    <t>serve</t>
  </si>
  <si>
    <t>srbaa (srbee)</t>
  </si>
  <si>
    <t>سربى</t>
  </si>
  <si>
    <t>service station</t>
  </si>
  <si>
    <t>stasyon</t>
  </si>
  <si>
    <t>sesame seeds</t>
  </si>
  <si>
    <t>jenjlaan</t>
  </si>
  <si>
    <t>جنجلان</t>
  </si>
  <si>
    <t>zenjlaan</t>
  </si>
  <si>
    <t>set</t>
  </si>
  <si>
    <t>ghorb</t>
  </si>
  <si>
    <t>taaH (teeH)</t>
  </si>
  <si>
    <t>set an alarm</t>
  </si>
  <si>
    <t>دار ساعة</t>
  </si>
  <si>
    <t>دار مݣانة</t>
  </si>
  <si>
    <t>seven</t>
  </si>
  <si>
    <t>sb3a</t>
  </si>
  <si>
    <t>سبعة</t>
  </si>
  <si>
    <t>sb3</t>
  </si>
  <si>
    <t>seventeen</t>
  </si>
  <si>
    <t>sb3Taash</t>
  </si>
  <si>
    <t>سبعطاش</t>
  </si>
  <si>
    <t>seventh</t>
  </si>
  <si>
    <t>saab3</t>
  </si>
  <si>
    <t>سابع</t>
  </si>
  <si>
    <t>seventy</t>
  </si>
  <si>
    <t>sb3ayn</t>
  </si>
  <si>
    <t>سبعين</t>
  </si>
  <si>
    <t>several times</t>
  </si>
  <si>
    <t>sh’Haal mn mrra</t>
  </si>
  <si>
    <t>sew</t>
  </si>
  <si>
    <t>kheeyeT</t>
  </si>
  <si>
    <t>خيّط</t>
  </si>
  <si>
    <t>shadow</t>
  </si>
  <si>
    <t>Dell</t>
  </si>
  <si>
    <t>ضلّ</t>
  </si>
  <si>
    <t>shake</t>
  </si>
  <si>
    <t>shake hands</t>
  </si>
  <si>
    <t>Tsaalm</t>
  </si>
  <si>
    <t>shake out</t>
  </si>
  <si>
    <t>shame</t>
  </si>
  <si>
    <t>Hshooma</t>
  </si>
  <si>
    <t>حشومة</t>
  </si>
  <si>
    <t>‘asaf</t>
  </si>
  <si>
    <t>أَسَف</t>
  </si>
  <si>
    <t>shampoo</t>
  </si>
  <si>
    <t>shampwaan</t>
  </si>
  <si>
    <t>شَمپوان</t>
  </si>
  <si>
    <t>shape</t>
  </si>
  <si>
    <t>shkl</t>
  </si>
  <si>
    <t>شكل</t>
  </si>
  <si>
    <t>share</t>
  </si>
  <si>
    <t>mshaarek</t>
  </si>
  <si>
    <t>مشارَكَ</t>
  </si>
  <si>
    <t>sharing</t>
  </si>
  <si>
    <t>sharp</t>
  </si>
  <si>
    <t>shave</t>
  </si>
  <si>
    <t>shaving brush</t>
  </si>
  <si>
    <t>شيتة د الحسانة</t>
  </si>
  <si>
    <t>she</t>
  </si>
  <si>
    <t>heeya</t>
  </si>
  <si>
    <t>هِيَ</t>
  </si>
  <si>
    <t>sheep</t>
  </si>
  <si>
    <t>Hooli(ya)</t>
  </si>
  <si>
    <t>حولي</t>
  </si>
  <si>
    <t>shelf</t>
  </si>
  <si>
    <t>mstra</t>
  </si>
  <si>
    <t>itajera</t>
  </si>
  <si>
    <t>shell</t>
  </si>
  <si>
    <t>qshera</t>
  </si>
  <si>
    <t>قشرة</t>
  </si>
  <si>
    <t>shelter</t>
  </si>
  <si>
    <t>drrq</t>
  </si>
  <si>
    <t>درّق</t>
  </si>
  <si>
    <t>drrg</t>
  </si>
  <si>
    <t>درّگ</t>
  </si>
  <si>
    <t>shepherd</t>
  </si>
  <si>
    <t>saareH</t>
  </si>
  <si>
    <t>سارح</t>
  </si>
  <si>
    <t>sreH</t>
  </si>
  <si>
    <t>سرح</t>
  </si>
  <si>
    <t>shine</t>
  </si>
  <si>
    <t>sh3aa</t>
  </si>
  <si>
    <t>lme3</t>
  </si>
  <si>
    <t>لمع</t>
  </si>
  <si>
    <t>aibree</t>
  </si>
  <si>
    <t>ship</t>
  </si>
  <si>
    <t>babor</t>
  </si>
  <si>
    <t>shirt</t>
  </si>
  <si>
    <t>qameeja</t>
  </si>
  <si>
    <t>قَميجة</t>
  </si>
  <si>
    <t>shock</t>
  </si>
  <si>
    <t>Sdem</t>
  </si>
  <si>
    <t>صدم</t>
  </si>
  <si>
    <t>tSdem</t>
  </si>
  <si>
    <t>تصدم</t>
  </si>
  <si>
    <t>shoes</t>
  </si>
  <si>
    <t>SbaaT</t>
  </si>
  <si>
    <t>صباط</t>
  </si>
  <si>
    <t>shop</t>
  </si>
  <si>
    <t>shopkeeper</t>
  </si>
  <si>
    <t>tajer</t>
  </si>
  <si>
    <t>shopping</t>
  </si>
  <si>
    <t>tqdeeya</t>
  </si>
  <si>
    <t>تقدية</t>
  </si>
  <si>
    <t>shopping arcade</t>
  </si>
  <si>
    <t>qissareeya</t>
  </si>
  <si>
    <t>short</t>
  </si>
  <si>
    <t>qSeer</t>
  </si>
  <si>
    <t>قصير</t>
  </si>
  <si>
    <t>short cut</t>
  </si>
  <si>
    <t>Treeq</t>
  </si>
  <si>
    <t>طريق مختاصَرة</t>
  </si>
  <si>
    <t>short-sleeved shirt</t>
  </si>
  <si>
    <t>shorten</t>
  </si>
  <si>
    <t>khtaaSar</t>
  </si>
  <si>
    <t>ختاصَر</t>
  </si>
  <si>
    <t>shorts</t>
  </si>
  <si>
    <t>shoorT</t>
  </si>
  <si>
    <t>شورط</t>
  </si>
  <si>
    <t>pirmeeda</t>
  </si>
  <si>
    <t>shoulder</t>
  </si>
  <si>
    <t>ktf</t>
  </si>
  <si>
    <t>كتف</t>
  </si>
  <si>
    <t>shout</t>
  </si>
  <si>
    <t>ghowaat</t>
  </si>
  <si>
    <t>ghoowet</t>
  </si>
  <si>
    <t>غوّت</t>
  </si>
  <si>
    <t>shovel</t>
  </si>
  <si>
    <t>بالة</t>
  </si>
  <si>
    <t>show</t>
  </si>
  <si>
    <t>wrraa (wrree)</t>
  </si>
  <si>
    <t>ورّى</t>
  </si>
  <si>
    <t>beeyen</t>
  </si>
  <si>
    <t>بيَّن</t>
  </si>
  <si>
    <t>mundr</t>
  </si>
  <si>
    <t>show mercy</t>
  </si>
  <si>
    <t>rHam</t>
  </si>
  <si>
    <t>رحَم</t>
  </si>
  <si>
    <t>show-off</t>
  </si>
  <si>
    <t>bza3t</t>
  </si>
  <si>
    <t>shower</t>
  </si>
  <si>
    <t>doowesh</t>
  </si>
  <si>
    <t>دوّش</t>
  </si>
  <si>
    <t>Hmmaam</t>
  </si>
  <si>
    <t>حمّام</t>
  </si>
  <si>
    <t>shower gel</t>
  </si>
  <si>
    <t>jel doowesh</t>
  </si>
  <si>
    <t>shower head</t>
  </si>
  <si>
    <t>dooshaat</t>
  </si>
  <si>
    <t>rshasha</t>
  </si>
  <si>
    <t>shutter</t>
  </si>
  <si>
    <t>fdreesh</t>
  </si>
  <si>
    <t>siblings</t>
  </si>
  <si>
    <t>khoot</t>
  </si>
  <si>
    <t>خوت</t>
  </si>
  <si>
    <t>sick</t>
  </si>
  <si>
    <t>mrD</t>
  </si>
  <si>
    <t>مرض</t>
  </si>
  <si>
    <t>sickle</t>
  </si>
  <si>
    <t>mnjel</t>
  </si>
  <si>
    <t>منجل</t>
  </si>
  <si>
    <t>sickness</t>
  </si>
  <si>
    <t>side</t>
  </si>
  <si>
    <t>jeeha</t>
  </si>
  <si>
    <t>sideboard</t>
  </si>
  <si>
    <t>siesta</t>
  </si>
  <si>
    <t>sieve</t>
  </si>
  <si>
    <t>ghrbaal</t>
  </si>
  <si>
    <t>غربال</t>
  </si>
  <si>
    <t>ghrbl</t>
  </si>
  <si>
    <t>غربل</t>
  </si>
  <si>
    <t>sift</t>
  </si>
  <si>
    <t>sign</t>
  </si>
  <si>
    <t>بلاكة</t>
  </si>
  <si>
    <t>mDaa (mDee)</t>
  </si>
  <si>
    <t>مضى</t>
  </si>
  <si>
    <t>signal</t>
  </si>
  <si>
    <t>seenyaal</t>
  </si>
  <si>
    <t>سينيال</t>
  </si>
  <si>
    <t>signature</t>
  </si>
  <si>
    <t>‘imDaa’</t>
  </si>
  <si>
    <t>إمضاء</t>
  </si>
  <si>
    <t>significant</t>
  </si>
  <si>
    <t>silence</t>
  </si>
  <si>
    <t>skkt</t>
  </si>
  <si>
    <t>سكّت</t>
  </si>
  <si>
    <t>silent</t>
  </si>
  <si>
    <t>saakt</t>
  </si>
  <si>
    <t>ساكت</t>
  </si>
  <si>
    <t>qTaa3</t>
  </si>
  <si>
    <t>silk</t>
  </si>
  <si>
    <t>Hreer</t>
  </si>
  <si>
    <t>حرير دودة</t>
  </si>
  <si>
    <t>حرير</t>
  </si>
  <si>
    <t>silver</t>
  </si>
  <si>
    <t>nqra</t>
  </si>
  <si>
    <t>نقرة</t>
  </si>
  <si>
    <t>feDDa</t>
  </si>
  <si>
    <t>فضّة</t>
  </si>
  <si>
    <t>nqree</t>
  </si>
  <si>
    <t>نقري</t>
  </si>
  <si>
    <t>fDDee</t>
  </si>
  <si>
    <t>فضي</t>
  </si>
  <si>
    <t>silversmith</t>
  </si>
  <si>
    <t>nqaayree</t>
  </si>
  <si>
    <t>نقايري</t>
  </si>
  <si>
    <t>simple</t>
  </si>
  <si>
    <t>bSeeT</t>
  </si>
  <si>
    <t>بصيط</t>
  </si>
  <si>
    <t>sampl</t>
  </si>
  <si>
    <t>sin</t>
  </si>
  <si>
    <t>dnb</t>
  </si>
  <si>
    <t>دنب</t>
  </si>
  <si>
    <t>since</t>
  </si>
  <si>
    <t>sing</t>
  </si>
  <si>
    <t>ghnnaa (ghnnee)</t>
  </si>
  <si>
    <t>غنّى</t>
  </si>
  <si>
    <t>singer</t>
  </si>
  <si>
    <t>mghannee</t>
  </si>
  <si>
    <t>مغنّي</t>
  </si>
  <si>
    <t>single</t>
  </si>
  <si>
    <t>3zib</t>
  </si>
  <si>
    <t>sink</t>
  </si>
  <si>
    <t>lavabo</t>
  </si>
  <si>
    <t>ghTes</t>
  </si>
  <si>
    <t>غطَس</t>
  </si>
  <si>
    <t>sinner</t>
  </si>
  <si>
    <t>modnib</t>
  </si>
  <si>
    <t>مُدنِب</t>
  </si>
  <si>
    <t>sir</t>
  </si>
  <si>
    <t>seedee</t>
  </si>
  <si>
    <t>سيدي</t>
  </si>
  <si>
    <t>sister</t>
  </si>
  <si>
    <t>خت</t>
  </si>
  <si>
    <t>‘okht</t>
  </si>
  <si>
    <t>أُخت</t>
  </si>
  <si>
    <t>sister-in-law</t>
  </si>
  <si>
    <t>loosa</t>
  </si>
  <si>
    <t>sit</t>
  </si>
  <si>
    <t>gls</t>
  </si>
  <si>
    <t>گلس</t>
  </si>
  <si>
    <t>gaals</t>
  </si>
  <si>
    <t>گالس</t>
  </si>
  <si>
    <t>glls</t>
  </si>
  <si>
    <t>sitting room</t>
  </si>
  <si>
    <t>six</t>
  </si>
  <si>
    <t>stta</t>
  </si>
  <si>
    <t>ستّة</t>
  </si>
  <si>
    <t>stt</t>
  </si>
  <si>
    <t>ستّ</t>
  </si>
  <si>
    <t>sixteen</t>
  </si>
  <si>
    <t>sTTaash</t>
  </si>
  <si>
    <t>سطّاش</t>
  </si>
  <si>
    <t>sixth</t>
  </si>
  <si>
    <t>saades</t>
  </si>
  <si>
    <t>سادس</t>
  </si>
  <si>
    <t>sixty</t>
  </si>
  <si>
    <t>stteen</t>
  </si>
  <si>
    <t>ستّين</t>
  </si>
  <si>
    <t>size</t>
  </si>
  <si>
    <t>3abar</t>
  </si>
  <si>
    <t>skin</t>
  </si>
  <si>
    <t>jlda</t>
  </si>
  <si>
    <t>جلدة</t>
  </si>
  <si>
    <t>qshra</t>
  </si>
  <si>
    <t>skirt</t>
  </si>
  <si>
    <t>Saaya</t>
  </si>
  <si>
    <t>صاية</t>
  </si>
  <si>
    <t>skirting board</t>
  </si>
  <si>
    <t>plinta</t>
  </si>
  <si>
    <t>sky</t>
  </si>
  <si>
    <t>smaa</t>
  </si>
  <si>
    <t>سما</t>
  </si>
  <si>
    <t>sky blue</t>
  </si>
  <si>
    <t>sheebee</t>
  </si>
  <si>
    <t>شيبي</t>
  </si>
  <si>
    <t>semaawee</t>
  </si>
  <si>
    <t>سماوي</t>
  </si>
  <si>
    <t>skylight</t>
  </si>
  <si>
    <t>dowaya</t>
  </si>
  <si>
    <t>Skype</t>
  </si>
  <si>
    <t>skaayp</t>
  </si>
  <si>
    <t>سكايپ</t>
  </si>
  <si>
    <t>slap</t>
  </si>
  <si>
    <t>Srfeq</t>
  </si>
  <si>
    <t>صرفق</t>
  </si>
  <si>
    <t>slate</t>
  </si>
  <si>
    <t>looHa</t>
  </si>
  <si>
    <t>لوحة</t>
  </si>
  <si>
    <t>n33s</t>
  </si>
  <si>
    <t>نعّس</t>
  </si>
  <si>
    <t>jaa</t>
  </si>
  <si>
    <t>نعاس</t>
  </si>
  <si>
    <t>3mch</t>
  </si>
  <si>
    <t>sleeve</t>
  </si>
  <si>
    <t>kmm</t>
  </si>
  <si>
    <t>كمّ</t>
  </si>
  <si>
    <t>slice</t>
  </si>
  <si>
    <t>slipper</t>
  </si>
  <si>
    <t>pantoofa</t>
  </si>
  <si>
    <t>blagha</t>
  </si>
  <si>
    <t>بلغة</t>
  </si>
  <si>
    <t>slope</t>
  </si>
  <si>
    <t>Tl3a</t>
  </si>
  <si>
    <t>habta</t>
  </si>
  <si>
    <t>slowly</t>
  </si>
  <si>
    <t>b shweeya</t>
  </si>
  <si>
    <t>ب شوية</t>
  </si>
  <si>
    <t>slug</t>
  </si>
  <si>
    <t>boo3beela</t>
  </si>
  <si>
    <t>small</t>
  </si>
  <si>
    <t>smaller</t>
  </si>
  <si>
    <t>Sgher</t>
  </si>
  <si>
    <t>صغر</t>
  </si>
  <si>
    <t>smell</t>
  </si>
  <si>
    <t>shmm</t>
  </si>
  <si>
    <t>شمّ</t>
  </si>
  <si>
    <t>smile</t>
  </si>
  <si>
    <t>tbisaama</t>
  </si>
  <si>
    <t>DeHka</t>
  </si>
  <si>
    <t>tbessem</t>
  </si>
  <si>
    <t>تبَسَّم</t>
  </si>
  <si>
    <t>smoke</t>
  </si>
  <si>
    <t>dkhaan</t>
  </si>
  <si>
    <t>snack</t>
  </si>
  <si>
    <t>kaskroot</t>
  </si>
  <si>
    <t>كَسكروت</t>
  </si>
  <si>
    <t>snail</t>
  </si>
  <si>
    <t>babooch</t>
  </si>
  <si>
    <t>بابوش</t>
  </si>
  <si>
    <t>sneakers</t>
  </si>
  <si>
    <t>sbrdeela</t>
  </si>
  <si>
    <t>سبرديلة</t>
  </si>
  <si>
    <t>sneeze</t>
  </si>
  <si>
    <t>3aTsa</t>
  </si>
  <si>
    <t>عَطسة</t>
  </si>
  <si>
    <t>snore</t>
  </si>
  <si>
    <t>sh-kher</t>
  </si>
  <si>
    <t>شخر</t>
  </si>
  <si>
    <t>snoring</t>
  </si>
  <si>
    <t>sh-kheer</t>
  </si>
  <si>
    <t>شخير</t>
  </si>
  <si>
    <t>snow</t>
  </si>
  <si>
    <t>snow covered</t>
  </si>
  <si>
    <t>so</t>
  </si>
  <si>
    <t>‘aywa</t>
  </si>
  <si>
    <t>أيوه</t>
  </si>
  <si>
    <t>soap</t>
  </si>
  <si>
    <t>soap opera</t>
  </si>
  <si>
    <t>sociable</t>
  </si>
  <si>
    <t>ijtim3ay</t>
  </si>
  <si>
    <t>sock</t>
  </si>
  <si>
    <t>tqsheera</t>
  </si>
  <si>
    <t>تقاشر</t>
  </si>
  <si>
    <t>socket</t>
  </si>
  <si>
    <t>preez</t>
  </si>
  <si>
    <t>پريز</t>
  </si>
  <si>
    <t>soda</t>
  </si>
  <si>
    <t>sofa</t>
  </si>
  <si>
    <t>staadr</t>
  </si>
  <si>
    <t>fraash</t>
  </si>
  <si>
    <t>فراش</t>
  </si>
  <si>
    <t>sofa base</t>
  </si>
  <si>
    <t>soft</t>
  </si>
  <si>
    <t>rTeb</t>
  </si>
  <si>
    <t>رطب</t>
  </si>
  <si>
    <t>soil</t>
  </si>
  <si>
    <t>solar</t>
  </si>
  <si>
    <t>shmsee</t>
  </si>
  <si>
    <t>شمسي</t>
  </si>
  <si>
    <t>soldier</t>
  </si>
  <si>
    <t>3skree</t>
  </si>
  <si>
    <t>عسكري</t>
  </si>
  <si>
    <t>solicitor</t>
  </si>
  <si>
    <t>some</t>
  </si>
  <si>
    <t>shee</t>
  </si>
  <si>
    <t>شي</t>
  </si>
  <si>
    <t>someone</t>
  </si>
  <si>
    <t>shee waaHd</t>
  </si>
  <si>
    <t>شي واحد</t>
  </si>
  <si>
    <t>shee Hd</t>
  </si>
  <si>
    <t>شي حد</t>
  </si>
  <si>
    <t>something</t>
  </si>
  <si>
    <t>shee Haaja</t>
  </si>
  <si>
    <t>شي حاجة</t>
  </si>
  <si>
    <t>something shameful</t>
  </si>
  <si>
    <t>3eeb</t>
  </si>
  <si>
    <t>sometimes</t>
  </si>
  <si>
    <t>shee mrraat</t>
  </si>
  <si>
    <t>شي مرّات</t>
  </si>
  <si>
    <t>shee khtraat</t>
  </si>
  <si>
    <t>somewhere</t>
  </si>
  <si>
    <t>shee blaaSa</t>
  </si>
  <si>
    <t>شي بلاصة</t>
  </si>
  <si>
    <t>son</t>
  </si>
  <si>
    <t>song</t>
  </si>
  <si>
    <t>‘oghneeya</t>
  </si>
  <si>
    <t>أُغنية</t>
  </si>
  <si>
    <t>Saoot</t>
  </si>
  <si>
    <t>صَوت</t>
  </si>
  <si>
    <t>tareneem</t>
  </si>
  <si>
    <t>تَرنيم</t>
  </si>
  <si>
    <t>soon</t>
  </si>
  <si>
    <t>sound</t>
  </si>
  <si>
    <t>Sawt</t>
  </si>
  <si>
    <t>soup</t>
  </si>
  <si>
    <t>Sooba</t>
  </si>
  <si>
    <t>صوبة</t>
  </si>
  <si>
    <t>Hreera</t>
  </si>
  <si>
    <t>حريرة</t>
  </si>
  <si>
    <t>sour</t>
  </si>
  <si>
    <t>HaameD</t>
  </si>
  <si>
    <t>south</t>
  </si>
  <si>
    <t>janoob</t>
  </si>
  <si>
    <t>جَنوب</t>
  </si>
  <si>
    <t>souvenir</t>
  </si>
  <si>
    <t>sooveneer</t>
  </si>
  <si>
    <t>sow</t>
  </si>
  <si>
    <t>zre3</t>
  </si>
  <si>
    <t>زرع</t>
  </si>
  <si>
    <t>spade</t>
  </si>
  <si>
    <t>spaghetti</t>
  </si>
  <si>
    <t>spaketee</t>
  </si>
  <si>
    <t>Spain</t>
  </si>
  <si>
    <t>sblyoon</t>
  </si>
  <si>
    <t>Spanish</t>
  </si>
  <si>
    <t>sblyoonee(ya)</t>
  </si>
  <si>
    <t>sblyooneeya</t>
  </si>
  <si>
    <t>sparkling water</t>
  </si>
  <si>
    <t>oolmaas</t>
  </si>
  <si>
    <t>ولماس</t>
  </si>
  <si>
    <t>speak</t>
  </si>
  <si>
    <t>hdr</t>
  </si>
  <si>
    <t>هدر</t>
  </si>
  <si>
    <t>tkllm</t>
  </si>
  <si>
    <t>تكلّم</t>
  </si>
  <si>
    <t>dwaa (dwee)</t>
  </si>
  <si>
    <t>دوى</t>
  </si>
  <si>
    <t>speaker</t>
  </si>
  <si>
    <t>special</t>
  </si>
  <si>
    <t>specialist</t>
  </si>
  <si>
    <t>khtiSaaSee</t>
  </si>
  <si>
    <t>ختِصاصي</t>
  </si>
  <si>
    <t>spell</t>
  </si>
  <si>
    <t>spend</t>
  </si>
  <si>
    <t>spend the day</t>
  </si>
  <si>
    <t>Dll</t>
  </si>
  <si>
    <t>spices</t>
  </si>
  <si>
    <t>3Treeya</t>
  </si>
  <si>
    <t>عطرية</t>
  </si>
  <si>
    <t>spider</t>
  </si>
  <si>
    <t>rteela</t>
  </si>
  <si>
    <t>رتيلة</t>
  </si>
  <si>
    <t>spill</t>
  </si>
  <si>
    <t>khwaa</t>
  </si>
  <si>
    <t>spiral shaped pasta</t>
  </si>
  <si>
    <t>spirit</t>
  </si>
  <si>
    <t>rooH</t>
  </si>
  <si>
    <t>روح</t>
  </si>
  <si>
    <t>spiritual</t>
  </si>
  <si>
    <t>rooHee</t>
  </si>
  <si>
    <t>روحي</t>
  </si>
  <si>
    <t>rooHaanee</t>
  </si>
  <si>
    <t>روحاني</t>
  </si>
  <si>
    <t>spoil</t>
  </si>
  <si>
    <t>spoon</t>
  </si>
  <si>
    <t>m3lqa</t>
  </si>
  <si>
    <t>معلقة</t>
  </si>
  <si>
    <t>sport</t>
  </si>
  <si>
    <t>spray</t>
  </si>
  <si>
    <t>rsh-sh</t>
  </si>
  <si>
    <t>رشّ</t>
  </si>
  <si>
    <t>spread</t>
  </si>
  <si>
    <t>spread out</t>
  </si>
  <si>
    <t>towaza3</t>
  </si>
  <si>
    <t>tshtaat</t>
  </si>
  <si>
    <t>spring</t>
  </si>
  <si>
    <t>spy</t>
  </si>
  <si>
    <t>jaasoos</t>
  </si>
  <si>
    <t>جاسوس</t>
  </si>
  <si>
    <t>tjesses</t>
  </si>
  <si>
    <t>تجَسَّس</t>
  </si>
  <si>
    <t>square</t>
  </si>
  <si>
    <t>morab3a</t>
  </si>
  <si>
    <t>saaHa</t>
  </si>
  <si>
    <t>karee</t>
  </si>
  <si>
    <t>squash</t>
  </si>
  <si>
    <t>گرعة حمرة</t>
  </si>
  <si>
    <t>squirrel</t>
  </si>
  <si>
    <t>snjaab</t>
  </si>
  <si>
    <t>stable</t>
  </si>
  <si>
    <t>stack up</t>
  </si>
  <si>
    <t>stage</t>
  </si>
  <si>
    <t>mrHla</t>
  </si>
  <si>
    <t>stairs</t>
  </si>
  <si>
    <t>drooj</t>
  </si>
  <si>
    <t>stand</t>
  </si>
  <si>
    <t>Hmel</t>
  </si>
  <si>
    <t>waaqf</t>
  </si>
  <si>
    <t>واقف</t>
  </si>
  <si>
    <t>stand up</t>
  </si>
  <si>
    <t>star</t>
  </si>
  <si>
    <t>njma</t>
  </si>
  <si>
    <t>نجمة</t>
  </si>
  <si>
    <t>stare</t>
  </si>
  <si>
    <t>start</t>
  </si>
  <si>
    <t>bdaa</t>
  </si>
  <si>
    <t>بدى</t>
  </si>
  <si>
    <t>state</t>
  </si>
  <si>
    <t>doola</t>
  </si>
  <si>
    <t>wilaaya</t>
  </si>
  <si>
    <t>وِلاية</t>
  </si>
  <si>
    <t>stay</t>
  </si>
  <si>
    <t>g3ad</t>
  </si>
  <si>
    <t>گعَد</t>
  </si>
  <si>
    <t>stay the night</t>
  </si>
  <si>
    <t>stay up late</t>
  </si>
  <si>
    <t>s-hr</t>
  </si>
  <si>
    <t>سهر</t>
  </si>
  <si>
    <t>steal</t>
  </si>
  <si>
    <t>shffr</t>
  </si>
  <si>
    <t>شفّر</t>
  </si>
  <si>
    <t>mkhar</t>
  </si>
  <si>
    <t>srq</t>
  </si>
  <si>
    <t>سرق</t>
  </si>
  <si>
    <t>khowen</t>
  </si>
  <si>
    <t>tshffr</t>
  </si>
  <si>
    <t>تشفّر</t>
  </si>
  <si>
    <t>tsrq</t>
  </si>
  <si>
    <t>تسرق</t>
  </si>
  <si>
    <t>steam</t>
  </si>
  <si>
    <t>bokhaar</t>
  </si>
  <si>
    <t>بُخار</t>
  </si>
  <si>
    <t>foower</t>
  </si>
  <si>
    <t>فوّر</t>
  </si>
  <si>
    <t>steamed</t>
  </si>
  <si>
    <t>mfoower</t>
  </si>
  <si>
    <t>مفوّر</t>
  </si>
  <si>
    <t>steel</t>
  </si>
  <si>
    <t>foolad</t>
  </si>
  <si>
    <t>فولَد</t>
  </si>
  <si>
    <t>step</t>
  </si>
  <si>
    <t>khaTwa</t>
  </si>
  <si>
    <t>خَطوة</t>
  </si>
  <si>
    <t>stick</t>
  </si>
  <si>
    <t>3Saa</t>
  </si>
  <si>
    <t>عصا</t>
  </si>
  <si>
    <t>sticky</t>
  </si>
  <si>
    <t>laaSq</t>
  </si>
  <si>
    <t>لاصق</t>
  </si>
  <si>
    <t>still</t>
  </si>
  <si>
    <t>baaqee</t>
  </si>
  <si>
    <t>باقي</t>
  </si>
  <si>
    <t>maazaal</t>
  </si>
  <si>
    <t>مازال</t>
  </si>
  <si>
    <t>still water</t>
  </si>
  <si>
    <t>maa</t>
  </si>
  <si>
    <t>ما</t>
  </si>
  <si>
    <t>seedee 3lee</t>
  </si>
  <si>
    <t>سيدي علي</t>
  </si>
  <si>
    <t>stir</t>
  </si>
  <si>
    <t>stitch</t>
  </si>
  <si>
    <t>ghorza</t>
  </si>
  <si>
    <t>غُرزة</t>
  </si>
  <si>
    <t>stock exchange</t>
  </si>
  <si>
    <t>boorSa</t>
  </si>
  <si>
    <t>بورصة</t>
  </si>
  <si>
    <t>stomach</t>
  </si>
  <si>
    <t>m3da</t>
  </si>
  <si>
    <t>معدة</t>
  </si>
  <si>
    <t>stone</t>
  </si>
  <si>
    <t>stony</t>
  </si>
  <si>
    <t>mHjer</t>
  </si>
  <si>
    <t>محجر</t>
  </si>
  <si>
    <t>stool</t>
  </si>
  <si>
    <t>stop</t>
  </si>
  <si>
    <t>mn3</t>
  </si>
  <si>
    <t>منع</t>
  </si>
  <si>
    <t>Haabs</t>
  </si>
  <si>
    <t>حابس</t>
  </si>
  <si>
    <t>storage room</t>
  </si>
  <si>
    <t>storekeeper</t>
  </si>
  <si>
    <t>storey</t>
  </si>
  <si>
    <t>storm</t>
  </si>
  <si>
    <t>3aaSifa</t>
  </si>
  <si>
    <t>عاصِفة</t>
  </si>
  <si>
    <t>stormy</t>
  </si>
  <si>
    <t>3asifee</t>
  </si>
  <si>
    <t>story</t>
  </si>
  <si>
    <t>qiSSa</t>
  </si>
  <si>
    <t>قِصّة</t>
  </si>
  <si>
    <t>Hjjaya</t>
  </si>
  <si>
    <t>straight</t>
  </si>
  <si>
    <t>mserreH</t>
  </si>
  <si>
    <t>straight ahead</t>
  </si>
  <si>
    <t>straight away</t>
  </si>
  <si>
    <t>heeya loowela</t>
  </si>
  <si>
    <t>straight on</t>
  </si>
  <si>
    <t>strainer</t>
  </si>
  <si>
    <t>strange</t>
  </si>
  <si>
    <t>f shee shkl</t>
  </si>
  <si>
    <t>فشيشكل</t>
  </si>
  <si>
    <t>ghreeb</t>
  </si>
  <si>
    <t>غريب</t>
  </si>
  <si>
    <t>3ajeeb</t>
  </si>
  <si>
    <t>عَجيب</t>
  </si>
  <si>
    <t>straw hat</t>
  </si>
  <si>
    <t>terazaala</t>
  </si>
  <si>
    <t>strawberry</t>
  </si>
  <si>
    <t>freez</t>
  </si>
  <si>
    <t>فريز</t>
  </si>
  <si>
    <t>street</t>
  </si>
  <si>
    <t>znqa</t>
  </si>
  <si>
    <t>زنقة</t>
  </si>
  <si>
    <t>طرِيق</t>
  </si>
  <si>
    <t>strength</t>
  </si>
  <si>
    <t>string</t>
  </si>
  <si>
    <t>striped</t>
  </si>
  <si>
    <t>mkheTTaT</t>
  </si>
  <si>
    <t>مخَطَّط</t>
  </si>
  <si>
    <t>strong</t>
  </si>
  <si>
    <t>qwee</t>
  </si>
  <si>
    <t>stubborn</t>
  </si>
  <si>
    <t>raas qaaSeH</t>
  </si>
  <si>
    <t>راس قاصح</t>
  </si>
  <si>
    <t>student</t>
  </si>
  <si>
    <t>tlmeed(a)</t>
  </si>
  <si>
    <t>studies</t>
  </si>
  <si>
    <t>qraaya</t>
  </si>
  <si>
    <t>قراية</t>
  </si>
  <si>
    <t>studious</t>
  </si>
  <si>
    <t>study</t>
  </si>
  <si>
    <t>qraa</t>
  </si>
  <si>
    <t>قرى</t>
  </si>
  <si>
    <t>qaaree</t>
  </si>
  <si>
    <t>قاري</t>
  </si>
  <si>
    <t>stuffed</t>
  </si>
  <si>
    <t>m3ammer</t>
  </si>
  <si>
    <t>معَمَّر</t>
  </si>
  <si>
    <t>stupid</t>
  </si>
  <si>
    <t>mkelkh</t>
  </si>
  <si>
    <t>مكلخ</t>
  </si>
  <si>
    <t>style</t>
  </si>
  <si>
    <t>subject</t>
  </si>
  <si>
    <t>moDoo3</t>
  </si>
  <si>
    <t>maadda</t>
  </si>
  <si>
    <t>مادّة</t>
  </si>
  <si>
    <t>submerge</t>
  </si>
  <si>
    <t>subway</t>
  </si>
  <si>
    <t>meetroo</t>
  </si>
  <si>
    <t>ميترو</t>
  </si>
  <si>
    <t>succeed</t>
  </si>
  <si>
    <t>njeH</t>
  </si>
  <si>
    <t>نجح</t>
  </si>
  <si>
    <t>suddenly</t>
  </si>
  <si>
    <t>faaj 3aataan</t>
  </si>
  <si>
    <t>3laa ghfla</t>
  </si>
  <si>
    <t>suffer</t>
  </si>
  <si>
    <t>t3ddb</t>
  </si>
  <si>
    <t>تعدّب</t>
  </si>
  <si>
    <t>sugar</t>
  </si>
  <si>
    <t>سكَّر</t>
  </si>
  <si>
    <t>sugar loaf</t>
  </si>
  <si>
    <t>qalb</t>
  </si>
  <si>
    <t>suit</t>
  </si>
  <si>
    <t>koosteem</t>
  </si>
  <si>
    <t>كوستيم</t>
  </si>
  <si>
    <t>komplee</t>
  </si>
  <si>
    <t>suitable</t>
  </si>
  <si>
    <t>mnaaseb</t>
  </si>
  <si>
    <t>مناسب</t>
  </si>
  <si>
    <t>suitcase</t>
  </si>
  <si>
    <t>shanTa</t>
  </si>
  <si>
    <t>شَنطة</t>
  </si>
  <si>
    <t>baleeza</t>
  </si>
  <si>
    <t>summary</t>
  </si>
  <si>
    <t>kholaaSa</t>
  </si>
  <si>
    <t>خُلاصة</t>
  </si>
  <si>
    <t>summer</t>
  </si>
  <si>
    <t>Seef</t>
  </si>
  <si>
    <t>صيف</t>
  </si>
  <si>
    <t>sun</t>
  </si>
  <si>
    <t>shms</t>
  </si>
  <si>
    <t>شمس</t>
  </si>
  <si>
    <t>Sunday</t>
  </si>
  <si>
    <t>نهار الحدّ</t>
  </si>
  <si>
    <t>lHedd</t>
  </si>
  <si>
    <t>الحدّ</t>
  </si>
  <si>
    <t>sunny</t>
  </si>
  <si>
    <t>mshms</t>
  </si>
  <si>
    <t>مشمس</t>
  </si>
  <si>
    <t>sunrise</t>
  </si>
  <si>
    <t>shorooq</t>
  </si>
  <si>
    <t>شُروق</t>
  </si>
  <si>
    <t>sunset</t>
  </si>
  <si>
    <t>ghoroob</t>
  </si>
  <si>
    <t>super</t>
  </si>
  <si>
    <t>momtaaz</t>
  </si>
  <si>
    <t>مُمتاز</t>
  </si>
  <si>
    <t>sure</t>
  </si>
  <si>
    <t>mt’akid</t>
  </si>
  <si>
    <t>متأكد</t>
  </si>
  <si>
    <t>surprise</t>
  </si>
  <si>
    <t>mofaaja’a</t>
  </si>
  <si>
    <t>مُفاجَأة</t>
  </si>
  <si>
    <t>faaj’e</t>
  </si>
  <si>
    <t>فاجأ</t>
  </si>
  <si>
    <t>tfaaj’e</t>
  </si>
  <si>
    <t>تفاجأ</t>
  </si>
  <si>
    <t>survive</t>
  </si>
  <si>
    <t>نجى</t>
  </si>
  <si>
    <t>suspend</t>
  </si>
  <si>
    <t>swallow</t>
  </si>
  <si>
    <t>SrT</t>
  </si>
  <si>
    <t>صرط</t>
  </si>
  <si>
    <t>swear</t>
  </si>
  <si>
    <t>sbb</t>
  </si>
  <si>
    <t>سبّ</t>
  </si>
  <si>
    <t>Hlef</t>
  </si>
  <si>
    <t>حلف</t>
  </si>
  <si>
    <t>swearing</t>
  </si>
  <si>
    <t>sweat</t>
  </si>
  <si>
    <t>sweater</t>
  </si>
  <si>
    <t>sweep</t>
  </si>
  <si>
    <t>shTTb</t>
  </si>
  <si>
    <t>شطّب</t>
  </si>
  <si>
    <t>sweet</t>
  </si>
  <si>
    <t>Hloo</t>
  </si>
  <si>
    <t>حلو</t>
  </si>
  <si>
    <t>sweeter</t>
  </si>
  <si>
    <t>Hlaa</t>
  </si>
  <si>
    <t>حلى</t>
  </si>
  <si>
    <t>swim</t>
  </si>
  <si>
    <t>3aam (3oom)</t>
  </si>
  <si>
    <t>عام</t>
  </si>
  <si>
    <t>swimming pool</t>
  </si>
  <si>
    <t>laappeeseen</t>
  </si>
  <si>
    <t>لاپّيسين</t>
  </si>
  <si>
    <t>masbaH</t>
  </si>
  <si>
    <t>مَسبَح</t>
  </si>
  <si>
    <t>switch off</t>
  </si>
  <si>
    <t>Tfaa (Tfee)</t>
  </si>
  <si>
    <t>طفى</t>
  </si>
  <si>
    <t>switch on</t>
  </si>
  <si>
    <t>sword</t>
  </si>
  <si>
    <t>seef</t>
  </si>
  <si>
    <t>سيف</t>
  </si>
  <si>
    <t>syringe</t>
  </si>
  <si>
    <t>system</t>
  </si>
  <si>
    <t>sistem</t>
  </si>
  <si>
    <t>T-shirt</t>
  </si>
  <si>
    <t>teeshoort</t>
  </si>
  <si>
    <t>تيشورت</t>
  </si>
  <si>
    <t>table</t>
  </si>
  <si>
    <t>Tbla</t>
  </si>
  <si>
    <t>طبلة</t>
  </si>
  <si>
    <t>Tbeela</t>
  </si>
  <si>
    <t>table cloth</t>
  </si>
  <si>
    <t>qle3</t>
  </si>
  <si>
    <t>lanap</t>
  </si>
  <si>
    <t>tablespoon</t>
  </si>
  <si>
    <t>tablet</t>
  </si>
  <si>
    <t>tagine</t>
  </si>
  <si>
    <t>Taajeen</t>
  </si>
  <si>
    <t>طاجين</t>
  </si>
  <si>
    <t>tailor</t>
  </si>
  <si>
    <t>خيّاط</t>
  </si>
  <si>
    <t>take</t>
  </si>
  <si>
    <t>khdaa</t>
  </si>
  <si>
    <t>خدى</t>
  </si>
  <si>
    <t>ddaa (ddee)</t>
  </si>
  <si>
    <t>دّى</t>
  </si>
  <si>
    <t>take a photo</t>
  </si>
  <si>
    <t>Soower</t>
  </si>
  <si>
    <t>صوّر</t>
  </si>
  <si>
    <t>tSoower</t>
  </si>
  <si>
    <t>تصوّر</t>
  </si>
  <si>
    <t>take a shower</t>
  </si>
  <si>
    <t>take a stroll</t>
  </si>
  <si>
    <t>take care</t>
  </si>
  <si>
    <t>t-hllaa</t>
  </si>
  <si>
    <t>تهلّى</t>
  </si>
  <si>
    <t>take drugs</t>
  </si>
  <si>
    <t>tHesh</t>
  </si>
  <si>
    <t>take off</t>
  </si>
  <si>
    <t>Heeyed</t>
  </si>
  <si>
    <t>حيّد</t>
  </si>
  <si>
    <t>gll3</t>
  </si>
  <si>
    <t>take out</t>
  </si>
  <si>
    <t>take revenge</t>
  </si>
  <si>
    <t>take the long way</t>
  </si>
  <si>
    <t>daaz mn Treeq Tweela</t>
  </si>
  <si>
    <t>talent</t>
  </si>
  <si>
    <t>mawhiba</t>
  </si>
  <si>
    <t>مَوهِبة</t>
  </si>
  <si>
    <t>talk</t>
  </si>
  <si>
    <t>hadra</t>
  </si>
  <si>
    <t>هَدرة</t>
  </si>
  <si>
    <t>klaam</t>
  </si>
  <si>
    <t>كلام</t>
  </si>
  <si>
    <t>tall</t>
  </si>
  <si>
    <t>taller</t>
  </si>
  <si>
    <t>Twl</t>
  </si>
  <si>
    <t>طول</t>
  </si>
  <si>
    <t>Tangier</t>
  </si>
  <si>
    <t>Tanja</t>
  </si>
  <si>
    <t>طنجة</t>
  </si>
  <si>
    <t>tap</t>
  </si>
  <si>
    <t>robeenee</t>
  </si>
  <si>
    <t>روبيني</t>
  </si>
  <si>
    <t>tarmac</t>
  </si>
  <si>
    <t>zft</t>
  </si>
  <si>
    <t>زفت</t>
  </si>
  <si>
    <t>taste</t>
  </si>
  <si>
    <t>madaaq</t>
  </si>
  <si>
    <t>مَذاق</t>
  </si>
  <si>
    <t>dooq</t>
  </si>
  <si>
    <t>daaq (dooq)</t>
  </si>
  <si>
    <t>داق</t>
  </si>
  <si>
    <t>tax</t>
  </si>
  <si>
    <t>Dareeba</t>
  </si>
  <si>
    <t>ضَريبة</t>
  </si>
  <si>
    <t>taxi</t>
  </si>
  <si>
    <t>Taaksee</t>
  </si>
  <si>
    <t>طاكسي</t>
  </si>
  <si>
    <t>taxi rank</t>
  </si>
  <si>
    <t>tea</t>
  </si>
  <si>
    <t>‘ataay</t>
  </si>
  <si>
    <t>أتاي</t>
  </si>
  <si>
    <t>teach</t>
  </si>
  <si>
    <t>qrraa (qrree)</t>
  </si>
  <si>
    <t>قرّى</t>
  </si>
  <si>
    <t>3llm</t>
  </si>
  <si>
    <t>علّم</t>
  </si>
  <si>
    <t>teacher</t>
  </si>
  <si>
    <t>‘oostaad(a)</t>
  </si>
  <si>
    <t>أستاد</t>
  </si>
  <si>
    <t>teapot</t>
  </si>
  <si>
    <t>brraad</t>
  </si>
  <si>
    <t>برّاد</t>
  </si>
  <si>
    <t>tear</t>
  </si>
  <si>
    <t>dem3a</t>
  </si>
  <si>
    <t>دَمعة</t>
  </si>
  <si>
    <t>teaspoon</t>
  </si>
  <si>
    <t>معلقة صغيرة</t>
  </si>
  <si>
    <t>technical</t>
  </si>
  <si>
    <t>tiqnee</t>
  </si>
  <si>
    <t>تِقني</t>
  </si>
  <si>
    <t>teenager</t>
  </si>
  <si>
    <t>moraahiq</t>
  </si>
  <si>
    <t>مُراهِق</t>
  </si>
  <si>
    <t>telephone</t>
  </si>
  <si>
    <t>television</t>
  </si>
  <si>
    <t>tlfaza</t>
  </si>
  <si>
    <t>تلفَزة</t>
  </si>
  <si>
    <t>tell</t>
  </si>
  <si>
    <t>temperature</t>
  </si>
  <si>
    <t>ten</t>
  </si>
  <si>
    <t>3shra</t>
  </si>
  <si>
    <t>عشرة</t>
  </si>
  <si>
    <t>3sher</t>
  </si>
  <si>
    <t>عشر</t>
  </si>
  <si>
    <t>ten minutes</t>
  </si>
  <si>
    <t>qSmayn</t>
  </si>
  <si>
    <t>قصمَين</t>
  </si>
  <si>
    <t>tennis</t>
  </si>
  <si>
    <t>tinis</t>
  </si>
  <si>
    <t>تِنِس</t>
  </si>
  <si>
    <t>tenth</t>
  </si>
  <si>
    <t>3aasher</t>
  </si>
  <si>
    <t>عاشر</t>
  </si>
  <si>
    <t>terminus</t>
  </si>
  <si>
    <t>tirminoos</t>
  </si>
  <si>
    <t>تِرمِنوس</t>
  </si>
  <si>
    <t>test</t>
  </si>
  <si>
    <t>text message</t>
  </si>
  <si>
    <t>than</t>
  </si>
  <si>
    <t>thank</t>
  </si>
  <si>
    <t>chker</t>
  </si>
  <si>
    <t>شكر</t>
  </si>
  <si>
    <t>thank you</t>
  </si>
  <si>
    <t>shokran</t>
  </si>
  <si>
    <t>شُكراً</t>
  </si>
  <si>
    <t>baarak llah oo feek</t>
  </si>
  <si>
    <t>بارَك الله و فيك</t>
  </si>
  <si>
    <t>thanks to</t>
  </si>
  <si>
    <t>b sbaab</t>
  </si>
  <si>
    <t>that</t>
  </si>
  <si>
    <t>daak</t>
  </si>
  <si>
    <t>داك</t>
  </si>
  <si>
    <t>hadaak</t>
  </si>
  <si>
    <t>هَداك</t>
  </si>
  <si>
    <t>llee</t>
  </si>
  <si>
    <t>اللي</t>
  </si>
  <si>
    <t>bllee</t>
  </si>
  <si>
    <t>بلّي</t>
  </si>
  <si>
    <t>that one</t>
  </si>
  <si>
    <t>that thing</t>
  </si>
  <si>
    <t>daak sh-shee</t>
  </si>
  <si>
    <t>داك الشي</t>
  </si>
  <si>
    <t>that’s enough</t>
  </si>
  <si>
    <t>Saafee</t>
  </si>
  <si>
    <t>the day after tomorrow</t>
  </si>
  <si>
    <t>b3d ghddaa</t>
  </si>
  <si>
    <t>بعد غدا</t>
  </si>
  <si>
    <t>the day before yesturday</t>
  </si>
  <si>
    <t>welbaarH</t>
  </si>
  <si>
    <t>ولبارح</t>
  </si>
  <si>
    <t>the same age</t>
  </si>
  <si>
    <t>gd-gd</t>
  </si>
  <si>
    <t>گد گد</t>
  </si>
  <si>
    <t>qd-qd</t>
  </si>
  <si>
    <t>قد قد</t>
  </si>
  <si>
    <t>the same size</t>
  </si>
  <si>
    <t>theft</t>
  </si>
  <si>
    <t>srqa</t>
  </si>
  <si>
    <t>سرقة</t>
  </si>
  <si>
    <t>their</t>
  </si>
  <si>
    <t>-hom</t>
  </si>
  <si>
    <t>هُم</t>
  </si>
  <si>
    <t>dyaalhom</t>
  </si>
  <si>
    <t>ديالهُم</t>
  </si>
  <si>
    <t>dyaawlhom</t>
  </si>
  <si>
    <t>there</t>
  </si>
  <si>
    <t>tmmaa</t>
  </si>
  <si>
    <t>تمّا</t>
  </si>
  <si>
    <t>there is</t>
  </si>
  <si>
    <t>kaayn</t>
  </si>
  <si>
    <t>كاين</t>
  </si>
  <si>
    <t>these</t>
  </si>
  <si>
    <t>had l</t>
  </si>
  <si>
    <t>هَد ال</t>
  </si>
  <si>
    <t>hadoo</t>
  </si>
  <si>
    <t>هَدو</t>
  </si>
  <si>
    <t>these ones</t>
  </si>
  <si>
    <t>they</t>
  </si>
  <si>
    <t>homaa</t>
  </si>
  <si>
    <t>هُما</t>
  </si>
  <si>
    <t>thick</t>
  </si>
  <si>
    <t>thief</t>
  </si>
  <si>
    <t>shffaar</t>
  </si>
  <si>
    <t>شفّار</t>
  </si>
  <si>
    <t>mkhaar</t>
  </si>
  <si>
    <t>سرّاق</t>
  </si>
  <si>
    <t>thigh</t>
  </si>
  <si>
    <t>thin</t>
  </si>
  <si>
    <t>rqeeq</t>
  </si>
  <si>
    <t>رقيق</t>
  </si>
  <si>
    <t>thing</t>
  </si>
  <si>
    <t>Haaja</t>
  </si>
  <si>
    <t>حاجة</t>
  </si>
  <si>
    <t>mS’ala</t>
  </si>
  <si>
    <t>adowaat</t>
  </si>
  <si>
    <t>think</t>
  </si>
  <si>
    <t>fkkr</t>
  </si>
  <si>
    <t>فكّر</t>
  </si>
  <si>
    <t>khmmem</t>
  </si>
  <si>
    <t>خمّم</t>
  </si>
  <si>
    <t>third</t>
  </si>
  <si>
    <t>taalt</t>
  </si>
  <si>
    <t>تالت</t>
  </si>
  <si>
    <t>tolout</t>
  </si>
  <si>
    <t>تُلُت</t>
  </si>
  <si>
    <t>thirst</t>
  </si>
  <si>
    <t>3Tesh</t>
  </si>
  <si>
    <t>عطش</t>
  </si>
  <si>
    <t>thirsty</t>
  </si>
  <si>
    <t>3Tshaan</t>
  </si>
  <si>
    <t>عطشان</t>
  </si>
  <si>
    <t>thirteen</t>
  </si>
  <si>
    <t>tlTaash</t>
  </si>
  <si>
    <t>تلطاش</t>
  </si>
  <si>
    <t>thirty</t>
  </si>
  <si>
    <t>tlaateen</t>
  </si>
  <si>
    <t>تلاتين</t>
  </si>
  <si>
    <t>this</t>
  </si>
  <si>
    <t>hadaa</t>
  </si>
  <si>
    <t>هَدا</t>
  </si>
  <si>
    <t>this one</t>
  </si>
  <si>
    <t>this thing</t>
  </si>
  <si>
    <t>had sh-shee</t>
  </si>
  <si>
    <t>هَد الشي</t>
  </si>
  <si>
    <t>those</t>
  </si>
  <si>
    <t>hadook</t>
  </si>
  <si>
    <t>هَدوك</t>
  </si>
  <si>
    <t>those ones</t>
  </si>
  <si>
    <t>dook</t>
  </si>
  <si>
    <t>دوك</t>
  </si>
  <si>
    <t>thought</t>
  </si>
  <si>
    <t>thousand</t>
  </si>
  <si>
    <t>‘alf</t>
  </si>
  <si>
    <t>ألف</t>
  </si>
  <si>
    <t>thread</t>
  </si>
  <si>
    <t>threat</t>
  </si>
  <si>
    <t>tahdeed</t>
  </si>
  <si>
    <t>تَهديد</t>
  </si>
  <si>
    <t>threaten</t>
  </si>
  <si>
    <t>hdded</t>
  </si>
  <si>
    <t>هدّد</t>
  </si>
  <si>
    <t>three</t>
  </si>
  <si>
    <t>tlaata</t>
  </si>
  <si>
    <t>تلاتة</t>
  </si>
  <si>
    <t>tlt</t>
  </si>
  <si>
    <t>تلت</t>
  </si>
  <si>
    <t>three quarters</t>
  </si>
  <si>
    <t>laa rob</t>
  </si>
  <si>
    <t>throw</t>
  </si>
  <si>
    <t>laaH (looH)</t>
  </si>
  <si>
    <t>لاح</t>
  </si>
  <si>
    <t>rmaa</t>
  </si>
  <si>
    <t>رمى</t>
  </si>
  <si>
    <t>thrown</t>
  </si>
  <si>
    <t>mlyooH</t>
  </si>
  <si>
    <t>مليوح</t>
  </si>
  <si>
    <t>thunder</t>
  </si>
  <si>
    <t>r3da</t>
  </si>
  <si>
    <t>رعدة</t>
  </si>
  <si>
    <t>Thursday</t>
  </si>
  <si>
    <t>nhaar lkhmees</t>
  </si>
  <si>
    <t>نهار الخميس</t>
  </si>
  <si>
    <t>lkhmees</t>
  </si>
  <si>
    <t>الخميس</t>
  </si>
  <si>
    <t>ticket</t>
  </si>
  <si>
    <t>beeyee</t>
  </si>
  <si>
    <t>tidy</t>
  </si>
  <si>
    <t>tie</t>
  </si>
  <si>
    <t>tie in a knot</t>
  </si>
  <si>
    <t>tiger</t>
  </si>
  <si>
    <t>nmer</t>
  </si>
  <si>
    <t>نمَر</t>
  </si>
  <si>
    <t>tight</t>
  </si>
  <si>
    <t>tights</t>
  </si>
  <si>
    <t>leebaa</t>
  </si>
  <si>
    <t>tile</t>
  </si>
  <si>
    <t>jleej</t>
  </si>
  <si>
    <t>zleej</t>
  </si>
  <si>
    <t>tiling</t>
  </si>
  <si>
    <t>time</t>
  </si>
  <si>
    <t>weqt</t>
  </si>
  <si>
    <t>وقت</t>
  </si>
  <si>
    <t>mrra</t>
  </si>
  <si>
    <t>مرّة</t>
  </si>
  <si>
    <t>khtra</t>
  </si>
  <si>
    <t>fee</t>
  </si>
  <si>
    <t>في</t>
  </si>
  <si>
    <t>time off</t>
  </si>
  <si>
    <t>time to leave</t>
  </si>
  <si>
    <t>lweqt</t>
  </si>
  <si>
    <t>timid</t>
  </si>
  <si>
    <t>tin</t>
  </si>
  <si>
    <t>tired</t>
  </si>
  <si>
    <t>3eeyaan</t>
  </si>
  <si>
    <t>عيّان</t>
  </si>
  <si>
    <t>3eeyaa</t>
  </si>
  <si>
    <t>عيى</t>
  </si>
  <si>
    <t>tiredness</t>
  </si>
  <si>
    <t>3ayaa</t>
  </si>
  <si>
    <t>عَيا</t>
  </si>
  <si>
    <t>tiring</t>
  </si>
  <si>
    <t>3yes</t>
  </si>
  <si>
    <t>tissue</t>
  </si>
  <si>
    <t>kliniks</t>
  </si>
  <si>
    <t>كلِنِكس</t>
  </si>
  <si>
    <t>to</t>
  </si>
  <si>
    <t>ﻞ</t>
  </si>
  <si>
    <t>baach</t>
  </si>
  <si>
    <t>to the right</t>
  </si>
  <si>
    <t>3laa leemen</t>
  </si>
  <si>
    <t>3l leemen</t>
  </si>
  <si>
    <t>عل ليمن</t>
  </si>
  <si>
    <t>tobacco store</t>
  </si>
  <si>
    <t>Saaka</t>
  </si>
  <si>
    <t>صاكة</t>
  </si>
  <si>
    <t>tobacconist’s shop</t>
  </si>
  <si>
    <t>today</t>
  </si>
  <si>
    <t>lyoom</t>
  </si>
  <si>
    <t>اليوم</t>
  </si>
  <si>
    <t>lyoomaa</t>
  </si>
  <si>
    <t>اليوما</t>
  </si>
  <si>
    <t>toe</t>
  </si>
  <si>
    <t>together</t>
  </si>
  <si>
    <t>mjmoo3een</t>
  </si>
  <si>
    <t>مجموعين</t>
  </si>
  <si>
    <t>toilet</t>
  </si>
  <si>
    <t>toilet brush</t>
  </si>
  <si>
    <t>شيتة د الكُرسي</t>
  </si>
  <si>
    <t>toilet paper</t>
  </si>
  <si>
    <t>papee jineek</t>
  </si>
  <si>
    <t>پاپيي جِنيك</t>
  </si>
  <si>
    <t>tomato</t>
  </si>
  <si>
    <t>maTeesha</t>
  </si>
  <si>
    <t>مَطيشة</t>
  </si>
  <si>
    <t>tomato purée</t>
  </si>
  <si>
    <t>maTeecha f dyaal lHok</t>
  </si>
  <si>
    <t>maTeecha f dyaal jjaaj</t>
  </si>
  <si>
    <t>tomorrow</t>
  </si>
  <si>
    <t>ghddaa</t>
  </si>
  <si>
    <t>غدّا</t>
  </si>
  <si>
    <t>tongue</t>
  </si>
  <si>
    <t>lsaan</t>
  </si>
  <si>
    <t>لسان</t>
  </si>
  <si>
    <t>too</t>
  </si>
  <si>
    <t>too bad!</t>
  </si>
  <si>
    <t>b laash!</t>
  </si>
  <si>
    <t>too much</t>
  </si>
  <si>
    <t>blaa qyaas</t>
  </si>
  <si>
    <t>بلا قياس</t>
  </si>
  <si>
    <t>tool</t>
  </si>
  <si>
    <t>‘adawaat</t>
  </si>
  <si>
    <t>أدَوات</t>
  </si>
  <si>
    <t>tooth</t>
  </si>
  <si>
    <t>sna</t>
  </si>
  <si>
    <t>سنة</t>
  </si>
  <si>
    <t>toothbrush</t>
  </si>
  <si>
    <t>شيتة د السنان</t>
  </si>
  <si>
    <t>toothpaste</t>
  </si>
  <si>
    <t>doontifrees</t>
  </si>
  <si>
    <t>دونتِفريس</t>
  </si>
  <si>
    <t>torch</t>
  </si>
  <si>
    <t>tortoise</t>
  </si>
  <si>
    <t>fkroon</t>
  </si>
  <si>
    <t>فكرون</t>
  </si>
  <si>
    <t>touch</t>
  </si>
  <si>
    <t>qaas (qees)</t>
  </si>
  <si>
    <t>mss</t>
  </si>
  <si>
    <t>مسّ</t>
  </si>
  <si>
    <t>tour</t>
  </si>
  <si>
    <t>doora</t>
  </si>
  <si>
    <t>tourist</t>
  </si>
  <si>
    <t>toreest</t>
  </si>
  <si>
    <t>تُريست</t>
  </si>
  <si>
    <t>tourist guide</t>
  </si>
  <si>
    <t>geed</t>
  </si>
  <si>
    <t>گيد</t>
  </si>
  <si>
    <t>toward</t>
  </si>
  <si>
    <t>towards</t>
  </si>
  <si>
    <t>towel</t>
  </si>
  <si>
    <t>fooTa</t>
  </si>
  <si>
    <t>فوطة</t>
  </si>
  <si>
    <t>town</t>
  </si>
  <si>
    <t>vilaaj</t>
  </si>
  <si>
    <t>ڤيلاج</t>
  </si>
  <si>
    <t>town hall</t>
  </si>
  <si>
    <t>trace</t>
  </si>
  <si>
    <t>‘atar</t>
  </si>
  <si>
    <t>أَتَر</t>
  </si>
  <si>
    <t>track</t>
  </si>
  <si>
    <t>shaantee</t>
  </si>
  <si>
    <t>tractor</t>
  </si>
  <si>
    <t>traaktoor</t>
  </si>
  <si>
    <t>تراكتور</t>
  </si>
  <si>
    <t>trade</t>
  </si>
  <si>
    <t>tradition</t>
  </si>
  <si>
    <t>taqaleed</t>
  </si>
  <si>
    <t>traditional</t>
  </si>
  <si>
    <t>tqleedee</t>
  </si>
  <si>
    <t>تقليدي</t>
  </si>
  <si>
    <t>bldee</t>
  </si>
  <si>
    <t>بلدي</t>
  </si>
  <si>
    <t>traffic circle</t>
  </si>
  <si>
    <t>rompa</t>
  </si>
  <si>
    <t>trail</t>
  </si>
  <si>
    <t>train</t>
  </si>
  <si>
    <t>traan</t>
  </si>
  <si>
    <t>تران</t>
  </si>
  <si>
    <t>train station</t>
  </si>
  <si>
    <t>laagaar</t>
  </si>
  <si>
    <t>لاگار ديال التران</t>
  </si>
  <si>
    <t>لاگار</t>
  </si>
  <si>
    <t>trainers</t>
  </si>
  <si>
    <t>translate</t>
  </si>
  <si>
    <t>translation</t>
  </si>
  <si>
    <t>translator</t>
  </si>
  <si>
    <t>trap</t>
  </si>
  <si>
    <t>mSeyda</t>
  </si>
  <si>
    <t>مصيدة</t>
  </si>
  <si>
    <t>trash</t>
  </si>
  <si>
    <t>زبل</t>
  </si>
  <si>
    <t>trash can</t>
  </si>
  <si>
    <t>travel</t>
  </si>
  <si>
    <t>saafr</t>
  </si>
  <si>
    <t>سافر</t>
  </si>
  <si>
    <t>msaafr</t>
  </si>
  <si>
    <t>tray</t>
  </si>
  <si>
    <t>plaaTo</t>
  </si>
  <si>
    <t>پلاطو</t>
  </si>
  <si>
    <t>Seeneeya</t>
  </si>
  <si>
    <t>صينيّة</t>
  </si>
  <si>
    <t>tread</t>
  </si>
  <si>
    <t>3afs</t>
  </si>
  <si>
    <t>عَفس</t>
  </si>
  <si>
    <t>treasure</t>
  </si>
  <si>
    <t>knz</t>
  </si>
  <si>
    <t>كنز</t>
  </si>
  <si>
    <t>tree</t>
  </si>
  <si>
    <t>shjer</t>
  </si>
  <si>
    <t>شجر</t>
  </si>
  <si>
    <t>tremble</t>
  </si>
  <si>
    <t>tra3ad</t>
  </si>
  <si>
    <t>triangle</t>
  </si>
  <si>
    <t>motalaat</t>
  </si>
  <si>
    <t>trip</t>
  </si>
  <si>
    <t>riHla</t>
  </si>
  <si>
    <t>رِحلة</t>
  </si>
  <si>
    <t>trousers</t>
  </si>
  <si>
    <t>truck</t>
  </si>
  <si>
    <t>Haqeeqee</t>
  </si>
  <si>
    <t>حَقيقي</t>
  </si>
  <si>
    <t>trunk</t>
  </si>
  <si>
    <t>trust</t>
  </si>
  <si>
    <t>taaq (teeq)</t>
  </si>
  <si>
    <t>تاق</t>
  </si>
  <si>
    <t>truth</t>
  </si>
  <si>
    <t>Haqq</t>
  </si>
  <si>
    <t>حَقّ</t>
  </si>
  <si>
    <t>try</t>
  </si>
  <si>
    <t>Haawel</t>
  </si>
  <si>
    <t>حاول</t>
  </si>
  <si>
    <t>jrrb</t>
  </si>
  <si>
    <t>جرّب</t>
  </si>
  <si>
    <t>try on</t>
  </si>
  <si>
    <t>qeeyes</t>
  </si>
  <si>
    <t>قيّس</t>
  </si>
  <si>
    <t>Tuesday</t>
  </si>
  <si>
    <t>nhaar ttlaat</t>
  </si>
  <si>
    <t>نهار التلات</t>
  </si>
  <si>
    <t>ttlaat</t>
  </si>
  <si>
    <t>التلات</t>
  </si>
  <si>
    <t>tummy</t>
  </si>
  <si>
    <t>tummy ache</t>
  </si>
  <si>
    <t>tuna</t>
  </si>
  <si>
    <t>Ton</t>
  </si>
  <si>
    <t>طون</t>
  </si>
  <si>
    <t>tunic</t>
  </si>
  <si>
    <t>jabador</t>
  </si>
  <si>
    <t>Tunisia</t>
  </si>
  <si>
    <t>toones</t>
  </si>
  <si>
    <t>تونس</t>
  </si>
  <si>
    <t>Tunisian</t>
  </si>
  <si>
    <t>toonesee(ya)</t>
  </si>
  <si>
    <t>تونسي</t>
  </si>
  <si>
    <t>turkey</t>
  </si>
  <si>
    <t>beebee</t>
  </si>
  <si>
    <t>بيبي</t>
  </si>
  <si>
    <t>Turkish baths</t>
  </si>
  <si>
    <t>turmeric</t>
  </si>
  <si>
    <t>khrqoom</t>
  </si>
  <si>
    <t>خرقوم</t>
  </si>
  <si>
    <t>زعفران  بلدي</t>
  </si>
  <si>
    <t>turn</t>
  </si>
  <si>
    <t>nooba</t>
  </si>
  <si>
    <t>turn off</t>
  </si>
  <si>
    <t>turn on</t>
  </si>
  <si>
    <t>turn one’s gaze on</t>
  </si>
  <si>
    <t>taaH</t>
  </si>
  <si>
    <t>turn over</t>
  </si>
  <si>
    <t>turn up</t>
  </si>
  <si>
    <t>turnip</t>
  </si>
  <si>
    <t>lft</t>
  </si>
  <si>
    <t>لفت</t>
  </si>
  <si>
    <t>TV remote</t>
  </si>
  <si>
    <t>teleekmoond</t>
  </si>
  <si>
    <t>تليكموند</t>
  </si>
  <si>
    <t>twelfth</t>
  </si>
  <si>
    <t>Taansh</t>
  </si>
  <si>
    <t>طانش</t>
  </si>
  <si>
    <t>twelve</t>
  </si>
  <si>
    <t>Tnaash</t>
  </si>
  <si>
    <t>طناش</t>
  </si>
  <si>
    <t>twenty</t>
  </si>
  <si>
    <t>3shereen</t>
  </si>
  <si>
    <t>عشرين</t>
  </si>
  <si>
    <t>twin</t>
  </si>
  <si>
    <t>twaam</t>
  </si>
  <si>
    <t>توام</t>
  </si>
  <si>
    <t>twisted</t>
  </si>
  <si>
    <t>melwee</t>
  </si>
  <si>
    <t>ملوي</t>
  </si>
  <si>
    <t>two</t>
  </si>
  <si>
    <t>jooj</t>
  </si>
  <si>
    <t>جوج</t>
  </si>
  <si>
    <t>tnayn</t>
  </si>
  <si>
    <t>تنَين</t>
  </si>
  <si>
    <t>type</t>
  </si>
  <si>
    <t>noo3</t>
  </si>
  <si>
    <t>ugly</t>
  </si>
  <si>
    <t>ululation</t>
  </si>
  <si>
    <t>zeghraata</t>
  </si>
  <si>
    <t>umbrella</t>
  </si>
  <si>
    <t>mDl</t>
  </si>
  <si>
    <t>مضل</t>
  </si>
  <si>
    <t>unblock</t>
  </si>
  <si>
    <t>srreH</t>
  </si>
  <si>
    <t>سرّح</t>
  </si>
  <si>
    <t>unblocked</t>
  </si>
  <si>
    <t>msrreH</t>
  </si>
  <si>
    <t>مسرّح</t>
  </si>
  <si>
    <t>uncle</t>
  </si>
  <si>
    <t>3mm</t>
  </si>
  <si>
    <t>عمّ</t>
  </si>
  <si>
    <t>khaal</t>
  </si>
  <si>
    <t>خال</t>
  </si>
  <si>
    <t>under</t>
  </si>
  <si>
    <t>underground</t>
  </si>
  <si>
    <t>underneath</t>
  </si>
  <si>
    <t>f mnkhro</t>
  </si>
  <si>
    <t>underpants</t>
  </si>
  <si>
    <t>undershirt</t>
  </si>
  <si>
    <t>maayo</t>
  </si>
  <si>
    <t>مايو</t>
  </si>
  <si>
    <t>kompeezo</t>
  </si>
  <si>
    <t>donee</t>
  </si>
  <si>
    <t>understand</t>
  </si>
  <si>
    <t>fhm</t>
  </si>
  <si>
    <t>فهم</t>
  </si>
  <si>
    <t>understandable</t>
  </si>
  <si>
    <t>mfhoom</t>
  </si>
  <si>
    <t>underwear</t>
  </si>
  <si>
    <t>seefiTma</t>
  </si>
  <si>
    <t>سيفِطمة</t>
  </si>
  <si>
    <t>unfortunately</t>
  </si>
  <si>
    <t>lel ‘asaf</t>
  </si>
  <si>
    <t>للأَسَف</t>
  </si>
  <si>
    <t>l’asaf</t>
  </si>
  <si>
    <t>m3a l’asaf</t>
  </si>
  <si>
    <t>uni</t>
  </si>
  <si>
    <t>university</t>
  </si>
  <si>
    <t>koleeya</t>
  </si>
  <si>
    <t>untangle</t>
  </si>
  <si>
    <t>until</t>
  </si>
  <si>
    <t>Httaa l</t>
  </si>
  <si>
    <t>up late</t>
  </si>
  <si>
    <t>s-hraan</t>
  </si>
  <si>
    <t>سهران</t>
  </si>
  <si>
    <t>upset</t>
  </si>
  <si>
    <t>tqlleq</t>
  </si>
  <si>
    <t>upside down</t>
  </si>
  <si>
    <t>mqloob</t>
  </si>
  <si>
    <t>مقلوب</t>
  </si>
  <si>
    <t>urine</t>
  </si>
  <si>
    <t>bool</t>
  </si>
  <si>
    <t>boola</t>
  </si>
  <si>
    <t>us</t>
  </si>
  <si>
    <t>Hnaa</t>
  </si>
  <si>
    <t>حنا</t>
  </si>
  <si>
    <t>use</t>
  </si>
  <si>
    <t>st3ml</t>
  </si>
  <si>
    <t>ستعمل</t>
  </si>
  <si>
    <t>used to</t>
  </si>
  <si>
    <t>useful</t>
  </si>
  <si>
    <t>nfa3</t>
  </si>
  <si>
    <t>نفَع</t>
  </si>
  <si>
    <t>usual practice</t>
  </si>
  <si>
    <t>vacation</t>
  </si>
  <si>
    <t>vaccinate</t>
  </si>
  <si>
    <t>lqH</t>
  </si>
  <si>
    <t>vaccination</t>
  </si>
  <si>
    <t>tlqeeH</t>
  </si>
  <si>
    <t>تلقيح</t>
  </si>
  <si>
    <t>valuable</t>
  </si>
  <si>
    <t>tameen</t>
  </si>
  <si>
    <t>تَمين</t>
  </si>
  <si>
    <t>value</t>
  </si>
  <si>
    <t>qeema</t>
  </si>
  <si>
    <t>قيمة</t>
  </si>
  <si>
    <t>vase</t>
  </si>
  <si>
    <t>vaaz</t>
  </si>
  <si>
    <t>ڥاز</t>
  </si>
  <si>
    <t>vegetable oil</t>
  </si>
  <si>
    <t>vegetables</t>
  </si>
  <si>
    <t>khoDera</t>
  </si>
  <si>
    <t>خضرة</t>
  </si>
  <si>
    <t>vein</t>
  </si>
  <si>
    <t>vendor</t>
  </si>
  <si>
    <t>bae3</t>
  </si>
  <si>
    <t>vengence</t>
  </si>
  <si>
    <t>ntiqaam</t>
  </si>
  <si>
    <t>نتِقام</t>
  </si>
  <si>
    <t>verb</t>
  </si>
  <si>
    <t>fi3l</t>
  </si>
  <si>
    <t>فِعل</t>
  </si>
  <si>
    <t>verbena</t>
  </si>
  <si>
    <t>loweeza</t>
  </si>
  <si>
    <t>لويزة</t>
  </si>
  <si>
    <t>vermicelli</t>
  </si>
  <si>
    <t>vermicelli with chicken, cinnamon and icing sugar</t>
  </si>
  <si>
    <t>sffa</t>
  </si>
  <si>
    <t>سفّة</t>
  </si>
  <si>
    <t>vest</t>
  </si>
  <si>
    <t>jeelee</t>
  </si>
  <si>
    <t>جيلي</t>
  </si>
  <si>
    <t>mayo</t>
  </si>
  <si>
    <t>vet</t>
  </si>
  <si>
    <t>tbeeb(a) beeyeTaree(ya)</t>
  </si>
  <si>
    <t>veterinarian</t>
  </si>
  <si>
    <t>veterinary</t>
  </si>
  <si>
    <t>beeyeTaree(ya)</t>
  </si>
  <si>
    <t>video</t>
  </si>
  <si>
    <t>feedyoo</t>
  </si>
  <si>
    <t>فيديو</t>
  </si>
  <si>
    <t>view</t>
  </si>
  <si>
    <t>mndr</t>
  </si>
  <si>
    <t>village</t>
  </si>
  <si>
    <t>doowaar</t>
  </si>
  <si>
    <t>دوّار</t>
  </si>
  <si>
    <t>vinegar</t>
  </si>
  <si>
    <t>khll</t>
  </si>
  <si>
    <t>خلّ</t>
  </si>
  <si>
    <t>violin</t>
  </si>
  <si>
    <t>kmaanja</t>
  </si>
  <si>
    <t>كمانجة</t>
  </si>
  <si>
    <t>kamen</t>
  </si>
  <si>
    <t>viper</t>
  </si>
  <si>
    <t>virus</t>
  </si>
  <si>
    <t>veeroos</t>
  </si>
  <si>
    <t>ڤيروس</t>
  </si>
  <si>
    <t>visa</t>
  </si>
  <si>
    <t>veezaa</t>
  </si>
  <si>
    <t>ڤيزا</t>
  </si>
  <si>
    <t>vision</t>
  </si>
  <si>
    <t>ro’iya</t>
  </si>
  <si>
    <t>visit</t>
  </si>
  <si>
    <t>zyaara</t>
  </si>
  <si>
    <t>زيارة</t>
  </si>
  <si>
    <t>zaar (zoor)</t>
  </si>
  <si>
    <t>زار</t>
  </si>
  <si>
    <t>دار زيارة</t>
  </si>
  <si>
    <t>visiter</t>
  </si>
  <si>
    <t>vocal</t>
  </si>
  <si>
    <t>Sawtee</t>
  </si>
  <si>
    <t>صَوتي</t>
  </si>
  <si>
    <t>voice</t>
  </si>
  <si>
    <t>voice mail</t>
  </si>
  <si>
    <t>3olba</t>
  </si>
  <si>
    <t>عُلبة صَوتية</t>
  </si>
  <si>
    <t>voluntary work</t>
  </si>
  <si>
    <t>3ml taTawe3</t>
  </si>
  <si>
    <t>volunteer</t>
  </si>
  <si>
    <t>tToowe3</t>
  </si>
  <si>
    <t>تطَوَّع</t>
  </si>
  <si>
    <t>vomit</t>
  </si>
  <si>
    <t>tqeeyaa</t>
  </si>
  <si>
    <t>تقيّا</t>
  </si>
  <si>
    <t>wage</t>
  </si>
  <si>
    <t>waistcoat</t>
  </si>
  <si>
    <t>wait</t>
  </si>
  <si>
    <t>tsnnaa</t>
  </si>
  <si>
    <t>تسنّى</t>
  </si>
  <si>
    <t>blaatee</t>
  </si>
  <si>
    <t>بلاتي</t>
  </si>
  <si>
    <t>waiter</t>
  </si>
  <si>
    <t>serbaay(a)</t>
  </si>
  <si>
    <t>سرباي</t>
  </si>
  <si>
    <t>gaarsoon</t>
  </si>
  <si>
    <t>گارسون</t>
  </si>
  <si>
    <t>wake</t>
  </si>
  <si>
    <t>feeyeq</t>
  </si>
  <si>
    <t>فيَّق</t>
  </si>
  <si>
    <t>wake up</t>
  </si>
  <si>
    <t>faaq (feeq)</t>
  </si>
  <si>
    <t>فاق</t>
  </si>
  <si>
    <t>walk</t>
  </si>
  <si>
    <t>تمشّى</t>
  </si>
  <si>
    <t>walk around</t>
  </si>
  <si>
    <t>walking stick</t>
  </si>
  <si>
    <t>wall</t>
  </si>
  <si>
    <t>HeeyeT</t>
  </si>
  <si>
    <t>حيط</t>
  </si>
  <si>
    <t>wallet</t>
  </si>
  <si>
    <t>modkira</t>
  </si>
  <si>
    <t>walnut</t>
  </si>
  <si>
    <t>grgaa3</t>
  </si>
  <si>
    <t>گرگاع</t>
  </si>
  <si>
    <t>want</t>
  </si>
  <si>
    <t>baaghee</t>
  </si>
  <si>
    <t>باغي</t>
  </si>
  <si>
    <t>wanted</t>
  </si>
  <si>
    <t>kayqllboo 3laa …</t>
  </si>
  <si>
    <t>reshershee</t>
  </si>
  <si>
    <t>war</t>
  </si>
  <si>
    <t>Hrb</t>
  </si>
  <si>
    <t>حرب</t>
  </si>
  <si>
    <t>wardrobe</t>
  </si>
  <si>
    <t>warm</t>
  </si>
  <si>
    <t>daafee</t>
  </si>
  <si>
    <t>دافي</t>
  </si>
  <si>
    <t>wash</t>
  </si>
  <si>
    <t>ghsl</t>
  </si>
  <si>
    <t>غسل</t>
  </si>
  <si>
    <t>Sbbn</t>
  </si>
  <si>
    <t>صبّن</t>
  </si>
  <si>
    <t>washbasin</t>
  </si>
  <si>
    <t>washing machine</t>
  </si>
  <si>
    <t>مَكينة ديال الصابون</t>
  </si>
  <si>
    <t>washing-up</t>
  </si>
  <si>
    <t>waste</t>
  </si>
  <si>
    <t>Deeye3</t>
  </si>
  <si>
    <t>ضيّع</t>
  </si>
  <si>
    <t>watch</t>
  </si>
  <si>
    <t>tfrrj</t>
  </si>
  <si>
    <t>تفرّج ف</t>
  </si>
  <si>
    <t>watch out !</t>
  </si>
  <si>
    <t>3ndaak !</t>
  </si>
  <si>
    <t>عنداك</t>
  </si>
  <si>
    <t>watch over</t>
  </si>
  <si>
    <t>watchman</t>
  </si>
  <si>
    <t>3ssaas(a)</t>
  </si>
  <si>
    <t>عسّاس</t>
  </si>
  <si>
    <t>Haaris(a)</t>
  </si>
  <si>
    <t>حارِس</t>
  </si>
  <si>
    <t>gardien</t>
  </si>
  <si>
    <t>water</t>
  </si>
  <si>
    <t>water heater</t>
  </si>
  <si>
    <t>shoofoo</t>
  </si>
  <si>
    <t>شوفو</t>
  </si>
  <si>
    <t>waterfall</t>
  </si>
  <si>
    <t>chlaal</t>
  </si>
  <si>
    <t>watering can</t>
  </si>
  <si>
    <t>watermelon</t>
  </si>
  <si>
    <t>dllaaH</t>
  </si>
  <si>
    <t>دلّاح</t>
  </si>
  <si>
    <t>wave</t>
  </si>
  <si>
    <t>mwaaj</t>
  </si>
  <si>
    <t>مواج</t>
  </si>
  <si>
    <t>way</t>
  </si>
  <si>
    <t>we</t>
  </si>
  <si>
    <t>weak</t>
  </si>
  <si>
    <t>D3eef</t>
  </si>
  <si>
    <t>ضعيف</t>
  </si>
  <si>
    <t>wear</t>
  </si>
  <si>
    <t>laabs</t>
  </si>
  <si>
    <t>لابس</t>
  </si>
  <si>
    <t>weather</t>
  </si>
  <si>
    <t>joo</t>
  </si>
  <si>
    <t>جو</t>
  </si>
  <si>
    <t>weather report</t>
  </si>
  <si>
    <t>nshera jooweeya</t>
  </si>
  <si>
    <t>نشرة جوّية</t>
  </si>
  <si>
    <t>wedding</t>
  </si>
  <si>
    <t>wedding anniversary</t>
  </si>
  <si>
    <t>3eed</t>
  </si>
  <si>
    <t>wedding reception</t>
  </si>
  <si>
    <t>stiqbaal</t>
  </si>
  <si>
    <t>wedding ring</t>
  </si>
  <si>
    <t>khaatm d zzwaaj</t>
  </si>
  <si>
    <t>khaatm d lmaryaaj</t>
  </si>
  <si>
    <t>Wednesday</t>
  </si>
  <si>
    <t>nhaar lerb3</t>
  </si>
  <si>
    <t>نهار الربع</t>
  </si>
  <si>
    <t>lerb3</t>
  </si>
  <si>
    <t>الربع</t>
  </si>
  <si>
    <t>week</t>
  </si>
  <si>
    <t>seemaana</t>
  </si>
  <si>
    <t>weekend</t>
  </si>
  <si>
    <t>weekaand</t>
  </si>
  <si>
    <t>ويكاند</t>
  </si>
  <si>
    <t>weigh</t>
  </si>
  <si>
    <t>oozn</t>
  </si>
  <si>
    <t>وزن</t>
  </si>
  <si>
    <t>weight</t>
  </si>
  <si>
    <t>wazn</t>
  </si>
  <si>
    <t>وَزن</t>
  </si>
  <si>
    <t>welcome</t>
  </si>
  <si>
    <t>mrHbaa!</t>
  </si>
  <si>
    <t>مرحبا</t>
  </si>
  <si>
    <t>tfDDl(ee)</t>
  </si>
  <si>
    <t>تفضّل</t>
  </si>
  <si>
    <t>rHHeb</t>
  </si>
  <si>
    <t>رحّب</t>
  </si>
  <si>
    <t>staqbl</t>
  </si>
  <si>
    <t>ستَقبل</t>
  </si>
  <si>
    <t>weld</t>
  </si>
  <si>
    <t>seedaa (seedee)</t>
  </si>
  <si>
    <t>سيدى</t>
  </si>
  <si>
    <t>welder</t>
  </si>
  <si>
    <t>soodoor</t>
  </si>
  <si>
    <t>سودور</t>
  </si>
  <si>
    <t>well</t>
  </si>
  <si>
    <t>بير</t>
  </si>
  <si>
    <t>well-behaved</t>
  </si>
  <si>
    <t>wet</t>
  </si>
  <si>
    <t>faazeg</t>
  </si>
  <si>
    <t>فازگ</t>
  </si>
  <si>
    <t>fzzeg</t>
  </si>
  <si>
    <t>فزّگ</t>
  </si>
  <si>
    <t>what</t>
  </si>
  <si>
    <t>‘ashnoo</t>
  </si>
  <si>
    <t>أشنو</t>
  </si>
  <si>
    <t>shnoo</t>
  </si>
  <si>
    <t>شنو</t>
  </si>
  <si>
    <t>‘ash</t>
  </si>
  <si>
    <t>أش</t>
  </si>
  <si>
    <t>what did you say?</t>
  </si>
  <si>
    <t>what time ?</t>
  </si>
  <si>
    <t>‘imtaa ?</t>
  </si>
  <si>
    <t>إمتى ؟</t>
  </si>
  <si>
    <t>weqt ‘ash ?</t>
  </si>
  <si>
    <t>وقت أش ؟</t>
  </si>
  <si>
    <t>m3ayash ?</t>
  </si>
  <si>
    <t>‘ashmn weqt ?</t>
  </si>
  <si>
    <t>أشمن وقت ؟</t>
  </si>
  <si>
    <t>what’s new?</t>
  </si>
  <si>
    <t>‘ash khbaar</t>
  </si>
  <si>
    <t>‘ash kat3awed?</t>
  </si>
  <si>
    <t>what’s wrong?</t>
  </si>
  <si>
    <t>‘ash kaayn ?</t>
  </si>
  <si>
    <t>‘ashnoo 3ndek ?</t>
  </si>
  <si>
    <t>maal</t>
  </si>
  <si>
    <t>wheat</t>
  </si>
  <si>
    <t>gmeH</t>
  </si>
  <si>
    <t>when</t>
  </si>
  <si>
    <t>‘imtaa</t>
  </si>
  <si>
    <t>إمتى</t>
  </si>
  <si>
    <t>weqt ‘ash</t>
  </si>
  <si>
    <t>وقت أش</t>
  </si>
  <si>
    <t>m3ayash</t>
  </si>
  <si>
    <t>‘ashmn weqt</t>
  </si>
  <si>
    <t>أشمن وقت</t>
  </si>
  <si>
    <t>mllee</t>
  </si>
  <si>
    <t>where</t>
  </si>
  <si>
    <t>feen</t>
  </si>
  <si>
    <t>فين</t>
  </si>
  <si>
    <t>f ‘ash</t>
  </si>
  <si>
    <t>which</t>
  </si>
  <si>
    <t>‘ashmn</t>
  </si>
  <si>
    <t>أشمن</t>
  </si>
  <si>
    <t>ina</t>
  </si>
  <si>
    <t>‘ach</t>
  </si>
  <si>
    <t>ina waaHd(a)</t>
  </si>
  <si>
    <t>while</t>
  </si>
  <si>
    <t>white</t>
  </si>
  <si>
    <t>biyeD</t>
  </si>
  <si>
    <t>white bean</t>
  </si>
  <si>
    <t>لوبية</t>
  </si>
  <si>
    <t>white board</t>
  </si>
  <si>
    <t>white courgette</t>
  </si>
  <si>
    <t>slaawee</t>
  </si>
  <si>
    <t>سلاوي</t>
  </si>
  <si>
    <t>white zucchini</t>
  </si>
  <si>
    <t>who</t>
  </si>
  <si>
    <t>shkoon</t>
  </si>
  <si>
    <t>شكون</t>
  </si>
  <si>
    <t>whole</t>
  </si>
  <si>
    <t>why</t>
  </si>
  <si>
    <t>3laash</t>
  </si>
  <si>
    <t>علاش</t>
  </si>
  <si>
    <t>wide</t>
  </si>
  <si>
    <t>wife</t>
  </si>
  <si>
    <t>mra</t>
  </si>
  <si>
    <t>عيالات</t>
  </si>
  <si>
    <t>wild boar</t>
  </si>
  <si>
    <t>win</t>
  </si>
  <si>
    <t>rbeH</t>
  </si>
  <si>
    <t>ربح</t>
  </si>
  <si>
    <t>sower</t>
  </si>
  <si>
    <t>wind</t>
  </si>
  <si>
    <t>reeH</t>
  </si>
  <si>
    <t>ريح</t>
  </si>
  <si>
    <t>3jaaj</t>
  </si>
  <si>
    <t>عجاج</t>
  </si>
  <si>
    <t>shrgee</t>
  </si>
  <si>
    <t>ghrbee</t>
  </si>
  <si>
    <t>window</t>
  </si>
  <si>
    <t>chrjm</t>
  </si>
  <si>
    <t>شرجم</t>
  </si>
  <si>
    <t>window grating</t>
  </si>
  <si>
    <t>shbik</t>
  </si>
  <si>
    <t>window pane</t>
  </si>
  <si>
    <t>shrjm</t>
  </si>
  <si>
    <t>wing</t>
  </si>
  <si>
    <t>jneH</t>
  </si>
  <si>
    <t>جنح</t>
  </si>
  <si>
    <t>winter</t>
  </si>
  <si>
    <t>shtaa</t>
  </si>
  <si>
    <t>شتا</t>
  </si>
  <si>
    <t>shtwa</t>
  </si>
  <si>
    <t>شتوة</t>
  </si>
  <si>
    <t>wipe</t>
  </si>
  <si>
    <t>wire</t>
  </si>
  <si>
    <t>خيط د الضو</t>
  </si>
  <si>
    <t>wisdom</t>
  </si>
  <si>
    <t>Hikma</t>
  </si>
  <si>
    <t>حِكمة</t>
  </si>
  <si>
    <t>wise</t>
  </si>
  <si>
    <t>Hakeem</t>
  </si>
  <si>
    <t>حَكيم</t>
  </si>
  <si>
    <t>wish</t>
  </si>
  <si>
    <t>‘omneeya</t>
  </si>
  <si>
    <t>أُمنيّة</t>
  </si>
  <si>
    <t>with</t>
  </si>
  <si>
    <t>without</t>
  </si>
  <si>
    <t>blaa</t>
  </si>
  <si>
    <t>بلا</t>
  </si>
  <si>
    <t>wolf</t>
  </si>
  <si>
    <t>deeb</t>
  </si>
  <si>
    <t>ديب</t>
  </si>
  <si>
    <t>woman</t>
  </si>
  <si>
    <t>wonder</t>
  </si>
  <si>
    <t>wood</t>
  </si>
  <si>
    <t>khsheb</t>
  </si>
  <si>
    <t>خشب</t>
  </si>
  <si>
    <t>wood-burning stove</t>
  </si>
  <si>
    <t>shiminee</t>
  </si>
  <si>
    <t>woodcutter</t>
  </si>
  <si>
    <t>wooden spoon</t>
  </si>
  <si>
    <t>khlaat</t>
  </si>
  <si>
    <t>wool</t>
  </si>
  <si>
    <t>Soofa</t>
  </si>
  <si>
    <t>Soof</t>
  </si>
  <si>
    <t>صوف</t>
  </si>
  <si>
    <t>woolly hat</t>
  </si>
  <si>
    <t>Taageeya</t>
  </si>
  <si>
    <t>طاگية</t>
  </si>
  <si>
    <t>boneeya</t>
  </si>
  <si>
    <t>Trboosh</t>
  </si>
  <si>
    <t>طربوش</t>
  </si>
  <si>
    <t>word</t>
  </si>
  <si>
    <t>klma</t>
  </si>
  <si>
    <t>كلمة</t>
  </si>
  <si>
    <t>work</t>
  </si>
  <si>
    <t>khdma</t>
  </si>
  <si>
    <t>خدمة</t>
  </si>
  <si>
    <t>khddm</t>
  </si>
  <si>
    <t>خدّم</t>
  </si>
  <si>
    <t>work together</t>
  </si>
  <si>
    <t>t3aawen</t>
  </si>
  <si>
    <t>تعاون</t>
  </si>
  <si>
    <t>work without declaring for tax</t>
  </si>
  <si>
    <t>khdm f nwaar</t>
  </si>
  <si>
    <t>worker</t>
  </si>
  <si>
    <t>world</t>
  </si>
  <si>
    <t>3aalam</t>
  </si>
  <si>
    <t>عالَم</t>
  </si>
  <si>
    <t>worm</t>
  </si>
  <si>
    <t>dood</t>
  </si>
  <si>
    <t>دود</t>
  </si>
  <si>
    <t>wormwood</t>
  </si>
  <si>
    <t>worried</t>
  </si>
  <si>
    <t>worry</t>
  </si>
  <si>
    <t>hemm</t>
  </si>
  <si>
    <t>هَمّ</t>
  </si>
  <si>
    <t>worship</t>
  </si>
  <si>
    <t>3bed</t>
  </si>
  <si>
    <t>عبد</t>
  </si>
  <si>
    <t>worshipper</t>
  </si>
  <si>
    <t>3bd</t>
  </si>
  <si>
    <t>worth</t>
  </si>
  <si>
    <t>wound</t>
  </si>
  <si>
    <t>jarHa</t>
  </si>
  <si>
    <t>جَرحة</t>
  </si>
  <si>
    <t>wounded</t>
  </si>
  <si>
    <t>wrap</t>
  </si>
  <si>
    <t>ghllef</t>
  </si>
  <si>
    <t>غلّف</t>
  </si>
  <si>
    <t>wrinkle</t>
  </si>
  <si>
    <t>tekmeesha</t>
  </si>
  <si>
    <t>تَكميشة</t>
  </si>
  <si>
    <t>tkmmesh</t>
  </si>
  <si>
    <t>تكمّش</t>
  </si>
  <si>
    <t>wrist</t>
  </si>
  <si>
    <t>m3sm</t>
  </si>
  <si>
    <t>write</t>
  </si>
  <si>
    <t>ktb</t>
  </si>
  <si>
    <t>كتب</t>
  </si>
  <si>
    <t>writer</t>
  </si>
  <si>
    <t>kaatib(a)</t>
  </si>
  <si>
    <t>كاتِب.ة</t>
  </si>
  <si>
    <t>written</t>
  </si>
  <si>
    <t>mktoob</t>
  </si>
  <si>
    <t>مكتوب</t>
  </si>
  <si>
    <t>x-ray</t>
  </si>
  <si>
    <t>raadyoo</t>
  </si>
  <si>
    <t>راديو</t>
  </si>
  <si>
    <t>yawn</t>
  </si>
  <si>
    <t>tfoweh</t>
  </si>
  <si>
    <t>تفوّه</t>
  </si>
  <si>
    <t>year</t>
  </si>
  <si>
    <t>3aam</t>
  </si>
  <si>
    <t>sana</t>
  </si>
  <si>
    <t>سَنة</t>
  </si>
  <si>
    <t>yeast</t>
  </si>
  <si>
    <t>خَميرة</t>
  </si>
  <si>
    <t>yellow</t>
  </si>
  <si>
    <t>Sfer</t>
  </si>
  <si>
    <t>صفر</t>
  </si>
  <si>
    <t>yes</t>
  </si>
  <si>
    <t>iyeh</t>
  </si>
  <si>
    <t>إيه</t>
  </si>
  <si>
    <t>aah</t>
  </si>
  <si>
    <t>آه</t>
  </si>
  <si>
    <t>na3am</t>
  </si>
  <si>
    <t>نعم</t>
  </si>
  <si>
    <t>yesterday</t>
  </si>
  <si>
    <t>lbaarH</t>
  </si>
  <si>
    <t>البارح</t>
  </si>
  <si>
    <t>yoghurt</t>
  </si>
  <si>
    <t>daanoon</t>
  </si>
  <si>
    <t>دانون</t>
  </si>
  <si>
    <t>raayb</t>
  </si>
  <si>
    <t>you</t>
  </si>
  <si>
    <t>ntaa</t>
  </si>
  <si>
    <t>نتا</t>
  </si>
  <si>
    <t>ntaayaa</t>
  </si>
  <si>
    <t>نتايا</t>
  </si>
  <si>
    <t>ntee</t>
  </si>
  <si>
    <t>نتي</t>
  </si>
  <si>
    <t>nteeyaa</t>
  </si>
  <si>
    <t>نتيّا</t>
  </si>
  <si>
    <t>ntoomaa</t>
  </si>
  <si>
    <t>نتُما / نتوما</t>
  </si>
  <si>
    <t>you’re welcome</t>
  </si>
  <si>
    <t>young</t>
  </si>
  <si>
    <t>younger</t>
  </si>
  <si>
    <t>your</t>
  </si>
  <si>
    <t>-k / -ek</t>
  </si>
  <si>
    <t>ك</t>
  </si>
  <si>
    <t>dyaalek</t>
  </si>
  <si>
    <t>ديالك</t>
  </si>
  <si>
    <t>dyaawlek</t>
  </si>
  <si>
    <t>-kom</t>
  </si>
  <si>
    <t>كُم</t>
  </si>
  <si>
    <t>dyaalkom</t>
  </si>
  <si>
    <t>ديالكُم</t>
  </si>
  <si>
    <t>dyaawlkom</t>
  </si>
  <si>
    <t>youth</t>
  </si>
  <si>
    <t>shbaab</t>
  </si>
  <si>
    <t>شباب</t>
  </si>
  <si>
    <t>zoo</t>
  </si>
  <si>
    <t>zucchini</t>
  </si>
  <si>
    <t>pity</t>
  </si>
  <si>
    <t>pizza</t>
  </si>
  <si>
    <t>peetzaa</t>
  </si>
  <si>
    <t>پيتزا</t>
  </si>
  <si>
    <t>place</t>
  </si>
  <si>
    <t>placed</t>
  </si>
  <si>
    <t>mHTooT</t>
  </si>
  <si>
    <t>محطوط</t>
  </si>
  <si>
    <t>plague</t>
  </si>
  <si>
    <t>Taa3oon</t>
  </si>
  <si>
    <t>طاعون</t>
  </si>
  <si>
    <t>plain white flour</t>
  </si>
  <si>
    <t>lfors</t>
  </si>
  <si>
    <t>plane</t>
  </si>
  <si>
    <t>planet</t>
  </si>
  <si>
    <t>kawkeb</t>
  </si>
  <si>
    <t>كَوكَب</t>
  </si>
  <si>
    <t>plank</t>
  </si>
  <si>
    <t>bloncha</t>
  </si>
  <si>
    <t>plant</t>
  </si>
  <si>
    <t>ghers</t>
  </si>
  <si>
    <t>غَرس</t>
  </si>
  <si>
    <t>ghrs</t>
  </si>
  <si>
    <t>غرس</t>
  </si>
  <si>
    <t>rss</t>
  </si>
  <si>
    <t>رسّ</t>
  </si>
  <si>
    <t>plant pot</t>
  </si>
  <si>
    <t>plaque</t>
  </si>
  <si>
    <t>plaster</t>
  </si>
  <si>
    <t>gbS</t>
  </si>
  <si>
    <t>گبص</t>
  </si>
  <si>
    <t>jibs</t>
  </si>
  <si>
    <t>جِبس</t>
  </si>
  <si>
    <t>plastic</t>
  </si>
  <si>
    <t>meeka</t>
  </si>
  <si>
    <t>ميكة</t>
  </si>
  <si>
    <t>plate</t>
  </si>
  <si>
    <t>Tbseel</t>
  </si>
  <si>
    <t>طبسيل</t>
  </si>
  <si>
    <t>play</t>
  </si>
  <si>
    <t>l3b</t>
  </si>
  <si>
    <t>لعب</t>
  </si>
  <si>
    <t>3zaf</t>
  </si>
  <si>
    <t>عزَف</t>
  </si>
  <si>
    <t>playtime</t>
  </si>
  <si>
    <t>please</t>
  </si>
  <si>
    <t>3afak</t>
  </si>
  <si>
    <t>عَفَك</t>
  </si>
  <si>
    <t>llah ikhelleek</t>
  </si>
  <si>
    <t>pleased to meet you</t>
  </si>
  <si>
    <t>mtshrfeen</t>
  </si>
  <si>
    <t>متشرفين</t>
  </si>
  <si>
    <t>plughole</t>
  </si>
  <si>
    <t>qarqara</t>
  </si>
  <si>
    <t>plum</t>
  </si>
  <si>
    <t>brqooq</t>
  </si>
  <si>
    <t>برقوق</t>
  </si>
  <si>
    <t>plumber</t>
  </si>
  <si>
    <t>plombee</t>
  </si>
  <si>
    <t>پلومبي</t>
  </si>
  <si>
    <t>plunger</t>
  </si>
  <si>
    <t>vaanTooz</t>
  </si>
  <si>
    <t>ڥانطوز</t>
  </si>
  <si>
    <t>plus</t>
  </si>
  <si>
    <t>za’id</t>
  </si>
  <si>
    <t>pocket</t>
  </si>
  <si>
    <t>jeeb</t>
  </si>
  <si>
    <t>جيب</t>
  </si>
  <si>
    <t>poem</t>
  </si>
  <si>
    <t>qaSeeda</t>
  </si>
  <si>
    <t>قَصيدة</t>
  </si>
  <si>
    <t>poet</t>
  </si>
  <si>
    <t>shaa3eer</t>
  </si>
  <si>
    <t>شاعِر</t>
  </si>
  <si>
    <t>poetry</t>
  </si>
  <si>
    <t>shee3r</t>
  </si>
  <si>
    <t>شِعر</t>
  </si>
  <si>
    <t>poison</t>
  </si>
  <si>
    <t>semm</t>
  </si>
  <si>
    <t>سمّ</t>
  </si>
  <si>
    <t>pole</t>
  </si>
  <si>
    <t>poto</t>
  </si>
  <si>
    <t>agjdee</t>
  </si>
  <si>
    <t>police</t>
  </si>
  <si>
    <t>boolees</t>
  </si>
  <si>
    <t>بوليس</t>
  </si>
  <si>
    <t>police officer</t>
  </si>
  <si>
    <t>booleesee(ya)</t>
  </si>
  <si>
    <t>بوليسي</t>
  </si>
  <si>
    <t>police station</t>
  </si>
  <si>
    <t>koomeesaareeya</t>
  </si>
  <si>
    <t>كوميساريّة</t>
  </si>
  <si>
    <t>policeman</t>
  </si>
  <si>
    <t>polite</t>
  </si>
  <si>
    <t>labiq</t>
  </si>
  <si>
    <t>mswaab</t>
  </si>
  <si>
    <t>politeness</t>
  </si>
  <si>
    <t>labaqa</t>
  </si>
  <si>
    <t>swaab</t>
  </si>
  <si>
    <t>political party</t>
  </si>
  <si>
    <t>Hezb</t>
  </si>
  <si>
    <t>حزب</t>
  </si>
  <si>
    <t>politics</t>
  </si>
  <si>
    <t>syaasa</t>
  </si>
  <si>
    <t>سياسة</t>
  </si>
  <si>
    <t>pollute</t>
  </si>
  <si>
    <t>loowat</t>
  </si>
  <si>
    <t>لوَّت</t>
  </si>
  <si>
    <t>pollution</t>
  </si>
  <si>
    <t>talawoot</t>
  </si>
  <si>
    <t>تَلَوُّت</t>
  </si>
  <si>
    <t>pomegranate</t>
  </si>
  <si>
    <t>rmmaan</t>
  </si>
  <si>
    <t>رمّان</t>
  </si>
  <si>
    <t>poor</t>
  </si>
  <si>
    <t>mskeen</t>
  </si>
  <si>
    <t>مسكين</t>
  </si>
  <si>
    <t>faqeer</t>
  </si>
  <si>
    <t>فَقير</t>
  </si>
  <si>
    <t>popcorn</t>
  </si>
  <si>
    <t>gleeya</t>
  </si>
  <si>
    <t>گلية</t>
  </si>
  <si>
    <t>popular</t>
  </si>
  <si>
    <t>sha3bee</t>
  </si>
  <si>
    <t>شَعبي</t>
  </si>
  <si>
    <t>port</t>
  </si>
  <si>
    <t>merSaa</t>
  </si>
  <si>
    <t>مرصى</t>
  </si>
  <si>
    <t>pose</t>
  </si>
  <si>
    <t>TreH</t>
  </si>
  <si>
    <t>طرح</t>
  </si>
  <si>
    <t>possible</t>
  </si>
  <si>
    <t>momken(a)</t>
  </si>
  <si>
    <t>mken</t>
  </si>
  <si>
    <t>post office</t>
  </si>
  <si>
    <t>bosTa</t>
  </si>
  <si>
    <t>بوسطة</t>
  </si>
  <si>
    <t>postman</t>
  </si>
  <si>
    <t>faaktoor</t>
  </si>
  <si>
    <t>فاكتور</t>
  </si>
  <si>
    <t>saa3ee lbareed</t>
  </si>
  <si>
    <t>ساعي البَريد</t>
  </si>
  <si>
    <t>potato</t>
  </si>
  <si>
    <t>bTaaTaa</t>
  </si>
  <si>
    <t>بطاطا</t>
  </si>
  <si>
    <t>pour</t>
  </si>
  <si>
    <t>kbb</t>
  </si>
  <si>
    <t>كبّ</t>
  </si>
  <si>
    <t>power</t>
  </si>
  <si>
    <t>powerful</t>
  </si>
  <si>
    <t>qaadr</t>
  </si>
  <si>
    <t>praise God</t>
  </si>
  <si>
    <t>lHamdo llah</t>
  </si>
  <si>
    <t>الحَمدُ الله</t>
  </si>
  <si>
    <t>llah malak lHamed</t>
  </si>
  <si>
    <t>pray</t>
  </si>
  <si>
    <t>Sllaa (Sllee)</t>
  </si>
  <si>
    <t>صلّى</t>
  </si>
  <si>
    <t>طلب الله</t>
  </si>
  <si>
    <t>d3aa</t>
  </si>
  <si>
    <t>دعى</t>
  </si>
  <si>
    <t>prayer</t>
  </si>
  <si>
    <t>Slaa</t>
  </si>
  <si>
    <t>صلاة</t>
  </si>
  <si>
    <t>Slaat</t>
  </si>
  <si>
    <t>do3aa’e</t>
  </si>
  <si>
    <t>دُعاء</t>
  </si>
  <si>
    <t>precious</t>
  </si>
  <si>
    <t>3zeez</t>
  </si>
  <si>
    <t>عزيز</t>
  </si>
  <si>
    <t>precious stone</t>
  </si>
  <si>
    <t>precisely</t>
  </si>
  <si>
    <t>b DDbt</t>
  </si>
  <si>
    <t>prefer</t>
  </si>
  <si>
    <t>fDDl</t>
  </si>
  <si>
    <t>فضّل</t>
  </si>
  <si>
    <t>pregnant</t>
  </si>
  <si>
    <t>Haamla</t>
  </si>
  <si>
    <t>حاملة</t>
  </si>
  <si>
    <t>beebee f cheebee</t>
  </si>
  <si>
    <t>prepare</t>
  </si>
  <si>
    <t>وجّد</t>
  </si>
  <si>
    <t>present</t>
  </si>
  <si>
    <t>preserved lemon</t>
  </si>
  <si>
    <t>mSeyer</t>
  </si>
  <si>
    <t>مصير</t>
  </si>
  <si>
    <t>pressure</t>
  </si>
  <si>
    <t>ضَغط</t>
  </si>
  <si>
    <t>pressure cooker</t>
  </si>
  <si>
    <t>Tnjera</t>
  </si>
  <si>
    <t>طنجَرة</t>
  </si>
  <si>
    <t>طنجَرة د الكوكوت</t>
  </si>
  <si>
    <t>pretty</t>
  </si>
  <si>
    <t>prevent</t>
  </si>
  <si>
    <t>mne3</t>
  </si>
  <si>
    <t>price</t>
  </si>
  <si>
    <t>taman</t>
  </si>
  <si>
    <t>تَمَن</t>
  </si>
  <si>
    <t>priest</t>
  </si>
  <si>
    <t>prince</t>
  </si>
  <si>
    <t>‘ameer</t>
  </si>
  <si>
    <t>أَمير</t>
  </si>
  <si>
    <t>princess</t>
  </si>
  <si>
    <t>‘ameera</t>
  </si>
  <si>
    <t>أَميرة</t>
  </si>
  <si>
    <t>prison</t>
  </si>
  <si>
    <t>Hebs</t>
  </si>
  <si>
    <t>prisoner</t>
  </si>
  <si>
    <t>Hebbaas</t>
  </si>
  <si>
    <t>حبّاس</t>
  </si>
  <si>
    <t>private</t>
  </si>
  <si>
    <t>problem</t>
  </si>
  <si>
    <t>moshkil</t>
  </si>
  <si>
    <t>مُشكِل</t>
  </si>
  <si>
    <t>product</t>
  </si>
  <si>
    <t>sl3a</t>
  </si>
  <si>
    <t>سلعة</t>
  </si>
  <si>
    <t>mntooj</t>
  </si>
  <si>
    <t>منتوج</t>
  </si>
  <si>
    <t>profession</t>
  </si>
  <si>
    <t>mihena</t>
  </si>
  <si>
    <t>مِهنة</t>
  </si>
  <si>
    <t>programme</t>
  </si>
  <si>
    <t>brnaamaj</t>
  </si>
  <si>
    <t>برنامج</t>
  </si>
  <si>
    <t>project</t>
  </si>
  <si>
    <t>mshroo3</t>
  </si>
  <si>
    <t>مشروع</t>
  </si>
  <si>
    <t>promise</t>
  </si>
  <si>
    <t>wa3d</t>
  </si>
  <si>
    <t>وَعد</t>
  </si>
  <si>
    <t>waa3d</t>
  </si>
  <si>
    <t>واعد</t>
  </si>
  <si>
    <t>pronounce</t>
  </si>
  <si>
    <t>nTq</t>
  </si>
  <si>
    <t>نطق</t>
  </si>
  <si>
    <t>prophet</t>
  </si>
  <si>
    <t>nabee</t>
  </si>
  <si>
    <t>نبِي</t>
  </si>
  <si>
    <t>prostitute oneself</t>
  </si>
  <si>
    <t>qHeb</t>
  </si>
  <si>
    <t>protect</t>
  </si>
  <si>
    <t>Hamaa (Hamee)</t>
  </si>
  <si>
    <t>protected</t>
  </si>
  <si>
    <t>yaHmee</t>
  </si>
  <si>
    <t>province</t>
  </si>
  <si>
    <t>nawaHee</t>
  </si>
  <si>
    <t>publicity</t>
  </si>
  <si>
    <t>ish’haar</t>
  </si>
  <si>
    <t>pull</t>
  </si>
  <si>
    <t>jrr</t>
  </si>
  <si>
    <t>جرّ</t>
  </si>
  <si>
    <t>pull onself together</t>
  </si>
  <si>
    <t>جمع راس</t>
  </si>
  <si>
    <t>pull out</t>
  </si>
  <si>
    <t>pullover</t>
  </si>
  <si>
    <t>pumpkin</t>
  </si>
  <si>
    <t>punish</t>
  </si>
  <si>
    <t>3aaqb</t>
  </si>
  <si>
    <t>عاقب</t>
  </si>
  <si>
    <t>punishment</t>
  </si>
  <si>
    <t>3iqaab</t>
  </si>
  <si>
    <t>عِقاب</t>
  </si>
  <si>
    <t>3saa</t>
  </si>
  <si>
    <t>mo3aqaba</t>
  </si>
  <si>
    <t>pupil</t>
  </si>
  <si>
    <t>Taalib(a)</t>
  </si>
  <si>
    <t>طالِب</t>
  </si>
  <si>
    <t>puppy</t>
  </si>
  <si>
    <t>kleeb</t>
  </si>
  <si>
    <t>كليّب</t>
  </si>
  <si>
    <t>pure</t>
  </si>
  <si>
    <t>khaaliS</t>
  </si>
  <si>
    <t>خالِص</t>
  </si>
  <si>
    <t>purple</t>
  </si>
  <si>
    <t>moov</t>
  </si>
  <si>
    <t>موڤ</t>
  </si>
  <si>
    <t>mdaadee</t>
  </si>
  <si>
    <t>مدادي</t>
  </si>
  <si>
    <t>banafsajee</t>
  </si>
  <si>
    <t>بَنَفسَجي</t>
  </si>
  <si>
    <t>Hjree</t>
  </si>
  <si>
    <t>حجري</t>
  </si>
  <si>
    <t>purse</t>
  </si>
  <si>
    <t>bzTaam</t>
  </si>
  <si>
    <t>بزطام</t>
  </si>
  <si>
    <t>push</t>
  </si>
  <si>
    <t>df3</t>
  </si>
  <si>
    <t>دفع</t>
  </si>
  <si>
    <t>put</t>
  </si>
  <si>
    <t>put away</t>
  </si>
  <si>
    <t>put down</t>
  </si>
  <si>
    <t>put on</t>
  </si>
  <si>
    <t>put on make-up</t>
  </si>
  <si>
    <t>makaa (makee)</t>
  </si>
  <si>
    <t>put on weight</t>
  </si>
  <si>
    <t>ghlaaD</t>
  </si>
  <si>
    <t>غلاض</t>
  </si>
  <si>
    <t>pyjamas</t>
  </si>
  <si>
    <t>peejaama</t>
  </si>
  <si>
    <t>پيجامة</t>
  </si>
  <si>
    <t>quality</t>
  </si>
  <si>
    <t>qaleetee</t>
  </si>
  <si>
    <t>quarrel</t>
  </si>
  <si>
    <t>tkhaasm</t>
  </si>
  <si>
    <t>تخاصم</t>
  </si>
  <si>
    <t>quarter</t>
  </si>
  <si>
    <t>quarter to</t>
  </si>
  <si>
    <t>لا رُب</t>
  </si>
  <si>
    <t>question</t>
  </si>
  <si>
    <t>soo’aal</t>
  </si>
  <si>
    <t>سؤال</t>
  </si>
  <si>
    <t>queue</t>
  </si>
  <si>
    <t>queue up</t>
  </si>
  <si>
    <t>quick</t>
  </si>
  <si>
    <t>quickly</t>
  </si>
  <si>
    <t>quince</t>
  </si>
  <si>
    <t>sferjl</t>
  </si>
  <si>
    <t>سفرجل</t>
  </si>
  <si>
    <t>Rabat</t>
  </si>
  <si>
    <t>rrbaaT</t>
  </si>
  <si>
    <t>الرباط</t>
  </si>
  <si>
    <t>rabbit</t>
  </si>
  <si>
    <t>qneeya</t>
  </si>
  <si>
    <t>قنية</t>
  </si>
  <si>
    <t>radio</t>
  </si>
  <si>
    <t>radish</t>
  </si>
  <si>
    <t>fjel</t>
  </si>
  <si>
    <t>فجل</t>
  </si>
  <si>
    <t>rain</t>
  </si>
  <si>
    <t>كان الشتا</t>
  </si>
  <si>
    <t>طاح الشتا</t>
  </si>
  <si>
    <t>جا الشا</t>
  </si>
  <si>
    <t>rainbow</t>
  </si>
  <si>
    <t>qaoos qozaH</t>
  </si>
  <si>
    <t>قَوس قُزَح</t>
  </si>
  <si>
    <t>raise</t>
  </si>
  <si>
    <t>raisin</t>
  </si>
  <si>
    <t>zbeeb</t>
  </si>
  <si>
    <t>زبيب</t>
  </si>
  <si>
    <t>Ramadan</t>
  </si>
  <si>
    <t>rmDaan</t>
  </si>
  <si>
    <t>رمضان</t>
  </si>
  <si>
    <t>randomly</t>
  </si>
  <si>
    <t>3laa llah</t>
  </si>
  <si>
    <t>rapid</t>
  </si>
  <si>
    <t>سريع</t>
  </si>
  <si>
    <t>rare</t>
  </si>
  <si>
    <t>naader</t>
  </si>
  <si>
    <t>rarely</t>
  </si>
  <si>
    <t>naadiran</t>
  </si>
  <si>
    <t>نادِراً</t>
  </si>
  <si>
    <t>raspberry</t>
  </si>
  <si>
    <t>toot</t>
  </si>
  <si>
    <t>توت</t>
  </si>
  <si>
    <t>rat</t>
  </si>
  <si>
    <t>Tobba</t>
  </si>
  <si>
    <t>طوبة</t>
  </si>
  <si>
    <t>raw</t>
  </si>
  <si>
    <t>razor</t>
  </si>
  <si>
    <t>zeezwaar</t>
  </si>
  <si>
    <t>زيزوار</t>
  </si>
  <si>
    <t>razor blade</t>
  </si>
  <si>
    <t>reach</t>
  </si>
  <si>
    <t>read</t>
  </si>
  <si>
    <t>ready</t>
  </si>
  <si>
    <t>moojood</t>
  </si>
  <si>
    <t>موجود</t>
  </si>
  <si>
    <t>waajed</t>
  </si>
  <si>
    <t>واجَد</t>
  </si>
  <si>
    <t>real</t>
  </si>
  <si>
    <t>vray</t>
  </si>
  <si>
    <t>realise</t>
  </si>
  <si>
    <t>reality</t>
  </si>
  <si>
    <t>waaqi3</t>
  </si>
  <si>
    <t>واقِع</t>
  </si>
  <si>
    <t>really</t>
  </si>
  <si>
    <t>b SSeHH</t>
  </si>
  <si>
    <t>ب الصّحّ</t>
  </si>
  <si>
    <t>b SSeHH?!</t>
  </si>
  <si>
    <t>za3maa</t>
  </si>
  <si>
    <t>realtor</t>
  </si>
  <si>
    <t>reason</t>
  </si>
  <si>
    <t>reasonable</t>
  </si>
  <si>
    <t>receipt</t>
  </si>
  <si>
    <t>Tooseel</t>
  </si>
  <si>
    <t>طوسيل</t>
  </si>
  <si>
    <t>receive</t>
  </si>
  <si>
    <t>oosl</t>
  </si>
  <si>
    <t>جا</t>
  </si>
  <si>
    <t>recess</t>
  </si>
  <si>
    <t>recipe</t>
  </si>
  <si>
    <t>record</t>
  </si>
  <si>
    <t>sjjel</t>
  </si>
  <si>
    <t>سجّل</t>
  </si>
  <si>
    <t>tsjjel</t>
  </si>
  <si>
    <t>تسجّل</t>
  </si>
  <si>
    <t>rectangle</t>
  </si>
  <si>
    <t>mostaTeel</t>
  </si>
  <si>
    <t>مُستَطيل</t>
  </si>
  <si>
    <t>red</t>
  </si>
  <si>
    <t>Hmer</t>
  </si>
  <si>
    <t>حمر</t>
  </si>
  <si>
    <t>redo</t>
  </si>
  <si>
    <t>reduce</t>
  </si>
  <si>
    <t>reed</t>
  </si>
  <si>
    <t>qSb</t>
  </si>
  <si>
    <t>refridgerator</t>
  </si>
  <si>
    <t>refuse</t>
  </si>
  <si>
    <t>rfD</t>
  </si>
  <si>
    <t>رفض</t>
  </si>
  <si>
    <t>region</t>
  </si>
  <si>
    <t>regret</t>
  </si>
  <si>
    <t>ndm</t>
  </si>
  <si>
    <t>ندم</t>
  </si>
  <si>
    <t>3taader</t>
  </si>
  <si>
    <t>عتادر</t>
  </si>
  <si>
    <t>regulations</t>
  </si>
  <si>
    <t>rejoice</t>
  </si>
  <si>
    <t>relationship</t>
  </si>
  <si>
    <t>3alaaqa</t>
  </si>
  <si>
    <t>عَلاقة</t>
  </si>
  <si>
    <t>relax</t>
  </si>
  <si>
    <t>rtaaH</t>
  </si>
  <si>
    <t>رتاح</t>
  </si>
  <si>
    <t>religion</t>
  </si>
  <si>
    <t>deen</t>
  </si>
  <si>
    <t>دين</t>
  </si>
  <si>
    <t>religious holiday</t>
  </si>
  <si>
    <t>عيد</t>
  </si>
  <si>
    <t>remember</t>
  </si>
  <si>
    <t>3aaql</t>
  </si>
  <si>
    <t>remind</t>
  </si>
  <si>
    <t>remove</t>
  </si>
  <si>
    <t>renew</t>
  </si>
  <si>
    <t>jdded</t>
  </si>
  <si>
    <t>جدّد</t>
  </si>
  <si>
    <t>renovate</t>
  </si>
  <si>
    <t>rent</t>
  </si>
  <si>
    <t>kraa</t>
  </si>
  <si>
    <t>كرى</t>
  </si>
  <si>
    <t>repair</t>
  </si>
  <si>
    <t>repeat</t>
  </si>
  <si>
    <t>repeat after</t>
  </si>
  <si>
    <t>گال مورا</t>
  </si>
  <si>
    <t>repent</t>
  </si>
  <si>
    <t>taab</t>
  </si>
  <si>
    <t>تاب</t>
  </si>
  <si>
    <t>repentance</t>
  </si>
  <si>
    <t>tooba</t>
  </si>
  <si>
    <t>توبة</t>
  </si>
  <si>
    <t>reply</t>
  </si>
  <si>
    <t>required</t>
  </si>
  <si>
    <t>bziz</t>
  </si>
  <si>
    <t>laboda</t>
  </si>
  <si>
    <t>resemble</t>
  </si>
  <si>
    <t>reside</t>
  </si>
  <si>
    <t>resources</t>
  </si>
  <si>
    <t>mqdira</t>
  </si>
  <si>
    <t>respect</t>
  </si>
  <si>
    <t>Htiraam</t>
  </si>
  <si>
    <t>حتِرام</t>
  </si>
  <si>
    <t>Htarm</t>
  </si>
  <si>
    <t>حتَرم</t>
  </si>
  <si>
    <t>responsible</t>
  </si>
  <si>
    <t>rest</t>
  </si>
  <si>
    <t>staraaH</t>
  </si>
  <si>
    <t>ستَراح</t>
  </si>
  <si>
    <t>restaurant</t>
  </si>
  <si>
    <t>reesToora</t>
  </si>
  <si>
    <t>ريسطورة</t>
  </si>
  <si>
    <t>mT3em</t>
  </si>
  <si>
    <t>مطعَم</t>
  </si>
  <si>
    <t>result</t>
  </si>
  <si>
    <t>nateeja</t>
  </si>
  <si>
    <t>نَتيجة</t>
  </si>
  <si>
    <t>retirement</t>
  </si>
  <si>
    <t>return</t>
  </si>
  <si>
    <t>rjoo3</t>
  </si>
  <si>
    <t>رجوع</t>
  </si>
  <si>
    <t>return journey</t>
  </si>
  <si>
    <t>mshee oo mjee</t>
  </si>
  <si>
    <t>revenge</t>
  </si>
  <si>
    <t>revise</t>
  </si>
  <si>
    <t>raaj3</t>
  </si>
  <si>
    <t>راجع</t>
  </si>
  <si>
    <t>revision</t>
  </si>
  <si>
    <t>moraaja3a</t>
  </si>
  <si>
    <t>مُراجَعة</t>
  </si>
  <si>
    <t>rhubarb</t>
  </si>
  <si>
    <t>HmeeDa</t>
  </si>
  <si>
    <t>حميضة</t>
  </si>
  <si>
    <t>riad</t>
  </si>
  <si>
    <t>ryaaD</t>
  </si>
  <si>
    <t>رياض</t>
  </si>
  <si>
    <t>rice</t>
  </si>
  <si>
    <t>rooz</t>
  </si>
  <si>
    <t>روز</t>
  </si>
  <si>
    <t>rich</t>
  </si>
  <si>
    <t>laa baas 3laa</t>
  </si>
  <si>
    <t>ride</t>
  </si>
  <si>
    <t>rkb</t>
  </si>
  <si>
    <t>ركب</t>
  </si>
  <si>
    <t>right</t>
  </si>
  <si>
    <t>Hqq</t>
  </si>
  <si>
    <t>righteous</t>
  </si>
  <si>
    <t>ring</t>
  </si>
  <si>
    <t>khaatm</t>
  </si>
  <si>
    <t>خاتم</t>
  </si>
  <si>
    <t>Sonaa (Sonee)</t>
  </si>
  <si>
    <t>صونى</t>
  </si>
  <si>
    <t>rinse</t>
  </si>
  <si>
    <t>shllel</t>
  </si>
  <si>
    <t>شلَّل</t>
  </si>
  <si>
    <t>rip</t>
  </si>
  <si>
    <t>قطّع</t>
  </si>
  <si>
    <t>tqTT3</t>
  </si>
  <si>
    <t>تقطّع</t>
  </si>
  <si>
    <t>ripe</t>
  </si>
  <si>
    <t>ripen</t>
  </si>
  <si>
    <t>Tayb</t>
  </si>
  <si>
    <t>ripped</t>
  </si>
  <si>
    <t>mqTTa3</t>
  </si>
  <si>
    <t>مقطَّع</t>
  </si>
  <si>
    <t>rise</t>
  </si>
  <si>
    <t>shrq</t>
  </si>
  <si>
    <t>شرق</t>
  </si>
  <si>
    <t>tle3</t>
  </si>
  <si>
    <t>rise from the dead</t>
  </si>
  <si>
    <t>qaam</t>
  </si>
  <si>
    <t>قام</t>
  </si>
  <si>
    <t>river</t>
  </si>
  <si>
    <t>waad</t>
  </si>
  <si>
    <t>واد</t>
  </si>
  <si>
    <t>road</t>
  </si>
  <si>
    <t>rob</t>
  </si>
  <si>
    <t>robber</t>
  </si>
  <si>
    <t>robbery</t>
  </si>
  <si>
    <t>robe</t>
  </si>
  <si>
    <t>rocket</t>
  </si>
  <si>
    <t>Saarookh</t>
  </si>
  <si>
    <t>صاروخ</t>
  </si>
  <si>
    <t>romantic</t>
  </si>
  <si>
    <t>roomaansee</t>
  </si>
  <si>
    <t>رومانسي</t>
  </si>
  <si>
    <t>roof</t>
  </si>
  <si>
    <t>sTaH</t>
  </si>
  <si>
    <t>سطح</t>
  </si>
  <si>
    <t>roof terrace</t>
  </si>
  <si>
    <t>room</t>
  </si>
  <si>
    <t>بيت</t>
  </si>
  <si>
    <t>rooster</t>
  </si>
  <si>
    <t>root</t>
  </si>
  <si>
    <t>jdr</t>
  </si>
  <si>
    <t>جدر</t>
  </si>
  <si>
    <t>rosemary</t>
  </si>
  <si>
    <t>‘azeer</t>
  </si>
  <si>
    <t>أزير</t>
  </si>
  <si>
    <t>rotten</t>
  </si>
  <si>
    <t>msmoom</t>
  </si>
  <si>
    <t>rough</t>
  </si>
  <si>
    <t>Hresh</t>
  </si>
  <si>
    <t>حرش</t>
  </si>
  <si>
    <t>round</t>
  </si>
  <si>
    <t>mdoowar</t>
  </si>
  <si>
    <t>مدوّر</t>
  </si>
  <si>
    <t>round trip</t>
  </si>
  <si>
    <t>roundabout</t>
  </si>
  <si>
    <t>royal</t>
  </si>
  <si>
    <t>malakee</t>
  </si>
  <si>
    <t>مَلَكي</t>
  </si>
  <si>
    <t>rub</t>
  </si>
  <si>
    <t>rub out</t>
  </si>
  <si>
    <t>rubbish</t>
  </si>
  <si>
    <t>rucksack</t>
  </si>
  <si>
    <t>rug</t>
  </si>
  <si>
    <t>zrbeeya</t>
  </si>
  <si>
    <t>زربية</t>
  </si>
  <si>
    <t>tapeeya</t>
  </si>
  <si>
    <t>rug weaver</t>
  </si>
  <si>
    <t>m3aalm(a)</t>
  </si>
  <si>
    <t>ruin</t>
  </si>
  <si>
    <t>khorba</t>
  </si>
  <si>
    <t>خُربة</t>
  </si>
  <si>
    <t>run</t>
  </si>
  <si>
    <t>jraa (jree)</t>
  </si>
  <si>
    <t>جرى</t>
  </si>
  <si>
    <t>run away</t>
  </si>
  <si>
    <t>rushed</t>
  </si>
  <si>
    <t>rustling noise</t>
  </si>
  <si>
    <t>tkhrshish</t>
  </si>
  <si>
    <t>Thanks</t>
  </si>
  <si>
    <t>choukran</t>
  </si>
  <si>
    <t>شكرا</t>
  </si>
  <si>
    <t>Excuse me! I'm looking for the bus stop</t>
  </si>
  <si>
    <t>aafak, kan kalab aala toubiss?</t>
  </si>
  <si>
    <t>عافاك، كنقلب على طوبيس</t>
  </si>
  <si>
    <t>Hello</t>
  </si>
  <si>
    <t>assalam</t>
  </si>
  <si>
    <t>السلام</t>
  </si>
  <si>
    <t>Good evening</t>
  </si>
  <si>
    <t>msa lkhir</t>
  </si>
  <si>
    <t>مسا لخير</t>
  </si>
  <si>
    <t>Goodbye</t>
  </si>
  <si>
    <t>bslama</t>
  </si>
  <si>
    <t>بسلامة</t>
  </si>
  <si>
    <t>See you later</t>
  </si>
  <si>
    <t>man baed</t>
  </si>
  <si>
    <t>Yes</t>
  </si>
  <si>
    <t>ayeh</t>
  </si>
  <si>
    <t>ايه</t>
  </si>
  <si>
    <t>n'am</t>
  </si>
  <si>
    <t>نعام</t>
  </si>
  <si>
    <t>No</t>
  </si>
  <si>
    <t>Please!</t>
  </si>
  <si>
    <t>aafak</t>
  </si>
  <si>
    <t>عافاك</t>
  </si>
  <si>
    <t>Thanks a lot</t>
  </si>
  <si>
    <t>choukran bizzaf</t>
  </si>
  <si>
    <t>شكرا بزاف</t>
  </si>
  <si>
    <t>Thank you for your help</t>
  </si>
  <si>
    <t>choukran aala l'mosaada</t>
  </si>
  <si>
    <t>شكرا على المساعدة</t>
  </si>
  <si>
    <t>Don't mention it</t>
  </si>
  <si>
    <t>b'la g'mil</t>
  </si>
  <si>
    <t>بلا جميل</t>
  </si>
  <si>
    <t>Ok</t>
  </si>
  <si>
    <t>wakha</t>
  </si>
  <si>
    <t>How much is it?</t>
  </si>
  <si>
    <t>bach'hal hada aafak?</t>
  </si>
  <si>
    <t>بشحال هدا عافاك؟</t>
  </si>
  <si>
    <t>Sorry!</t>
  </si>
  <si>
    <t>smah liya</t>
  </si>
  <si>
    <t>سمح ليا</t>
  </si>
  <si>
    <t>I don't understand</t>
  </si>
  <si>
    <t>mafhamtch</t>
  </si>
  <si>
    <t>ما فهمتش</t>
  </si>
  <si>
    <t>I get it</t>
  </si>
  <si>
    <t>fhamt</t>
  </si>
  <si>
    <t>فهمت</t>
  </si>
  <si>
    <t>I don't know</t>
  </si>
  <si>
    <t>ma'eref'tch</t>
  </si>
  <si>
    <t>معرفتش</t>
  </si>
  <si>
    <t>Forbidden</t>
  </si>
  <si>
    <t>mamnoue</t>
  </si>
  <si>
    <t>ممنوع</t>
  </si>
  <si>
    <t>Excuse me, where are the toilets?</t>
  </si>
  <si>
    <t>fin kayen l'mirhad aafak?</t>
  </si>
  <si>
    <t>فين كاين لمرحاض من عافاك ؟</t>
  </si>
  <si>
    <t>Happy New Year!</t>
  </si>
  <si>
    <t>sana saida</t>
  </si>
  <si>
    <t>سنة سعيدة</t>
  </si>
  <si>
    <t>Happy birthday!</t>
  </si>
  <si>
    <t>eid milad said</t>
  </si>
  <si>
    <t>Happy holiday!</t>
  </si>
  <si>
    <t>mabrouk l'aewacher</t>
  </si>
  <si>
    <t>مبروك لعواشر</t>
  </si>
  <si>
    <t>Congratulations!</t>
  </si>
  <si>
    <t>mabrouk</t>
  </si>
  <si>
    <t>Hello. How are you?</t>
  </si>
  <si>
    <t>salam, labas aalik?</t>
  </si>
  <si>
    <t>السلام، لباس عليك؟</t>
  </si>
  <si>
    <t>Hello. I'm fine, thank you</t>
  </si>
  <si>
    <t>salam, ana bikhir, chokran lik</t>
  </si>
  <si>
    <t>السلام، أنا بخير ، شكرا لك.</t>
  </si>
  <si>
    <t>Do you speak Arabic?</t>
  </si>
  <si>
    <t>wash kassad al' arabia</t>
  </si>
  <si>
    <t>واش كتهضر العربية</t>
  </si>
  <si>
    <t>wash kassad ali' arabia</t>
  </si>
  <si>
    <t>واش كتهضري العربية</t>
  </si>
  <si>
    <t>No, I don't speak Arabic</t>
  </si>
  <si>
    <t>la, maca da nach al' arabia</t>
  </si>
  <si>
    <t>لا، ماكنهضرش العربية</t>
  </si>
  <si>
    <t>Only a little bit</t>
  </si>
  <si>
    <t>ghir chwiya</t>
  </si>
  <si>
    <t>غير شوية</t>
  </si>
  <si>
    <t>Where do you come from?</t>
  </si>
  <si>
    <t>man ina blad nta?</t>
  </si>
  <si>
    <t>من اينا بلاد انتا ؟</t>
  </si>
  <si>
    <t>null</t>
  </si>
  <si>
    <t>What is your nationality?</t>
  </si>
  <si>
    <t>achnou hiya ljinsia dialek ?</t>
  </si>
  <si>
    <t>اشنوهي لجنسية ديالك؟</t>
  </si>
  <si>
    <t>I am English</t>
  </si>
  <si>
    <t>ana englesi</t>
  </si>
  <si>
    <t>أنا نجليزي</t>
  </si>
  <si>
    <t>ana englesia</t>
  </si>
  <si>
    <t>أنا نجليزية</t>
  </si>
  <si>
    <t>And you, do you live here?</t>
  </si>
  <si>
    <t>wa nti sakna hna?</t>
  </si>
  <si>
    <t>و نتي ساكنة هنا؟</t>
  </si>
  <si>
    <t>Yes, I live here</t>
  </si>
  <si>
    <t>ayeh, ana sakna hna</t>
  </si>
  <si>
    <t>اياه، أنا ساكنة هنا</t>
  </si>
  <si>
    <t>My name is Sarah, what's your name?</t>
  </si>
  <si>
    <t>smiti sara w nta?</t>
  </si>
  <si>
    <t>سميتي سارة و نتا؟</t>
  </si>
  <si>
    <t>Julian</t>
  </si>
  <si>
    <t>jolian</t>
  </si>
  <si>
    <t>جوليان</t>
  </si>
  <si>
    <t>What are you doing here?</t>
  </si>
  <si>
    <t>ach kadir h'na?</t>
  </si>
  <si>
    <t>اش كدير هنا؟</t>
  </si>
  <si>
    <t>ach kadiri h'na?</t>
  </si>
  <si>
    <t>آش كديري هنا؟</t>
  </si>
  <si>
    <t>I am on holiday</t>
  </si>
  <si>
    <t>ana f otla</t>
  </si>
  <si>
    <t>انا في عطلة</t>
  </si>
  <si>
    <t>We are on holiday</t>
  </si>
  <si>
    <t>hna f otla</t>
  </si>
  <si>
    <t>حنا في عطلة</t>
  </si>
  <si>
    <t>I am on a business trip</t>
  </si>
  <si>
    <t>ana f safar aemal</t>
  </si>
  <si>
    <t>انا في سفر اعمال</t>
  </si>
  <si>
    <t>I work here</t>
  </si>
  <si>
    <t>kanakhdam hna</t>
  </si>
  <si>
    <t>كانخدم هنا</t>
  </si>
  <si>
    <t>We work here</t>
  </si>
  <si>
    <t>kankhadmo hna</t>
  </si>
  <si>
    <t>كانخدمو هنا</t>
  </si>
  <si>
    <t>Where are the good places to go out and eat?</t>
  </si>
  <si>
    <t>chno houma blayes lmakla lmezianin?</t>
  </si>
  <si>
    <t>شنو هما بلايص الماكلة لمزيانين؟</t>
  </si>
  <si>
    <t>Is there a museum in the neighbourhood?</t>
  </si>
  <si>
    <t>kayn chi mathaf k'rib man hna?</t>
  </si>
  <si>
    <t>كأين شي متحف قريب من هنا؟</t>
  </si>
  <si>
    <t>Where could I get an internet connection?</t>
  </si>
  <si>
    <t>fin nakdar ntkonikta?</t>
  </si>
  <si>
    <t>فين نقدر نتكونيكتا؟</t>
  </si>
  <si>
    <t>Do you want to learn a few words?</t>
  </si>
  <si>
    <t>wach bghiti t'alem ba'ed lakalmat ?</t>
  </si>
  <si>
    <t>واش بغيتي تعلم بعض الكلمات؟</t>
  </si>
  <si>
    <t>b'riti t'almi thadri lourti?</t>
  </si>
  <si>
    <t>بغيتي تعلمي تهضري لغتي؟</t>
  </si>
  <si>
    <t>Yes, sure!</t>
  </si>
  <si>
    <t>ayah, tab'aan</t>
  </si>
  <si>
    <t>ايه، طبعا</t>
  </si>
  <si>
    <t>What's this called?</t>
  </si>
  <si>
    <t>asmit hada?</t>
  </si>
  <si>
    <t>اسميت هدا؟</t>
  </si>
  <si>
    <t>It's a table</t>
  </si>
  <si>
    <t>hadi tabla</t>
  </si>
  <si>
    <t>هادي طابلة</t>
  </si>
  <si>
    <t>A table. Do you understand?</t>
  </si>
  <si>
    <t>tabla, fhamti?</t>
  </si>
  <si>
    <t>طابلة، فهمتي؟</t>
  </si>
  <si>
    <t>Can you repeat please?</t>
  </si>
  <si>
    <t>wach moumkin taawadi aafak ?</t>
  </si>
  <si>
    <t>واش ممكن تعاودي عافاك ؟</t>
  </si>
  <si>
    <t>Can you talk a bit more slowly, please ?</t>
  </si>
  <si>
    <t>wach momkin thadri bachwiya?</t>
  </si>
  <si>
    <t>واش ممكن تهضري بشوية؟</t>
  </si>
  <si>
    <t>Could you write it down, please?</t>
  </si>
  <si>
    <t>wach yamkan lik t'katbiha aafak?</t>
  </si>
  <si>
    <t>واش يمكن لك تكتبيها عافاك؟</t>
  </si>
  <si>
    <t>When did you get here?</t>
  </si>
  <si>
    <t>imta giti lahna?</t>
  </si>
  <si>
    <t>ايمتا جيتي لهنا؟</t>
  </si>
  <si>
    <t>Today</t>
  </si>
  <si>
    <t>lyoum</t>
  </si>
  <si>
    <t>ليوم</t>
  </si>
  <si>
    <t>Yesterday</t>
  </si>
  <si>
    <t>lbareh</t>
  </si>
  <si>
    <t>لبارح</t>
  </si>
  <si>
    <t>Two days ago</t>
  </si>
  <si>
    <t>hadi youmayen</t>
  </si>
  <si>
    <t>هادي يومين</t>
  </si>
  <si>
    <t>How long are you staying for?</t>
  </si>
  <si>
    <t>ch'hal radi tabka hna?</t>
  </si>
  <si>
    <t>شحال غادي تبقا هنا؟</t>
  </si>
  <si>
    <t>ch'hal radi t'bkay h'na?</t>
  </si>
  <si>
    <t>شحال غادي تبقاي هنا؟</t>
  </si>
  <si>
    <t>I'm leaving tomorrow</t>
  </si>
  <si>
    <t>ghadi namchi ghadda</t>
  </si>
  <si>
    <t>غادي نمشي غدا</t>
  </si>
  <si>
    <t>I'll be leaving the day after tomorrow</t>
  </si>
  <si>
    <t>ghadi namchi b'aed ghadda</t>
  </si>
  <si>
    <t>غادي نمشي بعد غدا</t>
  </si>
  <si>
    <t>I'll be leaving in three days</t>
  </si>
  <si>
    <t>ghadi namchi ba'ed talt yam</t>
  </si>
  <si>
    <t>غادي من بعد تلت ايام</t>
  </si>
  <si>
    <t>latnin</t>
  </si>
  <si>
    <t>لاثنين</t>
  </si>
  <si>
    <t>latlat</t>
  </si>
  <si>
    <t>لثلاث</t>
  </si>
  <si>
    <t>larbae</t>
  </si>
  <si>
    <t>لاربع</t>
  </si>
  <si>
    <t>lakhmis</t>
  </si>
  <si>
    <t>لخميس</t>
  </si>
  <si>
    <t>jam'aa</t>
  </si>
  <si>
    <t>جمعة</t>
  </si>
  <si>
    <t>sabt</t>
  </si>
  <si>
    <t>سبت</t>
  </si>
  <si>
    <t>lhad</t>
  </si>
  <si>
    <t>لحد</t>
  </si>
  <si>
    <t>ch'har wahed</t>
  </si>
  <si>
    <t>ch'har jouj</t>
  </si>
  <si>
    <t>ch'har tlata</t>
  </si>
  <si>
    <t>April</t>
  </si>
  <si>
    <t>ch'har rab'aa</t>
  </si>
  <si>
    <t>ch'har khamsa</t>
  </si>
  <si>
    <t>ch'har s'tta</t>
  </si>
  <si>
    <t>شهر ستة</t>
  </si>
  <si>
    <t>ch'har s'b'aa</t>
  </si>
  <si>
    <t>ch'har t'mnya</t>
  </si>
  <si>
    <t>ch'har t'soud</t>
  </si>
  <si>
    <t>شهر تسعة</t>
  </si>
  <si>
    <t>ch'har aachra</t>
  </si>
  <si>
    <t>ch'har hdach</t>
  </si>
  <si>
    <t>شهر حضاش</t>
  </si>
  <si>
    <t>ch'har tnach</t>
  </si>
  <si>
    <t>What time are you leaving at?</t>
  </si>
  <si>
    <t>chmen saa ghadi tamchi?</t>
  </si>
  <si>
    <t>أشمن ساعة غادي تمشي؟</t>
  </si>
  <si>
    <t>chmen saa rad'ya tamchi?</t>
  </si>
  <si>
    <t>أشمن ساعة غادية تمشي؟</t>
  </si>
  <si>
    <t>Morning, at eight o'clock</t>
  </si>
  <si>
    <t>sbah;m'aa tmanya</t>
  </si>
  <si>
    <t>صباح... معا تمنيا</t>
  </si>
  <si>
    <t>Morning, at a quarter past 8</t>
  </si>
  <si>
    <t>sbah, m'aa tmanya o r'bae</t>
  </si>
  <si>
    <t>صباح... معا تمنيا أو ربع</t>
  </si>
  <si>
    <t>Morning, at half past 8</t>
  </si>
  <si>
    <t>sbah, m'aa tmanya o nas</t>
  </si>
  <si>
    <t>صباح... معا تمنيا أو نص</t>
  </si>
  <si>
    <t>Morning, at a quarter to nine</t>
  </si>
  <si>
    <t>sbah, m'aa tmanya o khamsa ourabain</t>
  </si>
  <si>
    <t>صباح... معا تمنيا أو خمسة أو ربعين</t>
  </si>
  <si>
    <t>I am late</t>
  </si>
  <si>
    <t>ana m'atal</t>
  </si>
  <si>
    <t>انا معطل</t>
  </si>
  <si>
    <t>ana m'atla</t>
  </si>
  <si>
    <t>انا معطلة</t>
  </si>
  <si>
    <t>Zero</t>
  </si>
  <si>
    <t>zirou</t>
  </si>
  <si>
    <t>زيرو</t>
  </si>
  <si>
    <t>One</t>
  </si>
  <si>
    <t>wahed</t>
  </si>
  <si>
    <t>Two</t>
  </si>
  <si>
    <t>jouj</t>
  </si>
  <si>
    <t>Three</t>
  </si>
  <si>
    <t>tlata</t>
  </si>
  <si>
    <t>Four</t>
  </si>
  <si>
    <t>rab'aa</t>
  </si>
  <si>
    <t>Five</t>
  </si>
  <si>
    <t>Six</t>
  </si>
  <si>
    <t>s'tta</t>
  </si>
  <si>
    <t>ستة</t>
  </si>
  <si>
    <t>Seven</t>
  </si>
  <si>
    <t>sab'aa</t>
  </si>
  <si>
    <t>Eight</t>
  </si>
  <si>
    <t>tmanya</t>
  </si>
  <si>
    <t>Nine</t>
  </si>
  <si>
    <t>tasoud</t>
  </si>
  <si>
    <t>تسعة</t>
  </si>
  <si>
    <t>Ten</t>
  </si>
  <si>
    <t>aachra</t>
  </si>
  <si>
    <t>Eleven</t>
  </si>
  <si>
    <t>hdach</t>
  </si>
  <si>
    <t>Twelve</t>
  </si>
  <si>
    <t>tnach</t>
  </si>
  <si>
    <t>Thirteen</t>
  </si>
  <si>
    <t>tlatach</t>
  </si>
  <si>
    <t>Fourteen</t>
  </si>
  <si>
    <t>rbaetach</t>
  </si>
  <si>
    <t>Fifteen</t>
  </si>
  <si>
    <t>khamstach</t>
  </si>
  <si>
    <t>Sixteen</t>
  </si>
  <si>
    <t>stach</t>
  </si>
  <si>
    <t>سطاش</t>
  </si>
  <si>
    <t>Seventeen</t>
  </si>
  <si>
    <t>sbaetach</t>
  </si>
  <si>
    <t>Eighteen</t>
  </si>
  <si>
    <t>tmantach</t>
  </si>
  <si>
    <t>Nineteen</t>
  </si>
  <si>
    <t>tsaetach</t>
  </si>
  <si>
    <t>Twenty</t>
  </si>
  <si>
    <t>aachrin</t>
  </si>
  <si>
    <t>Twenty-one</t>
  </si>
  <si>
    <t>wahed ou aachrin</t>
  </si>
  <si>
    <t>واحد أو عشرين</t>
  </si>
  <si>
    <t>Twenty-two</t>
  </si>
  <si>
    <t>tnain ou aachrin</t>
  </si>
  <si>
    <t>تنين او عشرين</t>
  </si>
  <si>
    <t>Twenty-three</t>
  </si>
  <si>
    <t>tlata ou aachrin</t>
  </si>
  <si>
    <t>تلاتة او عشرين</t>
  </si>
  <si>
    <t>Twenty-four</t>
  </si>
  <si>
    <t>rab'aa ou aachrin</t>
  </si>
  <si>
    <t>ربعة او عشرين</t>
  </si>
  <si>
    <t>Twenty-five</t>
  </si>
  <si>
    <t>khamsa ou aachrin</t>
  </si>
  <si>
    <t>خمسة أو عشرين</t>
  </si>
  <si>
    <t>Twenty-six</t>
  </si>
  <si>
    <t>setta ou aachrin</t>
  </si>
  <si>
    <t>ستة او عشرين</t>
  </si>
  <si>
    <t>Twenty-seven</t>
  </si>
  <si>
    <t>sab'aa ou aachrin</t>
  </si>
  <si>
    <t>سبعة او عشرين</t>
  </si>
  <si>
    <t>Twenty-eight</t>
  </si>
  <si>
    <t>tmanya ou aachrin</t>
  </si>
  <si>
    <t>تمنية او عشرين</t>
  </si>
  <si>
    <t>Twenty-nine</t>
  </si>
  <si>
    <t>tas'aa ou aachrin</t>
  </si>
  <si>
    <t>تسعة او عشرين</t>
  </si>
  <si>
    <t>Thirty</t>
  </si>
  <si>
    <t>tlatin</t>
  </si>
  <si>
    <t>Thirty-one</t>
  </si>
  <si>
    <t>wahed ou tlatin</t>
  </si>
  <si>
    <t>واحد أو تلاتين</t>
  </si>
  <si>
    <t>Thirty-two</t>
  </si>
  <si>
    <t>tnin ou tlatin</t>
  </si>
  <si>
    <t>تنين او تلاتين</t>
  </si>
  <si>
    <t>Thirty-three</t>
  </si>
  <si>
    <t>tlata ou tlatin</t>
  </si>
  <si>
    <t>تلاتة او تلاتين</t>
  </si>
  <si>
    <t>Thirty-four</t>
  </si>
  <si>
    <t>rab'aa ou tlatin</t>
  </si>
  <si>
    <t>ربعة او تلاتين</t>
  </si>
  <si>
    <t>Thirty-five</t>
  </si>
  <si>
    <t>khamsa ou tlatin</t>
  </si>
  <si>
    <t>خمسة أو تلاتين</t>
  </si>
  <si>
    <t>Thirty-six</t>
  </si>
  <si>
    <t>setta ou tlatin</t>
  </si>
  <si>
    <t>ستة او تلاتين</t>
  </si>
  <si>
    <t>Forty</t>
  </si>
  <si>
    <t>rab'in</t>
  </si>
  <si>
    <t>Fifty</t>
  </si>
  <si>
    <t>khamssin</t>
  </si>
  <si>
    <t>Sixty</t>
  </si>
  <si>
    <t>sattin</t>
  </si>
  <si>
    <t>ستين</t>
  </si>
  <si>
    <t>Seventy</t>
  </si>
  <si>
    <t>sab'in</t>
  </si>
  <si>
    <t>Eighty</t>
  </si>
  <si>
    <t>t'manyin</t>
  </si>
  <si>
    <t>Ninety</t>
  </si>
  <si>
    <t>tas'in</t>
  </si>
  <si>
    <t>One hundred</t>
  </si>
  <si>
    <t>m'ya</t>
  </si>
  <si>
    <t>ميا</t>
  </si>
  <si>
    <t>A hundred and five</t>
  </si>
  <si>
    <t>m'ya ou khamsin</t>
  </si>
  <si>
    <t>ميا او خمسين</t>
  </si>
  <si>
    <t>Two hundred</t>
  </si>
  <si>
    <t>mytayen</t>
  </si>
  <si>
    <t>ميتين</t>
  </si>
  <si>
    <t>Three hundred</t>
  </si>
  <si>
    <t>talt m'ya</t>
  </si>
  <si>
    <t>تلت ميا</t>
  </si>
  <si>
    <t>Four hundred</t>
  </si>
  <si>
    <t>r'ba'e m'ya</t>
  </si>
  <si>
    <t>ربع ميا</t>
  </si>
  <si>
    <t>A thousand</t>
  </si>
  <si>
    <t>alf</t>
  </si>
  <si>
    <t>A thousand five hundred</t>
  </si>
  <si>
    <t>alf ou khamsamya</t>
  </si>
  <si>
    <t>ألف أو خمس ميا</t>
  </si>
  <si>
    <t>Two thousand</t>
  </si>
  <si>
    <t>alfayen</t>
  </si>
  <si>
    <t>ألفين</t>
  </si>
  <si>
    <t>Ten thousand</t>
  </si>
  <si>
    <t>aachralaf</t>
  </si>
  <si>
    <t>عشرالاف</t>
  </si>
  <si>
    <t>Taxi!</t>
  </si>
  <si>
    <t>taksi</t>
  </si>
  <si>
    <t>! طاكسي</t>
  </si>
  <si>
    <t>Where would you like to go?</t>
  </si>
  <si>
    <t>fin ghadia?</t>
  </si>
  <si>
    <t>فين غاديا ؟</t>
  </si>
  <si>
    <t>I'm going to the train station</t>
  </si>
  <si>
    <t>ghadia l mahatta</t>
  </si>
  <si>
    <t>غاديا لمحطة</t>
  </si>
  <si>
    <t>I'm going to the Day and Night Hotel</t>
  </si>
  <si>
    <t>ghadia lfondok jour è nuit</t>
  </si>
  <si>
    <t>غاديا لفندق جوغ انوي</t>
  </si>
  <si>
    <t>I'm going to the day and night Hotel</t>
  </si>
  <si>
    <t>غادي لفندق ليل و نهار</t>
  </si>
  <si>
    <t>Can you take me to the airport, please?</t>
  </si>
  <si>
    <t>momkin twaslini aafak l matar?</t>
  </si>
  <si>
    <t>ممكن توصلني عافاك للمطار؟</t>
  </si>
  <si>
    <t>mokin t'waslini lil matar?</t>
  </si>
  <si>
    <t>ممكن توصليني للمطار؟</t>
  </si>
  <si>
    <t>Can you take my luggage?</t>
  </si>
  <si>
    <t>wach yamkan lik takhad lbagaj diali?</t>
  </si>
  <si>
    <t>واش يمكن لك تاخذ لبكاج ديالي ؟</t>
  </si>
  <si>
    <t>Is it far from here?</t>
  </si>
  <si>
    <t>wach baed m'n hna?</t>
  </si>
  <si>
    <t>واش بعيد من هنا؟</t>
  </si>
  <si>
    <t>No it's close</t>
  </si>
  <si>
    <t>la, k'rib</t>
  </si>
  <si>
    <t>لا، قريب</t>
  </si>
  <si>
    <t>Yes it's a little bit further away</t>
  </si>
  <si>
    <t>b'aid chwiya</t>
  </si>
  <si>
    <t>بعيد شوية</t>
  </si>
  <si>
    <t>How much will it be?</t>
  </si>
  <si>
    <t>b'ch'hal?</t>
  </si>
  <si>
    <t>بشحال؟</t>
  </si>
  <si>
    <t>Take me there, please</t>
  </si>
  <si>
    <t>dini hna aafak</t>
  </si>
  <si>
    <t>ديني هنا عافاك</t>
  </si>
  <si>
    <t>You go right</t>
  </si>
  <si>
    <t>sir aala liman</t>
  </si>
  <si>
    <t>سير على ليمن</t>
  </si>
  <si>
    <t>You go left</t>
  </si>
  <si>
    <t>sir aala lisar</t>
  </si>
  <si>
    <t>سير على ليسار</t>
  </si>
  <si>
    <t>It's straight on</t>
  </si>
  <si>
    <t>kayn nichan</t>
  </si>
  <si>
    <t>كاين نيشان</t>
  </si>
  <si>
    <t>It's right here</t>
  </si>
  <si>
    <t>kayn hna</t>
  </si>
  <si>
    <t>كاين هنا</t>
  </si>
  <si>
    <t>It's that way</t>
  </si>
  <si>
    <t>hna</t>
  </si>
  <si>
    <t>Stop!</t>
  </si>
  <si>
    <t>wkaf!</t>
  </si>
  <si>
    <t>!وقف</t>
  </si>
  <si>
    <t>Take your time</t>
  </si>
  <si>
    <t>khoud waktak</t>
  </si>
  <si>
    <t>خود وقتك</t>
  </si>
  <si>
    <t>Can I have a receipt, please?</t>
  </si>
  <si>
    <t>momkin ta'etini factoura aafak?</t>
  </si>
  <si>
    <t>ممكن تعطيني فاكتورة عافاك؟</t>
  </si>
  <si>
    <t>Do you have family here?</t>
  </si>
  <si>
    <t>aandak l'aila hna?</t>
  </si>
  <si>
    <t>عند ك لعائلة هنا ؟</t>
  </si>
  <si>
    <t>My father</t>
  </si>
  <si>
    <t>lwalid</t>
  </si>
  <si>
    <t>لواليد</t>
  </si>
  <si>
    <t>My mother</t>
  </si>
  <si>
    <t>lwalida</t>
  </si>
  <si>
    <t>لواليدة</t>
  </si>
  <si>
    <t>My son</t>
  </si>
  <si>
    <t>wldi</t>
  </si>
  <si>
    <t>ولدي</t>
  </si>
  <si>
    <t>My daughter</t>
  </si>
  <si>
    <t>bnti</t>
  </si>
  <si>
    <t>بنتي</t>
  </si>
  <si>
    <t>A brother</t>
  </si>
  <si>
    <t>khouya</t>
  </si>
  <si>
    <t>خويا</t>
  </si>
  <si>
    <t>a sister</t>
  </si>
  <si>
    <t>khti</t>
  </si>
  <si>
    <t>أختي</t>
  </si>
  <si>
    <t>a friend</t>
  </si>
  <si>
    <t>wahed sahbi</t>
  </si>
  <si>
    <t>واحد صاحبي</t>
  </si>
  <si>
    <t>sadikti</t>
  </si>
  <si>
    <t>صديقتي</t>
  </si>
  <si>
    <t>My boyfriend</t>
  </si>
  <si>
    <t>sahbi</t>
  </si>
  <si>
    <t>صاحبي</t>
  </si>
  <si>
    <t>My girlfriend</t>
  </si>
  <si>
    <t>sahbti</t>
  </si>
  <si>
    <t>صاحبتي</t>
  </si>
  <si>
    <t>My husband</t>
  </si>
  <si>
    <t>rajli</t>
  </si>
  <si>
    <t>راجلي</t>
  </si>
  <si>
    <t>My wife</t>
  </si>
  <si>
    <t>mrati</t>
  </si>
  <si>
    <t>مراتي</t>
  </si>
  <si>
    <t>I really like your country</t>
  </si>
  <si>
    <t>kanabghi b'ladkom bazzaf</t>
  </si>
  <si>
    <t>كنبغي بلادكم بزاف</t>
  </si>
  <si>
    <t>I love you</t>
  </si>
  <si>
    <t>kanbghik</t>
  </si>
  <si>
    <t>كنبغيك</t>
  </si>
  <si>
    <t>I am happy</t>
  </si>
  <si>
    <t>ana farhan</t>
  </si>
  <si>
    <t>انا فرحان</t>
  </si>
  <si>
    <t>I am sad</t>
  </si>
  <si>
    <t>ana mkalak</t>
  </si>
  <si>
    <t>انا مقلق</t>
  </si>
  <si>
    <t>I feel great here</t>
  </si>
  <si>
    <t>kanhas b'rasi mazyan</t>
  </si>
  <si>
    <t>كنحس براسي مزيان</t>
  </si>
  <si>
    <t>I am cold</t>
  </si>
  <si>
    <t>fiya l'bard</t>
  </si>
  <si>
    <t>فيا لبرد</t>
  </si>
  <si>
    <t>I am hot</t>
  </si>
  <si>
    <t>fiya sahd</t>
  </si>
  <si>
    <t>فيا صهد</t>
  </si>
  <si>
    <t>It's too big</t>
  </si>
  <si>
    <t>k'bir bazzaf</t>
  </si>
  <si>
    <t>كبير بزاف</t>
  </si>
  <si>
    <t>It's too small</t>
  </si>
  <si>
    <t>sghir bazzaf</t>
  </si>
  <si>
    <t>صغير بزاف</t>
  </si>
  <si>
    <t>It's perfect</t>
  </si>
  <si>
    <t>howa hadak</t>
  </si>
  <si>
    <t>هو هاداك</t>
  </si>
  <si>
    <t>Do you want to go out tonight?</t>
  </si>
  <si>
    <t>bghiti takhroj lyuma f'lil?</t>
  </si>
  <si>
    <t>بغيتي تخرج ليوما فاليل؟</t>
  </si>
  <si>
    <t>b'riti tkhorji l'yuma f'lil?</t>
  </si>
  <si>
    <t>بغيتي تخرجي ليوما فليل?</t>
  </si>
  <si>
    <t>I would like to go out tonight</t>
  </si>
  <si>
    <t>bghit nakhroj l'yom f'lil</t>
  </si>
  <si>
    <t>بغيت نخرج ليوم فاليل</t>
  </si>
  <si>
    <t>It is a good idea</t>
  </si>
  <si>
    <t>fikra mazyana</t>
  </si>
  <si>
    <t>فكرة مزيانة</t>
  </si>
  <si>
    <t>I want to have fun</t>
  </si>
  <si>
    <t>baghi nanchat</t>
  </si>
  <si>
    <t>باغي ننشط</t>
  </si>
  <si>
    <t>barya n'nchat</t>
  </si>
  <si>
    <t>باغية ننشط</t>
  </si>
  <si>
    <t>It is not a good idea</t>
  </si>
  <si>
    <t>la machi fikra mazyana</t>
  </si>
  <si>
    <t>لا ماشي فكرة مزيانة</t>
  </si>
  <si>
    <t>I don't want to go out tonight</t>
  </si>
  <si>
    <t>mabaghich nakhroj l'youm</t>
  </si>
  <si>
    <t>مباغيش نخرج ليوم</t>
  </si>
  <si>
    <t>mabarach n'khroj l'yuma</t>
  </si>
  <si>
    <t>مباغاش نخرج ليوم</t>
  </si>
  <si>
    <t>I want to rest</t>
  </si>
  <si>
    <t>baghi nartah</t>
  </si>
  <si>
    <t>باغي نرتاح</t>
  </si>
  <si>
    <t>Would you like to do some sport?</t>
  </si>
  <si>
    <t>bghit dir rayada?</t>
  </si>
  <si>
    <t>بغيت دير رياضة؟</t>
  </si>
  <si>
    <t>Yes, I need to relax</t>
  </si>
  <si>
    <t>ah, baghi nanchat</t>
  </si>
  <si>
    <t>اه باغي ننشط</t>
  </si>
  <si>
    <t>I play tennis</t>
  </si>
  <si>
    <t>kanalaab tinnis</t>
  </si>
  <si>
    <t>كنلعب التنيس</t>
  </si>
  <si>
    <t>No thanks. I am tired already</t>
  </si>
  <si>
    <t>la, choukran aayan bazzaf</t>
  </si>
  <si>
    <t>لا شكرا عيان بزاف</t>
  </si>
  <si>
    <t>The bar</t>
  </si>
  <si>
    <t>lbar</t>
  </si>
  <si>
    <t>لبار</t>
  </si>
  <si>
    <t>Would you like to have a drink?</t>
  </si>
  <si>
    <t>tachrab chi haja?</t>
  </si>
  <si>
    <t>تشرب شي حاجة؟</t>
  </si>
  <si>
    <t>t'charbi chi haja?</t>
  </si>
  <si>
    <t>تشربي شي حاجة؟</t>
  </si>
  <si>
    <t>To drink</t>
  </si>
  <si>
    <t>kanchrab</t>
  </si>
  <si>
    <t>كنشرب</t>
  </si>
  <si>
    <t>Glass</t>
  </si>
  <si>
    <t>lkas</t>
  </si>
  <si>
    <t>لكاس</t>
  </si>
  <si>
    <t>With pleasure</t>
  </si>
  <si>
    <t>bkol farah</t>
  </si>
  <si>
    <t>بكل فرح</t>
  </si>
  <si>
    <t>What would you like?</t>
  </si>
  <si>
    <t>chno li bghit ?</t>
  </si>
  <si>
    <t>شنو اللي بغيت ؟</t>
  </si>
  <si>
    <t>There is water or fruit juices</t>
  </si>
  <si>
    <t>kayn l'ma wla l'assir</t>
  </si>
  <si>
    <t>كاين لما ولا لعصير</t>
  </si>
  <si>
    <t>Water</t>
  </si>
  <si>
    <t>lma</t>
  </si>
  <si>
    <t>لما</t>
  </si>
  <si>
    <t>Can you add some ice cubes, please?</t>
  </si>
  <si>
    <t>momkin tzid mouraba'at dial lglacon afak?</t>
  </si>
  <si>
    <t>ممكن تزيد مربعات ديال لكلاصون عافاك؟</t>
  </si>
  <si>
    <t>Ice cubes</t>
  </si>
  <si>
    <t>glassoun</t>
  </si>
  <si>
    <t>كلاصون</t>
  </si>
  <si>
    <t>Chocolate</t>
  </si>
  <si>
    <t>chouklat</t>
  </si>
  <si>
    <t>شوكلاط</t>
  </si>
  <si>
    <t>Milk</t>
  </si>
  <si>
    <t>lahlib</t>
  </si>
  <si>
    <t>لحليب</t>
  </si>
  <si>
    <t>Tea</t>
  </si>
  <si>
    <t>atay</t>
  </si>
  <si>
    <t>Coffee</t>
  </si>
  <si>
    <t>kahwa</t>
  </si>
  <si>
    <t>With sugar</t>
  </si>
  <si>
    <t>With cream</t>
  </si>
  <si>
    <t>blahlib</t>
  </si>
  <si>
    <t>بلحليب</t>
  </si>
  <si>
    <t>Wine</t>
  </si>
  <si>
    <t>roug</t>
  </si>
  <si>
    <t>روج</t>
  </si>
  <si>
    <t>Beer</t>
  </si>
  <si>
    <t>birra</t>
  </si>
  <si>
    <t>بيرة</t>
  </si>
  <si>
    <t>A tea please</t>
  </si>
  <si>
    <t>atay aafak</t>
  </si>
  <si>
    <t>أتاي عافاك</t>
  </si>
  <si>
    <t>A beer please</t>
  </si>
  <si>
    <t>birra aafak</t>
  </si>
  <si>
    <t>بيرة عافاك</t>
  </si>
  <si>
    <t>What would you like to drink?</t>
  </si>
  <si>
    <t>chnou bghiti tcharbi?</t>
  </si>
  <si>
    <t>شنو بغيتي تشربي؟</t>
  </si>
  <si>
    <t>Two teas please!</t>
  </si>
  <si>
    <t>jouj dial atay afak</t>
  </si>
  <si>
    <t>جوج ديال أتاي عافاك</t>
  </si>
  <si>
    <t>Two beers please!</t>
  </si>
  <si>
    <t>jouj dial lbirrat afak</t>
  </si>
  <si>
    <t>جوج ديال لبيرات غافاك</t>
  </si>
  <si>
    <t>Nothing, thanks</t>
  </si>
  <si>
    <t>walou, choukran</t>
  </si>
  <si>
    <t>والو، شكرا</t>
  </si>
  <si>
    <t>Cheers!</t>
  </si>
  <si>
    <t>b s'htek</t>
  </si>
  <si>
    <t>بصحتك</t>
  </si>
  <si>
    <t>bassaha</t>
  </si>
  <si>
    <t>بصحة</t>
  </si>
  <si>
    <t>Can we have the bill please?</t>
  </si>
  <si>
    <t>lahsab aafak</t>
  </si>
  <si>
    <t>لحساب عافاك</t>
  </si>
  <si>
    <t>Excuse me, how much do I owe?</t>
  </si>
  <si>
    <t>smah lia, chhal gha nkhalas ?</t>
  </si>
  <si>
    <t>سمحليا، شحال غا نخلص ؟</t>
  </si>
  <si>
    <t>Twenty euros</t>
  </si>
  <si>
    <t>maytayen darham</t>
  </si>
  <si>
    <t>ميتين درهم</t>
  </si>
  <si>
    <t>It's on me</t>
  </si>
  <si>
    <t>aarda a'lik</t>
  </si>
  <si>
    <t>عارضة عليك</t>
  </si>
  <si>
    <t>The restaurant</t>
  </si>
  <si>
    <t>ristouroun</t>
  </si>
  <si>
    <t>ريسطورون</t>
  </si>
  <si>
    <t>Would you like to eat?</t>
  </si>
  <si>
    <t>takol chi haja?</t>
  </si>
  <si>
    <t>تاكل شي حاجة ؟</t>
  </si>
  <si>
    <t>Yes, with pleasure</t>
  </si>
  <si>
    <t>wakha, bkoul farah</t>
  </si>
  <si>
    <t>واخا، بكل فرح</t>
  </si>
  <si>
    <t>To eat</t>
  </si>
  <si>
    <t>l'makla</t>
  </si>
  <si>
    <t>الماكلة</t>
  </si>
  <si>
    <t>Where can we eat?</t>
  </si>
  <si>
    <t>fin n'kadrou naklou?</t>
  </si>
  <si>
    <t>فين نقدرو ناكلو؟</t>
  </si>
  <si>
    <t>Where can we have lunch?</t>
  </si>
  <si>
    <t>fin nkadrou netghadaw?</t>
  </si>
  <si>
    <t>فين نقدرو نتغداو؟</t>
  </si>
  <si>
    <t>Dinner</t>
  </si>
  <si>
    <t>la'echa</t>
  </si>
  <si>
    <t>لعشا</t>
  </si>
  <si>
    <t>Breakfast</t>
  </si>
  <si>
    <t>laftour</t>
  </si>
  <si>
    <t>لفطور</t>
  </si>
  <si>
    <t>Excuse me!</t>
  </si>
  <si>
    <t>!عافاك</t>
  </si>
  <si>
    <t>The menu, please</t>
  </si>
  <si>
    <t>la cart aafak</t>
  </si>
  <si>
    <t>!لا كارط عافاك</t>
  </si>
  <si>
    <t>Here is the menu</t>
  </si>
  <si>
    <t>hahiya l kaima</t>
  </si>
  <si>
    <t>هاهي لقائمة</t>
  </si>
  <si>
    <t>What do you prefer to eat? Meat or fish?</t>
  </si>
  <si>
    <t>ach b'riti takol, lham oula hout?</t>
  </si>
  <si>
    <t>اش بغيتي تاكل, لحم ولا حوت؟</t>
  </si>
  <si>
    <t>ach b'riti takli, l'ham oula hout?</t>
  </si>
  <si>
    <t>اش بغيتي تاكلي, لحم و لا حوت؟</t>
  </si>
  <si>
    <t>With rice</t>
  </si>
  <si>
    <t>b rrouz</t>
  </si>
  <si>
    <t>بالروز</t>
  </si>
  <si>
    <t>With pasta</t>
  </si>
  <si>
    <t>blipat</t>
  </si>
  <si>
    <t>بليبات</t>
  </si>
  <si>
    <t>Potatoes</t>
  </si>
  <si>
    <t>labtata</t>
  </si>
  <si>
    <t>لبطاطا</t>
  </si>
  <si>
    <t>Vegetables</t>
  </si>
  <si>
    <t>bel khodra</t>
  </si>
  <si>
    <t>بلخضرة</t>
  </si>
  <si>
    <t>Scrambled eggs - fried eggs - or a boiled egg</t>
  </si>
  <si>
    <t>lbid mkhalet, makli oula maslouk?</t>
  </si>
  <si>
    <t>لبيض مخلط، مقلي ولا مصلوق؟</t>
  </si>
  <si>
    <t>Bread</t>
  </si>
  <si>
    <t>lkhobz</t>
  </si>
  <si>
    <t>لخبز</t>
  </si>
  <si>
    <t>Butter</t>
  </si>
  <si>
    <t>Salad</t>
  </si>
  <si>
    <t>chlada</t>
  </si>
  <si>
    <t>Dessert</t>
  </si>
  <si>
    <t>dissir</t>
  </si>
  <si>
    <t>Fruit</t>
  </si>
  <si>
    <t>fakiha</t>
  </si>
  <si>
    <t>فاكهة</t>
  </si>
  <si>
    <t>Can I have a knife, please?</t>
  </si>
  <si>
    <t>momkin ta'atini mouss afak?</t>
  </si>
  <si>
    <t>ممكن تعطيني موس عافاك؟</t>
  </si>
  <si>
    <t>Yes, I'll bring it to you right away</t>
  </si>
  <si>
    <t>wakha, ana ghadi njibo lik daba</t>
  </si>
  <si>
    <t>وخا، انا غادي نجيبو لك دابا</t>
  </si>
  <si>
    <t>a knife</t>
  </si>
  <si>
    <t>mouss</t>
  </si>
  <si>
    <t>a fork</t>
  </si>
  <si>
    <t>fourchita</t>
  </si>
  <si>
    <t>فورشيطة</t>
  </si>
  <si>
    <t>a spoon</t>
  </si>
  <si>
    <t>maalka</t>
  </si>
  <si>
    <t>Is it a warm dish?</t>
  </si>
  <si>
    <t>wach hada tabak skhon?</t>
  </si>
  <si>
    <t>واش هادا طبق سخون؟</t>
  </si>
  <si>
    <t>Yes, very hot also!</t>
  </si>
  <si>
    <t>ah, waskhoun b'zzaf !</t>
  </si>
  <si>
    <t>!اه وسخون بزاف</t>
  </si>
  <si>
    <t>Warm</t>
  </si>
  <si>
    <t>skhoun</t>
  </si>
  <si>
    <t>Cold</t>
  </si>
  <si>
    <t>bared</t>
  </si>
  <si>
    <t>Hot</t>
  </si>
  <si>
    <t>har</t>
  </si>
  <si>
    <t>I'll have fish</t>
  </si>
  <si>
    <t>ghadi nakhoud l'hout</t>
  </si>
  <si>
    <t>غادي ناخد لحوت</t>
  </si>
  <si>
    <t>Me too</t>
  </si>
  <si>
    <t>hta ana</t>
  </si>
  <si>
    <t>حتا أنا</t>
  </si>
  <si>
    <t>It's late, I have to go!</t>
  </si>
  <si>
    <t>t'aatel lwakt, khasni namchi</t>
  </si>
  <si>
    <t>تعطل لوقت، خصني نمشي</t>
  </si>
  <si>
    <t>Shall we meet again?</t>
  </si>
  <si>
    <t>wach n'kadrou natchawfou mara khra</t>
  </si>
  <si>
    <t>واش نقدرو نتشاوفو مرة خرا؟</t>
  </si>
  <si>
    <t>Yes with pleasure</t>
  </si>
  <si>
    <t>This is my address</t>
  </si>
  <si>
    <t>kanaskon h'na</t>
  </si>
  <si>
    <t>كنسكن هنا</t>
  </si>
  <si>
    <t>Do you have a phone number?</t>
  </si>
  <si>
    <t>wach andak rakem tilifoun</t>
  </si>
  <si>
    <t>واش عندك رقم تيليفون ؟</t>
  </si>
  <si>
    <t>Yes here you go</t>
  </si>
  <si>
    <t>ayah,houwa hada</t>
  </si>
  <si>
    <t>ايه، هوا هدا</t>
  </si>
  <si>
    <t>I had a lovely time</t>
  </si>
  <si>
    <t>dawazt maak waket z'win</t>
  </si>
  <si>
    <t>دوزت معاك وقت زوين</t>
  </si>
  <si>
    <t>Me too, it was a pleasure to meet you</t>
  </si>
  <si>
    <t>h'ta ana, mezian mni tlakina</t>
  </si>
  <si>
    <t>حتا أنا، مزيان مني تلاقينا</t>
  </si>
  <si>
    <t>We will see each other soon</t>
  </si>
  <si>
    <t>radi netlakaw k'rib</t>
  </si>
  <si>
    <t>غادي نتلاقاو قريب</t>
  </si>
  <si>
    <t>I hope so too</t>
  </si>
  <si>
    <t>inchaallah</t>
  </si>
  <si>
    <t>ان شاء الله</t>
  </si>
  <si>
    <t>b'slama</t>
  </si>
  <si>
    <t>See you tomorrow</t>
  </si>
  <si>
    <t>n'tlakaw ghadda</t>
  </si>
  <si>
    <t>نتلاقاو غدا</t>
  </si>
  <si>
    <t>Bye!</t>
  </si>
  <si>
    <t>baslama</t>
  </si>
  <si>
    <t>How much is a ticket to Sun City?</t>
  </si>
  <si>
    <t>ch'hal tiki l'mdint chamch aafak?</t>
  </si>
  <si>
    <t>شحال التيكي لمدينة الشمش عافاك؟</t>
  </si>
  <si>
    <t>Where does this train go, please?</t>
  </si>
  <si>
    <t>fin radi had tran aafak?</t>
  </si>
  <si>
    <t>فين غادي هاد التران عافاك؟</t>
  </si>
  <si>
    <t>Does this train stop at Sun City?</t>
  </si>
  <si>
    <t>wach had tran kayewkaf f'mdint chamch?</t>
  </si>
  <si>
    <t>واش هدا التران كيوقف فمدينة الشمش؟</t>
  </si>
  <si>
    <t>When does the train for Sun City leave?</t>
  </si>
  <si>
    <t>imta kayamchi tran lmdint chamch?</t>
  </si>
  <si>
    <t>أيمتا كيمشي التران لمدينة الشمش؟</t>
  </si>
  <si>
    <t>When will this train arrive in Sun City?</t>
  </si>
  <si>
    <t>imta kayji tran dyal mdint chamch?</t>
  </si>
  <si>
    <t>أيمتا يجي التران ديال مدينة الشمش؟</t>
  </si>
  <si>
    <t>A ticket for Sun City, please</t>
  </si>
  <si>
    <t>tiki l'mdint chamch aafak?</t>
  </si>
  <si>
    <t>تيكي لمدينة الشمش عافاك</t>
  </si>
  <si>
    <t>Do you have the train's time table?</t>
  </si>
  <si>
    <t>wach aandak tawkit dial lkitarat ?</t>
  </si>
  <si>
    <t>واش عندك توقيت ديال القطارات؟</t>
  </si>
  <si>
    <t>Bus schedule</t>
  </si>
  <si>
    <t>tawkit toubisat</t>
  </si>
  <si>
    <t>توقيت الطوبيسات</t>
  </si>
  <si>
    <t>Excuse me, which train goes to Sun City?</t>
  </si>
  <si>
    <t>fin howa tran l'mdint chamch aafaki?</t>
  </si>
  <si>
    <t>فينا هوا تران لمدينة الشمش عافاك؟</t>
  </si>
  <si>
    <t>This one</t>
  </si>
  <si>
    <t>howa hada</t>
  </si>
  <si>
    <t>هوا هدا</t>
  </si>
  <si>
    <t>Don't mention it, have a good trip!</t>
  </si>
  <si>
    <t>bla j'mil, t'rik salama</t>
  </si>
  <si>
    <t>بلا جميل، طريق السلامة</t>
  </si>
  <si>
    <t>The garage</t>
  </si>
  <si>
    <t>l'mikanis'yan</t>
  </si>
  <si>
    <t>لميكانيسيان</t>
  </si>
  <si>
    <t>The petrol station</t>
  </si>
  <si>
    <t>s'ta'syoun</t>
  </si>
  <si>
    <t>سطاسيون</t>
  </si>
  <si>
    <t>A full tank, please</t>
  </si>
  <si>
    <t>laplan aafak</t>
  </si>
  <si>
    <t>لبلان عافاك</t>
  </si>
  <si>
    <t>Bike</t>
  </si>
  <si>
    <t>b'ch'klita</t>
  </si>
  <si>
    <t>بشكليطة</t>
  </si>
  <si>
    <t>Town centre</t>
  </si>
  <si>
    <t>asountar vil</t>
  </si>
  <si>
    <t>الصونطر فيل</t>
  </si>
  <si>
    <t>Suburb</t>
  </si>
  <si>
    <t>kharja d'yal lamdina</t>
  </si>
  <si>
    <t>خرجة ديال لمدينة</t>
  </si>
  <si>
    <t>It is a city</t>
  </si>
  <si>
    <t>hadi m'dina kbira</t>
  </si>
  <si>
    <t>هادي مدينة كبيرة</t>
  </si>
  <si>
    <t>It is a village</t>
  </si>
  <si>
    <t>hada filaj</t>
  </si>
  <si>
    <t>هادا فيلاج</t>
  </si>
  <si>
    <t>A mountain</t>
  </si>
  <si>
    <t>jbal</t>
  </si>
  <si>
    <t>a lake</t>
  </si>
  <si>
    <t>wad</t>
  </si>
  <si>
    <t>The countryside</t>
  </si>
  <si>
    <t>aaroubiya</t>
  </si>
  <si>
    <t>عروبية</t>
  </si>
  <si>
    <t>The hotel</t>
  </si>
  <si>
    <t>outil</t>
  </si>
  <si>
    <t>اوطيل</t>
  </si>
  <si>
    <t>Apartment</t>
  </si>
  <si>
    <t>apartoumon</t>
  </si>
  <si>
    <t>ابارتمون</t>
  </si>
  <si>
    <t>Welcome!</t>
  </si>
  <si>
    <t>marahba</t>
  </si>
  <si>
    <t>Do you have a room available?</t>
  </si>
  <si>
    <t>aandak chi bit khawi?</t>
  </si>
  <si>
    <t>عندك شي بيت خاوي ؟</t>
  </si>
  <si>
    <t>Is there a bathroom in the room?</t>
  </si>
  <si>
    <t>kayn chi hammam fel bit?</t>
  </si>
  <si>
    <t>كأين شي حمام فلبيت؟</t>
  </si>
  <si>
    <t>Would you prefer two single beds?</t>
  </si>
  <si>
    <t>wach katfadel jouj namousiyat d'yal cha'kh'ss wahed?</t>
  </si>
  <si>
    <t>واش كتفضل جوج ناموسيات ديال شخص واحد؟</t>
  </si>
  <si>
    <t>wach katfedli jouj namousiyat d'yal cha'kh'ss wahed?</t>
  </si>
  <si>
    <t>واش كتفضلي جوج ناموسيات ديال شخص واحد؟</t>
  </si>
  <si>
    <t>Do you wish to have a twin room?</t>
  </si>
  <si>
    <t>b'riti gho'rfa mozdawaja?</t>
  </si>
  <si>
    <t>بغيتي غرفة مزدوجة؟</t>
  </si>
  <si>
    <t>A room with bathtub - with balcony - with shower</t>
  </si>
  <si>
    <t>gho'rfa balhammam-balbalcoun-badouch</t>
  </si>
  <si>
    <t>غرفة بلحمام- بلبالكون- بالدوش</t>
  </si>
  <si>
    <t>Bed and breakfast</t>
  </si>
  <si>
    <t>gho'rfa maa laftour</t>
  </si>
  <si>
    <t>غرفة مع الفطور</t>
  </si>
  <si>
    <t>How much is it for a night?</t>
  </si>
  <si>
    <t>b'ch'hal lila?</t>
  </si>
  <si>
    <t>بشحال الليلة؟</t>
  </si>
  <si>
    <t>I would like to see the room first</t>
  </si>
  <si>
    <t>bghit nchoaf aafaki chambre hia lawla ?</t>
  </si>
  <si>
    <t>بغيت نشوف عافاكي شومبر هي اللولى ؟</t>
  </si>
  <si>
    <t>Yes, of course</t>
  </si>
  <si>
    <t>ayah, ma'eloum</t>
  </si>
  <si>
    <t>!ايه ، معلوم</t>
  </si>
  <si>
    <t>Thank you, the room is very nice</t>
  </si>
  <si>
    <t>choukran, l'bit mazian</t>
  </si>
  <si>
    <t>شكرا, لبيت مزيان</t>
  </si>
  <si>
    <t>OK, can I reserve for tonight?</t>
  </si>
  <si>
    <t>wakha, wach yamkan liya nahjaz lhad lila ?</t>
  </si>
  <si>
    <t>واخا, واش يمكن ليا نحجز لهاد الليلة؟</t>
  </si>
  <si>
    <t>It's a bit too much for me, thank you</t>
  </si>
  <si>
    <t>ghalya aaliya, choukran</t>
  </si>
  <si>
    <t>غاليا عليا, شكرا</t>
  </si>
  <si>
    <t>Could you take care of my luggage, please?</t>
  </si>
  <si>
    <t>momkin lik tadi liya l'bagag d'yali aafak?</t>
  </si>
  <si>
    <t>ممكن ليك تدي ليا لباكاج ديالي عافاك؟</t>
  </si>
  <si>
    <t>Where is my room, please?</t>
  </si>
  <si>
    <t>fin kayen biti aafak?</t>
  </si>
  <si>
    <t>فين كأين بيتي عافاك؟</t>
  </si>
  <si>
    <t>It is on the first floor</t>
  </si>
  <si>
    <t>fi tabak lawal</t>
  </si>
  <si>
    <t>في طابق الاول</t>
  </si>
  <si>
    <t>Is there a lift?</t>
  </si>
  <si>
    <t>kayn san'sour?</t>
  </si>
  <si>
    <t>كاين سانسور؟</t>
  </si>
  <si>
    <t>The elevator is on your left</t>
  </si>
  <si>
    <t>sansour aala lisar dialek</t>
  </si>
  <si>
    <t>سانسور على ليسار ديالك</t>
  </si>
  <si>
    <t>The elevator is on your right</t>
  </si>
  <si>
    <t>sansour aala liman dialek</t>
  </si>
  <si>
    <t>سانسور على ليمان ديالك</t>
  </si>
  <si>
    <t>Where is the laundry room, please?</t>
  </si>
  <si>
    <t>fin kayna l'masbana?</t>
  </si>
  <si>
    <t>فين كأينة المصبنة؟</t>
  </si>
  <si>
    <t>It is on the ground floor</t>
  </si>
  <si>
    <t>kayen f tabak safli</t>
  </si>
  <si>
    <t>كاين فطابق سفلي</t>
  </si>
  <si>
    <t>Ground floor</t>
  </si>
  <si>
    <t>tabak safli</t>
  </si>
  <si>
    <t>طابق سفلي</t>
  </si>
  <si>
    <t>Bedroom</t>
  </si>
  <si>
    <t>l'bit</t>
  </si>
  <si>
    <t>البيت</t>
  </si>
  <si>
    <t>Dry cleaner's</t>
  </si>
  <si>
    <t>lbrising</t>
  </si>
  <si>
    <t>البريسينغ</t>
  </si>
  <si>
    <t>Hair salon</t>
  </si>
  <si>
    <t>saloun l'hilaka</t>
  </si>
  <si>
    <t>صالون لحلاقة</t>
  </si>
  <si>
    <t>Car parking space</t>
  </si>
  <si>
    <t>mawkif sayarat</t>
  </si>
  <si>
    <t>موقف سيارات</t>
  </si>
  <si>
    <t>Let's meet in the meeting room?</t>
  </si>
  <si>
    <t>khalina natlakaw f ka'at ligtima'at</t>
  </si>
  <si>
    <t>خلينا نتلاقاو فقاعة لجتماعات؟</t>
  </si>
  <si>
    <t>Meeting room</t>
  </si>
  <si>
    <t>ka'at ligtima'at</t>
  </si>
  <si>
    <t>قاعة لجتماعات</t>
  </si>
  <si>
    <t>The swimming pool is heated</t>
  </si>
  <si>
    <t>la pissin s'khoun</t>
  </si>
  <si>
    <t>لبيسين سخون</t>
  </si>
  <si>
    <t>Swimming pool</t>
  </si>
  <si>
    <t>l pissin</t>
  </si>
  <si>
    <t>لبيسين</t>
  </si>
  <si>
    <t>Please, wake me up at seven a.m.</t>
  </si>
  <si>
    <t>faykini m'aa sab'a aafak</t>
  </si>
  <si>
    <t>فيقيني مع السبعة عافاك</t>
  </si>
  <si>
    <t>The key, please</t>
  </si>
  <si>
    <t>ssarout aafak</t>
  </si>
  <si>
    <t>ساروت عافاك</t>
  </si>
  <si>
    <t>The pass, please</t>
  </si>
  <si>
    <t>l pass aafak</t>
  </si>
  <si>
    <t>لباس عافاك</t>
  </si>
  <si>
    <t>Are there any messages for me?</t>
  </si>
  <si>
    <t>wach kaynin chi missagat liya?</t>
  </si>
  <si>
    <t>واش كأينين شي ميساجات ليا؟</t>
  </si>
  <si>
    <t>Yes, here you are</t>
  </si>
  <si>
    <t>ah, hahoma</t>
  </si>
  <si>
    <t>اه, هاهوما</t>
  </si>
  <si>
    <t>No, we didn't receive anything for you</t>
  </si>
  <si>
    <t>la, matwasaltch bchi haja dialek</t>
  </si>
  <si>
    <t>لا متوصلتش بشي حاجة ديالك</t>
  </si>
  <si>
    <t>Where can I get some change?</t>
  </si>
  <si>
    <t>fin nakdar n'sarraf?</t>
  </si>
  <si>
    <t>فين نقدر نصرف؟</t>
  </si>
  <si>
    <t>Please can you give me some change?</t>
  </si>
  <si>
    <t>wach momkin t'sarfi liya aafak?</t>
  </si>
  <si>
    <t>;واش ممكن تصرفي ليا عافاك؟</t>
  </si>
  <si>
    <t>We can make some for you, how much would you like?</t>
  </si>
  <si>
    <t>momkin nkadou lik chi haja , ch'hal bghiti?</t>
  </si>
  <si>
    <t>ممكن نقادو لك شي حاجة, شحال بغيتي ؟</t>
  </si>
  <si>
    <t>ah mokmin, ch'hal b'riti tsarfi?</t>
  </si>
  <si>
    <t>اه, ممكن, شحال بغيتي تصرفي؟</t>
  </si>
  <si>
    <t>Excuse me, is Sarah here?</t>
  </si>
  <si>
    <t>wach sara h'na aafak?</t>
  </si>
  <si>
    <t>واش سارة هنا عافاك؟</t>
  </si>
  <si>
    <t>Yes, she's here</t>
  </si>
  <si>
    <t>ah, hahiya h'na</t>
  </si>
  <si>
    <t>اه هاهي هنا</t>
  </si>
  <si>
    <t>She's out</t>
  </si>
  <si>
    <t>la, kharjat</t>
  </si>
  <si>
    <t>لا خرجات</t>
  </si>
  <si>
    <t>You can call her on her mobile phone</t>
  </si>
  <si>
    <t>momkin t'ayet liha fil portabl?</t>
  </si>
  <si>
    <t>ممكن تعيط ليها في البورطابل</t>
  </si>
  <si>
    <t>Do you know where I could find her?</t>
  </si>
  <si>
    <t>wach aaref fin nakdar nalkaha?</t>
  </si>
  <si>
    <t>واش عارف فين نفدر نلقاها؟</t>
  </si>
  <si>
    <t>She is at work</t>
  </si>
  <si>
    <t>hiya fel khadma</t>
  </si>
  <si>
    <t>هي في الخدمة</t>
  </si>
  <si>
    <t>She is at home</t>
  </si>
  <si>
    <t>hiya f'darha</t>
  </si>
  <si>
    <t>هي فدارها</t>
  </si>
  <si>
    <t>Excuse me, is Julien here?</t>
  </si>
  <si>
    <t>wach joulian hna aafak?</t>
  </si>
  <si>
    <t>واش جوليان هنا عافاك؟</t>
  </si>
  <si>
    <t>Yes, he's here</t>
  </si>
  <si>
    <t>ah, hahowa h'na</t>
  </si>
  <si>
    <t>اه. هاهوهنا</t>
  </si>
  <si>
    <t>He's out</t>
  </si>
  <si>
    <t>la, khraj</t>
  </si>
  <si>
    <t>لا خرج</t>
  </si>
  <si>
    <t>Do you know where I could find him?</t>
  </si>
  <si>
    <t>wach aarfa fin nakdar nalkaha?</t>
  </si>
  <si>
    <t>واش عارفة فين نقدر نلقاها؟</t>
  </si>
  <si>
    <t>You can call him on his mobile phone</t>
  </si>
  <si>
    <t>wach momkin taayti liha fel portabl?</t>
  </si>
  <si>
    <t>واش ممكن تعيطي ليها في لبورطابل</t>
  </si>
  <si>
    <t>He is at work</t>
  </si>
  <si>
    <t>howa fel khadma</t>
  </si>
  <si>
    <t>هو في الخدمة</t>
  </si>
  <si>
    <t>He is at home</t>
  </si>
  <si>
    <t>howa f darou</t>
  </si>
  <si>
    <t>هو فدارو</t>
  </si>
  <si>
    <t>The beach</t>
  </si>
  <si>
    <t>labhar</t>
  </si>
  <si>
    <t>لبحر</t>
  </si>
  <si>
    <t>Do you know where I can buy a ball?</t>
  </si>
  <si>
    <t>fin nakdar nachri koura?</t>
  </si>
  <si>
    <t>فين نقدر نشري كورة؟</t>
  </si>
  <si>
    <t>There is a store in this direction</t>
  </si>
  <si>
    <t>kayen hanout f had jiha</t>
  </si>
  <si>
    <t>كأين حانوت فهاد جيهة</t>
  </si>
  <si>
    <t>a ball</t>
  </si>
  <si>
    <t>koura</t>
  </si>
  <si>
    <t>كرة</t>
  </si>
  <si>
    <t>Binoculars</t>
  </si>
  <si>
    <t>mindar</t>
  </si>
  <si>
    <t>منظار</t>
  </si>
  <si>
    <t>a cap</t>
  </si>
  <si>
    <t>casket</t>
  </si>
  <si>
    <t>كاصكيط</t>
  </si>
  <si>
    <t>a towel</t>
  </si>
  <si>
    <t>sarbita</t>
  </si>
  <si>
    <t>سربيتة</t>
  </si>
  <si>
    <t>Sandals</t>
  </si>
  <si>
    <t>sandala</t>
  </si>
  <si>
    <t>صاندالة</t>
  </si>
  <si>
    <t>a bucket</t>
  </si>
  <si>
    <t>s'tal</t>
  </si>
  <si>
    <t>Suntan lotion</t>
  </si>
  <si>
    <t>crim dad chamch</t>
  </si>
  <si>
    <t>كريم ضد الشمس</t>
  </si>
  <si>
    <t>Swimming trunks</t>
  </si>
  <si>
    <t>mayyou</t>
  </si>
  <si>
    <t>مأيو</t>
  </si>
  <si>
    <t>Sunglasses</t>
  </si>
  <si>
    <t>n'dader d'yal chamch</t>
  </si>
  <si>
    <t>نظاظر د الشمش</t>
  </si>
  <si>
    <t>Shellfish</t>
  </si>
  <si>
    <t>mahar</t>
  </si>
  <si>
    <t>محار</t>
  </si>
  <si>
    <t>Sunbathing</t>
  </si>
  <si>
    <t>n'tchamach</t>
  </si>
  <si>
    <t>نتشمش</t>
  </si>
  <si>
    <t>Sunny</t>
  </si>
  <si>
    <t>m'chamach</t>
  </si>
  <si>
    <t>مشمش</t>
  </si>
  <si>
    <t>Sunset</t>
  </si>
  <si>
    <t>ghouroub chamch</t>
  </si>
  <si>
    <t>غروب الشمش</t>
  </si>
  <si>
    <t>Parasol</t>
  </si>
  <si>
    <t>parasol</t>
  </si>
  <si>
    <t>باراصول</t>
  </si>
  <si>
    <t>Sun</t>
  </si>
  <si>
    <t>achamch</t>
  </si>
  <si>
    <t>الشمش</t>
  </si>
  <si>
    <t>Sunshade</t>
  </si>
  <si>
    <t>madalla dial chamch</t>
  </si>
  <si>
    <t>مظلة ديال الشمش</t>
  </si>
  <si>
    <t>Sunstroke</t>
  </si>
  <si>
    <t>atachmach</t>
  </si>
  <si>
    <t>التشماش</t>
  </si>
  <si>
    <t>Is it dangerous to swim here?</t>
  </si>
  <si>
    <t>wach khatar l'ouman hna?</t>
  </si>
  <si>
    <t>واش خطر العومان هنا؟</t>
  </si>
  <si>
    <t>No, it is not dangerous</t>
  </si>
  <si>
    <t>la machi khatar</t>
  </si>
  <si>
    <t>لا ماشي خطر</t>
  </si>
  <si>
    <t>Yes, it is forbidden to swim here</t>
  </si>
  <si>
    <t>ah, l'oumanh'na khatar</t>
  </si>
  <si>
    <t>اه العومان هنا خطر</t>
  </si>
  <si>
    <t>Swim</t>
  </si>
  <si>
    <t>l'ouman</t>
  </si>
  <si>
    <t>لعومان</t>
  </si>
  <si>
    <t>Swimming</t>
  </si>
  <si>
    <t>ssibaha</t>
  </si>
  <si>
    <t>سباحة</t>
  </si>
  <si>
    <t>Wave</t>
  </si>
  <si>
    <t>l mouja</t>
  </si>
  <si>
    <t>لموجة</t>
  </si>
  <si>
    <t>Sea</t>
  </si>
  <si>
    <t>Dune</t>
  </si>
  <si>
    <t>l koutban</t>
  </si>
  <si>
    <t>لكتبان</t>
  </si>
  <si>
    <t>Sand</t>
  </si>
  <si>
    <t>rramla</t>
  </si>
  <si>
    <t>رملة</t>
  </si>
  <si>
    <t>What is the weather forecast for tomorrow?</t>
  </si>
  <si>
    <t>achnou hiya ahwal takss d'yal ghadda?</t>
  </si>
  <si>
    <t>اشنو هيا احوال الطقس ديال غدا؟</t>
  </si>
  <si>
    <t>The weather is going to change</t>
  </si>
  <si>
    <t>ljaw ghadi yatbadal</t>
  </si>
  <si>
    <t>الجو غادي يتبدل</t>
  </si>
  <si>
    <t>It is going to rain</t>
  </si>
  <si>
    <t>ghad'ya tih chta</t>
  </si>
  <si>
    <t>غادية طيح الشتا</t>
  </si>
  <si>
    <t>It will be sunny</t>
  </si>
  <si>
    <t>ghadya tkoun chamch</t>
  </si>
  <si>
    <t>غاديا تكون الشمش</t>
  </si>
  <si>
    <t>It will be very windy</t>
  </si>
  <si>
    <t>ghatkoun rih b'zzaf</t>
  </si>
  <si>
    <t>غاتكون الريح بزاف</t>
  </si>
  <si>
    <t>Swimming suit</t>
  </si>
  <si>
    <t>hwayej l'oman</t>
  </si>
  <si>
    <t>حوايج لعومان</t>
  </si>
  <si>
    <t>Can you help me, please?</t>
  </si>
  <si>
    <t>wach takadri t'aawanini aafak?</t>
  </si>
  <si>
    <t>واش تقدري تعاونني عافاك ؟</t>
  </si>
  <si>
    <t>واش تقدر تعاوني من فضلك ؟</t>
  </si>
  <si>
    <t>I'm lost</t>
  </si>
  <si>
    <t>twadart</t>
  </si>
  <si>
    <t>توضرت</t>
  </si>
  <si>
    <t>ach hab lkhater?</t>
  </si>
  <si>
    <t>اش حب لخاطر؟</t>
  </si>
  <si>
    <t>What happened?</t>
  </si>
  <si>
    <t>ach wkae?</t>
  </si>
  <si>
    <t>اش وقع</t>
  </si>
  <si>
    <t>Where could I find an interpreter?</t>
  </si>
  <si>
    <t>fin nakder nalka moutarjim?</t>
  </si>
  <si>
    <t>فين نقدر نلقى مترجم؟</t>
  </si>
  <si>
    <t>Where is the nearest chemist's shop?</t>
  </si>
  <si>
    <t>kayna chi farmasian k'riba man hna?</t>
  </si>
  <si>
    <t>كأينة شي فارماصيان قريبة من هنا؟</t>
  </si>
  <si>
    <t>Can you call a doctor, please</t>
  </si>
  <si>
    <t>momkin t'aayti lchi t'bib?</t>
  </si>
  <si>
    <t>ممكن تعيطي لشي طبيب؟</t>
  </si>
  <si>
    <t>Which kind of treatment are you undergoing at the moment?</t>
  </si>
  <si>
    <t>ach min dwa mtabe'aa daba?</t>
  </si>
  <si>
    <t>اش من دوا متبع دابا؟</t>
  </si>
  <si>
    <t>اش من طريطمون متبع دابا؟</t>
  </si>
  <si>
    <t>a hospital</t>
  </si>
  <si>
    <t>s'bitar</t>
  </si>
  <si>
    <t>سبيطار</t>
  </si>
  <si>
    <t>a chemist's</t>
  </si>
  <si>
    <t>farmasian</t>
  </si>
  <si>
    <t>فارماصيان</t>
  </si>
  <si>
    <t>a doctor</t>
  </si>
  <si>
    <t>t'bib</t>
  </si>
  <si>
    <t>Medical department</t>
  </si>
  <si>
    <t>maslaha tibbiya</t>
  </si>
  <si>
    <t>مصلحة طبية</t>
  </si>
  <si>
    <t>I lost my papers</t>
  </si>
  <si>
    <t>twadrou liya laourak</t>
  </si>
  <si>
    <t>توضرو ليا لوراق</t>
  </si>
  <si>
    <t>My papers have been stolen</t>
  </si>
  <si>
    <t>tsarkou liya laourak</t>
  </si>
  <si>
    <t>تسرقو ليا لوراق</t>
  </si>
  <si>
    <t>Lost-property office</t>
  </si>
  <si>
    <t>maktab lmomtalakat li da'aat</t>
  </si>
  <si>
    <t>مكتب الممتلكات اللي ضاعت</t>
  </si>
  <si>
    <t>First-aid station</t>
  </si>
  <si>
    <t>markaz linkad</t>
  </si>
  <si>
    <t>مركز الانقاد</t>
  </si>
  <si>
    <t>Emergency exit</t>
  </si>
  <si>
    <t>makhraj l ighata</t>
  </si>
  <si>
    <t>مخرج الاغاثة</t>
  </si>
  <si>
    <t>The police</t>
  </si>
  <si>
    <t>lboulis</t>
  </si>
  <si>
    <t>لبوليس</t>
  </si>
  <si>
    <t>Papers</t>
  </si>
  <si>
    <t>laourak</t>
  </si>
  <si>
    <t>لوراق</t>
  </si>
  <si>
    <t>Money</t>
  </si>
  <si>
    <t>l'flouss</t>
  </si>
  <si>
    <t>لفلوس</t>
  </si>
  <si>
    <t>Passport</t>
  </si>
  <si>
    <t>l'pasport</t>
  </si>
  <si>
    <t>لباسبور</t>
  </si>
  <si>
    <t>Luggage</t>
  </si>
  <si>
    <t>lahwayej</t>
  </si>
  <si>
    <t>لحوايج</t>
  </si>
  <si>
    <t>I'm ok, thanks</t>
  </si>
  <si>
    <t>la blach choukran</t>
  </si>
  <si>
    <t>لا بلاش، شكرا</t>
  </si>
  <si>
    <t>Leave me alone!</t>
  </si>
  <si>
    <t>baed mani</t>
  </si>
  <si>
    <t>بعد مني</t>
  </si>
  <si>
    <t>ba'edi m'ni</t>
  </si>
  <si>
    <t>بعدي مني</t>
  </si>
  <si>
    <t>Go away!</t>
  </si>
  <si>
    <t>sir fhalek</t>
  </si>
  <si>
    <t>سير فحالك</t>
  </si>
  <si>
    <t>siri f'halek</t>
  </si>
  <si>
    <t>سيري فحالك</t>
  </si>
  <si>
    <t>Don't stick your hand in holes the ground and you wont get bitten by snakes</t>
  </si>
  <si>
    <t>اديرش يدك في غيران باش مايعضوكش الحنوشة</t>
  </si>
  <si>
    <t>سلام</t>
  </si>
  <si>
    <t>What's up?</t>
  </si>
  <si>
    <t>ki deer?</t>
  </si>
  <si>
    <t>كي دير؟</t>
  </si>
  <si>
    <t>I'm sleepy</t>
  </si>
  <si>
    <t>bnaas</t>
  </si>
  <si>
    <t>بنعس</t>
  </si>
  <si>
    <t>Who's this?</t>
  </si>
  <si>
    <t>shkoon haad?</t>
  </si>
  <si>
    <t>شكون هاد؟</t>
  </si>
  <si>
    <t>Cheers</t>
  </si>
  <si>
    <t>bisahh-tak</t>
  </si>
  <si>
    <t>Do you have a problem with me?</t>
  </si>
  <si>
    <t>khassak ma3ya?</t>
  </si>
  <si>
    <t>خاصك معايا؟</t>
  </si>
  <si>
    <t>What are they saying?</t>
  </si>
  <si>
    <t>wach kikhouno?</t>
  </si>
  <si>
    <t>واش كيخونو؟</t>
  </si>
  <si>
    <t>Do you like it?</t>
  </si>
  <si>
    <t>katahibou?</t>
  </si>
  <si>
    <t>كتحبو؟</t>
  </si>
  <si>
    <t>Good</t>
  </si>
  <si>
    <t>mzyan</t>
  </si>
  <si>
    <t>Are you listening?</t>
  </si>
  <si>
    <t>wach katsma3?</t>
  </si>
  <si>
    <t>واش كتسمع؟</t>
  </si>
  <si>
    <t>Something else</t>
  </si>
  <si>
    <t>ghier hadshi</t>
  </si>
  <si>
    <t>غير هادشي</t>
  </si>
  <si>
    <t>I have to go</t>
  </si>
  <si>
    <t>khassni n-mshi</t>
  </si>
  <si>
    <t>خاصني نمشي</t>
  </si>
  <si>
    <t>sh7al kayn?</t>
  </si>
  <si>
    <t>شحال كاين؟</t>
  </si>
  <si>
    <t>Seriously?</t>
  </si>
  <si>
    <t>f-ra-s-k</t>
  </si>
  <si>
    <t>فراسك؟</t>
  </si>
  <si>
    <t>Are you eating?</t>
  </si>
  <si>
    <t>wach k-takl?</t>
  </si>
  <si>
    <t>واش كتكل؟</t>
  </si>
  <si>
    <t>Bon appétit</t>
  </si>
  <si>
    <t>b'saha w raha</t>
  </si>
  <si>
    <t>بصحة و الراحة</t>
  </si>
  <si>
    <t>That's cool</t>
  </si>
  <si>
    <t>rah haja zweena</t>
  </si>
  <si>
    <t>راه حاجة زوينة</t>
  </si>
  <si>
    <t>wach kay3jbak?</t>
  </si>
  <si>
    <t>واش كايعجبك؟</t>
  </si>
  <si>
    <t>Do you know?</t>
  </si>
  <si>
    <t>wach kat3ref?</t>
  </si>
  <si>
    <t>واش كتعرف؟</t>
  </si>
  <si>
    <t>To your health</t>
  </si>
  <si>
    <t>b-saha 3likom</t>
  </si>
  <si>
    <t>بصحة عائلتك</t>
  </si>
  <si>
    <t>What's wrong?</t>
  </si>
  <si>
    <t>ash kayn?</t>
  </si>
  <si>
    <t>آش كاين؟</t>
  </si>
  <si>
    <t>To my health</t>
  </si>
  <si>
    <t>b-saha-ti</t>
  </si>
  <si>
    <t>بصحتي</t>
  </si>
  <si>
    <t>Do you understand?</t>
  </si>
  <si>
    <t>wach katfham?</t>
  </si>
  <si>
    <t>واش كتفهم؟</t>
  </si>
  <si>
    <t>How old are you?</t>
  </si>
  <si>
    <t>bkam 3omrak?</t>
  </si>
  <si>
    <t>بكم عمرك؟</t>
  </si>
  <si>
    <t>Two girls</t>
  </si>
  <si>
    <t>bntayn</t>
  </si>
  <si>
    <t>بنتين</t>
  </si>
  <si>
    <t>Three ones</t>
  </si>
  <si>
    <t>tlaat wa7da</t>
  </si>
  <si>
    <t>ثلاث واحدة</t>
  </si>
  <si>
    <t>What's wrong with you?</t>
  </si>
  <si>
    <t>wach raak?</t>
  </si>
  <si>
    <t>واش راك؟</t>
  </si>
  <si>
    <t>Ladies and gentlemen</t>
  </si>
  <si>
    <t>ayyuha l-hadharun</t>
  </si>
  <si>
    <t>أيها الحاضرون</t>
  </si>
  <si>
    <t>I have some work</t>
  </si>
  <si>
    <t>3andi shwiya shughl</t>
  </si>
  <si>
    <t>عندي شوية شغل</t>
  </si>
  <si>
    <t>Please deal with me</t>
  </si>
  <si>
    <t>3afak dir ma3ya</t>
  </si>
  <si>
    <t>عفاك دير معايا</t>
  </si>
  <si>
    <t>Is it a breakup?</t>
  </si>
  <si>
    <t>wach fraa9?</t>
  </si>
  <si>
    <t>واش فراق؟</t>
  </si>
  <si>
    <t>Here's the money</t>
  </si>
  <si>
    <t>hak ed-dirham</t>
  </si>
  <si>
    <t>هاك الدرهم</t>
  </si>
  <si>
    <t>I'm going out</t>
  </si>
  <si>
    <t>ghadi nkhrij</t>
  </si>
  <si>
    <t>غادي نخرج</t>
  </si>
  <si>
    <t>wach fik?</t>
  </si>
  <si>
    <t>واش فيك؟</t>
  </si>
  <si>
    <t>No way</t>
  </si>
  <si>
    <t>hiyaat</t>
  </si>
  <si>
    <t>هيهات</t>
  </si>
  <si>
    <t>But no</t>
  </si>
  <si>
    <t>ghir la</t>
  </si>
  <si>
    <t>غير لا</t>
  </si>
  <si>
    <t>Effortlessly</t>
  </si>
  <si>
    <t>bla ma9hood</t>
  </si>
  <si>
    <t>بلا مجهود</t>
  </si>
  <si>
    <t>Okay</t>
  </si>
  <si>
    <t>3adi</t>
  </si>
  <si>
    <t>Is there a problem?</t>
  </si>
  <si>
    <t>kayn machakil?</t>
  </si>
  <si>
    <t>كاين مشكل؟</t>
  </si>
  <si>
    <t>Congratulations to you</t>
  </si>
  <si>
    <t>mabrouk 3lik</t>
  </si>
  <si>
    <t>مبروك عليك</t>
  </si>
  <si>
    <t>Is anyone there?</t>
  </si>
  <si>
    <t>kayn a7ad?</t>
  </si>
  <si>
    <t>كاين أحد؟</t>
  </si>
  <si>
    <t>You should be brave</t>
  </si>
  <si>
    <t>khassak takun shuja3</t>
  </si>
  <si>
    <t>خاصك تكون شجاع</t>
  </si>
  <si>
    <t>You should be calm</t>
  </si>
  <si>
    <t>khassak takun hadi9</t>
  </si>
  <si>
    <t>خاصك تكون هادئ</t>
  </si>
  <si>
    <t>Good luck</t>
  </si>
  <si>
    <t>had s3eed</t>
  </si>
  <si>
    <t>حظ سعيد</t>
  </si>
  <si>
    <t>Yeah, there is</t>
  </si>
  <si>
    <t>ra kayn</t>
  </si>
  <si>
    <t>راه كاين</t>
  </si>
  <si>
    <t>Yes, by God</t>
  </si>
  <si>
    <t>ay-wallah</t>
  </si>
  <si>
    <t>أي والله</t>
  </si>
  <si>
    <t>Shall we play?</t>
  </si>
  <si>
    <t>wach nla3bou?</t>
  </si>
  <si>
    <t>واش نلعبو؟</t>
  </si>
  <si>
    <t>Look, there isn't</t>
  </si>
  <si>
    <t>shuf makayn</t>
  </si>
  <si>
    <t>شوف ماكاين</t>
  </si>
  <si>
    <t>What are you doing?</t>
  </si>
  <si>
    <t>wach katdir?</t>
  </si>
  <si>
    <t>واش كتدير؟</t>
  </si>
  <si>
    <t>ayywa</t>
  </si>
  <si>
    <t>آيها</t>
  </si>
  <si>
    <t>sahih</t>
  </si>
  <si>
    <t>صحيح</t>
  </si>
  <si>
    <t>What is this?</t>
  </si>
  <si>
    <t>wach haad?</t>
  </si>
  <si>
    <t>واش هاد؟</t>
  </si>
  <si>
    <t>Who is this?</t>
  </si>
  <si>
    <t>shkun haad?</t>
  </si>
  <si>
    <t>Why?</t>
  </si>
  <si>
    <t>lesh?</t>
  </si>
  <si>
    <t>ليش؟</t>
  </si>
  <si>
    <t>How are you?</t>
  </si>
  <si>
    <t>wach keifashak?</t>
  </si>
  <si>
    <t>واش كيفاشك؟</t>
  </si>
  <si>
    <t>Excuse me</t>
  </si>
  <si>
    <t>3zra</t>
  </si>
  <si>
    <t>عذرا</t>
  </si>
  <si>
    <t>Thank you</t>
  </si>
  <si>
    <t>shukran</t>
  </si>
  <si>
    <t>You're welcome</t>
  </si>
  <si>
    <t>ma3lish</t>
  </si>
  <si>
    <t>معليش</t>
  </si>
  <si>
    <t>Please</t>
  </si>
  <si>
    <t>3fak</t>
  </si>
  <si>
    <t>عفاك</t>
  </si>
  <si>
    <t>Good morning</t>
  </si>
  <si>
    <t>sabah el kheir</t>
  </si>
  <si>
    <t>masa el kheir</t>
  </si>
  <si>
    <t>مساء الخير</t>
  </si>
  <si>
    <t>Good night</t>
  </si>
  <si>
    <t>tsbah ala kheir</t>
  </si>
  <si>
    <t>ila ghadan</t>
  </si>
  <si>
    <t>إلى غدا</t>
  </si>
  <si>
    <t>See you soon</t>
  </si>
  <si>
    <t>ila lilqaa</t>
  </si>
  <si>
    <t>إلى اللقاء</t>
  </si>
  <si>
    <t>Later</t>
  </si>
  <si>
    <t>It's okay</t>
  </si>
  <si>
    <t>zwine</t>
  </si>
  <si>
    <t>Very good</t>
  </si>
  <si>
    <t>zwine jdide</t>
  </si>
  <si>
    <t>زوين جدا</t>
  </si>
  <si>
    <t>Not bad</t>
  </si>
  <si>
    <t>machi bash ikun</t>
  </si>
  <si>
    <t>ماشي باش يكون</t>
  </si>
  <si>
    <t>Of course</t>
  </si>
  <si>
    <t>b'itbaan</t>
  </si>
  <si>
    <t>بالطبع</t>
  </si>
  <si>
    <t>Maybe</t>
  </si>
  <si>
    <t>shkoun ya3raf</t>
  </si>
  <si>
    <t>شكون يعرف</t>
  </si>
  <si>
    <t>Perhaps</t>
  </si>
  <si>
    <t>barbama</t>
  </si>
  <si>
    <t>بربما</t>
  </si>
  <si>
    <t>It's possible</t>
  </si>
  <si>
    <t>hak yumkin</t>
  </si>
  <si>
    <t>هاك يمكن</t>
  </si>
  <si>
    <t>Impossible</t>
  </si>
  <si>
    <t>makaynch</t>
  </si>
  <si>
    <t>ماكاينش</t>
  </si>
  <si>
    <t>Slowly</t>
  </si>
  <si>
    <t>bbat'</t>
  </si>
  <si>
    <t>ببطء</t>
  </si>
  <si>
    <t>Quickly</t>
  </si>
  <si>
    <t>bssr3a</t>
  </si>
  <si>
    <t>بسرعة</t>
  </si>
  <si>
    <t>ayya wach kayn</t>
  </si>
  <si>
    <t>آي واش كاين</t>
  </si>
  <si>
    <t>No, not at all</t>
  </si>
  <si>
    <t>la, el'aks</t>
  </si>
  <si>
    <t>لا، العكس</t>
  </si>
  <si>
    <t>ma'raftsh</t>
  </si>
  <si>
    <t>ماعرفتش</t>
  </si>
  <si>
    <t>I'm hungry</t>
  </si>
  <si>
    <t>kan dir fame</t>
  </si>
  <si>
    <t>كاندير فايم</t>
  </si>
  <si>
    <t>I'm thirsty</t>
  </si>
  <si>
    <t>kan dir atch</t>
  </si>
  <si>
    <t>كاندير عطش</t>
  </si>
  <si>
    <t>I'm tired</t>
  </si>
  <si>
    <t>kan dir ta3b</t>
  </si>
  <si>
    <t>كاندير التعب</t>
  </si>
  <si>
    <t>kan dir noum</t>
  </si>
  <si>
    <t>كاندير نوم</t>
  </si>
  <si>
    <t>kan7bbk</t>
  </si>
  <si>
    <t>كانحبك</t>
  </si>
  <si>
    <t>I like you very much</t>
  </si>
  <si>
    <t>kan7bbk bzaf</t>
  </si>
  <si>
    <t>كانحبك بزاف</t>
  </si>
  <si>
    <t>had mouwafak</t>
  </si>
  <si>
    <t>حظ موفق</t>
  </si>
  <si>
    <t>Have a good trip</t>
  </si>
  <si>
    <t>safar mouwafak</t>
  </si>
  <si>
    <t>سفر موفق</t>
  </si>
  <si>
    <t>Congratulations</t>
  </si>
  <si>
    <t>Happy birthday</t>
  </si>
  <si>
    <t>3id milad sa'id</t>
  </si>
  <si>
    <t>Health</t>
  </si>
  <si>
    <t>fi s-siha</t>
  </si>
  <si>
    <t>فالصحة</t>
  </si>
  <si>
    <t>b'ssah-tak</t>
  </si>
  <si>
    <t>Hi</t>
  </si>
  <si>
    <t>khlaas</t>
  </si>
  <si>
    <t>خلاص</t>
  </si>
  <si>
    <t>wada'an</t>
  </si>
  <si>
    <t>وداعا</t>
  </si>
  <si>
    <t>Enjoy your meal</t>
  </si>
  <si>
    <t>saha wa3afia</t>
  </si>
  <si>
    <t>صحة وعافية</t>
  </si>
  <si>
    <t>wach kayfash?</t>
  </si>
  <si>
    <t>واش كيفاش؟</t>
  </si>
  <si>
    <t>Bless you</t>
  </si>
  <si>
    <t>3la sah-tak</t>
  </si>
  <si>
    <t>على صحتك</t>
  </si>
  <si>
    <t>Take care of yourself</t>
  </si>
  <si>
    <t>khlli bali mnik</t>
  </si>
  <si>
    <t>خلي بالك منك</t>
  </si>
  <si>
    <t>See you next time</t>
  </si>
  <si>
    <t>fi l'gharib al'aajil</t>
  </si>
  <si>
    <t>في القريب العاجل</t>
  </si>
  <si>
    <t>No problem</t>
  </si>
  <si>
    <t>mafihaash</t>
  </si>
  <si>
    <t>ما فيهاش</t>
  </si>
  <si>
    <t>I'm sorry</t>
  </si>
  <si>
    <t>ana assif</t>
  </si>
  <si>
    <t>أنا آسف</t>
  </si>
  <si>
    <t>What's the matter?</t>
  </si>
  <si>
    <t>3la kayfk?</t>
  </si>
  <si>
    <t>على كيفك؟</t>
  </si>
  <si>
    <t>I'm here</t>
  </si>
  <si>
    <t>nahi</t>
  </si>
  <si>
    <t>ناهي</t>
  </si>
  <si>
    <t>It's not a problem</t>
  </si>
  <si>
    <t>ma kayn meshkl</t>
  </si>
  <si>
    <t>ماكاين مشكل</t>
  </si>
  <si>
    <t>ma fhamtsh</t>
  </si>
  <si>
    <t>It's difficult</t>
  </si>
  <si>
    <t>huwa sa3ib</t>
  </si>
  <si>
    <t>هو صعيب</t>
  </si>
  <si>
    <t>Come with me</t>
  </si>
  <si>
    <t>ji ma3aya</t>
  </si>
  <si>
    <t>جي معايا</t>
  </si>
  <si>
    <t>How much?</t>
  </si>
  <si>
    <t>bkam?</t>
  </si>
  <si>
    <t>بكم؟</t>
  </si>
  <si>
    <t>That's enough</t>
  </si>
  <si>
    <t>hadshi kafi</t>
  </si>
  <si>
    <t>هادشي كافي</t>
  </si>
  <si>
    <t>I'm busy</t>
  </si>
  <si>
    <t>kna3mlo</t>
  </si>
  <si>
    <t>كنعمل</t>
  </si>
  <si>
    <t>da3at</t>
  </si>
  <si>
    <t>ضاعت</t>
  </si>
  <si>
    <t>I'm not sure</t>
  </si>
  <si>
    <t>mesh mtaked</t>
  </si>
  <si>
    <t>مش متأكد</t>
  </si>
  <si>
    <t>I'm in a hurry</t>
  </si>
  <si>
    <t>knbghi narkod</t>
  </si>
  <si>
    <t>كنبغي نركض</t>
  </si>
  <si>
    <t>shno lli masalk?</t>
  </si>
  <si>
    <t>شنو اللي مسالك؟</t>
  </si>
  <si>
    <t>Where are you going?</t>
  </si>
  <si>
    <t>fin katmchi?</t>
  </si>
  <si>
    <t>فين كتمشي؟</t>
  </si>
  <si>
    <t>I'm coming</t>
  </si>
  <si>
    <t>naji</t>
  </si>
  <si>
    <t>ناجي</t>
  </si>
  <si>
    <t>I'll call you later</t>
  </si>
  <si>
    <t>kntsall bik lb3da</t>
  </si>
  <si>
    <t>كنتصل بيك لبعدا</t>
  </si>
  <si>
    <t>What time is it?</t>
  </si>
  <si>
    <t>kmach s3a?</t>
  </si>
  <si>
    <t>كماش الساعة؟</t>
  </si>
  <si>
    <t>I'm sorry, I can't</t>
  </si>
  <si>
    <t>asif, makngdrsh</t>
  </si>
  <si>
    <t>آسف، ماكنقدرش</t>
  </si>
  <si>
    <t>I'm not feeling well</t>
  </si>
  <si>
    <t>maknsnash lia</t>
  </si>
  <si>
    <t>ماكنسناش ليا</t>
  </si>
  <si>
    <t>Don't worry</t>
  </si>
  <si>
    <t>matkhafsh</t>
  </si>
  <si>
    <t>ما تخافش</t>
  </si>
  <si>
    <t>tfaddal</t>
  </si>
  <si>
    <t>تفضل</t>
  </si>
  <si>
    <t>It's too expensive</t>
  </si>
  <si>
    <t>huwa ghali jiddan</t>
  </si>
  <si>
    <t>هو غالي جدا</t>
  </si>
  <si>
    <t>It's very cheap</t>
  </si>
  <si>
    <t>huwa rkhiss jiddan</t>
  </si>
  <si>
    <t>هو رخيص جدا</t>
  </si>
  <si>
    <t>It's very far</t>
  </si>
  <si>
    <t>huwa ba3id jiddan</t>
  </si>
  <si>
    <t>هو بعيد جدا</t>
  </si>
  <si>
    <t>It's very close</t>
  </si>
  <si>
    <t>huwa gharib jiddan</t>
  </si>
  <si>
    <t>هو قريب جدا</t>
  </si>
  <si>
    <t>I'll be right back</t>
  </si>
  <si>
    <t>knji l7alya</t>
  </si>
  <si>
    <t>كنجي لحاليا</t>
  </si>
  <si>
    <t>Do you need help?</t>
  </si>
  <si>
    <t>bghiti masa3da?</t>
  </si>
  <si>
    <t>بغيتي مساعدة؟</t>
  </si>
  <si>
    <t>I'm on my way</t>
  </si>
  <si>
    <t>knji</t>
  </si>
  <si>
    <t>كنجي</t>
  </si>
  <si>
    <t>It's delicious</t>
  </si>
  <si>
    <t>huwa lziz</t>
  </si>
  <si>
    <t>هو لذيذ</t>
  </si>
  <si>
    <t>It's terrible</t>
  </si>
  <si>
    <t>huwa bsha</t>
  </si>
  <si>
    <t>هو بشع</t>
  </si>
  <si>
    <t>ma n3rfsh</t>
  </si>
  <si>
    <t>ما نعرفش</t>
  </si>
  <si>
    <t>It's very hot</t>
  </si>
  <si>
    <t>huwa har jiddan</t>
  </si>
  <si>
    <t>هو حار جدا</t>
  </si>
  <si>
    <t>It's very cold</t>
  </si>
  <si>
    <t>huwa bard jiddan</t>
  </si>
  <si>
    <t>هو بارد جدا</t>
  </si>
  <si>
    <t>kn dir fam</t>
  </si>
  <si>
    <t>كندير فام</t>
  </si>
  <si>
    <t>kn dir 3tch</t>
  </si>
  <si>
    <t>كندير عطش</t>
  </si>
  <si>
    <t>kn dir daye</t>
  </si>
  <si>
    <t>كندير ضيع</t>
  </si>
  <si>
    <t>I'm cold</t>
  </si>
  <si>
    <t>kn dir brd</t>
  </si>
  <si>
    <t>كندير برد</t>
  </si>
  <si>
    <t>I'm hot</t>
  </si>
  <si>
    <t>kn dir skhon</t>
  </si>
  <si>
    <t>كندير سخون</t>
  </si>
  <si>
    <t>I'm bored</t>
  </si>
  <si>
    <t>kn dir mlal</t>
  </si>
  <si>
    <t>كندير ملل</t>
  </si>
  <si>
    <t>I'm sick</t>
  </si>
  <si>
    <t>kn dir marad</t>
  </si>
  <si>
    <t>كندير مرض</t>
  </si>
  <si>
    <t>I'm happy</t>
  </si>
  <si>
    <t>kn dir frah</t>
  </si>
  <si>
    <t>كندير فرح</t>
  </si>
  <si>
    <t>I'm sad</t>
  </si>
  <si>
    <t>kn dir hzin</t>
  </si>
  <si>
    <t>كندير حزين</t>
  </si>
  <si>
    <t>I'm angry</t>
  </si>
  <si>
    <t>kn dir ghadab</t>
  </si>
  <si>
    <t>كندير غضب</t>
  </si>
  <si>
    <t>I'm scared</t>
  </si>
  <si>
    <t>kn dir khof</t>
  </si>
  <si>
    <t>كندير خوف</t>
  </si>
  <si>
    <t>I'm worried</t>
  </si>
  <si>
    <t>kn dir ghalq</t>
  </si>
  <si>
    <t>كندير قلق</t>
  </si>
  <si>
    <t>I'm relaxed</t>
  </si>
  <si>
    <t>kn dir hadi</t>
  </si>
  <si>
    <t>كندير هادي</t>
  </si>
  <si>
    <t>I'm calm</t>
  </si>
  <si>
    <t>kn dir rayk</t>
  </si>
  <si>
    <t>كندير رايق</t>
  </si>
  <si>
    <t>I'm stressed</t>
  </si>
  <si>
    <t>kn dir mjahd</t>
  </si>
  <si>
    <t>كندير مجهد</t>
  </si>
  <si>
    <t>I'm confused</t>
  </si>
  <si>
    <t>kn dir ghamz</t>
  </si>
  <si>
    <t>كندير غمز</t>
  </si>
  <si>
    <t>كندير ضايع</t>
  </si>
  <si>
    <t>kn dir mghoul</t>
  </si>
  <si>
    <t>كندير مشغول</t>
  </si>
  <si>
    <t>kn dir 3ejl</t>
  </si>
  <si>
    <t>كندير عجل</t>
  </si>
  <si>
    <t>I'm in a good mood</t>
  </si>
  <si>
    <t>kn dir frahan</t>
  </si>
  <si>
    <t>كندير فرحان</t>
  </si>
  <si>
    <t>I'm in a bad mood</t>
  </si>
  <si>
    <t>kn dir za3lan</t>
  </si>
  <si>
    <t>كندير زعلان</t>
  </si>
  <si>
    <t>I think my neighbors think I want to hurt them</t>
  </si>
  <si>
    <t>kandan bila jirani kaysahab lahum bghit na'dihum</t>
  </si>
  <si>
    <t>كاندان بيلا جيراني كايسحاب ليهوم بغيت نأديهوم</t>
  </si>
  <si>
    <t>So I'm afraid to stay at home and try to make the least noise</t>
  </si>
  <si>
    <t>dakshi 'alash kan5af nb9a fdar u kan7awl ma ndirsh sda3</t>
  </si>
  <si>
    <t>داكشي علاش كانخاف نبقا فدار أُ كانحاول مانديرش صداع</t>
  </si>
  <si>
    <t>But it's tiring</t>
  </si>
  <si>
    <t>walakin hadshi kay3ayi</t>
  </si>
  <si>
    <t>والاكين هادشي كايعايي</t>
  </si>
  <si>
    <t>I don't belong anywhere, you know.</t>
  </si>
  <si>
    <t>ma bqit mrtah ftt2 qnt, rak 3arif</t>
  </si>
  <si>
    <t>مابقيت مرتاح فتّا قنت,راك عارف</t>
  </si>
  <si>
    <t>I'm sure there's somewhere you fit in.</t>
  </si>
  <si>
    <t>ana ma t2akad bila kayna shi bilasa katnasabak</t>
  </si>
  <si>
    <t>أنا ماتأكاد بيلا كاينا شي بلاسا كاتناسباك</t>
  </si>
  <si>
    <t>Have you always felt like this?</t>
  </si>
  <si>
    <t>wash mn dima kat7ess b7al haka?</t>
  </si>
  <si>
    <t>واش من ديما كاتحس بحال هاكا؟</t>
  </si>
  <si>
    <t>But I think it's getting harder for me in time</t>
  </si>
  <si>
    <t>walakin kandan bila kaytzaad 3liya sw3uba ma3a lawaqt</t>
  </si>
  <si>
    <t>والاكين كاندان بيلا كايتزاد علييا صوعوبا معا لواقت</t>
  </si>
  <si>
    <t>Plus, my new neighbors are weird.</t>
  </si>
  <si>
    <t>u zeed 3alayha jirani ljadad fshkl</t>
  </si>
  <si>
    <t>أُ زيد عليها جيراني الجداد فشكل</t>
  </si>
  <si>
    <t>They always look at me with a strange look</t>
  </si>
  <si>
    <t>dima kayshufu fiya shufa ghariba</t>
  </si>
  <si>
    <t>ديما كايشوفو فييا شوفا غاريبا</t>
  </si>
  <si>
    <t>I think they're listening to what I'm doing through the walls</t>
  </si>
  <si>
    <t>kan3an kayssam3u ldakshi likandir manwra l7iwta</t>
  </si>
  <si>
    <t>كانضنّ كايسامعو لداكشي ليكاندير منورا لحيوطا</t>
  </si>
  <si>
    <t>Do you listen to them through the walls too?</t>
  </si>
  <si>
    <t>wash hta nta katssma3 lihum mura l7iwta?</t>
  </si>
  <si>
    <t>واش حتا نتا كاتسماع ليهوم مورا لحيوط؟</t>
  </si>
  <si>
    <t>Okay, thanks for your time, I'm sorry I bothered you</t>
  </si>
  <si>
    <t>wakha, shukran ala lwakt li 3atitini, smah liya hit sda3atak</t>
  </si>
  <si>
    <t>صداعتاك</t>
  </si>
  <si>
    <t>And I'm sorry I'm always sorry...</t>
  </si>
  <si>
    <t>smah liya smah liya dima ...</t>
  </si>
  <si>
    <t>سماح لييا سماح لييا ديما ...</t>
  </si>
  <si>
    <t>سماح لييا</t>
  </si>
  <si>
    <t>Good morning, ma'am.</t>
  </si>
  <si>
    <t>sabah lkhayr lala</t>
  </si>
  <si>
    <t>صباه لخير لالا</t>
  </si>
  <si>
    <t>I'm having a hard time understanding the odds</t>
  </si>
  <si>
    <t>kanlqa swa3uba bash nfhim l'ichtimālāt</t>
  </si>
  <si>
    <t>كانلقا صوعوبا باش نفهام لإحتيمالات</t>
  </si>
  <si>
    <t>It's too complicated for me that's done only literature so far!</t>
  </si>
  <si>
    <t>l'amr ma3qād 3andi, rah dart ghīr liadab tāl dāba sāfi</t>
  </si>
  <si>
    <t>لأمر معاقاد عاندي, راه دارت غير لأداب تال دابا سافي</t>
  </si>
  <si>
    <t>Help me, please!</t>
  </si>
  <si>
    <t>3awenni 3afak</t>
  </si>
  <si>
    <t>عاونّي عافاك</t>
  </si>
  <si>
    <t>Well, I am an English teacher, so I'm not sure I'll be much help...</t>
  </si>
  <si>
    <t>udi, ana ostad dyāl ingliziyā, dākshi alash mamtākadsh wash gān3āwnak mazyān...</t>
  </si>
  <si>
    <t>أودي, أنا أُستاد ديال نڭليزيا, داكشي علاش مامتأكادش واش غانعاونك مزيان...</t>
  </si>
  <si>
    <t>Do you not like Mr Jameson?</t>
  </si>
  <si>
    <t>wash makātibghiš as-si Jameson?</t>
  </si>
  <si>
    <t>واش ماكاتبغيش السي جامسون؟</t>
  </si>
  <si>
    <t>He's your maths teacher, right?</t>
  </si>
  <si>
    <t>huwa l-ostad dyāl riadīyāt dyālk, yāk?</t>
  </si>
  <si>
    <t>هوا ل أُستاد ديال رييادييات ديالك, ياك؟</t>
  </si>
  <si>
    <t>I would understand</t>
  </si>
  <si>
    <t>nuqdr nfhm</t>
  </si>
  <si>
    <t>نقدر نفهم</t>
  </si>
  <si>
    <t>he can sometimes come across as a bit intimidating</t>
  </si>
  <si>
    <t>kaybān shi marāt kaykhilā3 shwayyā</t>
  </si>
  <si>
    <t>كايبان شي مرات كايخلاع شوييا</t>
  </si>
  <si>
    <t>Start by telling me what you understand</t>
  </si>
  <si>
    <t>bada bi-annāk takulihā shnu kātfhām</t>
  </si>
  <si>
    <t>بدا ب أنّاك تڭوليها شنو كاتفهام</t>
  </si>
  <si>
    <t>I know you're an English teacher</t>
  </si>
  <si>
    <t>farāsī nta ostād til inglīz</t>
  </si>
  <si>
    <t>فراسي نتا أُستاد تل أنڭلايس</t>
  </si>
  <si>
    <t>but Mr. Hossam is a bully!</t>
  </si>
  <si>
    <t>walakin rah as-si Hussam kaytila3hā 3alayna</t>
  </si>
  <si>
    <t>والاكين راه السي هوسّام كايطلّعها علينا</t>
  </si>
  <si>
    <t>All he does is put us down, and remind us that he's intellectually superior</t>
  </si>
  <si>
    <t>l-7ājā lwā7ida li kaydir hyā kaytīḥ minnā, wī fakkarnā annāhū muqtaqāf 3laynā</t>
  </si>
  <si>
    <t>لحاجا لواحيدا لي كايدير هيا كايطيّح منّا, وي فكّرنا أنّاهو موتقّاف علينا</t>
  </si>
  <si>
    <t>I can't take it anymore</t>
  </si>
  <si>
    <t>manqdarsh nabqa ṣābir</t>
  </si>
  <si>
    <t>مانقدرش نبقا صابر</t>
  </si>
  <si>
    <t>I'm not the only one</t>
  </si>
  <si>
    <t>rāh anā māshī būḥdi</t>
  </si>
  <si>
    <t>راه أنا ماشي بوحدي</t>
  </si>
  <si>
    <t>Besides, he keeps harassing my friends</t>
  </si>
  <si>
    <t>zīd 3alayhā, kaybqā itbassal 3alā ṣaḥābātī</t>
  </si>
  <si>
    <t>زيد عليها, كايبقا إتبسّل علا صحاباتي</t>
  </si>
  <si>
    <t>Oh dear</t>
  </si>
  <si>
    <t>uh habībā</t>
  </si>
  <si>
    <t>أُه حبيبا</t>
  </si>
  <si>
    <t>Maybe we need to have a proper discussion about that at some point</t>
  </si>
  <si>
    <t>yāmkin khāsnā nglisu nahḍru 3lā hādshi fwāhid lwākt</t>
  </si>
  <si>
    <t>يامكان خاسنا نڭلسو نهضرو علا هادشي فواهد لوقت</t>
  </si>
  <si>
    <t>Have you contacted anybody about that?</t>
  </si>
  <si>
    <t>wāsh tawāṣaltī ma3a shi ḥād 3lā hādshi?</t>
  </si>
  <si>
    <t>واش تواصلتي معا شي حاد علا هادشي؟</t>
  </si>
  <si>
    <t>There is a school counsellor on site every Tuesday</t>
  </si>
  <si>
    <t>kāyikūn lmustāshār dyāl mādrāsā kul tlat</t>
  </si>
  <si>
    <t>كايكون لموستاشار ديال مادراسا كول تلات</t>
  </si>
  <si>
    <t>That's the thing</t>
  </si>
  <si>
    <t>hādā hwā</t>
  </si>
  <si>
    <t>هادا هووا</t>
  </si>
  <si>
    <t>hādshi li kayn</t>
  </si>
  <si>
    <t>هادشي لي كاين</t>
  </si>
  <si>
    <t>They're plotting together in order not to let any of the information escape</t>
  </si>
  <si>
    <t>rāh kaykhāṭū kāmilīn bāsh māt5arāj ḥtā mā3lūmā</t>
  </si>
  <si>
    <t>راه كايخاطّو كاملين باش ماتخراج حتا ماعلوما</t>
  </si>
  <si>
    <t>Just talking to you puts me in grave danger</t>
  </si>
  <si>
    <t>ghīr lahḍrā ma3āk kāti3āradnī lkhāṭār kabīr</t>
  </si>
  <si>
    <t>غير لهضرا معاك كاتعارادني لخاطار كبير</t>
  </si>
  <si>
    <t>Just talking to you could put me in danger</t>
  </si>
  <si>
    <t>ghīr lahḍrā ma3āk takdr tishrīhā līā</t>
  </si>
  <si>
    <t>غير لهضرا معاك تقدر تشريها ليا</t>
  </si>
  <si>
    <t>I really didn't know it was this serious</t>
  </si>
  <si>
    <t>makānsh farāsī ghā 3anannā hādshi b'hād lḥidā</t>
  </si>
  <si>
    <t>ماكانش فراسي ڭاع أنّا هادشي بهاد لحيدّا</t>
  </si>
  <si>
    <t>Don't worry, we'll do something about it</t>
  </si>
  <si>
    <t>mātkhāfīsh, ghādī ndīru shi ḥājā 3lā hād lhissāb</t>
  </si>
  <si>
    <t>ماتخافيش, غادي نديرو شي حاجا علا هاد لحساب</t>
  </si>
  <si>
    <t>And never be too scared to talk out about it</t>
  </si>
  <si>
    <t>u 3omrak takhf tduwi 3lihā</t>
  </si>
  <si>
    <t>أُ عمّرك تخاف تدوي عليها</t>
  </si>
  <si>
    <t>How long has it been going on?</t>
  </si>
  <si>
    <t>mnin u hadshi kaywaqa3</t>
  </si>
  <si>
    <t>منين أُ هادشي كايوقاع</t>
  </si>
  <si>
    <t>Mneemta o hadshi kayuqaa</t>
  </si>
  <si>
    <t>منيمتا أُ هادشي كايوقاع</t>
  </si>
  <si>
    <t>Chhal talwakt o hadshi kayuqaa</t>
  </si>
  <si>
    <t>شحال تلوقت أُ هادشي كايوقاع</t>
  </si>
  <si>
    <t>It's been going on since we dared to tell him his course was going too fast</t>
  </si>
  <si>
    <t>Bda kayuqaa mneen glna lyah bila aders dyalo kaymshi bzrba</t>
  </si>
  <si>
    <t>بدا كايوقاع منين ڭلنا ليه بيلا الدرس ديالو كايمشي بزربا</t>
  </si>
  <si>
    <t>He's got too much ego and can't stand a contradiction</t>
  </si>
  <si>
    <t>ndo bzaf mn7b nafs o makaybghi ta mo3ara9a</t>
  </si>
  <si>
    <t>عندو بزاف من حوب نافس أُ ماكايبغي تا موعاراضا</t>
  </si>
  <si>
    <t>Since he's friends with the councilman, he's getting revenge</t>
  </si>
  <si>
    <t>Hyt hwa S7ab 3wdw lmajlis, ra kaynta9am</t>
  </si>
  <si>
    <t>حيت هووا صاحب عوضو لماجليس, راه كاينتاقام</t>
  </si>
  <si>
    <t>However, now that he's aware of his power, he also goes after my friends because they're girls</t>
  </si>
  <si>
    <t>Wlakin daba mneen 3raf lqw Dyalo, ra tab3 sbabaty hyt hwma bnat</t>
  </si>
  <si>
    <t>والاكين دابا منين عراف لقووا ديالو, راه تابع سحاباتي حيت هوما بنات</t>
  </si>
  <si>
    <t>Now they hate me because they think it's my fault</t>
  </si>
  <si>
    <t>O daba kaykarihoni hyt kayshab lyahwa hada lghalat dyali</t>
  </si>
  <si>
    <t>أُ دابا كايكارهوني حيت كايسحاب ليهوم هادا لغالاط ديالي</t>
  </si>
  <si>
    <t>my dear</t>
  </si>
  <si>
    <t>3azizi</t>
  </si>
  <si>
    <t>عازيزي</t>
  </si>
  <si>
    <t>This really does sound serious</t>
  </si>
  <si>
    <t>hadshi bssa7 kayban jydy</t>
  </si>
  <si>
    <t>هادشي بصّح كايبان جيدّي</t>
  </si>
  <si>
    <t>I'm going to have to organise a meeting to discuss this</t>
  </si>
  <si>
    <t>ghadi ykhasni ndir ejtema3 bach naqsho hadshi</t>
  </si>
  <si>
    <t>غادي يخاسني ندير إجتيماع باش ناقشو هادشي</t>
  </si>
  <si>
    <t>This needs to be sorted out quickly</t>
  </si>
  <si>
    <t>hadshi khaso ihtal bzrba</t>
  </si>
  <si>
    <t>هادشي خاسو إتحلّ بزاربا</t>
  </si>
  <si>
    <t>I'll talk to the head and see what we can do to investigate</t>
  </si>
  <si>
    <t>ghadi nhdar ma3 ra3is onshof ash nqaddo ndiro bach n7qo</t>
  </si>
  <si>
    <t>غادي نهضر معا راإس أُ نشوف أش نقادّو نديرو باش نحقّو</t>
  </si>
  <si>
    <t>I'll let you know</t>
  </si>
  <si>
    <t>ghadi ngolik</t>
  </si>
  <si>
    <t>غادي نڭوليك</t>
  </si>
  <si>
    <t>ghadi n3llmk</t>
  </si>
  <si>
    <t>غادي نعلمك</t>
  </si>
  <si>
    <t>daba n3llmk</t>
  </si>
  <si>
    <t>دابا نعلمك</t>
  </si>
  <si>
    <t>daba nrd 3lik lkhabar</t>
  </si>
  <si>
    <t>دابا نردّ عليك لخبار</t>
  </si>
  <si>
    <t>And don't worry, I'll do it quickly!</t>
  </si>
  <si>
    <t>o matkhafsh, ghadi ndir dakhshi bzrba</t>
  </si>
  <si>
    <t>أُ ماتخافش, غادي ندير داكشي بزاربا</t>
  </si>
  <si>
    <t>Thank you so much!</t>
  </si>
  <si>
    <t>shukran bzaf!</t>
  </si>
  <si>
    <t>شوكران بزاف!</t>
  </si>
  <si>
    <t>I hope he can rot in jail for the rest of his life</t>
  </si>
  <si>
    <t>kantmanah itjif flhabis hayato kamla</t>
  </si>
  <si>
    <t>كانتمانا إتجيّف فلحابس حياتو كاملها</t>
  </si>
  <si>
    <t>he'll be eaten by rats</t>
  </si>
  <si>
    <t>ghadi yaklo lh firaan</t>
  </si>
  <si>
    <t>غادي ياكلوه ل فيران</t>
  </si>
  <si>
    <t>So Douaa, how are you today?</t>
  </si>
  <si>
    <t>o a dwa, kida2ira lyuma</t>
  </si>
  <si>
    <t>إوا أ ضوا, كيدايرا ليوما</t>
  </si>
  <si>
    <t>So, so, but much better than yesterday, thank you</t>
  </si>
  <si>
    <t>haka o haka, walakin hsan bzaf mn lbarih, shukran</t>
  </si>
  <si>
    <t>هاكّا أُ هاكّا, والاكين حسان بزاف من لبارح, شوكران</t>
  </si>
  <si>
    <t>How are those lovely grandchildren of yours?</t>
  </si>
  <si>
    <t>kidairin ahfadak zwinin?</t>
  </si>
  <si>
    <t>كيدايرين أحفادك زوينين؟</t>
  </si>
  <si>
    <t>Three is it now or am I miscounting!</t>
  </si>
  <si>
    <t>tlata daba wla glat flhisab!</t>
  </si>
  <si>
    <t>تلاتا دابا ولا غلاط فلحساب!</t>
  </si>
  <si>
    <t>Oh, good!</t>
  </si>
  <si>
    <t>ah mazyane</t>
  </si>
  <si>
    <t>أه مازيان</t>
  </si>
  <si>
    <t>It's just all these little pains</t>
  </si>
  <si>
    <t>ghir had alam sghira</t>
  </si>
  <si>
    <t>غير هاد ألام صغيرا</t>
  </si>
  <si>
    <t>it doesn't make life easy!</t>
  </si>
  <si>
    <t>makatchkhalish lhayat sahla</t>
  </si>
  <si>
    <t>ماكاتخاليش لحايات ساهلا</t>
  </si>
  <si>
    <t>My grandkids are fine</t>
  </si>
  <si>
    <t>hfadi labas 3lihum</t>
  </si>
  <si>
    <t>حفادي لاباس عليهوم</t>
  </si>
  <si>
    <t>the last one, Chihab's daughter</t>
  </si>
  <si>
    <t>akhir whda fyahum, bnt shihab</t>
  </si>
  <si>
    <t>أخير وحدا فيهوم, بنت شيهاب</t>
  </si>
  <si>
    <t>my second daughter</t>
  </si>
  <si>
    <t>bnti ttania</t>
  </si>
  <si>
    <t>بنتي التانيا</t>
  </si>
  <si>
    <t>she just made her first steps!</t>
  </si>
  <si>
    <t>ya lah bdath katmsha</t>
  </si>
  <si>
    <t>يالّاه بدات كاتمشا</t>
  </si>
  <si>
    <t>As a parent you're not supposed to have favourites</t>
  </si>
  <si>
    <t>ka wlidin, makhsch ikono 3ndak wlad mofadalyn</t>
  </si>
  <si>
    <t>كا واليدين, ماخسّش إكونو عندك ولاد موفضّالين</t>
  </si>
  <si>
    <t>but Jmiaa has been such a lovely daughter</t>
  </si>
  <si>
    <t>walakin jma3a kanat bant ghazala</t>
  </si>
  <si>
    <t>والاكين جمياا كانت بانت غزالا</t>
  </si>
  <si>
    <t>I'm guessing her child is just as beautiful as she is</t>
  </si>
  <si>
    <t>kangul wldha geykon zwin bhalha</t>
  </si>
  <si>
    <t>كانڭول ولدها غايكون زوين بحالها</t>
  </si>
  <si>
    <t>Did you bring in any photographs?</t>
  </si>
  <si>
    <t>wash jabit shi tswar?</t>
  </si>
  <si>
    <t>واش جابتي شي تصاور؟</t>
  </si>
  <si>
    <t>Pains, don't talk to me about pains</t>
  </si>
  <si>
    <t>alam, bla ma thadr m3aya 3la lalam</t>
  </si>
  <si>
    <t>ألام, بلا ماتهضر معايا علا لألام</t>
  </si>
  <si>
    <t>I can barely walk these days</t>
  </si>
  <si>
    <t>bzaz bash kanqdar ntmasa had layam</t>
  </si>
  <si>
    <t>بزاز باش كانقدار نتماشا هاد لييام</t>
  </si>
  <si>
    <t>Ah, how I understand you!</t>
  </si>
  <si>
    <t>ah, rani fahmak</t>
  </si>
  <si>
    <t>أه, راني فاهماك</t>
  </si>
  <si>
    <t>It's true that Marion was always the little girl of everyone... kind of like your Oliver, wasn't she?</t>
  </si>
  <si>
    <t>bsah marion dima kanat lbanat sghira dyal kulshi... bhal oliver dyalk, yak?</t>
  </si>
  <si>
    <t>بساح ماريون ديما كانت لبانت سغيرا ديال كولشي... بحال أُليڤر ديالك, ياك؟</t>
  </si>
  <si>
    <t>I don't have any pictures with me</t>
  </si>
  <si>
    <t>mahazz m3aya</t>
  </si>
  <si>
    <t>ماهازّ معايا التا تصويرا دابا</t>
  </si>
  <si>
    <t>You know, the technology and I...</t>
  </si>
  <si>
    <t>Rak 'arefni ma3a tshnolongi</t>
  </si>
  <si>
    <t>راك عارفني معا تشنولوڭي</t>
  </si>
  <si>
    <t>my kids gave me a tablet</t>
  </si>
  <si>
    <t>Wladi 3tawni tablet</t>
  </si>
  <si>
    <t>ولادي عطاوني تابلت</t>
  </si>
  <si>
    <t>but I don't know what to do with it!</t>
  </si>
  <si>
    <t>Walakin ma3raftsh ash ndir biha</t>
  </si>
  <si>
    <t>والاكين ماعرافتش أش ندير بيها</t>
  </si>
  <si>
    <t>For your arthritis, fortunately, you're here, right?</t>
  </si>
  <si>
    <t>ala hisab iltihab limafasil 'andak, lahussan lahad, nta hna, kayna?</t>
  </si>
  <si>
    <t>علا حساب إلتيهاب لمافاسيل عانداك, لحوسن لحاد, نتا هنا, كاينا؟</t>
  </si>
  <si>
    <t>The staff seems very caring</t>
  </si>
  <si>
    <t>Banu lyaa lmwadafin kaytahallaaw bzaf</t>
  </si>
  <si>
    <t>بانو لييا لمووادافين كايطهلّاو بزاف</t>
  </si>
  <si>
    <t>Yanis gave me a tablet on my birthday</t>
  </si>
  <si>
    <t>Yanis 'atani tablet f 3id miladi</t>
  </si>
  <si>
    <t>يانيس عتاني تابلت ف عيد ميلادي</t>
  </si>
  <si>
    <t>I use it for watching TV and reading books</t>
  </si>
  <si>
    <t>Kan7admo bash ntfarraj f tlafaza ulqraaya t lkituba</t>
  </si>
  <si>
    <t>كانخادمو باش نتفرّج ف تلفازا أُ لقرايا ت لكتوبا</t>
  </si>
  <si>
    <t>He showed me how it works</t>
  </si>
  <si>
    <t>Rah warrani kifash katkhdem</t>
  </si>
  <si>
    <t>راه ورّاني كيفاش كاتخدم</t>
  </si>
  <si>
    <t>but if I get stuck the girls in here will always help me</t>
  </si>
  <si>
    <t>Walakin ila w7lt, lbnat lli hna dima gai3awnoni</t>
  </si>
  <si>
    <t>والاكين إلا وحلت, لبنات اللي هنا ديما غايعاونوني</t>
  </si>
  <si>
    <t>They are very kind</t>
  </si>
  <si>
    <t>Homa drayfin bzaf</t>
  </si>
  <si>
    <t>هوما درايفين بزاف</t>
  </si>
  <si>
    <t>Ah, you must be cleverer than me then!</t>
  </si>
  <si>
    <t>Ah, idan ghadi tkun nta daki 3liya</t>
  </si>
  <si>
    <t>أه, إدان غادي تكون نتا دكي علييا</t>
  </si>
  <si>
    <t>My children often show me how to turn it on and even how to write e-mails, but...</t>
  </si>
  <si>
    <t>Ghaliban kaywaryoni wladi kifash nsh3lo unakatab email, walakin...</t>
  </si>
  <si>
    <t>غاليبان كايواريوني ولادي كيفاش نشعلو أُ ناكتاب إمايلس, والاكين...</t>
  </si>
  <si>
    <t>With my poor head, it's too difficult!</t>
  </si>
  <si>
    <t>Ma3a dmaghi assghir, hadshi sa3ib bzaf</t>
  </si>
  <si>
    <t>معا دماغي السغير, هادشي صعيب بزاف</t>
  </si>
  <si>
    <t>Young people go so fast!</t>
  </si>
  <si>
    <t>Chabab kayzarbo!</t>
  </si>
  <si>
    <t>شاباب كايزربو!</t>
  </si>
  <si>
    <t>Everything has to go fast for them...</t>
  </si>
  <si>
    <t>Koulchi khaso yemshi bzarba b'nassab liahum</t>
  </si>
  <si>
    <t>كولشي خاسو يمشي بزاربا بناسبا ليهوم</t>
  </si>
  <si>
    <t>Loubna spent ages showing me how to switch it on, charge it up, how to send emails</t>
  </si>
  <si>
    <t>Lubna dozat zebala tlawqat katurini kifash nsh3lo unsharjiha unasifat les emails</t>
  </si>
  <si>
    <t>لوبنا دوزات زبّالا تلوقت كاتورّيني كيفاش نشعلو أُ نشارجيه أُ نصيفت لس إمايلس</t>
  </si>
  <si>
    <t>Watching YouTube, listening to the radio, they're easy</t>
  </si>
  <si>
    <t>Tfaraaj fi youtube utisma3 radio, hadu sahlin</t>
  </si>
  <si>
    <t>تفراج ف يوتوب أُ تسماع راديو, هادو ساهلين</t>
  </si>
  <si>
    <t>I have to get someone to download the books for me</t>
  </si>
  <si>
    <t>Khasni nlaqa shi had ysharji liya lkatuba</t>
  </si>
  <si>
    <t>خاسني نلقا شي حاد يشارجي لييا لكتوبا</t>
  </si>
  <si>
    <t>You should really try it</t>
  </si>
  <si>
    <t>Khassk ntit tjarrbou</t>
  </si>
  <si>
    <t>خسّك نيت تجرّبو</t>
  </si>
  <si>
    <t>you can set the font size so it's much easier for our old eyes to read the print</t>
  </si>
  <si>
    <t>Taqdar taqad l5at bash ysehal 'ala 3inayna sharfin nqrau</t>
  </si>
  <si>
    <t>تاقدار تقاد لخاط باش يسهال علا عينينا شارفين نقراو</t>
  </si>
  <si>
    <t>Well, if you say so, I'll hold on!</t>
  </si>
  <si>
    <t>Iwa melli glltiha, ghadi ntsana</t>
  </si>
  <si>
    <t>إوا ملّي ڭلتيها, غادي نتسانا</t>
  </si>
  <si>
    <t>Still, we live in crazy, crazy times!</t>
  </si>
  <si>
    <t>Wa5a hakak, rahna kan3isho f oqat masaTia, masaTia!</t>
  </si>
  <si>
    <t>واخا هاكّاك, راحنا كانعيشو ف أوقات مساطيا, مساطيا!</t>
  </si>
  <si>
    <t>It's all happening so fast!</t>
  </si>
  <si>
    <t>Hadshi kamal kayduz bzarba</t>
  </si>
  <si>
    <t>هادشي كامل كايدوز بزاربا</t>
  </si>
  <si>
    <t>At last!</t>
  </si>
  <si>
    <t>Wa akhiran</t>
  </si>
  <si>
    <t>وا أخيران</t>
  </si>
  <si>
    <t>My dear Ihssan, I'm going to have to leave you</t>
  </si>
  <si>
    <t>Sahbati laziza ihssan, ghadi ikhsni nkhallik</t>
  </si>
  <si>
    <t>ساحبتي لعزيزا إهسّان, غادي إخسّني نخلّيك</t>
  </si>
  <si>
    <t>I have an appointment at the rheumatologist at 3:00!</t>
  </si>
  <si>
    <t>3andi maw3id ma3a akhisa2 dyal romatizm ma3a 3:00!</t>
  </si>
  <si>
    <t>عندي ماوعيد معا أخيساإ ديال روماتيزم معا ع:00!</t>
  </si>
  <si>
    <t>By the time we get there</t>
  </si>
  <si>
    <t>Binma tawsal t tamma</t>
  </si>
  <si>
    <t>بينمّا توصل ت تمّا</t>
  </si>
  <si>
    <t>as always</t>
  </si>
  <si>
    <t>Kima dima</t>
  </si>
  <si>
    <t>كيمّا ديما</t>
  </si>
  <si>
    <t>it's been a pleasure to see you</t>
  </si>
  <si>
    <t>Sa3a sa3ida mlli shaaftak</t>
  </si>
  <si>
    <t>ساعا ساعيدا ملي شافتاك"</t>
  </si>
  <si>
    <t>Good luck and do come and visit me again soon</t>
  </si>
  <si>
    <t>Had sa3id oji u zuruni marra khra</t>
  </si>
  <si>
    <t>حاضّ ساعيد أُ أجي أُ زورني مرا خرا</t>
  </si>
  <si>
    <t>Next time bring those photographs</t>
  </si>
  <si>
    <t>Lmara ljaya jib ma3ak dok tsawar</t>
  </si>
  <si>
    <t>لمرّا الجايا جيب معاك دوك تساوار</t>
  </si>
  <si>
    <t>oh, and if you can carry them some grapes</t>
  </si>
  <si>
    <t>O, u ala gdditi thzz ma3ak shwiya dyal l3nab</t>
  </si>
  <si>
    <t>أُه, أُ ألا ڭدّيتي تهزّ معاك شوييا ديال لعناب</t>
  </si>
  <si>
    <t>a box of milk chocolates and the Sunday newspapers</t>
  </si>
  <si>
    <t>Shi bwat dyal shwklath b l7alib, u ljare</t>
  </si>
  <si>
    <t>شي بواطا ديال شوكلات ب لحليب, أُ لجاراإد ديال نهار لحاد</t>
  </si>
  <si>
    <t>Love to the family</t>
  </si>
  <si>
    <t>Lahb lala3iala</t>
  </si>
  <si>
    <t>لحوب لالعاإلا</t>
  </si>
  <si>
    <t>go on, tell me what happened</t>
  </si>
  <si>
    <t>Kammal, guliya shno waqa3</t>
  </si>
  <si>
    <t>كامّال, ڭوليا شنو واقاع</t>
  </si>
  <si>
    <t>why do you look so down in the dumps?</t>
  </si>
  <si>
    <t>Malak katban hazin bzaf?</t>
  </si>
  <si>
    <t>مالك كاتبان حازين بزّاف؟</t>
  </si>
  <si>
    <t>I was fine until you saw your head</t>
  </si>
  <si>
    <t>Kant bi khir hatta shafat ras dyalak</t>
  </si>
  <si>
    <t>كانت بيخير حتا شافت راس ديالك</t>
  </si>
  <si>
    <t>I can't stand you anymore</t>
  </si>
  <si>
    <t>Maqdaratch ntha7mllak ktr men hadshi</t>
  </si>
  <si>
    <t>ماقدارتش نتحمّلاك كتر من هادشي</t>
  </si>
  <si>
    <t>wow</t>
  </si>
  <si>
    <t>wawaw</t>
  </si>
  <si>
    <t>ووو</t>
  </si>
  <si>
    <t>I was not expecting that</t>
  </si>
  <si>
    <t>Matwa9a3tsh hadshi</t>
  </si>
  <si>
    <t>ماتواقاعتش هادشي</t>
  </si>
  <si>
    <t>what did I do?</t>
  </si>
  <si>
    <t>Shno dart?</t>
  </si>
  <si>
    <t>شنو درت؟</t>
  </si>
  <si>
    <t>You've seen how you talk to me</t>
  </si>
  <si>
    <t>Chafti kifash kadwi ma3aya</t>
  </si>
  <si>
    <t>شافتي كيفاش كادوي معايا</t>
  </si>
  <si>
    <t>you're not even able to say good night</t>
  </si>
  <si>
    <t>Mab9itch qadar tngoul htta layla sa3ida</t>
  </si>
  <si>
    <t>مابقيتيش قادار تڭول حتّا لايلا ساعيدا</t>
  </si>
  <si>
    <t>I demand mutual respect in a marriage</t>
  </si>
  <si>
    <t>Kantalab b hatiram moutabadal f zawaj</t>
  </si>
  <si>
    <t>كانطالب ب حتيرام موتابادال ف زواج</t>
  </si>
  <si>
    <t>With you it's always a one-way street</t>
  </si>
  <si>
    <t>Ma3ak nta dima hir wahid l itijah</t>
  </si>
  <si>
    <t>معاك نتا ديما هير واحد ل إتّيجاه</t>
  </si>
  <si>
    <t>you get on my nerves and I realize I'll be way better away from you</t>
  </si>
  <si>
    <t>3ssbtini o la7adt anani ankon hasan b3ida 3lik</t>
  </si>
  <si>
    <t>عصّبتيني أُ لاحضت أناني أنكون حسن بعيدا عليك</t>
  </si>
  <si>
    <t>how long have you been feeling like this?</t>
  </si>
  <si>
    <t>Sh7al hada o nta kat7ass haka?</t>
  </si>
  <si>
    <t>شحال هادا أُنتا كاتحاس هاكّا؟</t>
  </si>
  <si>
    <t>Why do I get the impression this is the first time you've mentioned anything going wrong between us?</t>
  </si>
  <si>
    <t>3lach kan7ass blli hadi awal marra li katgouli fiha shi haja wa9a baynana?</t>
  </si>
  <si>
    <t>علاش كانحسّ بلّي هادي أوال مرا لي كاتڭولي فيها شي حاجة واقعا بيناتنا؟</t>
  </si>
  <si>
    <t>I'm like Louis in the children of Heaven</t>
  </si>
  <si>
    <t>Ana bhal Louis f atfal ljanna</t>
  </si>
  <si>
    <t>أنا بحال لويس ف أطفال لجانّا</t>
  </si>
  <si>
    <t>Marhaba</t>
  </si>
  <si>
    <t>Labas?</t>
  </si>
  <si>
    <t>لاباس؟</t>
  </si>
  <si>
    <t>Shukran</t>
  </si>
  <si>
    <t>Afak</t>
  </si>
  <si>
    <t>Samh li</t>
  </si>
  <si>
    <t>سمح لي</t>
  </si>
  <si>
    <t>Do you speak English?</t>
  </si>
  <si>
    <t>Wash kat3raf t7adr blingliziya?</t>
  </si>
  <si>
    <t>واش كاتعرف تهدر بالإنجليزية؟</t>
  </si>
  <si>
    <t>Where is the bathroom?</t>
  </si>
  <si>
    <t>Fin l'hammam?</t>
  </si>
  <si>
    <t>فين الحمام؟</t>
  </si>
  <si>
    <t>How much is this?</t>
  </si>
  <si>
    <t>Bshhal hadi?</t>
  </si>
  <si>
    <t>بشحال هادي؟</t>
  </si>
  <si>
    <t>Naam</t>
  </si>
  <si>
    <t>La</t>
  </si>
  <si>
    <t>I don't have</t>
  </si>
  <si>
    <t>Ma'ndish</t>
  </si>
  <si>
    <t>معنديش</t>
  </si>
  <si>
    <t>Yemken</t>
  </si>
  <si>
    <t>يمكن</t>
  </si>
  <si>
    <t>Call me</t>
  </si>
  <si>
    <t>3ayet liya</t>
  </si>
  <si>
    <t>عيط ليا</t>
  </si>
  <si>
    <t>Ma fhemtsh</t>
  </si>
  <si>
    <t>I want to go to...</t>
  </si>
  <si>
    <t>Bghit nmshi l...</t>
  </si>
  <si>
    <t>بغيت نمشي ل...</t>
  </si>
  <si>
    <t>Jouj</t>
  </si>
  <si>
    <t>Tlata</t>
  </si>
  <si>
    <t>ثلاّثة</t>
  </si>
  <si>
    <t>Lyum</t>
  </si>
  <si>
    <t>Tomorrow</t>
  </si>
  <si>
    <t>Ghdda</t>
  </si>
  <si>
    <t>Lbareh</t>
  </si>
  <si>
    <t>Good evening!</t>
  </si>
  <si>
    <t>masa2 lkhayr!</t>
  </si>
  <si>
    <t>ماساء لخاير!</t>
  </si>
  <si>
    <t>What do you have on the pressure?</t>
  </si>
  <si>
    <t>ach 3andak 3la DaghT?</t>
  </si>
  <si>
    <t>أش عانداك علا ضاغط?</t>
  </si>
  <si>
    <t>On the pressure?</t>
  </si>
  <si>
    <t>3la DaghT?</t>
  </si>
  <si>
    <t>علا ضاغط?</t>
  </si>
  <si>
    <t>i don't follow.</t>
  </si>
  <si>
    <t>mafhamtch?</t>
  </si>
  <si>
    <t>مافهامتش?</t>
  </si>
  <si>
    <t>I am pretty stressed out with work at the moment.</t>
  </si>
  <si>
    <t>ana matwatar bzaf flkhadma bzaf fhad lwa9t</t>
  </si>
  <si>
    <t>أنا ماتواتار بزاف فلخادما بزاف فهاد لواقت</t>
  </si>
  <si>
    <t>I am pretty stressed out right now</t>
  </si>
  <si>
    <t>ana mstressi chwia daba</t>
  </si>
  <si>
    <t>أنا مسترسّي شويا دابا</t>
  </si>
  <si>
    <t>is that what you mean?</t>
  </si>
  <si>
    <t>wach hadchi likat3ni?</t>
  </si>
  <si>
    <t>واش هادشي ليكاتعني?</t>
  </si>
  <si>
    <t>No, I just wanted to ask what beers do you have</t>
  </si>
  <si>
    <t>la bghit ghir nsawal 3la anwa3 lbira li3ndak</t>
  </si>
  <si>
    <t>لا بغيت غير نساوال علا أنواع لبيرا ليعنداك</t>
  </si>
  <si>
    <t>If you have wine, I'll be fine, too.</t>
  </si>
  <si>
    <t>ila kan 3ndak chrab ghadi nkon bikhir</t>
  </si>
  <si>
    <t>إلا كان عنداك شراب غادي نكون بيخير</t>
  </si>
  <si>
    <t>oh!</t>
  </si>
  <si>
    <t>أُه!</t>
  </si>
  <si>
    <t>sorry!</t>
  </si>
  <si>
    <t>sma7li!</t>
  </si>
  <si>
    <t>سماحلي!</t>
  </si>
  <si>
    <t>It's quite bitter but very refreshing</t>
  </si>
  <si>
    <t>hiya mora chwia walakin mon3icha</t>
  </si>
  <si>
    <t>هييا مورا شويا والاكين مونعيشا</t>
  </si>
  <si>
    <t>I wouldn't recommend the meat</t>
  </si>
  <si>
    <t>makanwSSich bll7em</t>
  </si>
  <si>
    <t>ماكانوصّيش بلّحم</t>
  </si>
  <si>
    <t>after all, we are beer specialists</t>
  </si>
  <si>
    <t>al jiti tchof, 7na matkhasin f lbira</t>
  </si>
  <si>
    <t>أل جيتي تشوف, حنا ماتخاسين ف لبيرا</t>
  </si>
  <si>
    <t>Perfect!</t>
  </si>
  <si>
    <t>momtaz!</t>
  </si>
  <si>
    <t>مومتاز!</t>
  </si>
  <si>
    <t>I like a lot of bitter beer</t>
  </si>
  <si>
    <t>ana kanbghi bzaf t lbirra lmorra</t>
  </si>
  <si>
    <t>أنا كانبغي بزاف ت لبيرّا لمورّا</t>
  </si>
  <si>
    <t>Could you pour me a pint?</t>
  </si>
  <si>
    <t>ta9dar tkob liya chi kwiyyes?</t>
  </si>
  <si>
    <t>تاقدار تكوب لييا شي كوييّس?</t>
  </si>
  <si>
    <t>Then I'll have a whole liter!</t>
  </si>
  <si>
    <t>o mn ba3d ghdi nakhod iTro kaml!</t>
  </si>
  <si>
    <t>أُ من باعد غدي ناخود إطرو كامل!</t>
  </si>
  <si>
    <t>What do you have to eat?</t>
  </si>
  <si>
    <t>achno 3andk lmakla?</t>
  </si>
  <si>
    <t>أشنو عاندك لماكلا?</t>
  </si>
  <si>
    <t>chno 3ndk flmakla?</t>
  </si>
  <si>
    <t>شنو عندك فلماكلا?</t>
  </si>
  <si>
    <t>chno kayn 3ndk f lmakla?</t>
  </si>
  <si>
    <t>شنو كاين عندك ف لماكلا?</t>
  </si>
  <si>
    <t>achno kayn 3andak fl9ss?</t>
  </si>
  <si>
    <t>أشنو كاين عانداك فلقسّ?</t>
  </si>
  <si>
    <t>remember, drink responsibly.</t>
  </si>
  <si>
    <t>redd lbal, chreb o 9yyes</t>
  </si>
  <si>
    <t>ردّ لبال, شرب أُ قيّس</t>
  </si>
  <si>
    <t>let's eat</t>
  </si>
  <si>
    <t>yalah naklo</t>
  </si>
  <si>
    <t>يالاه ناكلو</t>
  </si>
  <si>
    <t>yalah n9ssiw</t>
  </si>
  <si>
    <t>يالاه نقسّيو</t>
  </si>
  <si>
    <t>yalah nDrbo chi 9siyyes</t>
  </si>
  <si>
    <t>يالاه نضربو شي قسييّس</t>
  </si>
  <si>
    <t>let me see</t>
  </si>
  <si>
    <t>khlini nchof</t>
  </si>
  <si>
    <t>خليني نشوف</t>
  </si>
  <si>
    <t>bllati nchof</t>
  </si>
  <si>
    <t>بلّاتي نشوف</t>
  </si>
  <si>
    <t>Sbr nchof</t>
  </si>
  <si>
    <t>صبر نشوف</t>
  </si>
  <si>
    <t>you're going to need something hearty to soak up all that beer</t>
  </si>
  <si>
    <t>ghadi ta7taj chi 7aja chahiya bach tmaS ga3 dik lbira</t>
  </si>
  <si>
    <t>غادي تاحتاج شي حاجا شاهييا باش تماص ڭاع ديك لبيرا</t>
  </si>
  <si>
    <t>it looks like you going to be having quite a big night tonight</t>
  </si>
  <si>
    <t>bayna ghadi dwwez lila zwina had llila</t>
  </si>
  <si>
    <t>باينا غادي دوّز ليلا زوينا هاد الليلا</t>
  </si>
  <si>
    <t>I'm still in charge!</t>
  </si>
  <si>
    <t>ba9i ana lmas2oul</t>
  </si>
  <si>
    <t>باقي أنا لماسأول</t>
  </si>
  <si>
    <t>I'll take a cab.</t>
  </si>
  <si>
    <t>ghadi nakhod taxi.</t>
  </si>
  <si>
    <t>غادي ناخود تاشي.</t>
  </si>
  <si>
    <t>how about our burger platter</t>
  </si>
  <si>
    <t>o mal l burger</t>
  </si>
  <si>
    <t>أُ مال ل بورڭر</t>
  </si>
  <si>
    <t>sound good?</t>
  </si>
  <si>
    <t>kayban mzyan</t>
  </si>
  <si>
    <t>كايبان مزيان</t>
  </si>
  <si>
    <t>blaan!</t>
  </si>
  <si>
    <t>بلان!</t>
  </si>
  <si>
    <t>a selection of 30 miniature burgers</t>
  </si>
  <si>
    <t>majmo3a syal 30 burger Sghar</t>
  </si>
  <si>
    <t>ماجموعا سيال 30 بورڭر صغار</t>
  </si>
  <si>
    <t>each with its own unique cheese and meat combo</t>
  </si>
  <si>
    <t>kol wa7da 3ndha chwia mn frmaj o l7am</t>
  </si>
  <si>
    <t>كول واحدا عندها شويا من فرماج أُ لحام</t>
  </si>
  <si>
    <t>But I don't like onions</t>
  </si>
  <si>
    <t>walakin ana makanbghich lbaSla</t>
  </si>
  <si>
    <t>والاكين أنا ماكانبغيش لباصلا</t>
  </si>
  <si>
    <t>walakin ana ma3ndich m3a lbaSla</t>
  </si>
  <si>
    <t>والاكين أنا ماعنديش معا لباصلا</t>
  </si>
  <si>
    <t>Do you have a burger without onions?</t>
  </si>
  <si>
    <t>wach 3andak burger bla bSla?</t>
  </si>
  <si>
    <t>واش عانداك بورڭر بلا بصلا?</t>
  </si>
  <si>
    <t>I don't want to be difficult</t>
  </si>
  <si>
    <t>mabghitch nkon S3ib</t>
  </si>
  <si>
    <t>مابغيتش نكون صعيب</t>
  </si>
  <si>
    <t>we can do all of our burgers without onions if you prefer</t>
  </si>
  <si>
    <t>n9adro ndiro lik ga3 l burger bla basla ila bghiti</t>
  </si>
  <si>
    <t>نقادرو نديرو ليك ڭاع ل بورڭر بلا باسلا إلا بغيتي</t>
  </si>
  <si>
    <t>30 burgers, hold the onions.</t>
  </si>
  <si>
    <t>30 burger bla bSla</t>
  </si>
  <si>
    <t>30 بورڭر بلا بصلا</t>
  </si>
  <si>
    <t>I'll put the order through</t>
  </si>
  <si>
    <t>ghadi nwajad Talab</t>
  </si>
  <si>
    <t>غادي نواجاد طالاب</t>
  </si>
  <si>
    <t>as we say, the customer is always right.</t>
  </si>
  <si>
    <t>kif kan9olo zabon dima 3ando l7a9</t>
  </si>
  <si>
    <t>كيف كانقولو زابون ديما عاندو لحاق</t>
  </si>
  <si>
    <t>kimma kangolo lklyan dima 3ando l7a9</t>
  </si>
  <si>
    <t>كيمّا كانڭولو لكليان ديما عاندو لحاق</t>
  </si>
  <si>
    <t>Put on a lot of cheese, especially!</t>
  </si>
  <si>
    <t>diri bzaf dyal lfarmaj, blkhoSous!</t>
  </si>
  <si>
    <t>ديري بزاف ديال لفارماج, بلخوصوس!</t>
  </si>
  <si>
    <t>I'm gonna need a lot of water to pass all those potatoes</t>
  </si>
  <si>
    <t>ghadi na7taj bzaf dyal lma bach ndawz ga3 had bTaTa</t>
  </si>
  <si>
    <t>غادي ناحتاج بزاف ديال لما باش نداوز ڭاع هاد بطاطا</t>
  </si>
  <si>
    <t>Bring me another one soon.</t>
  </si>
  <si>
    <t>jib liya wa7d akhor mn daba chwia</t>
  </si>
  <si>
    <t>جيب لييا واحد أخور من دابا شويا</t>
  </si>
  <si>
    <t>Good morning, Doctor</t>
  </si>
  <si>
    <t>sbah lkhir doctor</t>
  </si>
  <si>
    <t>سباه لخير دوكتور</t>
  </si>
  <si>
    <t>Now, tell me.</t>
  </si>
  <si>
    <t>daba goliya</t>
  </si>
  <si>
    <t>دابا ڭولييا</t>
  </si>
  <si>
    <t>What's been going on?</t>
  </si>
  <si>
    <t>ach kan wa9a3?</t>
  </si>
  <si>
    <t>أش كان واقاع?</t>
  </si>
  <si>
    <t>I need to talk to you</t>
  </si>
  <si>
    <t>khasni na8Dar m3ak</t>
  </si>
  <si>
    <t>خاسني ناهضار معاك</t>
  </si>
  <si>
    <t>Can I sit in this chair?</t>
  </si>
  <si>
    <t>wach na9dar nglas 3la had lkorsi?</t>
  </si>
  <si>
    <t>واش ناقدار نڭلاس علا هاد لكورسي?</t>
  </si>
  <si>
    <t>No, that's mine.</t>
  </si>
  <si>
    <t>la, hadak dyali</t>
  </si>
  <si>
    <t>لا, هاداك ديالي</t>
  </si>
  <si>
    <t>But you can sit anywhere else.</t>
  </si>
  <si>
    <t>walakin t9dr tglas f ay blasa khra</t>
  </si>
  <si>
    <t>والاكين تقدر تڭلاس ف أي بلاسا خرا</t>
  </si>
  <si>
    <t>Or if you prefer, you can lie down there</t>
  </si>
  <si>
    <t>wla ila bghiti, ta9dar takka l8i8</t>
  </si>
  <si>
    <t>ولا إلا بغيتي, تاقدار تاكّا لهيه</t>
  </si>
  <si>
    <t>Some people prefer that.</t>
  </si>
  <si>
    <t>chi nas kaybghiw hakkak</t>
  </si>
  <si>
    <t>شي ناس كايبغيو هاكّاك</t>
  </si>
  <si>
    <t>Can I lie on this couch?</t>
  </si>
  <si>
    <t>wach na9dar ntakka 3la had 2arika?</t>
  </si>
  <si>
    <t>واش ناقدار نتاكّا علا هاد أريكا?</t>
  </si>
  <si>
    <t>wach n9dar ntjbbed fhad l fauteuil?</t>
  </si>
  <si>
    <t>واش نقدار نتجبّد فهاد ل فوتويل?</t>
  </si>
  <si>
    <t>I don't want to bother you</t>
  </si>
  <si>
    <t>mabghitch nSadd3ak</t>
  </si>
  <si>
    <t>مابغيتش نصادّعاك</t>
  </si>
  <si>
    <t>he looks clean and new</t>
  </si>
  <si>
    <t>kayban liya n9i o jdid</t>
  </si>
  <si>
    <t>كايبان لييا نقي أُ جديد</t>
  </si>
  <si>
    <t>I'm kind of worried about sitting on it</t>
  </si>
  <si>
    <t>ana khayf chwiya mn lglis 3lih</t>
  </si>
  <si>
    <t>أنا خايف شوييا من لڭليس عليه</t>
  </si>
  <si>
    <t>I don't want to ruin it</t>
  </si>
  <si>
    <t>mabghitch nkhasar8a</t>
  </si>
  <si>
    <t>مابغيتش نخاسارها</t>
  </si>
  <si>
    <t>I think it would make me feel better to stand</t>
  </si>
  <si>
    <t>kandan law9of ghadi ykon 7san lia</t>
  </si>
  <si>
    <t>كاندان لاوقوف غادي يكون حسان ليا</t>
  </si>
  <si>
    <t>Would you like me to take my shoes off?</t>
  </si>
  <si>
    <t>wach bghiti mni n7ayad sbaT?</t>
  </si>
  <si>
    <t>واش بغيتي مني نحاياد سباط?</t>
  </si>
  <si>
    <t>Notice how bad my feet feel</t>
  </si>
  <si>
    <t>chof ch7al mkarfSin rajliya</t>
  </si>
  <si>
    <t>شوف شحال مكارفصين راجلييا</t>
  </si>
  <si>
    <t>I don't know too much what would be best</t>
  </si>
  <si>
    <t>ana ma3rafch mzyan achno lli 7san</t>
  </si>
  <si>
    <t>أنا ماعرافش مزيان أشنو اللي حسان</t>
  </si>
  <si>
    <t>Calm down, please.</t>
  </si>
  <si>
    <t>t8addan, 3afak</t>
  </si>
  <si>
    <t>تهادّان, عافاك</t>
  </si>
  <si>
    <t>Please don't worry</t>
  </si>
  <si>
    <t>3afak matkhafch</t>
  </si>
  <si>
    <t>عافاك ماتخافش</t>
  </si>
  <si>
    <t>Aren't you hot?</t>
  </si>
  <si>
    <t>wach mafikch skhoniya?</t>
  </si>
  <si>
    <t>واش مافيكش سخونييا?</t>
  </si>
  <si>
    <t>Please just make yourself at home</t>
  </si>
  <si>
    <t>3afak dir rassk b7ala fdarkom</t>
  </si>
  <si>
    <t>عافاك دير راسّك بحالا فداركوم</t>
  </si>
  <si>
    <t>But there's no need to panic</t>
  </si>
  <si>
    <t>walakin makayn lach tkhaf</t>
  </si>
  <si>
    <t>والاكين ماكاين لاش تخاف</t>
  </si>
  <si>
    <t>So, if you're feeling comfortable, what's been going on?</t>
  </si>
  <si>
    <t>ewa, ila kanti mrta7, ach kat3awd?</t>
  </si>
  <si>
    <t>إوا, إلا كانتي مرتاح, أش كاتعاود?</t>
  </si>
  <si>
    <t>kandan bila jirani kays7ab lihom bghit n2adihom</t>
  </si>
  <si>
    <t>dakchi 3lach kankhaf nb9a fdar o kan7awl mandirch Sda3</t>
  </si>
  <si>
    <t>walakin hadchi kay3ayi</t>
  </si>
  <si>
    <t>mab9it mrta7 ftta 9nt,rak 3arf</t>
  </si>
  <si>
    <t>ana mat2akad bila kayna chi blasa katnasbak</t>
  </si>
  <si>
    <t>wach mn dima kat7ess b7al haka?</t>
  </si>
  <si>
    <t>واش من ديما كاتحسّ بحال هاكا?</t>
  </si>
  <si>
    <t>walakin kandan bila kaytzad 3liya So3oba m3a lwa9t</t>
  </si>
  <si>
    <t>o zid 3liha jirani jjdad fchkel</t>
  </si>
  <si>
    <t>dima kaychofo fiya choufa ghariba</t>
  </si>
  <si>
    <t>kanDnn kaysam3o ldakchi likandir mnora l7yoTa</t>
  </si>
  <si>
    <t>wach 7ta nta katsma3 lihom mora l7yoT?</t>
  </si>
  <si>
    <t>واش حتا نتا كاتسماع ليهوم مورا لحيوط?</t>
  </si>
  <si>
    <t>Oh, no, I'd be too afraid if they found out I was listening</t>
  </si>
  <si>
    <t>oh, la, ghadi nkon khayf bzaf ila 3arfo bila kantSannat 3lihom</t>
  </si>
  <si>
    <t>أُه, لا, غادي نكون خايف بزاف إلا عارفو بيلا كانتصانّات عليهوم</t>
  </si>
  <si>
    <t>But I still hear them</t>
  </si>
  <si>
    <t>walakin mazal kansma38om</t>
  </si>
  <si>
    <t>والاكين مازال كانسماعهوم</t>
  </si>
  <si>
    <t>The walls aren't that thick</t>
  </si>
  <si>
    <t>l7yoTa maghlaDch bzaf</t>
  </si>
  <si>
    <t>لحيوطا ماغلاضش بزاف</t>
  </si>
  <si>
    <t>That's why I feel like I'm watching</t>
  </si>
  <si>
    <t>dakchi 3lach kan7as b7ala kantfaraj</t>
  </si>
  <si>
    <t>داكشي علاش كانحاس بحالا كانتفاراج</t>
  </si>
  <si>
    <t>But I don't have the money to move into a house</t>
  </si>
  <si>
    <t>walakin ma3ndich lflous bach nr7al ldar khra</t>
  </si>
  <si>
    <t>والاكين ماعنديش لفلوس باش نرحال لدار خرا</t>
  </si>
  <si>
    <t>Oh, so you live in a flat at the moment?</t>
  </si>
  <si>
    <t>ah, idan nti kat3ichi f parTma flwa9t l7ali?</t>
  </si>
  <si>
    <t>أه, إدان نتي كاتعيشي ف پارطما فلواقت لحالي?</t>
  </si>
  <si>
    <t>Yes, I did, didn't I tell you earlier?</t>
  </si>
  <si>
    <t>ah, wach magalthach lik mn 9bal?</t>
  </si>
  <si>
    <t>أه, واش ماڭالتهاش ليك من قبال?</t>
  </si>
  <si>
    <t>I'm sorry.</t>
  </si>
  <si>
    <t>sm7i lia</t>
  </si>
  <si>
    <t>سمحي ليا</t>
  </si>
  <si>
    <t>Maybe you did</t>
  </si>
  <si>
    <t>ya9dar galtiha</t>
  </si>
  <si>
    <t>ياقدار ڭالتيها</t>
  </si>
  <si>
    <t>No worries.</t>
  </si>
  <si>
    <t>hania.</t>
  </si>
  <si>
    <t>هانيا.</t>
  </si>
  <si>
    <t>But you never had problems with the old neighbours then?</t>
  </si>
  <si>
    <t>walakin ma3mmr kano 3ndk machakil m3a jiran l9dam diksa3?</t>
  </si>
  <si>
    <t>والاكين ماعمّر كانو عندك ماشاكيل معا جيران لقدام ديكساع?</t>
  </si>
  <si>
    <t>She was an old person who didn't hear anything and make no noise</t>
  </si>
  <si>
    <t>kant mra charfa masm3at walo o madart 7ta Sda3</t>
  </si>
  <si>
    <t>كانت مرا شارفا ماسمعات والو أُ مادارت حتا صداع</t>
  </si>
  <si>
    <t>I didn't feel at home</t>
  </si>
  <si>
    <t>ma7asitch brasi fddar</t>
  </si>
  <si>
    <t>ماحاسيتش براسي فدّار</t>
  </si>
  <si>
    <t>Well, that will give us a good basis to start with next time</t>
  </si>
  <si>
    <t>wakha, hadi ghadi t3tina asas zwin bach nbdaw bih lmrra jaya</t>
  </si>
  <si>
    <t>واخا, هادي غادي تعتينا أساس زوين باش نبداو بيه لمرّا جايا</t>
  </si>
  <si>
    <t>I'm afraid our time is up for today</t>
  </si>
  <si>
    <t>lil2asaf w9tna lyouma t9ada</t>
  </si>
  <si>
    <t>ليلأساف وقتنا ليوما تقادا</t>
  </si>
  <si>
    <t>I've got lots of other patients to see</t>
  </si>
  <si>
    <t>3andi bzaf dyal lmarda akhrin bach nchofhom</t>
  </si>
  <si>
    <t>عاندي بزاف ديال لماردا أخرين باش نشوفهوم</t>
  </si>
  <si>
    <t>And a date this lunchtime!</t>
  </si>
  <si>
    <t>o li9a2 gharami f wa9t lghda!</t>
  </si>
  <si>
    <t>أُ ليقاء غارامي ف واقت لغدا!</t>
  </si>
  <si>
    <t>Please sign out at reception when you leave</t>
  </si>
  <si>
    <t>3afak sajal lkhoroj dyalk fl isti9bal mnin tkhraj</t>
  </si>
  <si>
    <t>عافاك ساجال لخوروج ديالك فل إستيقبال منين تخراج</t>
  </si>
  <si>
    <t>wakha, chokran 3la lw9t li 3Titini, sma7 liya 7it Sda3tak</t>
  </si>
  <si>
    <t>واخا, شوكران علا لوقت لي عطيتيني, سماح لييا حيت صداعتاك</t>
  </si>
  <si>
    <t>sma7 liya sma7 liya dima ...</t>
  </si>
  <si>
    <t>sma7 liya</t>
  </si>
  <si>
    <t>Sbah lkhir lala</t>
  </si>
  <si>
    <t>kanl9a So3oba bach nfham l2i7timalat</t>
  </si>
  <si>
    <t>l2amr m3a9ad 3andi, rah dart ghir l2adab tal daba safi</t>
  </si>
  <si>
    <t>3awnni 3afak</t>
  </si>
  <si>
    <t>awdi, ana ostad dyal nglizia, dakchi 3lach mamt2akadch wach ghan3awnk mzyan...</t>
  </si>
  <si>
    <t>wach makatbghich ssi Jameson?</t>
  </si>
  <si>
    <t>واش ماكاتبغيش السي جامسون?</t>
  </si>
  <si>
    <t>hoa l ostad dyal riyadiyat dyalk, yak?</t>
  </si>
  <si>
    <t>هوا ل أُستاد ديال رييادييات ديالك, ياك?</t>
  </si>
  <si>
    <t>n9dr nf8m</t>
  </si>
  <si>
    <t>kayban chi mrat kaykhla3 chwiya</t>
  </si>
  <si>
    <t>bda b annak tgoliha chno katfham</t>
  </si>
  <si>
    <t>frasi nta ostad tl anglais</t>
  </si>
  <si>
    <t>walakin rah ssi Hossam kayTll3ha 3lina</t>
  </si>
  <si>
    <t>l7aja lwa7ida li kaydir hia kayTyye7 mnna, wi fkkrna annaho mot99af 3lina</t>
  </si>
  <si>
    <t>man9drch nb9a Sabr</t>
  </si>
  <si>
    <t>rah ana machi bo7di</t>
  </si>
  <si>
    <t>zid 3liha, kayb9a itbssel 3la S7abati</t>
  </si>
  <si>
    <t>Oh 7biba</t>
  </si>
  <si>
    <t>yamkan khasna nglso n8Dro 3la hadchi fwahd lw9t</t>
  </si>
  <si>
    <t>wach twaSlti m3a chi 7ad 3la hadchi?</t>
  </si>
  <si>
    <t>واش تواصلتي معا شي حاد علا هادشي?</t>
  </si>
  <si>
    <t>kaykon lmostachar dyal madrasa kol tlat</t>
  </si>
  <si>
    <t>hada howa</t>
  </si>
  <si>
    <t>hadchi li kayn</t>
  </si>
  <si>
    <t>rah kaykhaTTo kamlin bach matkhraj 7ta ma3loma</t>
  </si>
  <si>
    <t>ghir l8Dra m3ak kat3aradni lkhaTar kbir</t>
  </si>
  <si>
    <t>ghir l8Dra m3ak t9dr tchri8a lia</t>
  </si>
  <si>
    <t>makanch frasi ga3 anna hadchi b8ad l7idda</t>
  </si>
  <si>
    <t>matkhafich, ghadi ndiro chi 7aja 3la had l7sab</t>
  </si>
  <si>
    <t>o 3mmrk tkhaf tdwi 3liha</t>
  </si>
  <si>
    <t>mnin o hadchi kayw9a3</t>
  </si>
  <si>
    <t>mnimta o hadchi kayw9a3</t>
  </si>
  <si>
    <t>ch7al tlw9t o hadchi kayw9a3</t>
  </si>
  <si>
    <t>bda kayw9a3 mnin glna lih bila ddrs dyalo kaymchi bzrba</t>
  </si>
  <si>
    <t>3ndo bzaf mn 7ob nafs o makaybghi ta mo3araDa</t>
  </si>
  <si>
    <t>7it howa Sa7b 3oDw lmajlis, rah kaynta9am</t>
  </si>
  <si>
    <t>walakin daba mnin 3raf l9owa dyalo, rah tab3 s7abati 7it homa bnat</t>
  </si>
  <si>
    <t>o daba kaykar8oni 7it kays7ab lihom hada lghalaT dyali</t>
  </si>
  <si>
    <t>hadchi bSS7 kayban jiddi</t>
  </si>
  <si>
    <t>ghadi ykhasni ndir ijtima3 bach na9cho hadchi</t>
  </si>
  <si>
    <t>hadchi khaso it7ell bzarba</t>
  </si>
  <si>
    <t>ghadi n8Dr m3a ra2is o nchof ach n9addo ndiro bach n7e99o</t>
  </si>
  <si>
    <t>ghadi n3lmk</t>
  </si>
  <si>
    <t>daba n3lmk</t>
  </si>
  <si>
    <t>daba nredd 3lik lkhbar</t>
  </si>
  <si>
    <t>o matkhafch, ghadi ndir dakchi bzarba</t>
  </si>
  <si>
    <t>chokran bzaf!</t>
  </si>
  <si>
    <t>kantmana itjyyef fl7abs 7yato kamlha</t>
  </si>
  <si>
    <t>ghadi yakloh l firan</t>
  </si>
  <si>
    <t>iwa a Douaa, kidayra lyouma</t>
  </si>
  <si>
    <t>hakka o hakka, walakin 7san bzaf mn lbar7, chokran</t>
  </si>
  <si>
    <t>kidayrin a7fadk zwinin?</t>
  </si>
  <si>
    <t>كيدايرين أحفادك زوينين?</t>
  </si>
  <si>
    <t>tlata daba wla ghlaT fl7sab!</t>
  </si>
  <si>
    <t>ah mazyan</t>
  </si>
  <si>
    <t>ghir had 2alam Sghira</t>
  </si>
  <si>
    <t>makatkhalich l7ayat sa8la</t>
  </si>
  <si>
    <t>7fadi labas 3lihom</t>
  </si>
  <si>
    <t>akhir w7da fihom, bnt Chihab</t>
  </si>
  <si>
    <t>yallah bdat katmecha</t>
  </si>
  <si>
    <t>ka walidin, makhssch ikono 3ndk wlad mofDDalin</t>
  </si>
  <si>
    <t>walakin Jmiaa kant bant ghzala</t>
  </si>
  <si>
    <t>kangoul wld8a ghaykon zwin b7al8a</t>
  </si>
  <si>
    <t>wach jabti chi tSawr?</t>
  </si>
  <si>
    <t>واش جابتي شي تصاور?</t>
  </si>
  <si>
    <t>2alam, bla mat8Dr m3aya 3la l2alam</t>
  </si>
  <si>
    <t>bzaz bach kan9dar ntmacha had liyam</t>
  </si>
  <si>
    <t>ah, rani fa8mak</t>
  </si>
  <si>
    <t>bsa7 Marion dima kant lbant sghira dyal kolchi... b7al Oliver dyalk, yak?</t>
  </si>
  <si>
    <t>بساح ماريون ديما كانت لبانت سغيرا ديال كولشي... بحال أُليڤر ديالك, ياك?</t>
  </si>
  <si>
    <t>ma8Azz m3aya tta tSwira daba</t>
  </si>
  <si>
    <t>rak 3arfni m3a technology</t>
  </si>
  <si>
    <t>wladi 3Tawni tablet</t>
  </si>
  <si>
    <t>walakin ma3raftch ach ndir biha</t>
  </si>
  <si>
    <t>3la 7sab iltihab lmafasil 3andak, l7osn l7ad, nta hna, kayna?</t>
  </si>
  <si>
    <t>علا حساب إلتيهاب لمافاسيل عانداك, لحوسن لحاد, نتا هنا, كاينا?</t>
  </si>
  <si>
    <t>bano liya lmowadafin kayT8llaw bzaf</t>
  </si>
  <si>
    <t>Yanis 3tani tablet f 3id miladi</t>
  </si>
  <si>
    <t>kankhadmo bach ntfrrj f tlfaza o l9raya t lktoba</t>
  </si>
  <si>
    <t>rah wrrani kifach katkhdm</t>
  </si>
  <si>
    <t>walakin ila w7lt, lbnat lli 8na dima ghay3awnoni</t>
  </si>
  <si>
    <t>homa drayfin bzaf</t>
  </si>
  <si>
    <t>ah, idan ghadi tkon nta dki 3liya</t>
  </si>
  <si>
    <t>ghaliban kaywariwni wladi kifach nch3lo o naktab emails, walakin...</t>
  </si>
  <si>
    <t>m3a dmaghi ssghir, hadchi S3ib bzaf</t>
  </si>
  <si>
    <t>chabab kayzrbo!</t>
  </si>
  <si>
    <t>kolchi khaso ymchi bzarba bnasba lihom</t>
  </si>
  <si>
    <t>Loubna dwzat zbbala tlw9t katwrrini kifach nch3lo o ncharjih o nSift les emails</t>
  </si>
  <si>
    <t>tfraj f youtube o tsma3 radio, hado sa8lin</t>
  </si>
  <si>
    <t>khasni nl9a chi 7ad ycharji liya lktoba</t>
  </si>
  <si>
    <t>khssk nit tjrrbo</t>
  </si>
  <si>
    <t>ta9dar t9ad lkhaT bach ys8al 3la 3inina charfin n9raw</t>
  </si>
  <si>
    <t>ewa mlli gltiha, ghadi ntsana</t>
  </si>
  <si>
    <t>wakha hakkak, ra7na kan3icho f aw9at msaTya, msaTya!</t>
  </si>
  <si>
    <t>hadchi kaml kaydoz bzarba</t>
  </si>
  <si>
    <t>wa akhiran</t>
  </si>
  <si>
    <t>sa7bti l3ziza Ihssan, ghadi ikhssni nkhllik</t>
  </si>
  <si>
    <t>3ndi maw3id m3a 2akhisa2i dyal romatizm m3a 3:00!</t>
  </si>
  <si>
    <t>binmma toSl t temma</t>
  </si>
  <si>
    <t>kimma dima</t>
  </si>
  <si>
    <t>sa3a sa3ida mli chaftak"</t>
  </si>
  <si>
    <t>7aDD sa3id o aji o zorni mra khra</t>
  </si>
  <si>
    <t>lmrra jjaya jib m3ak dok tsawar</t>
  </si>
  <si>
    <t>oh, o ala gdditi t8ezz m3ak chwiya dyal l3nab</t>
  </si>
  <si>
    <t>chi bwaTa dyal choklat b l7lib, o ljara2id dyal nhar l7ad</t>
  </si>
  <si>
    <t>l7ob lal3a2ila</t>
  </si>
  <si>
    <t>kammal, golia chno wa9a3</t>
  </si>
  <si>
    <t>malk katban 7azin bzzaf?</t>
  </si>
  <si>
    <t>مالك كاتبان حازين بزّاف?</t>
  </si>
  <si>
    <t>kant bikhir 7ta chaft ras dyalk</t>
  </si>
  <si>
    <t>ma9dartch nt7mmlak ktr mn hadchi</t>
  </si>
  <si>
    <t>matwa9a3tch hadchi</t>
  </si>
  <si>
    <t>chno drt?</t>
  </si>
  <si>
    <t>شنو درت?</t>
  </si>
  <si>
    <t>chafti kifach kadwi m3aya</t>
  </si>
  <si>
    <t>mab9itich 9adar tgol 7tta layla sa3ida</t>
  </si>
  <si>
    <t>kanTalb b 7tiram motabadal f zwaj</t>
  </si>
  <si>
    <t>m3ak nta dima hir wa7d l ittija8</t>
  </si>
  <si>
    <t>3SSbtini o la7Dt anani ankon 7sn b3ida 3lik</t>
  </si>
  <si>
    <t>ch7al hada onta kat7as hakka?</t>
  </si>
  <si>
    <t>شحال هادا أُنتا كاتحاس هاكّا?</t>
  </si>
  <si>
    <t>3lach kan7ss blli hadi awal mra li katgoli fiha chi haja wa93a binatna?</t>
  </si>
  <si>
    <t>علاش كانحسّ بلّي هادي أوال مرا لي كاتڭولي فيها شي حاجة واقعا بيناتنا?</t>
  </si>
  <si>
    <t>ana b7al Louis f aTfal ljanna</t>
  </si>
  <si>
    <t>when he tells Chouaib he needs a change of air</t>
  </si>
  <si>
    <t>mli kaygol l Chouaib bli rah rah bgha ibddel ljow</t>
  </si>
  <si>
    <t>ملي كايڭول ل شوايب بلي راه راه بغا إبدّل لجوو</t>
  </si>
  <si>
    <t>You remember that beautiful scene</t>
  </si>
  <si>
    <t>39lti 3la dik ll9Ta rra2i3a</t>
  </si>
  <si>
    <t>عقلتي علا ديك اللقطا الراإعا</t>
  </si>
  <si>
    <t>we saw it in French</t>
  </si>
  <si>
    <t>chfnah blfrancia</t>
  </si>
  <si>
    <t>شفناه بلفرانكيا</t>
  </si>
  <si>
    <t>I have no idea what you're talking about</t>
  </si>
  <si>
    <t>ma3ndich 7ta fikra 3la likadwi 3lih</t>
  </si>
  <si>
    <t>ماعنديش حتا فيكرا علا ليكادوي عليه</t>
  </si>
  <si>
    <t>ma3ndi ta fikra 3layach kaddwi</t>
  </si>
  <si>
    <t>ماعندي تا فيكرا علاياش كادّوي</t>
  </si>
  <si>
    <t>But, I'm going to go with you on this one</t>
  </si>
  <si>
    <t>walakin ghadi nmchi m3ak fhadi</t>
  </si>
  <si>
    <t>والاكين غادي نمشي معاك فهادي</t>
  </si>
  <si>
    <t>I'll assume that it has just slipped my mind</t>
  </si>
  <si>
    <t>ghadi nftarD anaho yalah ta7t 3lia lfikra</t>
  </si>
  <si>
    <t>غادي نفتارض أناهو يالاه تاحت عليا لفيكرا</t>
  </si>
  <si>
    <t>so, yeah, sure, i remember your stupid film</t>
  </si>
  <si>
    <t>idan, ah, fi3lan, 39lt 3la lfilm lghabi dyalk</t>
  </si>
  <si>
    <t>إدان, أه, فيعلان, عقلت علا لفيلم لغابي ديالك</t>
  </si>
  <si>
    <t>it probably sucked</t>
  </si>
  <si>
    <t>ghaliban Tl3 3yyan</t>
  </si>
  <si>
    <t>غاليبان طلع عيّان</t>
  </si>
  <si>
    <t>and that's why I can't remember it</t>
  </si>
  <si>
    <t>o hada 8owa ssabab 3lach ma9drtch ntfkkro</t>
  </si>
  <si>
    <t>أُ هادا هووا الساباب علاش ماقدرتش نتفكّرو</t>
  </si>
  <si>
    <t>I never liked French movies anyway</t>
  </si>
  <si>
    <t>aSlan ma3mrhom 3jboni l2aflam lfarancia</t>
  </si>
  <si>
    <t>أصلان ماعمرهوم عجبوني لأفلام لفارانكيا</t>
  </si>
  <si>
    <t>they're so introspective and boring</t>
  </si>
  <si>
    <t>fihom l2istibTan o momillin bzaf</t>
  </si>
  <si>
    <t>فيهوم لإستيبطان أُ موميلّين بزاف</t>
  </si>
  <si>
    <t>bunch of self-centred people</t>
  </si>
  <si>
    <t>majmo3a dyal nnas li 3ajb8om ras8om</t>
  </si>
  <si>
    <t>ماجموعا ديال الناس لي عاجبهوم راسهوم</t>
  </si>
  <si>
    <t>The exact term Atmosphera, not Air, but it's the same</t>
  </si>
  <si>
    <t>lklma s7i7a hia Atmosphera, machi l8awa, walakin b7al b7al</t>
  </si>
  <si>
    <t>لكلما سحيحا هيا أتموسپهرا, ماشي لهاوا, والاكين بحال بحال</t>
  </si>
  <si>
    <t>I asphyxiate on your side</t>
  </si>
  <si>
    <t>ana kantkhna9 fjanbk</t>
  </si>
  <si>
    <t>أنا كانتخناق فجانبك</t>
  </si>
  <si>
    <t>You're primitive, stupid, unable to grow up</t>
  </si>
  <si>
    <t>nta 9dim, oghabi, omkat9darch tkbar</t>
  </si>
  <si>
    <t>نتا قديم, أُغابي, أُمكاتقدارش تكبار</t>
  </si>
  <si>
    <t>At your age, living in a world of Manga and cartoons, pathetic</t>
  </si>
  <si>
    <t>gdd hakka, oba9i kat3ich f3alam tl manga o rosom mota7arika, makat7chmch</t>
  </si>
  <si>
    <t>ڭدّ هاكّا, أُباقي كاتعيش فعالام تل مانڭا أُ روسوم موتاحاريكا, ماكاتحشمش</t>
  </si>
  <si>
    <t>I need intellectual stimulation</t>
  </si>
  <si>
    <t>kan7taj ta7fiz fikri</t>
  </si>
  <si>
    <t>كانحتاج تاحفيز فيكري</t>
  </si>
  <si>
    <t>he needs emotional stimulation</t>
  </si>
  <si>
    <t>kay7taj ta7fiz 3aTifi</t>
  </si>
  <si>
    <t>كايحتاج تاحفيز عاطيفي</t>
  </si>
  <si>
    <t>not to live next to a retarded and pimply-faced geek who thinks only of his video games and its Manga</t>
  </si>
  <si>
    <t>man3ich 7da mokhtalif m8woos makayfker ila f al3ab lvidio olmanga</t>
  </si>
  <si>
    <t>مانعيش حدا موختاليف مهووس ماكايفكر إلا ف ألعاب لڤيديو أُلمانڭا</t>
  </si>
  <si>
    <t>I did a typo</t>
  </si>
  <si>
    <t>dart khata2 matba3i</t>
  </si>
  <si>
    <t>دارت خاتاء ماتباعي</t>
  </si>
  <si>
    <t>At your age living in a world of Manga and cartoons are pathetic</t>
  </si>
  <si>
    <t>f 3amrak ot3ich f 3alam lmanga o rosom lmota7arika amr motir lchafa9a</t>
  </si>
  <si>
    <t>ف عامراك أُتعيش ف عالام لمانڭا أُ روسوم لموتاحاريكا أمر موتير لشافاقا</t>
  </si>
  <si>
    <t>well look at you</t>
  </si>
  <si>
    <t>awddi chof hi rask kidayr</t>
  </si>
  <si>
    <t>أودّي شوف هي راسك كيداير</t>
  </si>
  <si>
    <t>how about you get off your intellectual high-horse and get back to reality for a bit</t>
  </si>
  <si>
    <t>achban lik anaka tatkhala 3la l3awd dyalk lfikri otarja3 l 7a9i9a wahd chwiya</t>
  </si>
  <si>
    <t>أشبان ليك أناكا تاتخالا علا لعاود ديالك لفيكري أُتارجاع ل حاقيقا واهد شوييا</t>
  </si>
  <si>
    <t>it's thanks to my manga business that i can pay for your stupid art classes</t>
  </si>
  <si>
    <t>rah bfadal l2a3mal dyali fmajal lmanga lli imkan lia nkhellS doros dyal alfan lghabya dyalk</t>
  </si>
  <si>
    <t>راه بفادال لأعمال ديالي فماجال لمانڭا اللي إمكان ليا نخلّص دوروس ديال ألفان لغابيا ديالك</t>
  </si>
  <si>
    <t>it's where you go off for days to your art fairs</t>
  </si>
  <si>
    <t>fin katmchi yamat lma3arid dyalk alfania</t>
  </si>
  <si>
    <t>فين كاتمشي يامات لماعاريد ديالك ألفانيا</t>
  </si>
  <si>
    <t>the only people who buy your crappy paintings</t>
  </si>
  <si>
    <t>nnas lwa7idin likaychriw law7at lkhayba dyalk</t>
  </si>
  <si>
    <t>الناس لواحيدين ليكايشريو لاوحات لخايبا ديالك</t>
  </si>
  <si>
    <t>that's because they feel pity for you</t>
  </si>
  <si>
    <t>rah 7it houma kay7nno fik</t>
  </si>
  <si>
    <t>راه حيت هوما كايحنّو فيك</t>
  </si>
  <si>
    <t>just like your mother did when she bought your first portrait</t>
  </si>
  <si>
    <t>b7al kima dart mamak mli chrat awal law7a dyalk</t>
  </si>
  <si>
    <t>بحال كيما دارت ماماك ملي شرات أوال لاوحا ديالك</t>
  </si>
  <si>
    <t>if that's what you can even call it</t>
  </si>
  <si>
    <t>ila kan t9dar tsami8a hakka b3da</t>
  </si>
  <si>
    <t>إلا كان تقدار تساميها هاكّا بعدا</t>
  </si>
  <si>
    <t>it was better than anything you could ever do</t>
  </si>
  <si>
    <t>kan 7sn mn ay 7aja imkan lik dirha</t>
  </si>
  <si>
    <t>كان حسن من أي حاجا إمكان ليك ديرها</t>
  </si>
  <si>
    <t>I need a real man who can take care of his partner</t>
  </si>
  <si>
    <t>ana m7taja l rajl 7a9i9i li imkan lih i3tani bcharik dyalo</t>
  </si>
  <si>
    <t>أنا محتاجا ل راجل حاقيقي لي إمكان ليه إعتاني بشاريك ديالو</t>
  </si>
  <si>
    <t>You're already handicapped by the dimension</t>
  </si>
  <si>
    <t>nta aslan m3wa9 mn had na7ia</t>
  </si>
  <si>
    <t>نتا أسلان معواق من هاد ناحيا</t>
  </si>
  <si>
    <t>And don't add to it</t>
  </si>
  <si>
    <t>obla matzid 3liha</t>
  </si>
  <si>
    <t>أُبلا ماتزيد عليها</t>
  </si>
  <si>
    <t>look who's talking</t>
  </si>
  <si>
    <t>chouf chouf chkon likaydwi"</t>
  </si>
  <si>
    <t>شوف شوف شكون ليكايدوي"</t>
  </si>
  <si>
    <t>you make me sick</t>
  </si>
  <si>
    <t>katmrradni</t>
  </si>
  <si>
    <t>كاتمرّادني</t>
  </si>
  <si>
    <t>I tried to hear you out</t>
  </si>
  <si>
    <t>7awlt nsm3 lik</t>
  </si>
  <si>
    <t>حاولت نسمع ليك</t>
  </si>
  <si>
    <t>but you just came at me</t>
  </si>
  <si>
    <t>walakin nta tla7iti 3lia</t>
  </si>
  <si>
    <t>والاكين نتا تلاحيتي عليا</t>
  </si>
  <si>
    <t>I'm through with you</t>
  </si>
  <si>
    <t>safi salit mnak</t>
  </si>
  <si>
    <t>سافي ساليت مناك</t>
  </si>
  <si>
    <t>enjoy life</t>
  </si>
  <si>
    <t>tmata3 bl7yat</t>
  </si>
  <si>
    <t>تماتاع بلحيات</t>
  </si>
  <si>
    <t>It's Julie!</t>
  </si>
  <si>
    <t>hadi hya Julie!</t>
  </si>
  <si>
    <t>هادي هيا جولي!</t>
  </si>
  <si>
    <t>I was calling you about my birthday</t>
  </si>
  <si>
    <t>knt kan3yat 3lik 3la 7sab l3id milad dyali</t>
  </si>
  <si>
    <t>كنت كانعيات عليك علا حساب لعيد ميلاد ديالي</t>
  </si>
  <si>
    <t>You know, Saturday's my party</t>
  </si>
  <si>
    <t>kima kat3raf, ssbt rah l7fla dyali</t>
  </si>
  <si>
    <t>كيما كاتعراف, السبت راه لحفلا ديالي</t>
  </si>
  <si>
    <t>you offered to help me with the organization</t>
  </si>
  <si>
    <t>rah kni glti lia ghat3awnni ftanDim"</t>
  </si>
  <si>
    <t>راه كني ڭلتي ليا غاتعاونّي فتانضيم"</t>
  </si>
  <si>
    <t>Actually, I'd like that</t>
  </si>
  <si>
    <t>flwa9i3 bghit</t>
  </si>
  <si>
    <t>فلواقيع بغيت</t>
  </si>
  <si>
    <t>sara7a makra8tch</t>
  </si>
  <si>
    <t>ساراحا ماكراهتش</t>
  </si>
  <si>
    <t>It's turning into a hell of a party!</t>
  </si>
  <si>
    <t>ra8a kat7wwel l7afla ja8nnamia</t>
  </si>
  <si>
    <t>راها كاتحوّل لحافلا جاهنّاميا</t>
  </si>
  <si>
    <t>What time do you want me to come over?</t>
  </si>
  <si>
    <t>achman wa9t bghitini nji?</t>
  </si>
  <si>
    <t>أشمان واقت بغيتيني نجي?</t>
  </si>
  <si>
    <t>if we could have a date two hours before, it wouldn't be bad</t>
  </si>
  <si>
    <t>ila kanti 9adar takhad maw3id 9bal sa3tayn, maghadich tkon l9adia khayba</t>
  </si>
  <si>
    <t>إلا كانتي قادار تاخاد ماوعيد قبال ساعتاين, ماغاديش تكون لقاديا خايبا</t>
  </si>
  <si>
    <t>And the drinks, too</t>
  </si>
  <si>
    <t>w lmachrobat 7ta 8oma</t>
  </si>
  <si>
    <t>و لماشروبات حتا هوما</t>
  </si>
  <si>
    <t>Either inside, or in the garden, depends on time</t>
  </si>
  <si>
    <t>ya imma fldakhl, ola fjjrda, 3la 7sab lw9t</t>
  </si>
  <si>
    <t>يا إمّا فلداخل, أُلا فجّردا, علا حساب لوقت</t>
  </si>
  <si>
    <t>It could depend a bit on the weather</t>
  </si>
  <si>
    <t>imkan i3tamad chwia 3la ljaw</t>
  </si>
  <si>
    <t>إمكان إعتاماد شويا علا لجاو</t>
  </si>
  <si>
    <t>Do you know what the forecast is?</t>
  </si>
  <si>
    <t>wach kat3raf chnahya tawa9o3at?</t>
  </si>
  <si>
    <t>واش كاتعراف شناهيا تاواقوعات?</t>
  </si>
  <si>
    <t>Shall I bring those lovely balloons with me?</t>
  </si>
  <si>
    <t>wach khasni njib dok nfakhat zwina m3aya?</t>
  </si>
  <si>
    <t>واش خاسني نجيب دوك نفاخات زوينا معايا?</t>
  </si>
  <si>
    <t>Balloons, yes, why not!</t>
  </si>
  <si>
    <t>nffakhat, ah, 3lach la!</t>
  </si>
  <si>
    <t>نفّاخات, أه, علاش لا!</t>
  </si>
  <si>
    <t>Weather changes every day, it's hard to predict</t>
  </si>
  <si>
    <t>Ta9s kaytghyyer kola n8ar, s3ib tnbbe2 bih</t>
  </si>
  <si>
    <t>طاقس كايتغيّر كولا نهار, سعيب تنبّء بيه</t>
  </si>
  <si>
    <t>People always like that</t>
  </si>
  <si>
    <t>nnas dima kay3jbhom dakchi</t>
  </si>
  <si>
    <t>الناس ديما كايعجبهوم داكشي</t>
  </si>
  <si>
    <t>But I could really use some help wearing it and set it up</t>
  </si>
  <si>
    <t>walakin imkan lia bSa7 nsta3ml chwiya tlmosa3ada f bach nlbbso onSawbo</t>
  </si>
  <si>
    <t>والاكين إمكان ليا بصاح نستاعمل شوييا تلموساعادا ف باش نلبّسو أُنصاوبو</t>
  </si>
  <si>
    <t>Have you been drinking already?</t>
  </si>
  <si>
    <t>wach nta bditi b3da katchrab?</t>
  </si>
  <si>
    <t>واش نتا بديتي بعدا كاتشراب?</t>
  </si>
  <si>
    <t>it would be great</t>
  </si>
  <si>
    <t>ghaykon mbarra3</t>
  </si>
  <si>
    <t>غايكون مبارّاع</t>
  </si>
  <si>
    <t>There are a few sailors coming along</t>
  </si>
  <si>
    <t>kayn chwiya dyal lba7ara kayjiw</t>
  </si>
  <si>
    <t>كاين شوييا ديال لباحارا كايجيو</t>
  </si>
  <si>
    <t>Shall I bring some red or white wine?</t>
  </si>
  <si>
    <t>wach njib chwiya dyal nabid l7mar ola lbyad?</t>
  </si>
  <si>
    <t>واش نجيب شوييا ديال نابيد لحمار أُلا لبياد?</t>
  </si>
  <si>
    <t>Or both?</t>
  </si>
  <si>
    <t>ola bjoj?</t>
  </si>
  <si>
    <t>أُلا بجوج?</t>
  </si>
  <si>
    <t>Both!</t>
  </si>
  <si>
    <t>Bjouj!</t>
  </si>
  <si>
    <t>بجوج!</t>
  </si>
  <si>
    <t>If there are sailors, there's gonna be a wide range of the drinks</t>
  </si>
  <si>
    <t>ila kano lba7ara, fa rah ghadi ikon majmo3a kbira dya chrab</t>
  </si>
  <si>
    <t>إلا كانو لباحارا, فا راه غادي إكون ماجموعا كبيرا ديا شراب</t>
  </si>
  <si>
    <t>Do you think we're gonna need a book?</t>
  </si>
  <si>
    <t>wach kadan ghadi n7tajo ktab?</t>
  </si>
  <si>
    <t>واش كادان غادي نحتاجو كتاب?</t>
  </si>
  <si>
    <t>Beer is a must for sailors</t>
  </si>
  <si>
    <t>lbirra haja daroria bnsba lb77ara</t>
  </si>
  <si>
    <t>لبيرّا حاجة داروريا بنسبا لبحّارا</t>
  </si>
  <si>
    <t>We don't want to upset them and cause a mutiny</t>
  </si>
  <si>
    <t>mabghinach n9al9ohom widiro lina tamarod</t>
  </si>
  <si>
    <t>مابغيناش نقالقوهوم ويديرو لينا تامارود</t>
  </si>
  <si>
    <t>I love sailors...</t>
  </si>
  <si>
    <t>ana kay3jboni lba7ara...</t>
  </si>
  <si>
    <t>أنا كايعجبوني لباحارا...</t>
  </si>
  <si>
    <t>But we're gonna have to blackmail them</t>
  </si>
  <si>
    <t>walakin aykhsna nbtazzohom</t>
  </si>
  <si>
    <t>والاكين أيخسنا نبتازّوهوم</t>
  </si>
  <si>
    <t>Are they in the merchant navy, or are they some pirates?</t>
  </si>
  <si>
    <t>wach houma f lba7ria tijaria ola homa chi 9araSina?</t>
  </si>
  <si>
    <t>واش هوما ف لباحريا تيجاريا أُلا هوما شي قاراصينا?</t>
  </si>
  <si>
    <t>Pirates are the best</t>
  </si>
  <si>
    <t>l9araSina houma lli 7sn</t>
  </si>
  <si>
    <t>لقاراصينا هوما اللي حسن</t>
  </si>
  <si>
    <t>I love sailors too</t>
  </si>
  <si>
    <t>ana kay3ajboni lba7ara 7ta homa</t>
  </si>
  <si>
    <t>أنا كايعاجبوني لباحارا حتا هوما</t>
  </si>
  <si>
    <t>We could blackmail them into singing</t>
  </si>
  <si>
    <t>imkan lina nbtazohom bach ighnniw lina</t>
  </si>
  <si>
    <t>إمكان لينا نبتازوهوم باش إغنّيو لينا</t>
  </si>
  <si>
    <t>There's one I know with lots of tattoos, a patch on his eye, and a parrot on his shoulder</t>
  </si>
  <si>
    <t>kayn wahd kan3arfo fih bzaf dyal lwachom, zif 3la 3inih, obabagh2 3la katfo</t>
  </si>
  <si>
    <t>كاين واهد كانعارفو فيه بزاف ديال لواشوم, زيف علا عينيه, أُباباغء علا كاتفو</t>
  </si>
  <si>
    <t>Maybe he is a pirate?</t>
  </si>
  <si>
    <t>imkan hwa l9orsan?</t>
  </si>
  <si>
    <t>إمكان هوا لقورسان?</t>
  </si>
  <si>
    <t>And we'll dance!</t>
  </si>
  <si>
    <t>o ghadi nchT7o!</t>
  </si>
  <si>
    <t>أُ غادي نشطحو!</t>
  </si>
  <si>
    <t>In fact, it gives me a lot of ideas about decorating and costumes!</t>
  </si>
  <si>
    <t>flwa9i3 kay3tini bzaf dyal l2afkar 3la tazyin o3la l2azya2!</t>
  </si>
  <si>
    <t>فلواقيع كايعتيني بزاف ديال لأفكار علا تازيين أُعلا لأزياء!</t>
  </si>
  <si>
    <t>You'll have to introduce me</t>
  </si>
  <si>
    <t>khasak t9ddmni</t>
  </si>
  <si>
    <t>خاساك تقدّمني</t>
  </si>
  <si>
    <t>He has a parrot?</t>
  </si>
  <si>
    <t>3ndo babbagha2?</t>
  </si>
  <si>
    <t>عندو بابّاغاء?</t>
  </si>
  <si>
    <t>I prefer parrots with tattoos</t>
  </si>
  <si>
    <t>ana knfadal babagha2 b lwachm</t>
  </si>
  <si>
    <t>أنا كنفادال باباغاء ب لواشم</t>
  </si>
  <si>
    <t>Well, I'm gonna take a look at the decorations and call you back before the party</t>
  </si>
  <si>
    <t>wakha ana ghadi nDrb Tlila 3la decor oghadi n3awad ntasl bik 9bal l7fla</t>
  </si>
  <si>
    <t>واخا أنا غادي نضرب طليلا علا دكور أُغادي نعاواد نتاسل بيك قبال لحفلا</t>
  </si>
  <si>
    <t>Thanks for your help!</t>
  </si>
  <si>
    <t>chokran 7it 3awntini!</t>
  </si>
  <si>
    <t>شوكران حيت عاونتيني!</t>
  </si>
  <si>
    <t>And if you ever get any ideas, don't hesitate to call me back</t>
  </si>
  <si>
    <t>o ila 3mmr jawk chi afkar, matrdadch tsoni 3lia mra khra</t>
  </si>
  <si>
    <t>أُ إلا عمّر جاوك شي أفكار, ماتردادش تسوني عليا مرا خرا</t>
  </si>
  <si>
    <t>I gotta go!</t>
  </si>
  <si>
    <t>khs nmchi!</t>
  </si>
  <si>
    <t>خس نمشي!</t>
  </si>
  <si>
    <t>khsni nmchi!</t>
  </si>
  <si>
    <t>خسني نمشي!</t>
  </si>
  <si>
    <t>Are you okay, honey?</t>
  </si>
  <si>
    <t>wach nta bikhir a 7abibi?</t>
  </si>
  <si>
    <t>واش نتا بيخير أ حابيبي?</t>
  </si>
  <si>
    <t>wach nti cava a 7biba?</t>
  </si>
  <si>
    <t>واش نتي كاڤا أ حبيبا?</t>
  </si>
  <si>
    <t>You don't look like you're in a good mood</t>
  </si>
  <si>
    <t>nta makatbanch lia rach9a lik</t>
  </si>
  <si>
    <t>نتا ماكاتبانش ليا راشقا ليك</t>
  </si>
  <si>
    <t>You would not believe the day I've had</t>
  </si>
  <si>
    <t>maghadich ttyye9 lyom lidawazt</t>
  </si>
  <si>
    <t>ماغاديش التيّق ليوم ليداوازت</t>
  </si>
  <si>
    <t>maghadich ttyye9 kidwwzt lioma</t>
  </si>
  <si>
    <t>ماغاديش التيّق كيدوّزت ليوما</t>
  </si>
  <si>
    <t>I never want to go back to work again!</t>
  </si>
  <si>
    <t>maba9ich bghit nrja3 lkhdama mra khra!</t>
  </si>
  <si>
    <t>ماباقيش بغيت نرجاع لخداما مرا خرا!</t>
  </si>
  <si>
    <t>Everything that could go wrong went wrong</t>
  </si>
  <si>
    <t>ga3dakchi li imkn idouz khayb daz khayb</t>
  </si>
  <si>
    <t>ڭاعداكشي لي إمكن إدوز خايب داز خايب</t>
  </si>
  <si>
    <t>I mean I even got my hair stuck in the photocopier!</t>
  </si>
  <si>
    <t>awdi rah 7ta ch3ri lsa9 fl photocopieuse!</t>
  </si>
  <si>
    <t>أودي راه حتا شعري لساق فل پهوتوكوپيوس!</t>
  </si>
  <si>
    <t>Oh, you poor thing</t>
  </si>
  <si>
    <t>Oh, mskin</t>
  </si>
  <si>
    <t>أُه, مسكين</t>
  </si>
  <si>
    <t>Somebody came to rescue me, thankfully</t>
  </si>
  <si>
    <t>ja wahd 3t9ni, l7osn l7aDD</t>
  </si>
  <si>
    <t>جا واهد عتقني, لحوسن لحاضّ</t>
  </si>
  <si>
    <t>everything seemed to go wrong today...</t>
  </si>
  <si>
    <t>tta haja mamyessra lioma...</t>
  </si>
  <si>
    <t>التا حاجة ماميسّرا ليوما...</t>
  </si>
  <si>
    <t>I even managed to spill coffee over my boss</t>
  </si>
  <si>
    <t>7ta anani 9dart nkafa7 l9ahwa 3la ra2is dyali</t>
  </si>
  <si>
    <t>حتا أناني قدارت نكافاح لقاهوا علا راإس ديالي</t>
  </si>
  <si>
    <t>Who wasn't very happy</t>
  </si>
  <si>
    <t>li mkanch fr7an bzaf</t>
  </si>
  <si>
    <t>لي مكانش فرحان بزاف</t>
  </si>
  <si>
    <t>I mean it wasn't really my fault...</t>
  </si>
  <si>
    <t>li kan9sad hwa rah makanch lkhata2 dyali...</t>
  </si>
  <si>
    <t>لي كانقساد هوا راه ماكانش لخاتاء ديالي...</t>
  </si>
  <si>
    <t>Ouch!</t>
  </si>
  <si>
    <t>وش!</t>
  </si>
  <si>
    <t>This is the kind of day we would've preferred not to get up in the morning</t>
  </si>
  <si>
    <t>hada hwa naw3 dyal l2ayyam li katfDDel matfi9ch fih ga3 fsba7</t>
  </si>
  <si>
    <t>هادا هوا ناوع ديال لأيّام لي كاتفضّل ماتفيقش فيه ڭاع فسباح</t>
  </si>
  <si>
    <t>Would a little massage do you good?</t>
  </si>
  <si>
    <t>wach chwia tl massage ghay3awnk?</t>
  </si>
  <si>
    <t>واش شويا تل ماسّاڭ غايعاونك?</t>
  </si>
  <si>
    <t>Or a good beer?</t>
  </si>
  <si>
    <t>ola chi birra mzyana?</t>
  </si>
  <si>
    <t>أُلا شي بيرّا مزيانا?</t>
  </si>
  <si>
    <t>Ah yes please!</t>
  </si>
  <si>
    <t>ah lay7fdek!</t>
  </si>
  <si>
    <t>أه لايحفدك!</t>
  </si>
  <si>
    <t>For the massage, not for the beer</t>
  </si>
  <si>
    <t>ll massage, machi lbirra</t>
  </si>
  <si>
    <t>الل ماسّاڭ, ماشي لبيرّا</t>
  </si>
  <si>
    <t>Though I wouldn't mind some of the good rum</t>
  </si>
  <si>
    <t>wakha ma3ndich mockil ila kan chwiya dyal rum lmzyan</t>
  </si>
  <si>
    <t>واخا ماعنديش موككيل إلا كان شوييا ديال روم لمزيان</t>
  </si>
  <si>
    <t>Okay for a massage and a rum</t>
  </si>
  <si>
    <t>wakha l massage o rum</t>
  </si>
  <si>
    <t>واخا ل ماسّاڭ أُ روم</t>
  </si>
  <si>
    <t>And what did your boss say?</t>
  </si>
  <si>
    <t>o ach gal ra2is dyalk flkhdma?</t>
  </si>
  <si>
    <t>أُ أش ڭال راإس ديالك فلخدما?</t>
  </si>
  <si>
    <t>He was mad at you?</t>
  </si>
  <si>
    <t>kan ghDban 3lik?</t>
  </si>
  <si>
    <t>كان غضبان عليك?</t>
  </si>
  <si>
    <t>kan m9lle9 3lik?</t>
  </si>
  <si>
    <t>كان مقلّق عليك?</t>
  </si>
  <si>
    <t>After he'd finished flapping his arms around</t>
  </si>
  <si>
    <t>mn ba3d makmml i7rik fiddih</t>
  </si>
  <si>
    <t>من باعد ماكمّل إحريك فيدّيه</t>
  </si>
  <si>
    <t>he did say something not particularly nice</t>
  </si>
  <si>
    <t>gal chi haja mazwinach bzaf</t>
  </si>
  <si>
    <t>ڭال شي حاجة مازويناش بزاف</t>
  </si>
  <si>
    <t>something about his new shirt</t>
  </si>
  <si>
    <t>chi haja 3la triko dyalo jjdid</t>
  </si>
  <si>
    <t>شي حاجة علا تريكو ديالو الجديد</t>
  </si>
  <si>
    <t>Well he couldn't really have fired me for that</t>
  </si>
  <si>
    <t>wakha 8owa makanch i9dar ijrri 3lia 3la hadchi</t>
  </si>
  <si>
    <t>واخا هووا ماكانش إقدار إجرّي عليا علا هادشي</t>
  </si>
  <si>
    <t>in front of the entire office</t>
  </si>
  <si>
    <t>9ddam lbiro kamlo!</t>
  </si>
  <si>
    <t>قدّام لبيرو كاملو!</t>
  </si>
  <si>
    <t>It's okay, with everything he wins, he'll buy another one!</t>
  </si>
  <si>
    <t>machi mochkil, 3la 7sab dakchi likayrb7o, ghadi ichri wahd akhor!</t>
  </si>
  <si>
    <t>ماشي موشكيل, علا حساب داكشي ليكايربحو, غادي إشري واهد أخور!</t>
  </si>
  <si>
    <t>And then it can happen to anyone!</t>
  </si>
  <si>
    <t>o mn ba3d imkan to9a3 l ay wa7d!</t>
  </si>
  <si>
    <t>أُ من باعد إمكان توقاع ل أي واحد!</t>
  </si>
  <si>
    <t>Anyway, your boss has always been kind with you</t>
  </si>
  <si>
    <t>kimma kan l7al, chef dyalk kan dima mzyan m3ak</t>
  </si>
  <si>
    <t>كيمّا كان لحال, شف ديالك كان ديما مزيان معاك</t>
  </si>
  <si>
    <t>Isn't that a bit weird?</t>
  </si>
  <si>
    <t>wach hadchi machi gharib chwyia?</t>
  </si>
  <si>
    <t>واش هادشي ماشي غاريب شوييا?</t>
  </si>
  <si>
    <t>wach hadchi machi fchkel chwyia?</t>
  </si>
  <si>
    <t>واش هادشي ماشي فشكل شوييا?</t>
  </si>
  <si>
    <t>I mean he's twice my age</t>
  </si>
  <si>
    <t>z3ma hoa 3ndo Doble dyal 3mri</t>
  </si>
  <si>
    <t>زعما هوا عندو ضوبل ديال عمري</t>
  </si>
  <si>
    <t>z3ma hoa mDoblni fl3mar</t>
  </si>
  <si>
    <t>زعما هوا مضوبلني فلعمار</t>
  </si>
  <si>
    <t>And that would be a bit inappropriate</t>
  </si>
  <si>
    <t>o hadchi ghadi ikon chwia machi monasib</t>
  </si>
  <si>
    <t>أُ هادشي غادي إكون شويا ماشي موناسيب</t>
  </si>
  <si>
    <t>Maybe that's why Aicha doesn't like me</t>
  </si>
  <si>
    <t>imkan hadchi 3lach Aicha mkat7mlnich</t>
  </si>
  <si>
    <t>إمكان هادشي علاش أيشا مكاتحملنيش</t>
  </si>
  <si>
    <t>Why do you think she doesn't love you?</t>
  </si>
  <si>
    <t>3lach kadan bli hya makatbghikch?</t>
  </si>
  <si>
    <t>علاش كادان بلي هيا ماكاتبغيكش?</t>
  </si>
  <si>
    <t>Aren't you a little paranoid?</t>
  </si>
  <si>
    <t>wach nta machi katchekk bzaf?</t>
  </si>
  <si>
    <t>واش نتا ماشي كاتشكّ بزاف?</t>
  </si>
  <si>
    <t>Allow me to point out that</t>
  </si>
  <si>
    <t>sm7 lia nchir lhadchi</t>
  </si>
  <si>
    <t>سمح ليا نشير لهادشي</t>
  </si>
  <si>
    <t>you are in your fifth bottle</t>
  </si>
  <si>
    <t>rak fl9r3a lkhamsa dyalk</t>
  </si>
  <si>
    <t>راك فلقرعا لخامسا ديالك</t>
  </si>
  <si>
    <t>Is that all!</t>
  </si>
  <si>
    <t>wach hadchi li kayn!</t>
  </si>
  <si>
    <t>واش هادشي لي كاين!</t>
  </si>
  <si>
    <t>Could I also look at the food menu</t>
  </si>
  <si>
    <t>wach imkan liya nchof tta la2i7a dyal lmakla</t>
  </si>
  <si>
    <t>واش إمكان لييا نشوف التا لاإحا ديال لماكلا</t>
  </si>
  <si>
    <t>perhaps I should eat something</t>
  </si>
  <si>
    <t>7it imkan aykhasni nakol chi haja</t>
  </si>
  <si>
    <t>حيت إمكان أيخاسني ناكول شي حاجة</t>
  </si>
  <si>
    <t>Yes, eating something with mineral water is a good idea</t>
  </si>
  <si>
    <t>ayeh, takol chi 7aja m3a lma2 lma3dini fikra mzyana</t>
  </si>
  <si>
    <t>أيه, تاكول شي حاجا معا لماء لماعديني فيكرا مزيانا</t>
  </si>
  <si>
    <t>Here's the menu</t>
  </si>
  <si>
    <t>hak khod l9a2ima</t>
  </si>
  <si>
    <t>هاك خود لقاإما</t>
  </si>
  <si>
    <t>hak hahoa l menu</t>
  </si>
  <si>
    <t>هاك هاهوا ل منو</t>
  </si>
  <si>
    <t>Let me try a tagine this time</t>
  </si>
  <si>
    <t>khllini njrreb tagine had lmrra</t>
  </si>
  <si>
    <t>خلّيني نجرّب تاڭين هاد لمرّا</t>
  </si>
  <si>
    <t>with an ice cube</t>
  </si>
  <si>
    <t>m3a moka3ab dyal talj</t>
  </si>
  <si>
    <t>معا موكاعاب ديال تالج</t>
  </si>
  <si>
    <t>Now, what shall I eat?</t>
  </si>
  <si>
    <t>daba chno nakl?</t>
  </si>
  <si>
    <t>دابا شنو ناكل?</t>
  </si>
  <si>
    <t>Can I have a sirloin steak with french fries and a side salad?</t>
  </si>
  <si>
    <t>wach imkan lia nkhad chari7a dyal l7m m3a btata ma9lia o chlaDa fjanb?</t>
  </si>
  <si>
    <t>واش إمكان ليا نخاد شاريحا ديال لحم معا بتاتا ماقليا أُ شلاضا فجانب?</t>
  </si>
  <si>
    <t>Sorry, we don't serve this dish till noon</t>
  </si>
  <si>
    <t>sma7lia, 7na makan9admo had Taba9 7ta l dohr</t>
  </si>
  <si>
    <t>سماحليا, حنا ماكانقادمو هاد طاباق حتا ل دوهر</t>
  </si>
  <si>
    <t>And I suggest you only take the ice cube without the whiskey</t>
  </si>
  <si>
    <t>okan9tara7 takhad hir moka3ab talj bohdo bla Whiskey</t>
  </si>
  <si>
    <t>أُكانقتاراح تاخاد هير موكاعاب تالج بوهدو بلا وهيسكي</t>
  </si>
  <si>
    <t>Why, have you run out of whiskey?</t>
  </si>
  <si>
    <t>3lach, tsala l Whiskey?</t>
  </si>
  <si>
    <t>علاش, تسالا ل وهيسكي?</t>
  </si>
  <si>
    <t>I'll have a bottle of water instead then</t>
  </si>
  <si>
    <t>ghadi nakhod 9ar3a dyal lma fblast8a</t>
  </si>
  <si>
    <t>غادي ناخود قارعا ديال لما فبلاستها</t>
  </si>
  <si>
    <t>Can you serve peanuts before noon</t>
  </si>
  <si>
    <t>wach imkan lik t9adam kawkaw 9bal dhar</t>
  </si>
  <si>
    <t>واش إمكان ليك تقادام كاوكاو قبال دهار</t>
  </si>
  <si>
    <t>I'm feeling a bit peckish</t>
  </si>
  <si>
    <t>7it kan7as bjo3 chwiya?</t>
  </si>
  <si>
    <t>حيت كانحاس بجوع شوييا?</t>
  </si>
  <si>
    <t>I suggest you take a break from alcohol</t>
  </si>
  <si>
    <t>kan9tar7 takhad stira7a mn lko7ol</t>
  </si>
  <si>
    <t>كانقتارح تاخاد ستيراحا من لكوحول</t>
  </si>
  <si>
    <t>It's not even noon yet and I haven't even started</t>
  </si>
  <si>
    <t>mazal mawSl 7ta dhar omazal mabdit ga3</t>
  </si>
  <si>
    <t>مازال ماوصل حتا دهار أُمازال مابديت ڭاع</t>
  </si>
  <si>
    <t>I might have to take my customer elsewhere</t>
  </si>
  <si>
    <t>imkn khssni nddi lklyan dyali lblaSa khra</t>
  </si>
  <si>
    <t>إمكن خسّني ندّي لكليان ديالي لبلاصا خرا</t>
  </si>
  <si>
    <t>you're not happy to serve me</t>
  </si>
  <si>
    <t>nta mafr7anch anak tsrbini</t>
  </si>
  <si>
    <t>نتا مافرحانش أناك تسربيني</t>
  </si>
  <si>
    <t>I repeat, you've already taken four naps</t>
  </si>
  <si>
    <t>an3awad, rak aslan khditi rb3a dyal l9ayloulat</t>
  </si>
  <si>
    <t>أنعاواد, راك أسلان خديتي ربعا ديال لقايلولات</t>
  </si>
  <si>
    <t>Are you going to take the car on your way out?</t>
  </si>
  <si>
    <t>wach ghadi takhod tomobil mli tkon ghadi tkhraj?</t>
  </si>
  <si>
    <t>واش غادي تاخود توموبيل ملي تكون غادي تخراج?</t>
  </si>
  <si>
    <t>I won't be leaving you a very good review on Tripadvisor</t>
  </si>
  <si>
    <t>maghadich nkhli lik 7ta chi ta3li9 mazyan f Tripadvisor</t>
  </si>
  <si>
    <t>ماغاديش نخلي ليك حتا شي تاعليق مازيان ف طريپادڤيسور</t>
  </si>
  <si>
    <t>You call yourself a bar but won't serve me</t>
  </si>
  <si>
    <t>katsmi rask bar walakin m9adarch tsrbini</t>
  </si>
  <si>
    <t>كاتسمي راسك بار والاكين مقادارش تسربيني</t>
  </si>
  <si>
    <t>Discriminating against alcoholics!</t>
  </si>
  <si>
    <t>tamyiz Dedd modminin dyal lko7ol!</t>
  </si>
  <si>
    <t>تامييز ضدّ مودمينين ديال لكوحول!</t>
  </si>
  <si>
    <t>I'm not allowed to serve drunk clients</t>
  </si>
  <si>
    <t>mamsmo7ch lia nsrbi nnas li skranin</t>
  </si>
  <si>
    <t>مامسموحش ليا نسربي الناس لي سكرانين</t>
  </si>
  <si>
    <t>I'm not drunk, I'm still standing!</t>
  </si>
  <si>
    <t>ana maskranch, ana ba9i wa9af!</t>
  </si>
  <si>
    <t>أنا ماسكرانش, أنا باقي واقاف!</t>
  </si>
  <si>
    <t>But your words are inconsistent</t>
  </si>
  <si>
    <t>walakin klamk mam9adach</t>
  </si>
  <si>
    <t>والاكين كلامك مامقاداش</t>
  </si>
  <si>
    <t>it's a reflection of your mental state</t>
  </si>
  <si>
    <t>hadchi n3ikas dyal l7ala l3a9lia dyalk</t>
  </si>
  <si>
    <t>هادشي نعيكاس ديال لحالا لعاقليا ديالك</t>
  </si>
  <si>
    <t>I'm fine, I'll have to go now please!</t>
  </si>
  <si>
    <t>Ana bikhir, aykhasni nmchi daba 3afak!</t>
  </si>
  <si>
    <t>أنا بيخير, أيخاسني نمشي دابا عافاك!</t>
  </si>
  <si>
    <t>You're still up, but I suggest you go to bed</t>
  </si>
  <si>
    <t>rak mazal faya9 walakin kan9tara7 3lik tmchi tn3as</t>
  </si>
  <si>
    <t>راك مازال فاياق والاكين كانقتاراح عليك تمشي تنعاس</t>
  </si>
  <si>
    <t>That will be my last word</t>
  </si>
  <si>
    <t>hadi atkon akhir klma 3ndi</t>
  </si>
  <si>
    <t>هادي أتكون أخير كلما عندي</t>
  </si>
  <si>
    <t>The bar round the corner will serve me without a problem</t>
  </si>
  <si>
    <t>lbar lli f ddora ghadi isrbiwni bla tta ichkal</t>
  </si>
  <si>
    <t>لبار اللي ف الدورا غادي إسربيوني بلا التا إشكال</t>
  </si>
  <si>
    <t>They'll be glad to serve me</t>
  </si>
  <si>
    <t>ghadi ikono fr7anin annahom isrbiwnni</t>
  </si>
  <si>
    <t>غادي إكونو فرحانين أنّاهوم إسربيونّي</t>
  </si>
  <si>
    <t>Sba7 lkhir doctor</t>
  </si>
  <si>
    <t>صباح لخير دوكتور</t>
  </si>
  <si>
    <t>This is the first time I've been seeing a little nervous</t>
  </si>
  <si>
    <t>hadi awal mra ghadi ntchaf fiha chwiya mtwatar</t>
  </si>
  <si>
    <t>هادي أوال مرا غادي نتشاف فيها شوييا متواتار</t>
  </si>
  <si>
    <t>So, how has your week been?</t>
  </si>
  <si>
    <t>ewa, kif kan l2osbo3 dyalk?</t>
  </si>
  <si>
    <t>إوا, كيف كان لأسبوع ديالك?</t>
  </si>
  <si>
    <t>ewa, kidazt ssimana dyalk?</t>
  </si>
  <si>
    <t>إوا, كيدازت السيمانا ديالك?</t>
  </si>
  <si>
    <t>I'm having trouble at work</t>
  </si>
  <si>
    <t>3ndi machakil flkhdma</t>
  </si>
  <si>
    <t>عندي ماشاكيل فلخدما</t>
  </si>
  <si>
    <t>you have a very challenging job being a librarian</t>
  </si>
  <si>
    <t>3ndk khadma S3iba bzaf bsiftak flmktaba</t>
  </si>
  <si>
    <t>عندك خادما صعيبا بزاف بسيفتاك فلمكتابا</t>
  </si>
  <si>
    <t>What exactly has happened?</t>
  </si>
  <si>
    <t>achno w9a3 bdabt?</t>
  </si>
  <si>
    <t>أشنو وقاع بدابت?</t>
  </si>
  <si>
    <t>I feel like the staff aren't too many of them</t>
  </si>
  <si>
    <t>kan7as bli lkhddama makayninch bzaf</t>
  </si>
  <si>
    <t>كانحاس بلي لخدّاما ماكاينينش بزاف</t>
  </si>
  <si>
    <t>I run around all day, following orders from my boss,</t>
  </si>
  <si>
    <t>nhar kamlo wana kanjri, tab3 l awamir dyal ra2is dyali</t>
  </si>
  <si>
    <t>نهار كاملو وانا كانجري, تابع ل أوامير ديال راإس ديالي</t>
  </si>
  <si>
    <t>Last time I felt like I had a panic attack</t>
  </si>
  <si>
    <t>akhir mrra 7sit b7al ala w93at lia nawbat 8ala3</t>
  </si>
  <si>
    <t>أخير مرّا حسيت بحال ألا وقعات ليا ناوبات هالاع</t>
  </si>
  <si>
    <t>I locked myself in the bathroom to cry</t>
  </si>
  <si>
    <t>sddit 3la rasi fl 7mmam obdit kanbki</t>
  </si>
  <si>
    <t>سدّيت علا راسي فل حمّام أُبديت كانبكي</t>
  </si>
  <si>
    <t>I don't know what to do</t>
  </si>
  <si>
    <t>ma3rftch chno khss ndir</t>
  </si>
  <si>
    <t>ماعرفتش شنو خسّ ندير</t>
  </si>
  <si>
    <t>what can you advise me?</t>
  </si>
  <si>
    <t>bach katnSa7ni?</t>
  </si>
  <si>
    <t>باش كاتنصاحني?</t>
  </si>
  <si>
    <t>First of all</t>
  </si>
  <si>
    <t>awwalan</t>
  </si>
  <si>
    <t>أوّالان</t>
  </si>
  <si>
    <t>I think it's important that you get adequate support</t>
  </si>
  <si>
    <t>kan3ta9ad anaho mn lmohim annak takhod da3m kafi</t>
  </si>
  <si>
    <t>كانعتاقاد أناهو من لموهيم أنّاك تاخود داعم كافي</t>
  </si>
  <si>
    <t>speak to your manager and see if they can help you</t>
  </si>
  <si>
    <t>dwi m3a chef dyalk ochof wach i9dro i3awnok</t>
  </si>
  <si>
    <t>دوي معا شف ديالك أُشوف واش إقدرو إعاونوك</t>
  </si>
  <si>
    <t>It's a situation which is counter productive</t>
  </si>
  <si>
    <t>howa maw9if 3ndo nata2ij 3aksia</t>
  </si>
  <si>
    <t>هووا ماوقيف عندو ناتاإج عاكسيا</t>
  </si>
  <si>
    <t>if you are stressed and need to take time off, it will only make the situation worse</t>
  </si>
  <si>
    <t>ila kanti mstressi okat7taj 3oTla, fhadchi maghadi iddi ghir ma kfes</t>
  </si>
  <si>
    <t>إلا كانتي مسترسّي أُكاتحتاج عوطلا, فهادشي ماغادي إدّي غير ما كفس</t>
  </si>
  <si>
    <t>Hopefully your boss will be able to appreciate that</t>
  </si>
  <si>
    <t>kan2mlo lmodir dyalk i9dder dakchi</t>
  </si>
  <si>
    <t>كانءملو لمودير ديالك إقدّر داكشي</t>
  </si>
  <si>
    <t>I can give you some anti depressants</t>
  </si>
  <si>
    <t>imkan lia n3tik chwiya dyal modadat l2ikti2ab</t>
  </si>
  <si>
    <t>إمكان ليا نعتيك شوييا ديال مودادات لإكتيأب</t>
  </si>
  <si>
    <t>Would you be happy with that?</t>
  </si>
  <si>
    <t>wach ghadi tkon sa3id bhadchi?</t>
  </si>
  <si>
    <t>واش غادي تكون ساعيد بهادشي?</t>
  </si>
  <si>
    <t>I could go talk to him, but I'm afraid</t>
  </si>
  <si>
    <t>imkan lia nmchi ndwi m3ah, walakin khft</t>
  </si>
  <si>
    <t>إمكان ليا نمشي ندوي معاه, والاكين خفت</t>
  </si>
  <si>
    <t>he's on edge right now</t>
  </si>
  <si>
    <t>howa tal3 lid dmm daba</t>
  </si>
  <si>
    <t>هووا تالع ليد دمّ دابا</t>
  </si>
  <si>
    <t>Last time he didn't greet me very well</t>
  </si>
  <si>
    <t>akhir mra mara7abch bia mazyan</t>
  </si>
  <si>
    <t>أخير مرا ماراحابش بيا مازيان</t>
  </si>
  <si>
    <t>Send him to me - I need more clients!</t>
  </si>
  <si>
    <t>Sifto lia - ana ma7taj lklyan!</t>
  </si>
  <si>
    <t>صيفتو ليا - أنا ماحتاج لكليان!</t>
  </si>
  <si>
    <t>He didn't greet you well?</t>
  </si>
  <si>
    <t>mar77abch 3lik mzyan?</t>
  </si>
  <si>
    <t>مارحّابش عليك مزيان?</t>
  </si>
  <si>
    <t>What exactly did he do?</t>
  </si>
  <si>
    <t>chno dar bdabt?</t>
  </si>
  <si>
    <t>شنو دار بدابت?</t>
  </si>
  <si>
    <t>Haha, that would be an idea</t>
  </si>
  <si>
    <t>haha, hadi fikra</t>
  </si>
  <si>
    <t>هاها, هادي فيكرا</t>
  </si>
  <si>
    <t>Maybe he's gonna cry in the bathroom every once in a while</t>
  </si>
  <si>
    <t>imkan ghadi ibki fl7amam mra mra</t>
  </si>
  <si>
    <t>إمكان غادي إبكي فلحامام مرا مرا</t>
  </si>
  <si>
    <t>We should do group therapy</t>
  </si>
  <si>
    <t>aykhasan ndiro 3ilaj nfsi jama3i</t>
  </si>
  <si>
    <t>أيخاسان نديرو عيلاج نفسي جاماعي</t>
  </si>
  <si>
    <t>He didn't give me time to explain my situation</t>
  </si>
  <si>
    <t>ma3Tanich wa9t bach nchra7 lwaD3 dyali</t>
  </si>
  <si>
    <t>ماعطانيش واقت باش نشراح لواضع ديالي</t>
  </si>
  <si>
    <t>he threw me out of his office with more work than before!</t>
  </si>
  <si>
    <t>jrra 3lia mn lbiro dyalo bkhdma ktar mn 9bal!</t>
  </si>
  <si>
    <t>جرّا عليا من لبيرو ديالو بخدما كتار من قبال!</t>
  </si>
  <si>
    <t>I would report him to someone higher up the chain</t>
  </si>
  <si>
    <t>ghadi ngolha lchi whd kbar mno flgrade</t>
  </si>
  <si>
    <t>غادي نڭولها لشي وهد كبار منو فلڭراد</t>
  </si>
  <si>
    <t>He may be suffering himself, but bullying you needs reporting</t>
  </si>
  <si>
    <t>i9der ikon hwa kay3ani hwa braso, walakin tanamor khasak tblagh 3lih</t>
  </si>
  <si>
    <t>إقدر إكون هوا كايعاني هوا براسو, والاكين تانامور خاساك تبلاغ عليه</t>
  </si>
  <si>
    <t>My goodness, your work environment doesn't sound very happy and uplifting</t>
  </si>
  <si>
    <t>ouf, lbi2a dyal khdmatak makatbanch lia mofri7a o mochjji3a</t>
  </si>
  <si>
    <t>وف, لبيأ ديال خدماتاك ماكاتبانش ليا موفريحا أُ موشجّيعا</t>
  </si>
  <si>
    <t>Perhaps someone is going around putting drugs in your food</t>
  </si>
  <si>
    <t>imkan kaybor chi wa7d okaydir lmokhadirat flmakla dyalk</t>
  </si>
  <si>
    <t>إمكان كايبور شي واحد أُكايدير لموخاديرات فلماكلا ديالك</t>
  </si>
  <si>
    <t>Are your catering department reliable?</t>
  </si>
  <si>
    <t>wach 9ism dyal tamwin dyalk fih ti9a?</t>
  </si>
  <si>
    <t>واش قيسم ديال تاموين ديالك فيه تيقا?</t>
  </si>
  <si>
    <t>I must admit, when I taste the meals we serve, I ask questions...</t>
  </si>
  <si>
    <t>aykhasni n3taraf, mli kando9 lmkla li kan9admoha, kantsa2l...</t>
  </si>
  <si>
    <t>أيخاسني نعتاراف, ملي كاندوق لمكلا لي كانقادموها, كانتساءل...</t>
  </si>
  <si>
    <t>Besides, there's no time to take a nap from the workload, it's a scandal!</t>
  </si>
  <si>
    <t>ozid 3la dakchi, makaynch wa9t dyal l9aylola mn ktrt lkhadma, fDi7a!</t>
  </si>
  <si>
    <t>أُزيد علا داكشي, ماكاينش واقت ديال لقايلولا من كترت لخادما, فضيحا!</t>
  </si>
  <si>
    <t>It sounds rather suspicious to me</t>
  </si>
  <si>
    <t>kayban lia hadchi ma8owwach</t>
  </si>
  <si>
    <t>كايبان ليا هادشي ماهووّاش</t>
  </si>
  <si>
    <t>kayban lia hadchi fih inna</t>
  </si>
  <si>
    <t>كايبان ليا هادشي فيه إنّا</t>
  </si>
  <si>
    <t>If you could sneak out from there some small food samples, I can send them away to get tested</t>
  </si>
  <si>
    <t>ila knti 9adar tdowwez btkhbia l mn tma chwiya dyal lmakla, imkan lia nsiftha tkhtabr</t>
  </si>
  <si>
    <t>إلا كنتي قادار تدووّز بتخبيا ل من تما شوييا ديال لماكلا, إمكان ليا نسيفتها تختابر</t>
  </si>
  <si>
    <t>You can taste it, but I'm warning you, it's terrible</t>
  </si>
  <si>
    <t>imkan lik do9o, walakin kan7drak, rah khayb</t>
  </si>
  <si>
    <t>إمكان ليك دوقو, والاكين كانحدراك, راه خايب</t>
  </si>
  <si>
    <t>Don't worry, I wouldn't taste it myself</t>
  </si>
  <si>
    <t>matkhafch, mghadich ndo9o ana brasi</t>
  </si>
  <si>
    <t>ماتخافش, مغاديش ندوقو أنا براسي</t>
  </si>
  <si>
    <t>If my suspicions are correct, to do so, would mean coming down with depression</t>
  </si>
  <si>
    <t>ila kant chokouk dyali fma7ll8a, bach ddirha, kay3ni njiw b kti2ab</t>
  </si>
  <si>
    <t>إلا كانت شوكوك ديالي فماحلّها, باش الديرها, كايعني نجيو ب كتيأب</t>
  </si>
  <si>
    <t>I can't take time off and I like being happy</t>
  </si>
  <si>
    <t>maymkanch lia nakhad 3oTla okanbghi nkon sa3id</t>
  </si>
  <si>
    <t>مايمكانش ليا ناخاد عوطلا أُكانبغي نكون ساعيد</t>
  </si>
  <si>
    <t>Anyway, lovely to see you again, and we'll speak again when you get the samples</t>
  </si>
  <si>
    <t>3la ay 7al, mzyan 7it chftak, oghadi ndwiw mra khra fach tDbber 3la l3ayinat</t>
  </si>
  <si>
    <t>علا أي حال, مزيان حيت شفتاك, أُغادي ندويو مرا خرا فاش تضبّر علا لعايينات</t>
  </si>
  <si>
    <t>Goodbye!</t>
  </si>
  <si>
    <t>ma3a salama!</t>
  </si>
  <si>
    <t>ماعا سالاما!</t>
  </si>
  <si>
    <t>Thank you for your help, Doctor</t>
  </si>
  <si>
    <t>chokran 3la lmosa3ada dyalk, doctour</t>
  </si>
  <si>
    <t>شوكران علا لموساعادا ديالك, دوكتور</t>
  </si>
  <si>
    <t>It was a pleasure talking to you today!</t>
  </si>
  <si>
    <t>kan man dawa3i sorori ndwi m3akom lyom!</t>
  </si>
  <si>
    <t>كان مان داواعي سوروري ندوي معاكوم ليوم!</t>
  </si>
  <si>
    <t>It's a lovely day for feeding ducks</t>
  </si>
  <si>
    <t>hada yawm jamil nwaklo fih lbaT</t>
  </si>
  <si>
    <t>هادا ياوم جاميل نواكلو فيه لباط</t>
  </si>
  <si>
    <t>That's true, but I like to come here even when it rains</t>
  </si>
  <si>
    <t>hadchi S7i7, walakin kanbghi nji 8na 7ta mli kaTi7 chta</t>
  </si>
  <si>
    <t>هادشي صحيح, والاكين كانبغي نجي هنا حتا ملي كاطيح شتا</t>
  </si>
  <si>
    <t>After all, ducks eat every day!</t>
  </si>
  <si>
    <t>aSlan, lbaTT kayakl kol nhar!</t>
  </si>
  <si>
    <t>أصلان, لباطّ كاياكل كول نهار!</t>
  </si>
  <si>
    <t>Do you come here often?</t>
  </si>
  <si>
    <t>wach katji 8na bzaf?</t>
  </si>
  <si>
    <t>واش كاتجي هنا بزاف?</t>
  </si>
  <si>
    <t>My first time at this particular pond</t>
  </si>
  <si>
    <t>lmrra lawla lighadi nji lhad Daya bDDbT</t>
  </si>
  <si>
    <t>لمرّا لاولا ليغادي نجي لهاد ضايا بضّبط</t>
  </si>
  <si>
    <t>Are you new to the neighborhood?</t>
  </si>
  <si>
    <t>wach nta jdid fhad l7ay?</t>
  </si>
  <si>
    <t>واش نتا جديد فهاد لحاي?</t>
  </si>
  <si>
    <t>nta jdid fhad siktour?</t>
  </si>
  <si>
    <t>نتا جديد فهاد سيكتور?</t>
  </si>
  <si>
    <t>No, I am just passing through</t>
  </si>
  <si>
    <t>la, ana ghir dayz</t>
  </si>
  <si>
    <t>لا, أنا غير دايز</t>
  </si>
  <si>
    <t>I have a few hours to spare before catching my train</t>
  </si>
  <si>
    <t>3ndi chi swy3at ndwzhom 9bal manakhad train</t>
  </si>
  <si>
    <t>عندي شي سويعات ندوزهوم قبال ماناخاد تراين</t>
  </si>
  <si>
    <t>Oh, where are you going?</t>
  </si>
  <si>
    <t>oh, fin ghadi?</t>
  </si>
  <si>
    <t>أُه, فين غادي?</t>
  </si>
  <si>
    <t>where are you going?</t>
  </si>
  <si>
    <t>fin rak ghadi?</t>
  </si>
  <si>
    <t>فين راك غادي?</t>
  </si>
  <si>
    <t>Just on the way to casa</t>
  </si>
  <si>
    <t>hi ftri9 l casa</t>
  </si>
  <si>
    <t>هي فتريق ل كاسا</t>
  </si>
  <si>
    <t>The funny thing is I have no idea where I am now</t>
  </si>
  <si>
    <t>lhaja likad77ak hia annani ma3ndi 7ta fikra 3la fin ana daba</t>
  </si>
  <si>
    <t>لحاجة ليكادحّاك هيا أنّاني ماعندي حتا فيكرا علا فين أنا دابا</t>
  </si>
  <si>
    <t>We're in the Alan Turing Foundation</t>
  </si>
  <si>
    <t>7na daba fmo2asasa dyal Alan Turing</t>
  </si>
  <si>
    <t>حنا دابا فموأساسا ديال ألان طورينڭ</t>
  </si>
  <si>
    <t>For me, it's especially the closest park to my house</t>
  </si>
  <si>
    <t>bnisba lia, hya a9rab 7adi9a ldari</t>
  </si>
  <si>
    <t>بنيسبا ليا, هيا أقراب حاديقا لداري</t>
  </si>
  <si>
    <t>And since he's got a pond and some ducks, I come here a lot</t>
  </si>
  <si>
    <t>o mlli 3ndi Daya ochwiya dyal lbaTT, fara8 kanji l8na bzaf</t>
  </si>
  <si>
    <t>أُ ملّي عندي ضايا أُشوييا ديال لباطّ, فاراه كانجي لهنا بزاف</t>
  </si>
  <si>
    <t>I like donkeys a lot</t>
  </si>
  <si>
    <t>3zaz 3lia l7mir bzaf</t>
  </si>
  <si>
    <t>عزاز عليا لحمير بزاف</t>
  </si>
  <si>
    <t>How did Alan Turing find the park?</t>
  </si>
  <si>
    <t>kifach l9a Alan Turing jjarda?</t>
  </si>
  <si>
    <t>كيفاش لقا ألان طورينڭ الجاردا?</t>
  </si>
  <si>
    <t>I suppose he just looked around and there it was</t>
  </si>
  <si>
    <t>kandan bli ghir chaf 7dah ol9aha</t>
  </si>
  <si>
    <t>كاندان بلي غير شاف حداه أُلقاها</t>
  </si>
  <si>
    <t>lucky for me I had some bread in my bag</t>
  </si>
  <si>
    <t>mn 7osn 7aDDi kan 3ndi chwia dyal lkhobz f ssak dyali</t>
  </si>
  <si>
    <t>من حوسن حاضّي كان عندي شويا ديال لخوبز ف الساك ديالي</t>
  </si>
  <si>
    <t>the ducks would have gone home with empty stomachs</t>
  </si>
  <si>
    <t>lbaTT kano ghayrj3o f7al8om bm3da khawya</t>
  </si>
  <si>
    <t>لباطّ كانو غايرجعو فحالهوم بمعدا خاويا</t>
  </si>
  <si>
    <t>I'll have some more if you want</t>
  </si>
  <si>
    <t>gahdi nakhad chwia akhor ila bghiti</t>
  </si>
  <si>
    <t>ڭاهدي ناخاد شويا أخور إلا بغيتي</t>
  </si>
  <si>
    <t>I always bring too much</t>
  </si>
  <si>
    <t>ana dima kan8z bzaf</t>
  </si>
  <si>
    <t>أنا ديما كانهز بزاف</t>
  </si>
  <si>
    <t>And there's a lot of kids, sometimes grown-ups</t>
  </si>
  <si>
    <t>kayn bzaf dyal drari sghar, b3d lmrat lkbar</t>
  </si>
  <si>
    <t>كاين بزاف ديال دراري سغار, بعد لمرات لكبار</t>
  </si>
  <si>
    <t>they're happy that I give them some bread to throw</t>
  </si>
  <si>
    <t>homa far7anin 7it 3tithom chwiya dyal lkhobz bach irmiw8</t>
  </si>
  <si>
    <t>هوما فارحانين حيت عتيتهوم شوييا ديال لخوبز باش إرميوه</t>
  </si>
  <si>
    <t>No that is alright</t>
  </si>
  <si>
    <t>la hania</t>
  </si>
  <si>
    <t>لا هانيا</t>
  </si>
  <si>
    <t>I can hear my train whistle blowing so I should run</t>
  </si>
  <si>
    <t>kan9dr nsma3 sffara dyal train dakchi 3lach khasni njri</t>
  </si>
  <si>
    <t>كانقدر نسماع سفّارا ديال تراين داكشي علاش خاسني نجري</t>
  </si>
  <si>
    <t>Nice talking to you</t>
  </si>
  <si>
    <t>fr7t mli dwit m3ak</t>
  </si>
  <si>
    <t>فرحت ملي دويت معاك</t>
  </si>
  <si>
    <t>How nice to see you!</t>
  </si>
  <si>
    <t>ch7al zwin annani nchofk!</t>
  </si>
  <si>
    <t>شحال زوين أنّاني نشوفك!</t>
  </si>
  <si>
    <t>What a pleasure to meet you</t>
  </si>
  <si>
    <t>mn daw3i sorori mli tla9it bik</t>
  </si>
  <si>
    <t>من داوعي سوروري ملي تلاقيت بيك</t>
  </si>
  <si>
    <t>charaf lia tla9it m3ak</t>
  </si>
  <si>
    <t>شاراف ليا تلاقيت معاك</t>
  </si>
  <si>
    <t>hadi sa3a mbrouka mlli tla9it m3ak</t>
  </si>
  <si>
    <t>هادي ساعا مبروكا ملّي تلاقيت معاك</t>
  </si>
  <si>
    <t>I'm as well as can be expected</t>
  </si>
  <si>
    <t>ana mazyan kima imkan tw993o</t>
  </si>
  <si>
    <t>أنا مازيان كيما إمكان توقّعو</t>
  </si>
  <si>
    <t>I've got my aches and pains but at 93 I can't grumble</t>
  </si>
  <si>
    <t>3ndi 2awja3 o2alam wlakin f3mar 93 man9darch ntchka</t>
  </si>
  <si>
    <t>عندي أوجاع أُألام ولاكين فعمار 93 مانقدارش نتشكا</t>
  </si>
  <si>
    <t>How are you and the children?</t>
  </si>
  <si>
    <t>kif rak nta o drari</t>
  </si>
  <si>
    <t>كيف راك نتا أُ دراري</t>
  </si>
  <si>
    <t>They must be growing up fast</t>
  </si>
  <si>
    <t>ghadi ikono kbro dghya</t>
  </si>
  <si>
    <t>غادي إكونو كبرو دغيا</t>
  </si>
  <si>
    <t>It's hard sometimes to get old</t>
  </si>
  <si>
    <t>S3ib b3D lmrat anak tkbar fl3mar</t>
  </si>
  <si>
    <t>صعيب بعض لمرات أناك تكبار فلعمار</t>
  </si>
  <si>
    <t>And 93 is an age beyond honor and you always have a good eye</t>
  </si>
  <si>
    <t>o 93 hwa 3mar fo9 charaf odima katkon 3ink mazyana</t>
  </si>
  <si>
    <t>أُ 93 هوا عمار فوق شاراف أُديما كاتكون عينك مازيانا</t>
  </si>
  <si>
    <t>The kids are fine, thank you</t>
  </si>
  <si>
    <t>drari bikhir, chokran</t>
  </si>
  <si>
    <t>دراري بيخير, شوكران</t>
  </si>
  <si>
    <t>They're almost grown now</t>
  </si>
  <si>
    <t>rah kbro daba</t>
  </si>
  <si>
    <t>راه كبرو دابا</t>
  </si>
  <si>
    <t>Paul's studying architecture</t>
  </si>
  <si>
    <t>Paul kay9ra l8ndasa lmi3maria</t>
  </si>
  <si>
    <t>پول كايقرا لهنداسا لميعماريا</t>
  </si>
  <si>
    <t>That's marvellous</t>
  </si>
  <si>
    <t>hadchi wa3r</t>
  </si>
  <si>
    <t>هادشي واعر</t>
  </si>
  <si>
    <t>And what about Emma?</t>
  </si>
  <si>
    <t>ewa o Emma?</t>
  </si>
  <si>
    <t>إوا أُ إمّا?</t>
  </si>
  <si>
    <t>She had a talent for music if I remember</t>
  </si>
  <si>
    <t>kan 3ndha mawhiba lmosi9a ila ba9i 3a9l</t>
  </si>
  <si>
    <t>كان عندها ماوهيبا لموسيقا إلا باقي عاقل</t>
  </si>
  <si>
    <t>Emma's a senior scientist in high school</t>
  </si>
  <si>
    <t>Emma mn kbar l3olama2 f wa7d tanawiya</t>
  </si>
  <si>
    <t>إمّا من كبار لعولاماء ف واحد تاناوييا</t>
  </si>
  <si>
    <t>She's graduating this year</t>
  </si>
  <si>
    <t>ghadi tkherrej had l3am</t>
  </si>
  <si>
    <t>غادي تخرّج هاد لعام</t>
  </si>
  <si>
    <t>She goes on with the music and part of a symphony orchestra</t>
  </si>
  <si>
    <t>katmchi m3a lmosi9a ojoz2 mn orkistra samfonia</t>
  </si>
  <si>
    <t>كاتمشي معا لموسيقا أُجوزء من أُركيسترا سامفونيا</t>
  </si>
  <si>
    <t>That's good to hear that she has kept the music up and will have a good career</t>
  </si>
  <si>
    <t>man lmazyan tsma3 bli khdat lmosi9a oghadi tmata3 bmi8na mzyana</t>
  </si>
  <si>
    <t>مان لمازيان تسماع بلي خدات لموسيقا أُغادي تماتاع بميهنا مزيانا</t>
  </si>
  <si>
    <t>I miss playing the piano</t>
  </si>
  <si>
    <t>twa7acht anani nl3b lpiano</t>
  </si>
  <si>
    <t>تواحاشت أناني نلعب لپيانو</t>
  </si>
  <si>
    <t>We don't have one here</t>
  </si>
  <si>
    <t>ma3ndi ta w7da 8na</t>
  </si>
  <si>
    <t>ماعندي تا وحدا هنا</t>
  </si>
  <si>
    <t>the only music I do is Jazz</t>
  </si>
  <si>
    <t>lmosi9a lwahida li kandir hia Jazz</t>
  </si>
  <si>
    <t>لموسيقا لواهيدا لي كاندير هيا جازّ</t>
  </si>
  <si>
    <t>Don't you have a chance to get a loan from a charity?</t>
  </si>
  <si>
    <t>m3ndkch forSa bach takhod kridi mn chi mo2sasa khayria</t>
  </si>
  <si>
    <t>معندكش فورصا باش تاخود كريدي من شي موءساسا خايريا</t>
  </si>
  <si>
    <t>I know there's a lot of people working with the nursing homes</t>
  </si>
  <si>
    <t>3arf bli kayn bzaf t nnas kaykhdmo m3a dour lmosinin</t>
  </si>
  <si>
    <t>عارف بلي كاين بزاف ت الناس كايخدمو معا دور لموسينين</t>
  </si>
  <si>
    <t>Don't you ever perform with musicians?</t>
  </si>
  <si>
    <t>wach ma3mmrk l3bti m3a lmoghaniyin?</t>
  </si>
  <si>
    <t>واش ماعمّرك لعبتي معا لموغانييين?</t>
  </si>
  <si>
    <t>Just the weekly song?</t>
  </si>
  <si>
    <t>ghir l2oghnia l2osbo3ia?</t>
  </si>
  <si>
    <t>غير لأغنيا لأسبوعيا?</t>
  </si>
  <si>
    <t>I don't know about loans</t>
  </si>
  <si>
    <t>makan3raf walo 3la lkridiat</t>
  </si>
  <si>
    <t>ماكانعراف والو علا لكريديات</t>
  </si>
  <si>
    <t>A piano is a big thing</t>
  </si>
  <si>
    <t>lpiano chi 7aja kbira</t>
  </si>
  <si>
    <t>لپيانو شي حاجا كبيرا</t>
  </si>
  <si>
    <t>Terrible songs and my terrible singing</t>
  </si>
  <si>
    <t>aghani karitia olghna dyali lkariti</t>
  </si>
  <si>
    <t>أغاني كاريتيا أُلغنا ديالي لكاريتي</t>
  </si>
  <si>
    <t>He could certainly put you in touch with a charity</t>
  </si>
  <si>
    <t>imkan lih ilagik bchi mo2sasa khyria</t>
  </si>
  <si>
    <t>إمكان ليه إلاڭيك بشي موءساسا خيريا</t>
  </si>
  <si>
    <t>Is it so bad the songs?</t>
  </si>
  <si>
    <t>wach l2aghani kano khybin bzaf?</t>
  </si>
  <si>
    <t>واش لأغاني كانو خيبين بزاف?</t>
  </si>
  <si>
    <t>What are they?</t>
  </si>
  <si>
    <t>chno houma?</t>
  </si>
  <si>
    <t>شنو هوما?</t>
  </si>
  <si>
    <t>From what era?</t>
  </si>
  <si>
    <t>mn achmn 3aSr?</t>
  </si>
  <si>
    <t>من أشمن عاصر?</t>
  </si>
  <si>
    <t>I think I heard the bell for the evening meal</t>
  </si>
  <si>
    <t>kanDan sma3t ljaras dyal l3cha</t>
  </si>
  <si>
    <t>كانضان سماعت لجاراس ديال لعشا</t>
  </si>
  <si>
    <t>Will you stay for some food or do you have to leave now?</t>
  </si>
  <si>
    <t>wach atb9a takol chwia ola aykhasak tmchi daba?</t>
  </si>
  <si>
    <t>واش أتبقا تاكول شويا أُلا أيخاساك تمشي دابا?</t>
  </si>
  <si>
    <t>We don't plan on staying for dinner</t>
  </si>
  <si>
    <t>7na mam3wwlinch nglso nt3chaw</t>
  </si>
  <si>
    <t>حنا مامعوّلينش نڭلسو نتعشاو</t>
  </si>
  <si>
    <t>I hope I can come back soon</t>
  </si>
  <si>
    <t>kantmnna n9dr nrj3 9ariban</t>
  </si>
  <si>
    <t>كانتمنّا نقدر نرجع قاريبان</t>
  </si>
  <si>
    <t>we can arrange for me to stay for dinner with you</t>
  </si>
  <si>
    <t>imkan lina nblaniw bach nb9a nt3cha m3akom</t>
  </si>
  <si>
    <t>إمكان لينا نبلانيو باش نبقا نتعشا معاكوم</t>
  </si>
  <si>
    <t>Thank you so much for coming to see me</t>
  </si>
  <si>
    <t>chokran bzaf 7it jiti tchofni</t>
  </si>
  <si>
    <t>شوكران بزاف حيت جيتي تشوفني</t>
  </si>
  <si>
    <t>chokran bzaf 7it jito tchofoni</t>
  </si>
  <si>
    <t>شوكران بزاف حيت جيتو تشوفوني</t>
  </si>
  <si>
    <t>it means so much to me to keep in touch</t>
  </si>
  <si>
    <t>hadchi kay3ni bzaf lia annana nb9aw 3la 2ittisal</t>
  </si>
  <si>
    <t>هادشي كايعني بزاف ليا أنّانا نبقاو علا إتّيسال</t>
  </si>
  <si>
    <t>I hope you can come again soon</t>
  </si>
  <si>
    <t>inchalah trja3 mra khra fl9arib l3ajil</t>
  </si>
  <si>
    <t>إنشالاه ترجاع مرا خرا فلقاريب لعاجيل</t>
  </si>
  <si>
    <t>It was very nice to meet you, too</t>
  </si>
  <si>
    <t>mzyan mli chftak, tanta</t>
  </si>
  <si>
    <t>مزيان ملي شفتاك, تانتا</t>
  </si>
  <si>
    <t>I'll be back</t>
  </si>
  <si>
    <t>ghadi nrja3 mn ba3d</t>
  </si>
  <si>
    <t>غادي نرجاع من باعد</t>
  </si>
  <si>
    <t>daba nrja3</t>
  </si>
  <si>
    <t>دابا نرجاع</t>
  </si>
  <si>
    <t>ghadi nrja3</t>
  </si>
  <si>
    <t>غادي نرجاع</t>
  </si>
  <si>
    <t>Maybe next week</t>
  </si>
  <si>
    <t>ymkan simana jaya</t>
  </si>
  <si>
    <t>يمكان سيمانا جايا</t>
  </si>
  <si>
    <t>These unfortunate ducks are very thin</t>
  </si>
  <si>
    <t>had lbaTT lmn7ous r9i9 bzaf</t>
  </si>
  <si>
    <t>هاد لباطّ لمنحوس رقيق بزاف</t>
  </si>
  <si>
    <t>Have you got bread to give?</t>
  </si>
  <si>
    <t>wach 3ndak khobz lit3ti?</t>
  </si>
  <si>
    <t>واش عنداك خوبز ليتعتي?</t>
  </si>
  <si>
    <t>I have a few slices</t>
  </si>
  <si>
    <t>3ndi chi Trifat</t>
  </si>
  <si>
    <t>عندي شي طريفات</t>
  </si>
  <si>
    <t>It's been a hard winter for them and I don't think they've had very much to eat</t>
  </si>
  <si>
    <t>kan chta s3ib bnsba lihom omakanDnch wach 3ndhom bzaf dyal lmakla</t>
  </si>
  <si>
    <t>كان شتا سعيب بنسبا ليهوم أُماكانضنش واش عندهوم بزاف ديال لماكلا</t>
  </si>
  <si>
    <t>They've started to build their nests</t>
  </si>
  <si>
    <t>rah bdaw taybniw l3ach dyalhom</t>
  </si>
  <si>
    <t>راه بداو تايبنيو لعاش ديالهوم</t>
  </si>
  <si>
    <t>they will need some fat on them for when they are sitting on eggs</t>
  </si>
  <si>
    <t>ghadi i7tajo chwiya dyal do8on mli ibghiw iglso 3la lbiD</t>
  </si>
  <si>
    <t>غادي إحتاجو شوييا ديال دوهون ملي إبغيو إڭلسو علا لبيض</t>
  </si>
  <si>
    <t>Hey, you seem to know these dogs</t>
  </si>
  <si>
    <t>ahya, banliya b7al kat3raf had lklab</t>
  </si>
  <si>
    <t>أهيا, بانلييا بحال كاتعراف هاد لكلاب</t>
  </si>
  <si>
    <t>Where did you learn all this?</t>
  </si>
  <si>
    <t>mnin t3lamti ga3 hadchi?</t>
  </si>
  <si>
    <t>منين تعلامتي ڭاع هادشي?</t>
  </si>
  <si>
    <t>I'm a keen ornithologist</t>
  </si>
  <si>
    <t>ana mtkhasas f3ilm tyor</t>
  </si>
  <si>
    <t>أنا متخاساس فعيلم تيور</t>
  </si>
  <si>
    <t>I spend weekends studying birds and looking for rare species</t>
  </si>
  <si>
    <t>kandawz l3otlat dyal lkhar simana f9raya dyal toyor okan9lab 3la anwa3 nadira</t>
  </si>
  <si>
    <t>كانداوز لعوتلات ديال لخار سيمانا فقرايا ديال تويور أُكانقلاب علا أنواع ناديرا</t>
  </si>
  <si>
    <t>I see you're a specialist!</t>
  </si>
  <si>
    <t>kanchof bli rak mtkhasas!</t>
  </si>
  <si>
    <t>كانشوف بلي راك متخاساس!</t>
  </si>
  <si>
    <t>I also like to walk around and listen to birds</t>
  </si>
  <si>
    <t>kanbghi tta ndor onsma3 lTyor</t>
  </si>
  <si>
    <t>كانبغي التا ندور أُنسماع لطيور</t>
  </si>
  <si>
    <t>but I don't know anything about it</t>
  </si>
  <si>
    <t>walakin mkan3raf 3liha walo</t>
  </si>
  <si>
    <t>والاكين مكانعراف عليها والو</t>
  </si>
  <si>
    <t>What rare species are you looking for?</t>
  </si>
  <si>
    <t>achn8oma l2anwa3 nnadira likat9lab 3liha?</t>
  </si>
  <si>
    <t>أشنهوما لأنواع الناديرا ليكاتقلاب عليها?</t>
  </si>
  <si>
    <t>Nightingales are quite rare</t>
  </si>
  <si>
    <t>l3andalib rah makaynach bzaf</t>
  </si>
  <si>
    <t>لعانداليب راه ماكايناش بزاف</t>
  </si>
  <si>
    <t>They sing beautifully</t>
  </si>
  <si>
    <t>kayghniw bchakal zwin bzaf</t>
  </si>
  <si>
    <t>كايغنيو بشاكال زوين بزاف</t>
  </si>
  <si>
    <t>But when it comes to birdsong, I love the cheeky sound of the blackbird</t>
  </si>
  <si>
    <t>walakin mli kayt3ala9 l2amar b2oghnia dyal l3asafir, ana kanbghi Sawt dyal cha7ror safi9</t>
  </si>
  <si>
    <t>والاكين ملي كايتعالاق لأمار بأغنيا ديال لعاسافير, أنا كانبغي صاوت ديال شاحرور سافيق</t>
  </si>
  <si>
    <t>I don't think you can beat waking up to the noisy sound of the birds</t>
  </si>
  <si>
    <t>makanDnch wach imkan ighalb 3la nwad 3la sawt dyal tyor l9asa7</t>
  </si>
  <si>
    <t>ماكانضنش واش إمكان إغالب علا نواد علا ساوت ديال تيور لقاساح</t>
  </si>
  <si>
    <t>You've travelled in distant countries to see and listen to some very rare species?</t>
  </si>
  <si>
    <t>safarti fboldan b3ida bach tchof anwa3 naadira bzaf otsma3 liha?</t>
  </si>
  <si>
    <t>سافارتي فبولدان بعيدا باش تشوف أنواع ناديرا بزاف أُتسماع ليها?</t>
  </si>
  <si>
    <t>Yes, I was in Sri Lanka recently and saw some wonderful birds and animals</t>
  </si>
  <si>
    <t>ah, kant f Sri Lanka ghir mo2akharan ochaft chi Tyor o7ayawnat wa3ra</t>
  </si>
  <si>
    <t>أه, كانت ف صري لانكا غير موأخاران أُشافت شي طيور أُحاياونات واعرا</t>
  </si>
  <si>
    <t>Have you travelled much?</t>
  </si>
  <si>
    <t>wach safrti bzaf?</t>
  </si>
  <si>
    <t>واش سافرتي بزاف?</t>
  </si>
  <si>
    <t>Yes, very much</t>
  </si>
  <si>
    <t>ah, bzaaf</t>
  </si>
  <si>
    <t>أه, بزاف</t>
  </si>
  <si>
    <t>especially in South America where there are extraordinary animals in the Amazon forest</t>
  </si>
  <si>
    <t>aktarya f amrica ljanobia fin kaynin 7ayawnat fchkel f ghabat amazon</t>
  </si>
  <si>
    <t>أكتاريا ف أمريكا لجانوبيا فين كاينين حاياونات فشكل ف غابات أمازون</t>
  </si>
  <si>
    <t>Did you get a chance to get there?</t>
  </si>
  <si>
    <t>wach l9iti chi forsa bach twSal ltma?</t>
  </si>
  <si>
    <t>واش لقيتي شي فورسا باش توصال لتما?</t>
  </si>
  <si>
    <t>There's some amazing birds in Brazil</t>
  </si>
  <si>
    <t>kaynin chi Tyor wa3ra flbrazil</t>
  </si>
  <si>
    <t>كاينين شي طيور واعرا فلبرازيل</t>
  </si>
  <si>
    <t>No, I would love to go to South America and particularly Brazil</t>
  </si>
  <si>
    <t>la, bghit nmchi l amrica ljanobia oblkhosos lbrazil</t>
  </si>
  <si>
    <t>لا, بغيت نمشي ل أمريكا لجانوبيا أُبلخوسوس لبرازيل</t>
  </si>
  <si>
    <t>It would be incredible to see a Toucan in the wild</t>
  </si>
  <si>
    <t>ghadi ikon mod8il tchof Toucan flbarria</t>
  </si>
  <si>
    <t>غادي إكون مودهيل تشوف طوكان فلبارّيا</t>
  </si>
  <si>
    <t>I need to save up enough money to go there</t>
  </si>
  <si>
    <t>an7taj njma3 lighadi ikfini dyal lflous bach nmchi ltma</t>
  </si>
  <si>
    <t>أنحتاج نجماع ليغادي إكفيني ديال لفلوس باش نمشي لتما</t>
  </si>
  <si>
    <t>Yes, a trip to South America would be expensive</t>
  </si>
  <si>
    <t>ah, ri7la l amrica ljanobia ghaTTle3 ghalia</t>
  </si>
  <si>
    <t>أه, ريحلا ل أمريكا لجانوبيا غاطّلع غاليا</t>
  </si>
  <si>
    <t>I'd like to go to Argentina and see the condors</t>
  </si>
  <si>
    <t>bghit nmchi l arjontin onchof condors</t>
  </si>
  <si>
    <t>بغيت نمشي ل أرجونتين أُنشوف كوندورس</t>
  </si>
  <si>
    <t>I've heard that Argentina is a beautiful country too with stunning landscapes</t>
  </si>
  <si>
    <t>sma3t bli argentine blad zwina tahya o3ndha manaDir Tabi3ia khallaba</t>
  </si>
  <si>
    <t>سماعت بلي أرڭنتين بلاد زوينا تاهيا أُعندها ماناضير طابيعيا خالّابا</t>
  </si>
  <si>
    <t>It's a country I know very little about</t>
  </si>
  <si>
    <t>hia dawla makan3rafch 3liha bzaf</t>
  </si>
  <si>
    <t>هيا داولا ماكانعرافش عليها بزاف</t>
  </si>
  <si>
    <t>I will have to do some research</t>
  </si>
  <si>
    <t>ghadi ikhasni ndir chwiya dyal lba7t</t>
  </si>
  <si>
    <t>غادي إخاسني ندير شوييا ديال لباحت</t>
  </si>
  <si>
    <t>ghadi ikhasni nb7t chwia</t>
  </si>
  <si>
    <t>غادي إخاسني نبحت شويا</t>
  </si>
  <si>
    <t>We have to go south to Fire Nation</t>
  </si>
  <si>
    <t>aykhsna nmchiw ljanob l Fire Nation</t>
  </si>
  <si>
    <t>أيخسنا نمشيو لجانوب ل فير ناتيون</t>
  </si>
  <si>
    <t>Chile too is a beautiful country</t>
  </si>
  <si>
    <t>Chile 7ta hia blad zwina</t>
  </si>
  <si>
    <t>شيل حتا هيا بلاد زوينا</t>
  </si>
  <si>
    <t>You'll find more animals there than those cats!</t>
  </si>
  <si>
    <t>ghadi tl9a tma 7ayawnat ktar mn had lmchach!</t>
  </si>
  <si>
    <t>غادي تلقا تما حاياونات كتار من هاد لمشاش!</t>
  </si>
  <si>
    <t>Hello, I am great thank you</t>
  </si>
  <si>
    <t>ahlan, ana bikhir chokran</t>
  </si>
  <si>
    <t>أهلان, أنا بيخير شوكران</t>
  </si>
  <si>
    <t>How are you doing today?</t>
  </si>
  <si>
    <t>kif rak lyom?</t>
  </si>
  <si>
    <t>كيف راك ليوم?</t>
  </si>
  <si>
    <t>It's a good time to feed the animals</t>
  </si>
  <si>
    <t>hada wa9t mazyan bach twakal l7ayawanat</t>
  </si>
  <si>
    <t>هادا واقت مازيان باش تواكال لحاياوانات</t>
  </si>
  <si>
    <t>Why is that?</t>
  </si>
  <si>
    <t>3lach hadchi?</t>
  </si>
  <si>
    <t>علاش هادشي?</t>
  </si>
  <si>
    <t>Because they are hungry</t>
  </si>
  <si>
    <t>7itach houma ji3anin</t>
  </si>
  <si>
    <t>حيتاش هوما جيعانين</t>
  </si>
  <si>
    <t>They look hungry</t>
  </si>
  <si>
    <t>kaybano bli ji3anin</t>
  </si>
  <si>
    <t>كايبانو بلي جيعانين</t>
  </si>
  <si>
    <t>kayban fihom jjou3</t>
  </si>
  <si>
    <t>كايبان فيهوم الجوع</t>
  </si>
  <si>
    <t>What shall we give them to eat?</t>
  </si>
  <si>
    <t>ach aykhssna n3Tiwhom yaklo?</t>
  </si>
  <si>
    <t>أش أيخسّنا نعطيوهوم ياكلو?</t>
  </si>
  <si>
    <t>I have heard that bread is not the best for them</t>
  </si>
  <si>
    <t>sma3t bli lkhobz machi mzyan lihom</t>
  </si>
  <si>
    <t>سماعت بلي لخوبز ماشي مزيان ليهوم</t>
  </si>
  <si>
    <t>I have heard that meat is not the best for them</t>
  </si>
  <si>
    <t>sma3t bli l7m mamzyanach lihom</t>
  </si>
  <si>
    <t>سماعت بلي لحم مامزياناش ليهوم</t>
  </si>
  <si>
    <t>what do you think?</t>
  </si>
  <si>
    <t>ach ban lik?</t>
  </si>
  <si>
    <t>أش بان ليك?</t>
  </si>
  <si>
    <t>He believes that giving cats bread is not good for them</t>
  </si>
  <si>
    <t>hoa kay3ta9d blli t3Ti lkhobz lmchach machi mazyan lihom</t>
  </si>
  <si>
    <t>هوا كايعتاقد بلّي تعطي لخوبز لمشاش ماشي مازيان ليهوم</t>
  </si>
  <si>
    <t>Better give them carrots</t>
  </si>
  <si>
    <t>7san t3tihom khizo</t>
  </si>
  <si>
    <t>حسان تعتيهوم خيزو</t>
  </si>
  <si>
    <t>The carrots might sink before they have a chance to eat them!</t>
  </si>
  <si>
    <t>khizo i9dr ighra9 9bal mayoSlo yakloh!</t>
  </si>
  <si>
    <t>خيزو إقدر إغراق قبال مايوصلو ياكلوه!</t>
  </si>
  <si>
    <t>It doesn't float carrots?</t>
  </si>
  <si>
    <t>wach khizo makayb9ach fo9 lma?</t>
  </si>
  <si>
    <t>واش خيزو ماكايبقاش فوق لما?</t>
  </si>
  <si>
    <t>If we reach out, maybe they'll come for lunch.</t>
  </si>
  <si>
    <t>ila twaslna i9dar ijiw itghddaw.</t>
  </si>
  <si>
    <t>إلا تواسلنا إقدار إجيو إتغدّاو.</t>
  </si>
  <si>
    <t>At worst, they'll go down</t>
  </si>
  <si>
    <t>f aswa2 l2a7wal, ghadi i8bTo</t>
  </si>
  <si>
    <t>ف أسواء لأحوال, غادي إهبطو</t>
  </si>
  <si>
    <t>Hopefully they won't sink while eating</t>
  </si>
  <si>
    <t>katmnnaw mayghr9och mli ikono kayaklo</t>
  </si>
  <si>
    <t>كاتمنّاو مايغرقوش ملي إكونو كاياكلو</t>
  </si>
  <si>
    <t>that would be a sad lunchtime for them</t>
  </si>
  <si>
    <t>hadak ghadi ikon wa9t ghda 7azin lihom</t>
  </si>
  <si>
    <t>هاداك غادي إكون واقت غدا حازين ليهوم</t>
  </si>
  <si>
    <t>Maybe we could try and hit them?</t>
  </si>
  <si>
    <t>imkan n9adro n7awlo onDarbo8om?</t>
  </si>
  <si>
    <t>إمكان نقادرو نحاولو أُنضاربوهوم?</t>
  </si>
  <si>
    <t>If we make horse noises they might come over!</t>
  </si>
  <si>
    <t>ila drna aSwat dyal l3iwdan i9dro ijiw!</t>
  </si>
  <si>
    <t>إلا درنا أصوات ديال لعيودان إقدرو إجيو!</t>
  </si>
  <si>
    <t>Shall we try?</t>
  </si>
  <si>
    <t>n7awlo?</t>
  </si>
  <si>
    <t>نحاولو?</t>
  </si>
  <si>
    <t>Let's try</t>
  </si>
  <si>
    <t>yallah njrrbo</t>
  </si>
  <si>
    <t>يالّاه نجرّبو</t>
  </si>
  <si>
    <t>come over here we have something to eat</t>
  </si>
  <si>
    <t>aji l8na 3ndna maytkal</t>
  </si>
  <si>
    <t>أجي لهنا عندنا مايتكال</t>
  </si>
  <si>
    <t>He came over</t>
  </si>
  <si>
    <t>rah ja</t>
  </si>
  <si>
    <t>راه جا</t>
  </si>
  <si>
    <t>she came over</t>
  </si>
  <si>
    <t>rah jat</t>
  </si>
  <si>
    <t>راه جات</t>
  </si>
  <si>
    <t>they came over</t>
  </si>
  <si>
    <t>rah jaw</t>
  </si>
  <si>
    <t>راه جاو</t>
  </si>
  <si>
    <t>He took the carrot from your hand!</t>
  </si>
  <si>
    <t>khda khizo mn idik!</t>
  </si>
  <si>
    <t>خدا خيزو من إديك!</t>
  </si>
  <si>
    <t>before he leaves</t>
  </si>
  <si>
    <t>9bal maymchi</t>
  </si>
  <si>
    <t>قبال مايمشي</t>
  </si>
  <si>
    <t>too late</t>
  </si>
  <si>
    <t>fat l7al</t>
  </si>
  <si>
    <t>فات لحال</t>
  </si>
  <si>
    <t>mcha l7al</t>
  </si>
  <si>
    <t>مشا لحال</t>
  </si>
  <si>
    <t>He got scared</t>
  </si>
  <si>
    <t>rah khaf</t>
  </si>
  <si>
    <t>راه خاف</t>
  </si>
  <si>
    <t>rah chddato lkhl3a</t>
  </si>
  <si>
    <t>راه شدّاتو لخلعا</t>
  </si>
  <si>
    <t>All he left was feathers on the way out</t>
  </si>
  <si>
    <t>makhlla ghir rrich mli kan kharaj</t>
  </si>
  <si>
    <t>ماخلّا غير الريش ملي كان خاراج</t>
  </si>
  <si>
    <t>Maybe he'll get caressed next time</t>
  </si>
  <si>
    <t>imken ghadi itda3eb lmra jaya</t>
  </si>
  <si>
    <t>إمكن غادي إتداعب لمرا جايا</t>
  </si>
  <si>
    <t>We should go home</t>
  </si>
  <si>
    <t>aykhsna ncmhiw ldar</t>
  </si>
  <si>
    <t>أيخسنا نكمهيو لدار</t>
  </si>
  <si>
    <t>We should go back home</t>
  </si>
  <si>
    <t>aykhsna nrj3o ldar</t>
  </si>
  <si>
    <t>أيخسنا نرجعو لدار</t>
  </si>
  <si>
    <t>Good evening, my friend</t>
  </si>
  <si>
    <t>masa2 lkhir a Sa7bi</t>
  </si>
  <si>
    <t>ماساء لخير أ صاحبي</t>
  </si>
  <si>
    <t>msa lkhir a 3chiri</t>
  </si>
  <si>
    <t>مسا لخير أ عشيري</t>
  </si>
  <si>
    <t>How are you this evening?</t>
  </si>
  <si>
    <t>kif rak had l3chiya</t>
  </si>
  <si>
    <t>كيف راك هاد لعشييا</t>
  </si>
  <si>
    <t>I've got terrible flatulence my friend</t>
  </si>
  <si>
    <t>krchi mnfoukha nit aSa7bi</t>
  </si>
  <si>
    <t>كرشي منفوخا نيت أصاحبي</t>
  </si>
  <si>
    <t>The food here is terrible!</t>
  </si>
  <si>
    <t>lmakla 8na khayba bzaf!</t>
  </si>
  <si>
    <t>لماكلا هنا خايبا بزاف!</t>
  </si>
  <si>
    <t>Oh, my poor old man</t>
  </si>
  <si>
    <t>oh, charf dyali lmaskin</t>
  </si>
  <si>
    <t>أُه, شارف ديالي لماسكين</t>
  </si>
  <si>
    <t>I brought you a bottle of wine</t>
  </si>
  <si>
    <t>jbt lik 9ar3a dyal chrab</t>
  </si>
  <si>
    <t>جبت ليك قارعا ديال شراب</t>
  </si>
  <si>
    <t>no one saw anything</t>
  </si>
  <si>
    <t>ta7d machaf chi 7aja</t>
  </si>
  <si>
    <t>تاحد ماشاف شي حاجا</t>
  </si>
  <si>
    <t>Here, I'll hide it for you</t>
  </si>
  <si>
    <t>8na, ghadi nkhbiha lik</t>
  </si>
  <si>
    <t>هنا, غادي نخبيها ليك</t>
  </si>
  <si>
    <t>Thanks but aren't you going to have some with me?</t>
  </si>
  <si>
    <t>chokran walakin wach maghadich takhod chwiya m3aya?</t>
  </si>
  <si>
    <t>شوكران والاكين واش ماغاديش تاخود شوييا معايا?</t>
  </si>
  <si>
    <t>It's up to you</t>
  </si>
  <si>
    <t>hadchi khlito lik</t>
  </si>
  <si>
    <t>هادشي خليتو ليك</t>
  </si>
  <si>
    <t>lli ballik</t>
  </si>
  <si>
    <t>اللي بالّيك</t>
  </si>
  <si>
    <t>You can keep it for yourself</t>
  </si>
  <si>
    <t>imkan lik t7tafD biha lrassak</t>
  </si>
  <si>
    <t>إمكان ليك تحتافض بيها لراسّاك</t>
  </si>
  <si>
    <t>we can drink from two</t>
  </si>
  <si>
    <t>imkan lina ncharbo mn joj</t>
  </si>
  <si>
    <t>إمكان لينا نشاربو من جوج</t>
  </si>
  <si>
    <t>or we can also invite the nurse that I ran into when I came in</t>
  </si>
  <si>
    <t>o imkn lina tta n3ardo 3la lfrmlia li tsat7t m3aha mli knt jay"</t>
  </si>
  <si>
    <t>أُ إمكن لينا التا نعاردو علا لفرمليا لي تساتحت معاها ملي كنت جاي"</t>
  </si>
  <si>
    <t>She's all right!</t>
  </si>
  <si>
    <t>hia labas!</t>
  </si>
  <si>
    <t>هيا لاباس!</t>
  </si>
  <si>
    <t>Yes, it's fine</t>
  </si>
  <si>
    <t>ah, hanya</t>
  </si>
  <si>
    <t>أه, هانيا</t>
  </si>
  <si>
    <t>Most of the old folks in here don't know what day it is and wouldn't notice anyway!</t>
  </si>
  <si>
    <t>l2aghlabia dyal nas l9dam 8na makay3rfoch ach lyom omghadich ila7Do dakchi kimma kan l7al!</t>
  </si>
  <si>
    <t>لأغلابيا ديال ناس لقدام هنا ماكايعرفوش أش ليوم أُمغاديش إلاحضو داكشي كيمّا كان لحال!</t>
  </si>
  <si>
    <t>I know which nurse you mean</t>
  </si>
  <si>
    <t>kan3raf achmn farmlia kat9Sad</t>
  </si>
  <si>
    <t>كانعراف أشمن فارمليا كاتقصاد</t>
  </si>
  <si>
    <t>she gave me a nice massage earlier!</t>
  </si>
  <si>
    <t>dart lia massage zwin gbila!</t>
  </si>
  <si>
    <t>دارت ليا ماسّاڭ زوين ڭبيلا!</t>
  </si>
  <si>
    <t>Massage?</t>
  </si>
  <si>
    <t>massage?</t>
  </si>
  <si>
    <t>ماسّاڭ?</t>
  </si>
  <si>
    <t>Did you pay her for that, or do you think she likes you?</t>
  </si>
  <si>
    <t>wach khlastiha 3la dakchi, ola kaDn bli 3jbtiha?</t>
  </si>
  <si>
    <t>واش خلاستيها علا داكشي, أُلا كاضن بلي عجبتيها?</t>
  </si>
  <si>
    <t>Yes, the nurses give us massages all the time</t>
  </si>
  <si>
    <t>ah, lfrmliat kaydiro lina massage dima</t>
  </si>
  <si>
    <t>أه, لفرمليات كايديرو لينا ماسّاڭ ديما</t>
  </si>
  <si>
    <t>I get most of them though</t>
  </si>
  <si>
    <t>khdit l2aghliabia dyalhom</t>
  </si>
  <si>
    <t>خديت لأغليابيا ديالهوم</t>
  </si>
  <si>
    <t>The nurses seem to be queueing up!</t>
  </si>
  <si>
    <t>kayabn lia bli lfarmliat kaydiro Saff!</t>
  </si>
  <si>
    <t>كايابن ليا بلي لفارمليات كايديرو صافّ!</t>
  </si>
  <si>
    <t>She wouldn't take any money from me</t>
  </si>
  <si>
    <t>maghadich takhad 7ta chi flous mn 3ndi</t>
  </si>
  <si>
    <t>ماغاديش تاخاد حتا شي فلوس من عندي</t>
  </si>
  <si>
    <t>She says her services are free but I'm not sure what she means?</t>
  </si>
  <si>
    <t>katgol bli lkhadamat dyalha fabor walakin mamt2akadch chno kat9sad?</t>
  </si>
  <si>
    <t>كاتڭول بلي لخادامات ديالها فابور والاكين مامتأكادش شنو كاتقساد?</t>
  </si>
  <si>
    <t>Hmm, that's nice, but a little weird, isn't it?</t>
  </si>
  <si>
    <t>hmm, hadchi zwin, walakin gharib chwia, ollala?</t>
  </si>
  <si>
    <t>همّ, هادشي زوين, والاكين غاريب شويا, أُلّالا?</t>
  </si>
  <si>
    <t>I mean, whatever!</t>
  </si>
  <si>
    <t>kan9sad, balak!</t>
  </si>
  <si>
    <t>كانقساد, بالاك!</t>
  </si>
  <si>
    <t>What matters is that there's a pretty nurse like that giving you massages</t>
  </si>
  <si>
    <t>likay8am hwa anaho kayna momarida zwina b7al hadi kadir lik massage</t>
  </si>
  <si>
    <t>ليكايهام هوا أناهو كاينا موماريدا زوينا بحال هادي كادير ليك ماسّاڭ</t>
  </si>
  <si>
    <t>So, shall we open this bottle of wine?</t>
  </si>
  <si>
    <t>ewa, wach n7allo had 9ar3a dyal chrab?</t>
  </si>
  <si>
    <t>إوا, واش نحالّو هاد قارعا ديال شراب?</t>
  </si>
  <si>
    <t>Yes, let's get it opened</t>
  </si>
  <si>
    <t>ah, khlina nft7oha</t>
  </si>
  <si>
    <t>أه, خلينا نفتحوها</t>
  </si>
  <si>
    <t>I've got two nice wine glasses in my bedside cabinet</t>
  </si>
  <si>
    <t>3ndi joj kisan dyal chrab zwinin flkhizana 7da namousia dyali</t>
  </si>
  <si>
    <t>عندي جوج كيسان ديال شراب زوينين فلخيزانا حدا ناموسيا ديالي</t>
  </si>
  <si>
    <t>I've also got some playing cards here</t>
  </si>
  <si>
    <t>o3ndi karTa tahia</t>
  </si>
  <si>
    <t>أُعندي كارطا تاهيا</t>
  </si>
  <si>
    <t>Shall we invite one or two of the others and we can all play poker?</t>
  </si>
  <si>
    <t>wach n3arDo 3la chi wahd ola joj khrin on9dro nl3bo poker?</t>
  </si>
  <si>
    <t>واش نعارضو علا شي واهد أُلا جوج خرين أُنقدرو نلعبو پوكر?</t>
  </si>
  <si>
    <t>That's a good idea</t>
  </si>
  <si>
    <t>hadi fikra mzyana</t>
  </si>
  <si>
    <t>هادي فيكرا مزيانا</t>
  </si>
  <si>
    <t>You want me to knock on doors, or do you have specific people in mind?</t>
  </si>
  <si>
    <t>bghitini nda9 lbiban ola 3andak chi achkhas f3a9lak?</t>
  </si>
  <si>
    <t>بغيتيني نداق لبيبان أُلا عانداك شي أشخاس فعاقلاك?</t>
  </si>
  <si>
    <t>Anybody, Just make sure you avoid door number 6</t>
  </si>
  <si>
    <t>ay wahd, ghir fout 3lik lbab ra9m 6</t>
  </si>
  <si>
    <t>أي واهد, غير فوت عليك لباب راقم 6</t>
  </si>
  <si>
    <t>The lady in there is bonkers, and hurls abuse at everybody!</t>
  </si>
  <si>
    <t>ssyda tmak hbila, okatrmi lbaTl 3la ayy wahd!</t>
  </si>
  <si>
    <t>السيدا تماك هبيلا, أُكاترمي لباطل علا أيّ واهد!</t>
  </si>
  <si>
    <t>All right, I'll look for people and I'll be right back!</t>
  </si>
  <si>
    <t>wakha, ghadi n9lab 3la nnas o nrja3!</t>
  </si>
  <si>
    <t>واخا, غادي نقلاب علا الناس أُ نرجاع!</t>
  </si>
  <si>
    <t>ghadi nrja3 daba</t>
  </si>
  <si>
    <t>غادي نرجاع دابا</t>
  </si>
  <si>
    <t>chwia onji</t>
  </si>
  <si>
    <t>شويا أُنجي</t>
  </si>
  <si>
    <t>I am worried about my mother</t>
  </si>
  <si>
    <t>ana machTon 3la lwalida</t>
  </si>
  <si>
    <t>أنا ماشطون علا لواليدا</t>
  </si>
  <si>
    <t>Tell me about your mother</t>
  </si>
  <si>
    <t>3awdlia 3la lwalida dyalk</t>
  </si>
  <si>
    <t>عاودليا علا لواليدا ديالك</t>
  </si>
  <si>
    <t>Why are you worried about her?</t>
  </si>
  <si>
    <t>3lach nta machTon 3liha?</t>
  </si>
  <si>
    <t>علاش نتا ماشطون عليها?</t>
  </si>
  <si>
    <t>Well I am more worried about what she makes me do!</t>
  </si>
  <si>
    <t>awdi ana machton ktar 3la chno katkhallini ndir!</t>
  </si>
  <si>
    <t>أودي أنا ماشتون كتار علا شنو كاتخالّيني ندير!</t>
  </si>
  <si>
    <t>Oh?</t>
  </si>
  <si>
    <t>أُه?</t>
  </si>
  <si>
    <t>What's she doing to you?</t>
  </si>
  <si>
    <t>ach kadir lik?</t>
  </si>
  <si>
    <t>أش كادير ليك?</t>
  </si>
  <si>
    <t>I never seem to get any time on my own</t>
  </si>
  <si>
    <t>makaybanch lia bli 3ndi 7ta chi wa9t khass bia</t>
  </si>
  <si>
    <t>ماكايبانش ليا بلي عندي حتا شي واقت خاسّ بيا</t>
  </si>
  <si>
    <t>She is always there</t>
  </si>
  <si>
    <t>hia dima tma</t>
  </si>
  <si>
    <t>هيا ديما تما</t>
  </si>
  <si>
    <t>She tells you all the time what to do and how to do it?</t>
  </si>
  <si>
    <t>katgolik dima chno dir okifach diro?</t>
  </si>
  <si>
    <t>كاتڭوليك ديما شنو دير أُكيفاش ديرو?</t>
  </si>
  <si>
    <t>Well, no not really, but it's like she is watching me</t>
  </si>
  <si>
    <t>mmm, la machi ga3 hakkak, walakin kayban b7al ala 7aDyani</t>
  </si>
  <si>
    <t>المم, لا ماشي ڭاع هاكّاك, والاكين كايبان بحال ألا حاضياني</t>
  </si>
  <si>
    <t>And you feel like she's on trial?</t>
  </si>
  <si>
    <t>o kat7as b7al hya fmo7akama?</t>
  </si>
  <si>
    <t>أُ كاتحاس بحال هيا فموحاكاما?</t>
  </si>
  <si>
    <t>More like me being on trial</t>
  </si>
  <si>
    <t>b7ala ana f lmo7akama</t>
  </si>
  <si>
    <t>بحالا أنا ف لموحاكاما</t>
  </si>
  <si>
    <t>and I think she follows me</t>
  </si>
  <si>
    <t>o kanDn bli ktba3ni</t>
  </si>
  <si>
    <t>أُ كانضن بلي كتباعني</t>
  </si>
  <si>
    <t>Is she following you?</t>
  </si>
  <si>
    <t>wach hya katb3ak?</t>
  </si>
  <si>
    <t>واش هيا كاتبعاك?</t>
  </si>
  <si>
    <t>In town, everywhere?</t>
  </si>
  <si>
    <t>flmdiba, fga3 lblayS?</t>
  </si>
  <si>
    <t>فلمديبا, فڭاع لبلايص?</t>
  </si>
  <si>
    <t>Not everywhere but yesterday I was in a coffee shop and I saw her at the door</t>
  </si>
  <si>
    <t>machi fga3 lblayS walakin lbar7 knt fl9ahwa ochftha 7da lbab</t>
  </si>
  <si>
    <t>ماشي فڭاع لبلايص والاكين لبارح كنت فلقاهوا أُشفتها حدا لباب</t>
  </si>
  <si>
    <t>When I looked up she was gone!</t>
  </si>
  <si>
    <t>mlli 9llbt kant mchat!</t>
  </si>
  <si>
    <t>ملّي قلّبت كانت مشات!</t>
  </si>
  <si>
    <t>Are you sure it was her?</t>
  </si>
  <si>
    <t>wach nta mat2kad bli kant hya?</t>
  </si>
  <si>
    <t>واش نتا ماتءكاد بلي كانت هيا?</t>
  </si>
  <si>
    <t>To be truthful...</t>
  </si>
  <si>
    <t>bach tkon Sari7...</t>
  </si>
  <si>
    <t>باش تكون صاريح...</t>
  </si>
  <si>
    <t>I am not sure anyone was there</t>
  </si>
  <si>
    <t>mamt2kadch wach kan ay wahd tmak</t>
  </si>
  <si>
    <t>مامتءكادش واش كان أي واهد تماك</t>
  </si>
  <si>
    <t>Who were you spying on?</t>
  </si>
  <si>
    <t>3la mn kanti katjassas?</t>
  </si>
  <si>
    <t>علا من كانتي كاتجاسّاس?</t>
  </si>
  <si>
    <t>Why do you think I was spying?</t>
  </si>
  <si>
    <t>3lach kaDDenn bli knt kantjasas?</t>
  </si>
  <si>
    <t>علاش كاضّنّ بلي كنت كانتجاساس?</t>
  </si>
  <si>
    <t>No, no, I was asking you who was spying on the door</t>
  </si>
  <si>
    <t>La la kant kansawlak chkon likan kaytjasas fl lbab</t>
  </si>
  <si>
    <t>لا لا كانت كانساولاك شكون ليكان كايتجاساس فل لباب</t>
  </si>
  <si>
    <t>It was a woman in a black coat carrying an umbrella</t>
  </si>
  <si>
    <t>kant mra labsa kbboT k7al o 8azza mDalla</t>
  </si>
  <si>
    <t>كانت مرا لابسا كبّوط كحال أُ هازّا مضالّا</t>
  </si>
  <si>
    <t>She had long blonde hair tied in a bun</t>
  </si>
  <si>
    <t>kan 3andha ch3ar sfar Twil mrbot</t>
  </si>
  <si>
    <t>كان عاندها شعار سفار طويل مربوت</t>
  </si>
  <si>
    <t>And your mother looks like that?</t>
  </si>
  <si>
    <t>o lwalida dyalk dyra b7al haka?</t>
  </si>
  <si>
    <t>أُ لواليدا ديالك ديرا بحال هاكا?</t>
  </si>
  <si>
    <t>sort of... it is like the photos of her as a young woman</t>
  </si>
  <si>
    <t>t9riban... b7al sora dyalha ka mra chabba</t>
  </si>
  <si>
    <t>تقريبان... بحال سورا ديالها كا مرا شابّا</t>
  </si>
  <si>
    <t>But it probably wasn't her, then, was it?</t>
  </si>
  <si>
    <t>walakin imkan mkantch hya, dik sa3, yak?</t>
  </si>
  <si>
    <t>والاكين إمكان مكانتش هيا, ديك ساع, ياك?</t>
  </si>
  <si>
    <t>What did you have to do with your mother when you were a child?</t>
  </si>
  <si>
    <t>ach kan 3lik dir m3a lwalida dyalk mli kanti Sghir?</t>
  </si>
  <si>
    <t>أش كان عليك دير معا لواليدا ديالك ملي كانتي صغير?</t>
  </si>
  <si>
    <t>That's what I meant about not being sure anyone was there</t>
  </si>
  <si>
    <t>hadchi li9Sadt b annani mamt2akadch wach kan chi 7ad tma</t>
  </si>
  <si>
    <t>هادشي ليقصادت ب أنّاني مامتأكادش واش كان شي حاد تما</t>
  </si>
  <si>
    <t>I used to have a photo of her pinned on the wall next to my bed</t>
  </si>
  <si>
    <t>wllaft n7at tswira dyalha f l7iT 7da namousia dyali</t>
  </si>
  <si>
    <t>ولّافت نحات تسويرا ديالها ف لحيط حدا ناموسيا ديالي</t>
  </si>
  <si>
    <t>I used to cry a lot</t>
  </si>
  <si>
    <t>wllft anani nbki bzaf</t>
  </si>
  <si>
    <t>ولّفت أناني نبكي بزاف</t>
  </si>
  <si>
    <t>knt kanbki bzaf</t>
  </si>
  <si>
    <t>كنت كانبكي بزاف</t>
  </si>
  <si>
    <t>I remember that</t>
  </si>
  <si>
    <t>ana 3a9l 3la hadchi</t>
  </si>
  <si>
    <t>أنا عاقل علا هادشي</t>
  </si>
  <si>
    <t>Did she take care of you much?</t>
  </si>
  <si>
    <t>wach t8lat fik mzyan?</t>
  </si>
  <si>
    <t>واش تهلات فيك مزيان?</t>
  </si>
  <si>
    <t>When she was at home, yes</t>
  </si>
  <si>
    <t>mlli kant fdar ah</t>
  </si>
  <si>
    <t>ملّي كانت فدار أه</t>
  </si>
  <si>
    <t>but I remember her being away from home a lot</t>
  </si>
  <si>
    <t>walakin kan39l annaha kant b3ida 3la dar bzaf lwa9t</t>
  </si>
  <si>
    <t>والاكين كانعقل أنّاها كانت بعيدا علا دار بزاف لواقت</t>
  </si>
  <si>
    <t>Did you miss her when she was far away?</t>
  </si>
  <si>
    <t>wach twa7achtiha mli kant b3ida?</t>
  </si>
  <si>
    <t>واش تواحاشتيها ملي كانت بعيدا?</t>
  </si>
  <si>
    <t>ah</t>
  </si>
  <si>
    <t>أه</t>
  </si>
  <si>
    <t>but I don't think she was that far away</t>
  </si>
  <si>
    <t>walakin makanDnch wach kant b3ida bzaf</t>
  </si>
  <si>
    <t>والاكين ماكانضنش واش كانت بعيدا بزاف</t>
  </si>
  <si>
    <t>Unfortunately, our time is up, it's time for my next patient</t>
  </si>
  <si>
    <t>lso2 l7aD, tsala lwa9t dyalna, ja lwa9t lmarida dyali limn ba3d</t>
  </si>
  <si>
    <t>لسوء لحاض, تسالا لواقت ديالنا, جا لواقت لماريدا ديالي ليمن باعد</t>
  </si>
  <si>
    <t>Unfortunately, another time</t>
  </si>
  <si>
    <t>lil2asaf, mrra khra</t>
  </si>
  <si>
    <t>ليلأساف, مرّا خرا</t>
  </si>
  <si>
    <t>You'll be back next week, same time, same place?</t>
  </si>
  <si>
    <t>ghadi trja3 siamana jaya, fnafs lwa9t, fnafs lwa9t?</t>
  </si>
  <si>
    <t>غادي ترجاع سيامانا جايا, فنافس لواقت, فنافس لواقت?</t>
  </si>
  <si>
    <t>Thank you doctor</t>
  </si>
  <si>
    <t>chokran lik a Tbib</t>
  </si>
  <si>
    <t>شوكران ليك أ طبيب</t>
  </si>
  <si>
    <t>yes I think my mother is waiting for me</t>
  </si>
  <si>
    <t>ah kanDn bli lwalida dyali katsannani</t>
  </si>
  <si>
    <t>أه كانضن بلي لواليدا ديالي كاتسانّاني</t>
  </si>
  <si>
    <t>laila sa3ida</t>
  </si>
  <si>
    <t>لايلا ساعيدا</t>
  </si>
  <si>
    <t>Hey, you, did you just get in the neighborhood?</t>
  </si>
  <si>
    <t>hey, nta, wach yalah dkhlti l7ay?</t>
  </si>
  <si>
    <t>هي, نتا, واش يالاه دخلتي لحاي?</t>
  </si>
  <si>
    <t>This is the first time I've seen you</t>
  </si>
  <si>
    <t>hadi awl mra nchofak fiha</t>
  </si>
  <si>
    <t>هادي أول مرا نشوفاك فيها</t>
  </si>
  <si>
    <t>Sorry</t>
  </si>
  <si>
    <t>sam7na</t>
  </si>
  <si>
    <t>سامحنا</t>
  </si>
  <si>
    <t>But I don't like being addressed as 'Hey, you'</t>
  </si>
  <si>
    <t>walakin makan7malch li i3yyeT 3lia b 'hey, nta'</t>
  </si>
  <si>
    <t>والاكين ماكانحمالش لي إعيّط عليا ب 'هي, نتا'</t>
  </si>
  <si>
    <t>How was I to know what table to sit at?</t>
  </si>
  <si>
    <t>kifach ghan3ref tabla li ngls fiha?</t>
  </si>
  <si>
    <t>كيفاش غانعرف تابلا لي نڭلس فيها?</t>
  </si>
  <si>
    <t>I'll sit at the bar</t>
  </si>
  <si>
    <t>ghadi nglas flbar</t>
  </si>
  <si>
    <t>غادي نڭلاس فلبار</t>
  </si>
  <si>
    <t>If that's allowed?</t>
  </si>
  <si>
    <t>ila kan hadchi masmou7?</t>
  </si>
  <si>
    <t>إلا كان هادشي ماسموح?</t>
  </si>
  <si>
    <t>Oh, you've got character!</t>
  </si>
  <si>
    <t>Oh, 3andak chakhSia!</t>
  </si>
  <si>
    <t>أُه, عانداك شاخصيا!</t>
  </si>
  <si>
    <t>Don't get upset!</t>
  </si>
  <si>
    <t>mat9lla9ch!</t>
  </si>
  <si>
    <t>ماتقلّاقش!</t>
  </si>
  <si>
    <t>mayb9ach fik l7al!</t>
  </si>
  <si>
    <t>مايبقاش فيك لحال!</t>
  </si>
  <si>
    <t>Can I get you something?</t>
  </si>
  <si>
    <t>wach njib chi 7aja?</t>
  </si>
  <si>
    <t>واش نجيب شي حاجا?</t>
  </si>
  <si>
    <t>njib lik m3aya chi l3iba?</t>
  </si>
  <si>
    <t>نجيب ليك معايا شي لعيبا?</t>
  </si>
  <si>
    <t>I think we got off to a bad start</t>
  </si>
  <si>
    <t>kanDnn bli bdina bidaya khayba</t>
  </si>
  <si>
    <t>كانضنّ بلي بدينا بيدايا خايبا</t>
  </si>
  <si>
    <t>I'm not upset</t>
  </si>
  <si>
    <t>ana ga3 mam9la9</t>
  </si>
  <si>
    <t>أنا ڭاع مامقلاق</t>
  </si>
  <si>
    <t>Your tone seemed unwelcoming</t>
  </si>
  <si>
    <t>8Drtak bant b7ala mamr77ebch bia</t>
  </si>
  <si>
    <t>هضرتاك بانت بحالا مامرحّبش بيا</t>
  </si>
  <si>
    <t>I'll have a red wine and yes I'm waiting for a friend</t>
  </si>
  <si>
    <t>ghadi nakhod nabid 7mr o ah ana kantsana Sa7bi</t>
  </si>
  <si>
    <t>غادي ناخود نابيد حمر أُ أه أنا كانتسانا صاحبي</t>
  </si>
  <si>
    <t>Any more questions?</t>
  </si>
  <si>
    <t>wach kayn chi so2al akhor?</t>
  </si>
  <si>
    <t>واش كاين شي سوأل أخور?</t>
  </si>
  <si>
    <t>I'm sorry I didn't want to rush you</t>
  </si>
  <si>
    <t>sma7lia mabghtich nzarrbak</t>
  </si>
  <si>
    <t>سماحليا مابغتيش نزارّباك</t>
  </si>
  <si>
    <t>Is there a wine that is particularly local?</t>
  </si>
  <si>
    <t>wach kayn nabid ma7ali bchkal khaS?</t>
  </si>
  <si>
    <t>واش كاين نابيد ماحالي بشكال خاص?</t>
  </si>
  <si>
    <t>You might be better off at the back table over there?</t>
  </si>
  <si>
    <t>imkn ghatkon mrta7 7sen fdik Tbla lour l8i8?</t>
  </si>
  <si>
    <t>إمكن غاتكون مرتاح حسن فديك طبلا لور لهيه?</t>
  </si>
  <si>
    <t>It's kind of cozy, a little away from the rest of the customers</t>
  </si>
  <si>
    <t>waah 8na mrtaa7, b3id chwiya 3la lklyan lkhrin</t>
  </si>
  <si>
    <t>واه هنا مرتاح, بعيد شوييا علا لكليان لخرين</t>
  </si>
  <si>
    <t>We only have local beer, wine comes from Bordeaux</t>
  </si>
  <si>
    <t>3ndna ghir lbira dyal 8na, o nabid kayji mn Bordeaux</t>
  </si>
  <si>
    <t>عندنا غير لبيرا ديال هنا, أُ نابيد كايجي من بوردوش</t>
  </si>
  <si>
    <t>Ah I understand now</t>
  </si>
  <si>
    <t>ah fhamt daba</t>
  </si>
  <si>
    <t>أه فهامت دابا</t>
  </si>
  <si>
    <t>When you said regular table I thought I was sitting at another customer's regular table</t>
  </si>
  <si>
    <t>mli 9alti tabla 3adia, knt kandan wach knt gals f tabla dyal chi whad akhor</t>
  </si>
  <si>
    <t>ملي قالتي تابلا عاديا, كنت كاندان واش كنت ڭالس ف تابلا ديال شي وهاد أخور</t>
  </si>
  <si>
    <t>Can I have a beer?</t>
  </si>
  <si>
    <t>wach n9dar nakhad bira?</t>
  </si>
  <si>
    <t>واش نقدار ناخاد بيرا?</t>
  </si>
  <si>
    <t>wach wakha nakhad bira?</t>
  </si>
  <si>
    <t>واش واخا ناخاد بيرا?</t>
  </si>
  <si>
    <t>Yes, you see, there are 12 and come every day at 2:00</t>
  </si>
  <si>
    <t>ah, kima katchof, kaynin 12 o kayjiw kol nhar m3a 2:00</t>
  </si>
  <si>
    <t>أه, كيما كاتشوف, كاينين 12 أُ كايجيو كول نهار معا ء:00</t>
  </si>
  <si>
    <t>They are real drunks, I suggest you step away</t>
  </si>
  <si>
    <t>rahom skranin dyal bsa7, kan9tara7 annak tba3ad</t>
  </si>
  <si>
    <t>راهوم سكرانين ديال بساح, كانقتاراح أنّاك تباعاد</t>
  </si>
  <si>
    <t>Sure, I'll bring the beer</t>
  </si>
  <si>
    <t>Tab3an, ghadi njib lbira</t>
  </si>
  <si>
    <t>طابعان, غادي نجيب لبيرا</t>
  </si>
  <si>
    <t>I see what you mean now</t>
  </si>
  <si>
    <t>kanchof chno bghiti tgoul</t>
  </si>
  <si>
    <t>كانشوف شنو بغيتي تڭول</t>
  </si>
  <si>
    <t>tanchkrouk</t>
  </si>
  <si>
    <t>تانشكروك</t>
  </si>
  <si>
    <t>Your friend doesn't seem to be here</t>
  </si>
  <si>
    <t>sa7bak kayban liya makaynch 8na</t>
  </si>
  <si>
    <t>ساحباك كايبان لييا ماكاينش هنا</t>
  </si>
  <si>
    <t>Do you want me to keep you company?</t>
  </si>
  <si>
    <t>wach bghitini nb9a m3ak?</t>
  </si>
  <si>
    <t>واش بغيتيني نبقا معاك?</t>
  </si>
  <si>
    <t>wach bghitini nb9a m3mmer 3lik?</t>
  </si>
  <si>
    <t>واش بغيتيني نبقا معمّر عليك?</t>
  </si>
  <si>
    <t>Oh that's very kind of you</t>
  </si>
  <si>
    <t>oh hada loTf kbir mnak</t>
  </si>
  <si>
    <t>أُه هادا لوطف كبير مناك</t>
  </si>
  <si>
    <t>She'll not be long</t>
  </si>
  <si>
    <t>maghadich tkon Twila</t>
  </si>
  <si>
    <t>ماغاديش تكون طويلا</t>
  </si>
  <si>
    <t>Let me introduce myself</t>
  </si>
  <si>
    <t>khlini n9ddam rasi</t>
  </si>
  <si>
    <t>خليني نقدّام راسي</t>
  </si>
  <si>
    <t>My name's Esther</t>
  </si>
  <si>
    <t>smayti Esther</t>
  </si>
  <si>
    <t>سمايتي إستهر</t>
  </si>
  <si>
    <t>smyyti Esther</t>
  </si>
  <si>
    <t>سميّتي إستهر</t>
  </si>
  <si>
    <t>What's yours?</t>
  </si>
  <si>
    <t>ochno smitak nta?</t>
  </si>
  <si>
    <t>أُشنو سميتاك نتا?</t>
  </si>
  <si>
    <t>My name is Mathilde</t>
  </si>
  <si>
    <t>smiti Mathilde</t>
  </si>
  <si>
    <t>سميتي ماتهيلد</t>
  </si>
  <si>
    <t>Do you live around here?</t>
  </si>
  <si>
    <t>wach kat3ich 9rib l8na?</t>
  </si>
  <si>
    <t>واش كاتعيش قريب لهنا?</t>
  </si>
  <si>
    <t>It's rare to see any new faces</t>
  </si>
  <si>
    <t>9lil fach kanchofo wjoh jdida</t>
  </si>
  <si>
    <t>قليل فاش كانشوفو وجوه جديدا</t>
  </si>
  <si>
    <t>Sorry got to go</t>
  </si>
  <si>
    <t>sma7lia khssni nmchi</t>
  </si>
  <si>
    <t>سماحليا خسّني نمشي</t>
  </si>
  <si>
    <t>nchofak ghdda</t>
  </si>
  <si>
    <t>نشوفاك غدّا</t>
  </si>
  <si>
    <t>Okay, I'll see you tomorrow!</t>
  </si>
  <si>
    <t>wakha, nchofak ghda!</t>
  </si>
  <si>
    <t>واخا, نشوفاك غدا!</t>
  </si>
  <si>
    <t>Good morning, Maria!</t>
  </si>
  <si>
    <t>Sba7 lkhir, maria!</t>
  </si>
  <si>
    <t>صباح لخير, ماريا!</t>
  </si>
  <si>
    <t>So so</t>
  </si>
  <si>
    <t>ewa ewa</t>
  </si>
  <si>
    <t>إوا إوا</t>
  </si>
  <si>
    <t>The leg's playing up a bit</t>
  </si>
  <si>
    <t>rjl katl3b chwiya</t>
  </si>
  <si>
    <t>رجل كاتلعب شوييا</t>
  </si>
  <si>
    <t>And the nurses keep disturbing me every time I nod off</t>
  </si>
  <si>
    <t>olfrmliat kaybrztoni fkol mRra kaydini fiha n3as</t>
  </si>
  <si>
    <t>أُلفرمليات كايبرزتوني فكول مرّا كايديني فيها نعاس</t>
  </si>
  <si>
    <t>You can never get any peace around here!</t>
  </si>
  <si>
    <t>maymknch nakhod ra7ti hna!</t>
  </si>
  <si>
    <t>مايمكنش ناخود راحتي هنا!</t>
  </si>
  <si>
    <t>It's true, they spend their time bothering us</t>
  </si>
  <si>
    <t>ah bsse7, kaydwzo wa9thoum f anahoum ibarztona</t>
  </si>
  <si>
    <t>أه بسّح, كايدوزو واقتهوم ف أناهوم إبارزتونا</t>
  </si>
  <si>
    <t>She's moving objects in the rooms</t>
  </si>
  <si>
    <t>katb9a t7rak l7wayj flbit</t>
  </si>
  <si>
    <t>كاتبقا تحراك لحوايج فلبيت</t>
  </si>
  <si>
    <t>She tells us to go here, do that, pfft</t>
  </si>
  <si>
    <t>katgol lina namchiw l8na, dir hadi, pfft</t>
  </si>
  <si>
    <t>كاتڭول لينا نامشيو لهنا, دير هادي, پفّت</t>
  </si>
  <si>
    <t>Who's that?</t>
  </si>
  <si>
    <t>chkoun hadi?</t>
  </si>
  <si>
    <t>شكون هادي?</t>
  </si>
  <si>
    <t>I can't see very well anymore</t>
  </si>
  <si>
    <t>mab9itch kanchof mazyan</t>
  </si>
  <si>
    <t>مابقيتش كانشوف مازيان</t>
  </si>
  <si>
    <t>Why is there a woman in my room?</t>
  </si>
  <si>
    <t>3lach kayna mra blbit dyali?</t>
  </si>
  <si>
    <t>علاش كاينا مرا بلبيت ديالي?</t>
  </si>
  <si>
    <t>And you shouldn't be complaining!</t>
  </si>
  <si>
    <t>o makhsekch tchka!</t>
  </si>
  <si>
    <t>أُ ماخسكش تشكا!</t>
  </si>
  <si>
    <t>You get to stay at home and live your life, while I'm stuck in here</t>
  </si>
  <si>
    <t>khasek tb9a fdar ot3ich 7yatak, binma ana wa7el hna</t>
  </si>
  <si>
    <t>خاسك تبقا فدار أُتعيش حياتاك, بينما أنا واحل هنا</t>
  </si>
  <si>
    <t>I was kidding!</t>
  </si>
  <si>
    <t>ghi kant kand7ak!</t>
  </si>
  <si>
    <t>غي كانت كاندحاك!</t>
  </si>
  <si>
    <t>kant hi kan9cheb m3ak!</t>
  </si>
  <si>
    <t>كانت هي كانقشب معاك!</t>
  </si>
  <si>
    <t>I was just kidding!</t>
  </si>
  <si>
    <t>kant hi kanD7ek m3ak!</t>
  </si>
  <si>
    <t>كانت هي كانضحك معاك!</t>
  </si>
  <si>
    <t>They're doing it for your own good</t>
  </si>
  <si>
    <t>rah kaydiro dakchi lmSla7tak</t>
  </si>
  <si>
    <t>راه كايديرو داكشي لمصلاحتاك</t>
  </si>
  <si>
    <t>For my own good?!</t>
  </si>
  <si>
    <t>lmSla7ti?</t>
  </si>
  <si>
    <t>لمصلاحتي?</t>
  </si>
  <si>
    <t>That's it, that's it!</t>
  </si>
  <si>
    <t>Safi, Safi!</t>
  </si>
  <si>
    <t>صافي, صافي!</t>
  </si>
  <si>
    <t>You've been talking about me behind my back</t>
  </si>
  <si>
    <t>knti kadhder 3liya mora dahri</t>
  </si>
  <si>
    <t>كنتي كادهدر علييا مورا داهري</t>
  </si>
  <si>
    <t>They've turned you against me, I know it!</t>
  </si>
  <si>
    <t>9albouk DaDDi, ana 3arf!</t>
  </si>
  <si>
    <t>قالبوك ضاضّي, أنا عارف!</t>
  </si>
  <si>
    <t>Come on, come on, you know I would never do that!</t>
  </si>
  <si>
    <t>Ewa safi, safi, rak 3aref ma3mmrni ndir hadchi!</t>
  </si>
  <si>
    <t>إوا سافي, سافي, راك عارف ماعمّرني ندير هادشي!</t>
  </si>
  <si>
    <t>Tell me about your day</t>
  </si>
  <si>
    <t>3awd liya 3la nhark</t>
  </si>
  <si>
    <t>عاود لييا علا نهارك</t>
  </si>
  <si>
    <t>What did you eat?</t>
  </si>
  <si>
    <t>chno kliti?</t>
  </si>
  <si>
    <t>شنو كليتي?</t>
  </si>
  <si>
    <t>You have been talking to the nurses</t>
  </si>
  <si>
    <t>kanti kathder 3la lfrmliat</t>
  </si>
  <si>
    <t>كانتي كاتهدر علا لفرمليات</t>
  </si>
  <si>
    <t>They've been trying to get me to eat all day</t>
  </si>
  <si>
    <t>kano kay7wlo ikhlliwni nb9a nakol nhar kamlo</t>
  </si>
  <si>
    <t>كانو كايحولو إخلّيوني نبقا ناكول نهار كاملو</t>
  </si>
  <si>
    <t>Except I'm too smart for them</t>
  </si>
  <si>
    <t>walakin ana daki 3lihoum</t>
  </si>
  <si>
    <t>والاكين أنا داكي عليهوم</t>
  </si>
  <si>
    <t>I know they're trying to poison me</t>
  </si>
  <si>
    <t>ana 3aref annahom kay7awlo ismemoni</t>
  </si>
  <si>
    <t>أنا عارف أنّاهوم كايحاولو إسمموني</t>
  </si>
  <si>
    <t>So I've kept a little stash of sweets here under my pillow</t>
  </si>
  <si>
    <t>dakchi 3lach khabit chi 7lwa 8na ta7t mkhaddti</t>
  </si>
  <si>
    <t>داكشي علاش خابيت شي حلوا هنا تاحت مخادّتي</t>
  </si>
  <si>
    <t>That way I'll never starve</t>
  </si>
  <si>
    <t>bhaka maghadich ijini jou3 ga3</t>
  </si>
  <si>
    <t>بهاكا ماغاديش إجيني جوع ڭاع</t>
  </si>
  <si>
    <t>Stop talking nonsense, they would never do that</t>
  </si>
  <si>
    <t>matb9ach ghi katkhrba9, maymkanch idiro hadchi</t>
  </si>
  <si>
    <t>ماتبقاش غي كاتخرباق, مايمكانش إديرو هادشي</t>
  </si>
  <si>
    <t>It's spring, how about a way out in the park?</t>
  </si>
  <si>
    <t>rrbi3 hada, chi khrja ljarda?</t>
  </si>
  <si>
    <t>الربيع هادا, شي خرجا لجاردا?</t>
  </si>
  <si>
    <t>We could arrange this for a weekend of May</t>
  </si>
  <si>
    <t>imkan nbarmjoha fl weekend jjay dyal may</t>
  </si>
  <si>
    <t>إمكان نبارمجوها فل ويكند الجاي ديال ماي</t>
  </si>
  <si>
    <t>I'll ask Marcel, Jeannine and Leon if they want to come</t>
  </si>
  <si>
    <t>ghadi nswwl Marcel, Jeannine o Leon ila baghaw ijiw</t>
  </si>
  <si>
    <t>غادي نسوّل مارسل, جانّين أُ لون إلا باغاو إجيو</t>
  </si>
  <si>
    <t>I'm not friends with Jeannine anymore</t>
  </si>
  <si>
    <t>mab9itch mSa7b m3a Jeannine</t>
  </si>
  <si>
    <t>مابقيتش مصاحب معا جانّين</t>
  </si>
  <si>
    <t>She keeps stealing my crossword</t>
  </si>
  <si>
    <t>dima katsr9 lia alklimat almota9ti3a</t>
  </si>
  <si>
    <t>ديما كاتسرق ليا ألكليمات ألموتاقتيعا</t>
  </si>
  <si>
    <t>Too bad, we'll do it without them!</t>
  </si>
  <si>
    <t>hadchi khayb, ghadi ndiroha bla bihoum!</t>
  </si>
  <si>
    <t>هادشي خايب, غادي نديروها بلا بيهوم!</t>
  </si>
  <si>
    <t>Hello there</t>
  </si>
  <si>
    <t>afen al3chran</t>
  </si>
  <si>
    <t>أفن ألعشران</t>
  </si>
  <si>
    <t>masa2 alkhir</t>
  </si>
  <si>
    <t>ماساء ألخير</t>
  </si>
  <si>
    <t>Very well thanks, and you?</t>
  </si>
  <si>
    <t>kolchi bikhir onta?</t>
  </si>
  <si>
    <t>كولشي بيخير أُنتا?</t>
  </si>
  <si>
    <t>How do you think you are getting on with your Maths exam revision?</t>
  </si>
  <si>
    <t>kirak ghadi flmorja3a dyal imti7an riyadiyat?</t>
  </si>
  <si>
    <t>كيراك غادي فلمورجاعا ديال إمتيحان رييادييات?</t>
  </si>
  <si>
    <t>I'm fine, thank you very much</t>
  </si>
  <si>
    <t>bikhir choukran bzeef</t>
  </si>
  <si>
    <t>بيخير شوكران بزيف</t>
  </si>
  <si>
    <t>I'm not sure, actually</t>
  </si>
  <si>
    <t>mamt2kadch, fl7a9i9a</t>
  </si>
  <si>
    <t>مامتءكادش, فلحاقيقا</t>
  </si>
  <si>
    <t>I'm having a little trouble understanding the differential equations</t>
  </si>
  <si>
    <t>l9it So3oba chwia f fa8m lmo3dalat tafadoliya</t>
  </si>
  <si>
    <t>لقيت صوعوبا شويا ف فاهم لموعدالات تافادولييا</t>
  </si>
  <si>
    <t>momkin t3awni 3afak?</t>
  </si>
  <si>
    <t>مومكين تعاوني عافاك?</t>
  </si>
  <si>
    <t>What exactly are you struggling to understand?</t>
  </si>
  <si>
    <t>chno li ma9drtich tfhm bdabt?</t>
  </si>
  <si>
    <t>شنو لي ماقدرتيش تفهم بدابت?</t>
  </si>
  <si>
    <t>Unfortunately, I didn't understand the last sentence, can you rephrase that?</t>
  </si>
  <si>
    <t>lil2asaf, mafhamtch ljomla lakhra, momkin t3awd tchr7ha liya?</t>
  </si>
  <si>
    <t>ليلأساف, مافهامتش لجوملا لاخرا, مومكين تعاود تشرحها لييا?</t>
  </si>
  <si>
    <t>bTabi3t l7al</t>
  </si>
  <si>
    <t>بطابيعت لحال</t>
  </si>
  <si>
    <t>which concepts are you needing assistance with?</t>
  </si>
  <si>
    <t>chno lmafahim li ma7taj n3wnak fiha?</t>
  </si>
  <si>
    <t>شنو لمافاهيم لي ماحتاج نعوناك فيها?</t>
  </si>
  <si>
    <t>I need an explanation about derivatives</t>
  </si>
  <si>
    <t>ma7taj char7 tl mochta99at</t>
  </si>
  <si>
    <t>ماحتاج شارح تل موشتاقّات</t>
  </si>
  <si>
    <t>I'm having trouble understanding the principle</t>
  </si>
  <si>
    <t>kanl9a So3oba f fahm almbda2</t>
  </si>
  <si>
    <t>كانلقا صوعوبا ف فاهم ألمبداء</t>
  </si>
  <si>
    <t>makayn ta mochkil</t>
  </si>
  <si>
    <t>ماكاين تا موشكيل</t>
  </si>
  <si>
    <t>is it differentiation or integration you're needing help with the principle of?</t>
  </si>
  <si>
    <t>wach tafadol ola takamol li ma7taj lmos3da fl mabda2 dyalo?</t>
  </si>
  <si>
    <t>واش تافادول أُلا تاكامول لي ماحتاج لموسعدا فل مابداء ديالو?</t>
  </si>
  <si>
    <t>Is it okay that the exam will cover all of the concepts that you saw in the second semester?</t>
  </si>
  <si>
    <t>wach man lmafrod lmti7an yghaTTi ga3 mafahim li9ritoha f ddoura tania?</t>
  </si>
  <si>
    <t>واش مان لمافرود لمتيحان يغاطّي ڭاع مافاهيم ليقريتوها ف الدورا تانيا?</t>
  </si>
  <si>
    <t>Yes, everything in Term 2 will be assessed in full</t>
  </si>
  <si>
    <t>ah, ghadi ntkhtabro f kolchi f lfaSl tani</t>
  </si>
  <si>
    <t>أه, غادي نتختابرو ف كولشي ف لفاصل تاني</t>
  </si>
  <si>
    <t>Is there anything further I can help with today?</t>
  </si>
  <si>
    <t>wach kayna chi 7aja khra n9dar n3awn fiha lyoum</t>
  </si>
  <si>
    <t>واش كاينا شي حاجا خرا نقدار نعاون فيها ليوم</t>
  </si>
  <si>
    <t>My next lesson starts shortly so I don't have much more time unfortunately</t>
  </si>
  <si>
    <t>ghadi ybda dars dyali jay 9rib, dakchi 3lach ma3ndich bzaf dyal lwa9t lso2 l7aD</t>
  </si>
  <si>
    <t>غادي يبدا دارس ديالي جاي قريب, داكشي علاش ماعنديش بزاف ديال لواقت لسوء لحاض</t>
  </si>
  <si>
    <t>No problem, that's a lot</t>
  </si>
  <si>
    <t>machi mochkil, hadchi bzaf</t>
  </si>
  <si>
    <t>ماشي موشكيل, هادشي بزاف</t>
  </si>
  <si>
    <t>Thank you for your time</t>
  </si>
  <si>
    <t>chokran 3la wa9tak</t>
  </si>
  <si>
    <t>شوكران علا واقتاك</t>
  </si>
  <si>
    <t>No problem, enjoy the rest of your evening!</t>
  </si>
  <si>
    <t>machi mochkil, tmata3 bli b9a mn l3chiya</t>
  </si>
  <si>
    <t>ماشي موشكيل, تماتاع بلي بقا من لعشييا</t>
  </si>
  <si>
    <t>Hey, let's go swimming</t>
  </si>
  <si>
    <t>ahlan, yalah nmchiw n3omo</t>
  </si>
  <si>
    <t>أهلان, يالاه نمشيو نعومو</t>
  </si>
  <si>
    <t>Nah</t>
  </si>
  <si>
    <t>blaach</t>
  </si>
  <si>
    <t>بلاش</t>
  </si>
  <si>
    <t>I'm fine here thanks</t>
  </si>
  <si>
    <t>ana bikhir 8na chokran</t>
  </si>
  <si>
    <t>أنا بيخير هنا شوكران</t>
  </si>
  <si>
    <t>But you could get me a drink if you like</t>
  </si>
  <si>
    <t>walakin yamkn lik tjib liya machrob ila bghiti</t>
  </si>
  <si>
    <t>والاكين يامكن ليك تجيب لييا ماشروب إلا بغيتي</t>
  </si>
  <si>
    <t>Okay, but only if you drop your book</t>
  </si>
  <si>
    <t>wakha, walakin fa9aT ila la7ti ktabk</t>
  </si>
  <si>
    <t>واخا, والاكين فاقاط إلا لاحتي كتابك</t>
  </si>
  <si>
    <t>3lach?</t>
  </si>
  <si>
    <t>علاش?</t>
  </si>
  <si>
    <t>What's wrong with me reading?</t>
  </si>
  <si>
    <t>achno lmochkila dyali ala kan9ra?</t>
  </si>
  <si>
    <t>أشنو لموشكيلا ديالي ألا كانقرا?</t>
  </si>
  <si>
    <t>Am I bothering you?</t>
  </si>
  <si>
    <t>wach mSad3ak?</t>
  </si>
  <si>
    <t>واش مصادعاك?</t>
  </si>
  <si>
    <t>wach ana mbrzTek?</t>
  </si>
  <si>
    <t>واش أنا مبرزطك?</t>
  </si>
  <si>
    <t>I can't see how... Why don't you join me?</t>
  </si>
  <si>
    <t>ma9adarch nchof kifach... 3lach matnDamch liya?</t>
  </si>
  <si>
    <t>ماقادارش نشوف كيفاش... علاش ماتنضامش لييا?</t>
  </si>
  <si>
    <t>join me</t>
  </si>
  <si>
    <t>ji 3ndi</t>
  </si>
  <si>
    <t>جي عندي</t>
  </si>
  <si>
    <t>No problem!</t>
  </si>
  <si>
    <t>machi mochkil!</t>
  </si>
  <si>
    <t>ماشي موشكيل!</t>
  </si>
  <si>
    <t>You're just too lazy with this great weather</t>
  </si>
  <si>
    <t>nta hir kasol bzaf m3a had ljaw zwin</t>
  </si>
  <si>
    <t>نتا هير كاسول بزاف معا هاد لجاو زوين</t>
  </si>
  <si>
    <t>Come on, let's go</t>
  </si>
  <si>
    <t>a baraka 3lia, yalah nmchiw</t>
  </si>
  <si>
    <t>أ باراكا عليا, يالاه نمشيو</t>
  </si>
  <si>
    <t>Why can't we just stay here a bit?</t>
  </si>
  <si>
    <t>3lach ghir manb9awch chwiya hna?</t>
  </si>
  <si>
    <t>علاش غير مانبقاوش شوييا هنا?</t>
  </si>
  <si>
    <t>I'm making the most of the sun right here</t>
  </si>
  <si>
    <t>ana kanstaghal mzyan chamch 8na</t>
  </si>
  <si>
    <t>أنا كانستاغال مزيان شامش هنا</t>
  </si>
  <si>
    <t>You should do the same</t>
  </si>
  <si>
    <t>khasak dir nafs l7aja</t>
  </si>
  <si>
    <t>خاساك دير نافس لحاجا</t>
  </si>
  <si>
    <t>Oh, no, we'll spend all our time in the sun.</t>
  </si>
  <si>
    <t>oh, la, ghadi ndawzo ga3 wa9tna fchamch</t>
  </si>
  <si>
    <t>أُه, لا, غادي نداوزو ڭاع واقتنا فشامش</t>
  </si>
  <si>
    <t>Oh yes!</t>
  </si>
  <si>
    <t>ah, bta2kid</t>
  </si>
  <si>
    <t>أه, بتاءكيد</t>
  </si>
  <si>
    <t>I'd rather go out and enjoy the water and freshen up</t>
  </si>
  <si>
    <t>kanfadal nakhraj o ntmtta3 blma o nnta3ch</t>
  </si>
  <si>
    <t>كانفادال ناخراج أُ نتمتّاع بلما أُ النتاعش</t>
  </si>
  <si>
    <t>Come with me!</t>
  </si>
  <si>
    <t>aji m3aya</t>
  </si>
  <si>
    <t>أجي معايا</t>
  </si>
  <si>
    <t>It'll do you good, you'll see</t>
  </si>
  <si>
    <t>ghadi dir lkhir frask, daba tchof</t>
  </si>
  <si>
    <t>غادي دير لخير فراسك, دابا تشوف</t>
  </si>
  <si>
    <t>Plus I have a frisbee!</t>
  </si>
  <si>
    <t>zid 3liha 3andi frisbee!</t>
  </si>
  <si>
    <t>زيد عليها عاندي فريسبي!</t>
  </si>
  <si>
    <t>It'll be fun!</t>
  </si>
  <si>
    <t>ghadi tkon momti3a</t>
  </si>
  <si>
    <t>غادي تكون مومتيعا</t>
  </si>
  <si>
    <t>ghaddouz za8ia</t>
  </si>
  <si>
    <t>غادّوز زاهيا</t>
  </si>
  <si>
    <t>But we need more people to play proper frisbee</t>
  </si>
  <si>
    <t>walakin ghadi ykhsna bzaf dyal bnadam bach nl3bo frisbee mzyan</t>
  </si>
  <si>
    <t>والاكين غادي يخسنا بزاف ديال بنادام باش نلعبو فريسبي مزيان</t>
  </si>
  <si>
    <t>Otherwise it's just like throwing a plate back and forth</t>
  </si>
  <si>
    <t>wla ghadi ikon hir b7al ala Taba9 taytrma sir waji</t>
  </si>
  <si>
    <t>ولا غادي إكون هير بحال ألا طاباق تايترما سير واجي</t>
  </si>
  <si>
    <t>Haha</t>
  </si>
  <si>
    <t>haha</t>
  </si>
  <si>
    <t>هاها</t>
  </si>
  <si>
    <t>Show me how you do it</t>
  </si>
  <si>
    <t>wrrini kifach kadir liha</t>
  </si>
  <si>
    <t>ورّيني كيفاش كادير ليها</t>
  </si>
  <si>
    <t>I don't want you to be ashamed of yourself right now!</t>
  </si>
  <si>
    <t>mabghitkch ta7cham mn rask daba</t>
  </si>
  <si>
    <t>مابغيتكش تاحشام من راسك دابا</t>
  </si>
  <si>
    <t>Why would I be ashamed?</t>
  </si>
  <si>
    <t>3lach ghadi n7chm?</t>
  </si>
  <si>
    <t>علاش غادي نحشم?</t>
  </si>
  <si>
    <t>I know that I'm pretty good</t>
  </si>
  <si>
    <t>ana 3arf rasi wa3r</t>
  </si>
  <si>
    <t>أنا عارف راسي واعر</t>
  </si>
  <si>
    <t>I don't need to prove it!</t>
  </si>
  <si>
    <t>mam7tajch natbat hadchi</t>
  </si>
  <si>
    <t>مامحتاجش ناتبات هادشي</t>
  </si>
  <si>
    <t>Bring me a team of people and I'll play</t>
  </si>
  <si>
    <t>jib liya fari9 dyal bnadm o ghadi nal3ab</t>
  </si>
  <si>
    <t>جيب لييا فاريق ديال بنادم أُ غادي نالعاب</t>
  </si>
  <si>
    <t>And a cocktail</t>
  </si>
  <si>
    <t>o cocktail</t>
  </si>
  <si>
    <t>أُ كوككتايل</t>
  </si>
  <si>
    <t>I don't think you're gonna make it up to him</t>
  </si>
  <si>
    <t>makanDnch ghadi tgdd 3lih</t>
  </si>
  <si>
    <t>ماكانضنش غادي تڭدّ عليه</t>
  </si>
  <si>
    <t>So a long island for ma'am, and I'm going to look for Sasha and Daniel, don't move!</t>
  </si>
  <si>
    <t>iwa jazira twila l syyda, o ghadi n9llb 3la Sasha o Daniel, mat7arkoch</t>
  </si>
  <si>
    <t>إوا جازيرا تويلا ل سيّدا, أُ غادي نقلّب علا صاسها أُ ضانيل, ماتحاركوش</t>
  </si>
  <si>
    <t>Only once I've finished my drink!</t>
  </si>
  <si>
    <t>fa9aT mora mansali mn chrabi</t>
  </si>
  <si>
    <t>فاقاط مورا مانسالي من شرابي</t>
  </si>
  <si>
    <t>I always play better after a little drink!</t>
  </si>
  <si>
    <t>ana dima kanl3ab mzyan mora chwiya dyal charab</t>
  </si>
  <si>
    <t>أنا ديما كانلعاب مزيان مورا شوييا ديال شاراب</t>
  </si>
  <si>
    <t>It's not too early for a cocktail is it?</t>
  </si>
  <si>
    <t>machi bkri bzaf 3la coctail awlla?</t>
  </si>
  <si>
    <t>ماشي بكري بزاف علا كوكتايل أولّا?</t>
  </si>
  <si>
    <t>It depends on the client</t>
  </si>
  <si>
    <t>hadchi kay3tamd 3la lklyan</t>
  </si>
  <si>
    <t>هادشي كايعتامد علا لكليان</t>
  </si>
  <si>
    <t>If you want one, I'll do it.</t>
  </si>
  <si>
    <t>ila kanti baghi wa7da ghadi ndirha</t>
  </si>
  <si>
    <t>إلا كانتي باغي واحدا غادي نديرها</t>
  </si>
  <si>
    <t>Otherwise, I don't.</t>
  </si>
  <si>
    <t>mn ghir hadchi, makandirhach</t>
  </si>
  <si>
    <t>من غير هادشي, ماكانديرهاش</t>
  </si>
  <si>
    <t>It's up to you to decide what's best for you</t>
  </si>
  <si>
    <t>ghadi nkhaliha lik t9arar achno mazyan lik</t>
  </si>
  <si>
    <t>غادي نخاليها ليك تقارار أشنو مازيان ليك</t>
  </si>
  <si>
    <t>to a certain extent</t>
  </si>
  <si>
    <t>lwa7ad daraja</t>
  </si>
  <si>
    <t>لواحاد داراجا</t>
  </si>
  <si>
    <t>Oh, ok</t>
  </si>
  <si>
    <t>oh, wakha</t>
  </si>
  <si>
    <t>أُه, واخا</t>
  </si>
  <si>
    <t>Well I could have one then</t>
  </si>
  <si>
    <t>wakha na9dar nakhod wa7da</t>
  </si>
  <si>
    <t>واخا ناقدار ناخود واحدا</t>
  </si>
  <si>
    <t>Do you have a menu?</t>
  </si>
  <si>
    <t>wach 3andak menu?</t>
  </si>
  <si>
    <t>واش عانداك منو?</t>
  </si>
  <si>
    <t>Are there any specials?</t>
  </si>
  <si>
    <t>wach kaynin chi 3orod khaSa?</t>
  </si>
  <si>
    <t>واش كاينين شي عورود خاصا?</t>
  </si>
  <si>
    <t>Would you like an orange juice?</t>
  </si>
  <si>
    <t>wach bghiti 3aSir tlimoun?</t>
  </si>
  <si>
    <t>واش بغيتي عاصير تليمون?</t>
  </si>
  <si>
    <t>We have some special plates</t>
  </si>
  <si>
    <t>3anda chi aTba9 khaSSa</t>
  </si>
  <si>
    <t>عاندا شي أطباق خاصّا</t>
  </si>
  <si>
    <t>It's very good with a mojito</t>
  </si>
  <si>
    <t>rah mzyan m3a mojito</t>
  </si>
  <si>
    <t>راه مزيان معا موجيتو</t>
  </si>
  <si>
    <t>I'm not that hungry actually</t>
  </si>
  <si>
    <t>ana maji3anch sara7a</t>
  </si>
  <si>
    <t>أنا ماجيعانش ساراحا</t>
  </si>
  <si>
    <t>ana mafiach jo3 bzaf sara7a</t>
  </si>
  <si>
    <t>أنا مافياش جوع بزاف ساراحا</t>
  </si>
  <si>
    <t>But what do you mean by a piece of it?</t>
  </si>
  <si>
    <t>walakin ach kat9Sad b chwiya mno?</t>
  </si>
  <si>
    <t>والاكين أش كاتقصاد ب شوييا منو?</t>
  </si>
  <si>
    <t>It's a blackboard</t>
  </si>
  <si>
    <t>hadi sbbora</t>
  </si>
  <si>
    <t>هادي سبّورا</t>
  </si>
  <si>
    <t>Ok, I think I understand sort of</t>
  </si>
  <si>
    <t>wakha, kanDn fhamt chwiya</t>
  </si>
  <si>
    <t>واخا, كانضن فهامت شوييا</t>
  </si>
  <si>
    <t>But no thanks, just a nice tea</t>
  </si>
  <si>
    <t>walakin chokran, ghir chi atay mch77er</t>
  </si>
  <si>
    <t>والاكين شوكران, غير شي أتاي مشحّر</t>
  </si>
  <si>
    <t>Anything with hot water, although I'm not a fan of mint.</t>
  </si>
  <si>
    <t>ayy 7aja m3a lma skhoun, wakha ana machi mn nnas dyal na3na3</t>
  </si>
  <si>
    <t>أيّ حاجا معا لما سخون, واخا أنا ماشي من الناس ديال ناعناع</t>
  </si>
  <si>
    <t>In a nice glass with a straw if you have one!</t>
  </si>
  <si>
    <t>f kas zwin m3a chi paille ila 3ndk chi wa7da!</t>
  </si>
  <si>
    <t>ف كاس زوين معا شي پايلّ إلا عندك شي واحدا!</t>
  </si>
  <si>
    <t>No mint?</t>
  </si>
  <si>
    <t>bla n3na3?</t>
  </si>
  <si>
    <t>بلا نعناع?</t>
  </si>
  <si>
    <t>Would you like a punch?</t>
  </si>
  <si>
    <t>wach bghiti chi bonya?</t>
  </si>
  <si>
    <t>واش بغيتي شي بونيا?</t>
  </si>
  <si>
    <t>The recipe is made of orange juice and grenadine</t>
  </si>
  <si>
    <t>lwaSfa mgadda b 3aSir limon o grenadine</t>
  </si>
  <si>
    <t>لواصفا مڭادّا ب عاصير ليمون أُ ڭرنادين</t>
  </si>
  <si>
    <t>Ah I'm not sure I know what bawlo is, but why not!</t>
  </si>
  <si>
    <t>ah mamt2akad achnahoa bawlo, walakin 3lach la?</t>
  </si>
  <si>
    <t>أه مامتأكاد أشناهوا باولو, والاكين علاش لا?</t>
  </si>
  <si>
    <t>Could you ask for some pineapple instead of the grenadine perhaps?</t>
  </si>
  <si>
    <t>wach ta9dar Tlab chwiya dyal ananas blast grenadine imkn?</t>
  </si>
  <si>
    <t>واش تاقدار طلاب شوييا ديال أناناس بلاست ڭرنادين إمكن?</t>
  </si>
  <si>
    <t>Anything else, you decide!</t>
  </si>
  <si>
    <t>ay 7aja khra, nta t9rrar!</t>
  </si>
  <si>
    <t>أي حاجا خرا, نتا تقرّار!</t>
  </si>
  <si>
    <t>and perhaps a bit of coconut milk if you have some</t>
  </si>
  <si>
    <t>o ymkan chwiya mn l7lib joz lhind ila kan 3ndak chwiya</t>
  </si>
  <si>
    <t>أُ يمكان شوييا من لحليب جوز لهيند إلا كان عنداك شوييا</t>
  </si>
  <si>
    <t>Don't worry, I'll do it right now.</t>
  </si>
  <si>
    <t>matkhafch, ghadi ndirha daba</t>
  </si>
  <si>
    <t>ماتخافش, غادي نديرها دابا</t>
  </si>
  <si>
    <t>And a beautiful umbrella!</t>
  </si>
  <si>
    <t>o mDall zwiwen!</t>
  </si>
  <si>
    <t>أُ مضالّ زويون!</t>
  </si>
  <si>
    <t>A board for eating at the same time?</t>
  </si>
  <si>
    <t>law7a dyal lmakla fnafs lwa9t?</t>
  </si>
  <si>
    <t>لاوحا ديال لماكلا فنافس لواقت?</t>
  </si>
  <si>
    <t>I can do that to you</t>
  </si>
  <si>
    <t>n9dar ndir hadchi lik</t>
  </si>
  <si>
    <t>نقدار ندير هادشي ليك</t>
  </si>
  <si>
    <t>Do you have any preferences?</t>
  </si>
  <si>
    <t>wach 3andak chi 7aja katfaDlha?</t>
  </si>
  <si>
    <t>واش عانداك شي حاجا كاتفاضلها?</t>
  </si>
  <si>
    <t>Hmm, I wasn't that hungry</t>
  </si>
  <si>
    <t>hmm, makanch fia chi jooo3</t>
  </si>
  <si>
    <t>همّ, ماكانش فيا شي جووع</t>
  </si>
  <si>
    <t>But perhaps some chips would be good</t>
  </si>
  <si>
    <t>walakin imkn chwiya dyal chips aykono mzyanin</t>
  </si>
  <si>
    <t>والاكين إمكن شوييا ديال شيپس أيكونو مزيانين</t>
  </si>
  <si>
    <t>No sauce though</t>
  </si>
  <si>
    <t>ah o bla sauce</t>
  </si>
  <si>
    <t>أه أُ بلا سوس</t>
  </si>
  <si>
    <t>I like them lite, with a bit of salt!</t>
  </si>
  <si>
    <t>ana kanbghihom khfaf, m3a chwiya dyal lmal7a!</t>
  </si>
  <si>
    <t>أنا كانبغيهوم خفاف, معا شوييا ديال لمالحا!</t>
  </si>
  <si>
    <t>And why not a burger and a salad too!</t>
  </si>
  <si>
    <t>o 3lach la chi burger o chlada tahiya!</t>
  </si>
  <si>
    <t>أُ علاش لا شي بورڭر أُ شلادا تاهييا!</t>
  </si>
  <si>
    <t>I meant plain for the chips, sorry</t>
  </si>
  <si>
    <t>9sadt 3adi l chips, sma7 liya</t>
  </si>
  <si>
    <t>قسادت عادي ل شيپس, سماح لييا</t>
  </si>
  <si>
    <t>Good in general I serve chips with this cocktail</t>
  </si>
  <si>
    <t>mzyan 3ammatan ana kansrbi chips m3a had lcocktail</t>
  </si>
  <si>
    <t>مزيان عامّاتان أنا كانسربي شيپس معا هاد لكوككتايل</t>
  </si>
  <si>
    <t>Is that all right?</t>
  </si>
  <si>
    <t>wach hadchi mazyan?</t>
  </si>
  <si>
    <t>واش هادشي مازيان?</t>
  </si>
  <si>
    <t>The hamburger will be here later</t>
  </si>
  <si>
    <t>l hamburger ghadi ykon 8na mn b3d</t>
  </si>
  <si>
    <t>ل هامبورڭر غادي يكون هنا من بعد</t>
  </si>
  <si>
    <t>Ok, I'll have the fish and chips for starter and I'll get the burger later!</t>
  </si>
  <si>
    <t>wakha, ghadi nakhod l7ot o chips flowel o ghadi nakhod lburger mn ba3d</t>
  </si>
  <si>
    <t>واخا, غادي ناخود لحوت أُ شيپس فلوول أُ غادي ناخود لبورڭر من باعد</t>
  </si>
  <si>
    <t>I hope there'll be enough room for dessert afterwards!</t>
  </si>
  <si>
    <t>kantmna tkon ba9ia blasa l ddisir mora hadchi</t>
  </si>
  <si>
    <t>كانتمنا تكون باقيا بلاسا ل الديسير مورا هادشي</t>
  </si>
  <si>
    <t>You do want desserts, don't you?</t>
  </si>
  <si>
    <t>bghiti ddissir, yak?</t>
  </si>
  <si>
    <t>بغيتي الديسّير, ياك?</t>
  </si>
  <si>
    <t>Yes, we make desserts.</t>
  </si>
  <si>
    <t>ah kandiro disir</t>
  </si>
  <si>
    <t>أه كانديرو ديسير</t>
  </si>
  <si>
    <t>A very nice mango soup if you're still hungry after your meal.</t>
  </si>
  <si>
    <t>chorba dyal mango zwina bzaf ila kna ba9i fik jo3</t>
  </si>
  <si>
    <t>شوربا ديال مانڭو زوينا بزاف إلا كنا باقي فيك جوع</t>
  </si>
  <si>
    <t>In the meantime, here's your number</t>
  </si>
  <si>
    <t>fnfs lw9t, hadi hia nmartak</t>
  </si>
  <si>
    <t>فنفس لوقت, هادي هيا نمارتاك</t>
  </si>
  <si>
    <t>We call you when the cocktails are ready</t>
  </si>
  <si>
    <t>ghadi nsoniw 3lik mnin ikono cocktails wajdin</t>
  </si>
  <si>
    <t>غادي نسونيو عليك منين إكونو كوككتايلس واجدين</t>
  </si>
  <si>
    <t>Thanks!</t>
  </si>
  <si>
    <t>chokran</t>
  </si>
  <si>
    <t>شوكران</t>
  </si>
  <si>
    <t>I might be getting some shots later too, once my friends arrive!</t>
  </si>
  <si>
    <t>na9dar nzid chi jghmat mn ba3d, mnin yjiw S7abi</t>
  </si>
  <si>
    <t>ناقدار نزيد شي جغمات من باعد, منين يجيو صحابي</t>
  </si>
  <si>
    <t>Don't hesitate to come back</t>
  </si>
  <si>
    <t>matraddadch annak trj3</t>
  </si>
  <si>
    <t>ماترادّادش أنّاك ترجع</t>
  </si>
  <si>
    <t>Good night, anyway!</t>
  </si>
  <si>
    <t>lila sa3ida 3la kol 7al</t>
  </si>
  <si>
    <t>ليلا ساعيدا علا كول حال</t>
  </si>
  <si>
    <t>Thanks again!</t>
  </si>
  <si>
    <t>chokran lik mra khra</t>
  </si>
  <si>
    <t>شوكران ليك مرا خرا</t>
  </si>
  <si>
    <t>masa2 lkhir</t>
  </si>
  <si>
    <t>ماساء لخير</t>
  </si>
  <si>
    <t>May I have a caipirinha, please?</t>
  </si>
  <si>
    <t>wach na9dar nakhod caipirinha, 3afak</t>
  </si>
  <si>
    <t>واش ناقدار ناخود كايپيرينها, عافاك</t>
  </si>
  <si>
    <t>Sorry I am new here</t>
  </si>
  <si>
    <t>sma7 liya ana jdid 8na</t>
  </si>
  <si>
    <t>سماح لييا أنا جديد هنا</t>
  </si>
  <si>
    <t>I really don't know my cocktails yet</t>
  </si>
  <si>
    <t>ana Sara7atan mazal makan3rfch l cocktails dyali</t>
  </si>
  <si>
    <t>أنا صاراحاتان مازال ماكانعرفش ل كوككتايلس ديالي</t>
  </si>
  <si>
    <t>Could you tell me how to make it</t>
  </si>
  <si>
    <t>wach ta9dar tgoliya kifach n9adha?</t>
  </si>
  <si>
    <t>واش تاقدار تڭولييا كيفاش نقادها?</t>
  </si>
  <si>
    <t>You have to mix it with lime juice, sugar and ice</t>
  </si>
  <si>
    <t>khasak tkhalto m3a 3assir limon o sokar o talj</t>
  </si>
  <si>
    <t>خاساك تخالتو معا عاسّير ليمون أُ سوكار أُ تالج</t>
  </si>
  <si>
    <t>Ok, shaken or stirred?</t>
  </si>
  <si>
    <t>wakha, mnkhouD wla ma9lob?</t>
  </si>
  <si>
    <t>واخا, منخوض ولا ماقلوب?</t>
  </si>
  <si>
    <t>Do you want crisps, nuts or anything to nibble?</t>
  </si>
  <si>
    <t>wach bghiti ra9a2i9 dyal bTaTa o lmoksarat wla chi 7aja khra t3aDha?</t>
  </si>
  <si>
    <t>واش بغيتي راقاإق ديال بطاطا أُ لموكسارات ولا شي حاجا خرا تعاضها?</t>
  </si>
  <si>
    <t>Shaken, I guess</t>
  </si>
  <si>
    <t>mnkhouDa, kanDn</t>
  </si>
  <si>
    <t>منخوضا, كانضن</t>
  </si>
  <si>
    <t>Crisps would be fine, I'm starving</t>
  </si>
  <si>
    <t>chips ghadi tkon mzyana, ghanmout b jo3</t>
  </si>
  <si>
    <t>شيپس غادي تكون مزيانا, غانموت ب جوع</t>
  </si>
  <si>
    <t>I haven't eaten anything all day</t>
  </si>
  <si>
    <t>maklit walo nhar kaml</t>
  </si>
  <si>
    <t>ماكليت والو نهار كامل</t>
  </si>
  <si>
    <t>hadi hiya l9a2ima</t>
  </si>
  <si>
    <t>هادي هييا لقاإما</t>
  </si>
  <si>
    <t>hada hoa l menu</t>
  </si>
  <si>
    <t>هادا هوا ل منو</t>
  </si>
  <si>
    <t>We do some great bar snacks</t>
  </si>
  <si>
    <t>kandiro chi wajbat khfifa zwina f lbar</t>
  </si>
  <si>
    <t>كانديرو شي واجبات خفيفا زوينا ف لبار</t>
  </si>
  <si>
    <t>Ah, I thought it was free with the glass</t>
  </si>
  <si>
    <t>ah, s7abli kan fabor m3a tlj</t>
  </si>
  <si>
    <t>أه, سحابلي كان فابور معا تلج</t>
  </si>
  <si>
    <t>Or you could have something else</t>
  </si>
  <si>
    <t>wla y9dar takhod chi 7aja khra</t>
  </si>
  <si>
    <t>ولا يقدار تاخود شي حاجا خرا</t>
  </si>
  <si>
    <t>I don't have much money on me</t>
  </si>
  <si>
    <t>ma3ndich bzaf dyal lflos m3aya</t>
  </si>
  <si>
    <t>ماعنديش بزاف ديال لفلوس معايا</t>
  </si>
  <si>
    <t>ma8azch m3aya flous bzaf</t>
  </si>
  <si>
    <t>ماهازش معايا فلوس بزاف</t>
  </si>
  <si>
    <t>The crisps in this little bowl come with your drink</t>
  </si>
  <si>
    <t>chips katji fhad zlafa sghira katji m3a lmachrob dyalk</t>
  </si>
  <si>
    <t>شيپس كاتجي فهاد زلافا سغيرا كاتجي معا لماشروب ديالك</t>
  </si>
  <si>
    <t>Okay, thank you very much</t>
  </si>
  <si>
    <t>wakha chokran lik bzaf</t>
  </si>
  <si>
    <t>واخا شوكران ليك بزاف</t>
  </si>
  <si>
    <t>Maybe you could have chosen a cheaper drink!</t>
  </si>
  <si>
    <t>kan momkin tkhtar machrob rkhas</t>
  </si>
  <si>
    <t>كان مومكين تختار ماشروب رخاس</t>
  </si>
  <si>
    <t>But then you're a new waitress</t>
  </si>
  <si>
    <t>walakin idan nti srbaya jdida</t>
  </si>
  <si>
    <t>والاكين إدان نتي سربايا جديدا</t>
  </si>
  <si>
    <t>I come here often and I've never seen you?</t>
  </si>
  <si>
    <t>kanji l8na ch7al mn mra o ma3mri chaftak?</t>
  </si>
  <si>
    <t>كانجي لهنا شحال من مرا أُ ماعمري شافتاك?</t>
  </si>
  <si>
    <t>Yes, I am definitely new here but as you are a regular you know how expensive the cocktails are here</t>
  </si>
  <si>
    <t>ah, ana jdida 8na Tab3an, walakin 7int nta dima katji 8na ghadi tkon 3arf ch7al ghali cocktailat 8na</t>
  </si>
  <si>
    <t>أه, أنا جديدا هنا طابعان, والاكين حينت نتا ديما كاتجي هنا غادي تكون عارف شحال غالي كوككتايلات هنا</t>
  </si>
  <si>
    <t>You need to look after yourself and eat first before drinking</t>
  </si>
  <si>
    <t>nta m7taj annak diha frask o takol awalan 9bal matchrab</t>
  </si>
  <si>
    <t>نتا محتاج أنّاك ديها فراسك أُ تاكول أوالان قبال ماتشراب</t>
  </si>
  <si>
    <t>Not that it is my business</t>
  </si>
  <si>
    <t>hada machi so9i</t>
  </si>
  <si>
    <t>هادا ماشي سوقي</t>
  </si>
  <si>
    <t>hadchi machi chghli</t>
  </si>
  <si>
    <t>هادشي ماشي شغلي</t>
  </si>
  <si>
    <t>Hey, you're not my mother!</t>
  </si>
  <si>
    <t>blati, nti machi mama!</t>
  </si>
  <si>
    <t>بلاتي, نتي ماشي ماما!</t>
  </si>
  <si>
    <t>it reminds me of my travels in Brazil</t>
  </si>
  <si>
    <t>katfakarni bra7alati flbrazil</t>
  </si>
  <si>
    <t>كاتفاكارني براحالاتي فلبرازيل</t>
  </si>
  <si>
    <t>I was only a bit concerned as you said you were so hungry and did not prioritise eating</t>
  </si>
  <si>
    <t>knt khayfa chwiya 7it galti bila knti ji3an o masbbe9tich lmakla</t>
  </si>
  <si>
    <t>كنت خايفا شوييا حيت ڭالتي بيلا كنتي جيعان أُ ماسبّقتيش لماكلا</t>
  </si>
  <si>
    <t>When did you go there?</t>
  </si>
  <si>
    <t>n8arach mchiti ltama</t>
  </si>
  <si>
    <t>نهاراش مشيتي لتاما</t>
  </si>
  <si>
    <t>fo9ach mchiti ltma</t>
  </si>
  <si>
    <t>فوقاش مشيتي لتما</t>
  </si>
  <si>
    <t>I would love to travel there</t>
  </si>
  <si>
    <t>makra8tch nsafr tma</t>
  </si>
  <si>
    <t>ماكراهتش نسافر تما</t>
  </si>
  <si>
    <t>I worked there for six months as a waitress</t>
  </si>
  <si>
    <t>khdamt tma sta dyal chohor srbaya</t>
  </si>
  <si>
    <t>خدامت تما ستا ديال شوهور سربايا</t>
  </si>
  <si>
    <t>khdmt tma stt ch8our srbay</t>
  </si>
  <si>
    <t>خدمت تما ستّ شهور سرباي</t>
  </si>
  <si>
    <t>It was last year</t>
  </si>
  <si>
    <t>hadchi kan l3am lli fat</t>
  </si>
  <si>
    <t>هادشي كان لعام اللي فات</t>
  </si>
  <si>
    <t>I didn't know what to do after graduation</t>
  </si>
  <si>
    <t>makntch 3arf ach ndir mora takharoj</t>
  </si>
  <si>
    <t>ماكنتش عارف أش ندير مورا تاخاروج</t>
  </si>
  <si>
    <t>Do you speak the language?</t>
  </si>
  <si>
    <t>wach kat8dar llogha?</t>
  </si>
  <si>
    <t>واش كاتهدار اللوغا?</t>
  </si>
  <si>
    <t>was it brilliant?</t>
  </si>
  <si>
    <t>wach kant zwina?"</t>
  </si>
  <si>
    <t>واش كانت زوينا?"</t>
  </si>
  <si>
    <t>Yes, a little, but it gets forgotten</t>
  </si>
  <si>
    <t>ah, chwiya, walakin kattnsa chwia</t>
  </si>
  <si>
    <t>أه, شوييا, والاكين كاتّنسا شويا</t>
  </si>
  <si>
    <t>I forgot about it</t>
  </si>
  <si>
    <t>nsito</t>
  </si>
  <si>
    <t>نسيتو</t>
  </si>
  <si>
    <t>Linguists are funny</t>
  </si>
  <si>
    <t>loghawiyin moD7ikin</t>
  </si>
  <si>
    <t>لوغاوييين موضحيكين</t>
  </si>
  <si>
    <t>Have I got the right date?</t>
  </si>
  <si>
    <t>wach jbt tarikh S7i7</t>
  </si>
  <si>
    <t>واش جبت تاريخ صحيح</t>
  </si>
  <si>
    <t>Saturday 11 June</t>
  </si>
  <si>
    <t>sbt 11 younyou</t>
  </si>
  <si>
    <t>سبت 11 يونيو</t>
  </si>
  <si>
    <t>Is that right?</t>
  </si>
  <si>
    <t>wach hadchi bsa7?</t>
  </si>
  <si>
    <t>واش هادشي بساح?</t>
  </si>
  <si>
    <t>It is going to be a lot of fun</t>
  </si>
  <si>
    <t>ghadi ykon bzaf dyal nachaT</t>
  </si>
  <si>
    <t>غادي يكون بزاف ديال ناشاط</t>
  </si>
  <si>
    <t>Yeah, you have the right date, I'll confirm it</t>
  </si>
  <si>
    <t>ah, 3andak tarikh S7i7, ghadi n2akd lik</t>
  </si>
  <si>
    <t>أه, عانداك تاريخ صحيح, غادي نأكد ليك</t>
  </si>
  <si>
    <t>Can you bring a couple of bottles of champagne?</t>
  </si>
  <si>
    <t>wach ta9dar tjib joj 9ar3at dyal champagne?</t>
  </si>
  <si>
    <t>واش تاقدار تجيب جوج قارعات ديال شامپاڭن?</t>
  </si>
  <si>
    <t>I think it is probably better if you ask friends to bring a bottle</t>
  </si>
  <si>
    <t>kanDn 7sn annak Tlb SS7ab ijibo 9ar3a</t>
  </si>
  <si>
    <t>كانضن حسن أنّاك طلب الصحاب إجيبو قارعا</t>
  </si>
  <si>
    <t>As I am your good friend I can tell you directly</t>
  </si>
  <si>
    <t>7itach ana sa7bak l9rib ghadi ngolik nichan</t>
  </si>
  <si>
    <t>حيتاش أنا ساحباك لقريب غادي نڭوليك نيشان</t>
  </si>
  <si>
    <t>I don't think it is a good idea to ask for expensive champagne</t>
  </si>
  <si>
    <t>makanDnch fikra mzyana annak Tlab champagne ghalya</t>
  </si>
  <si>
    <t>ماكانضنش فيكرا مزيانا أنّاك طلاب شامپاڭن غاليا</t>
  </si>
  <si>
    <t>You may make people feel uneasy</t>
  </si>
  <si>
    <t>ghadi tkhali nas y7aso b3adam irtiya7</t>
  </si>
  <si>
    <t>غادي تخالي ناس يحاسو بعادام إرتيياح</t>
  </si>
  <si>
    <t>I can help you with lots of the other organising</t>
  </si>
  <si>
    <t>na9dar n3awnak f bzaf dyal tanDimat lokhra</t>
  </si>
  <si>
    <t>ناقدار نعاوناك ف بزاف ديال تانضيمات لوخرا</t>
  </si>
  <si>
    <t>Decorations, food, music and anything else</t>
  </si>
  <si>
    <t>tazyin, lmakla, lmosi9a o ay 7aja khra</t>
  </si>
  <si>
    <t>تازيين, لماكلا, لموسيقا أُ أي حاجا خرا</t>
  </si>
  <si>
    <t>Take cheap ingredients, it's only a birthday, not the reception of an ambassador.</t>
  </si>
  <si>
    <t>khod mokawinat rkhisa, rah ghir 3id milad, machi isti9bal dyal amir</t>
  </si>
  <si>
    <t>خود موكاوينات رخيسا, راه غير عيد ميلاد, ماشي إستيقبال ديال أمير</t>
  </si>
  <si>
    <t>Your birthday is important but I agree you don't have to spend a lot to make a great party</t>
  </si>
  <si>
    <t>3id miladk mohim walakin kantafa9 m3ak 3la ano makhasakch tkhsar bzaf dyal lflos bach t9ad 7afla zwina</t>
  </si>
  <si>
    <t>عيد ميلادك موهيم والاكين كانتافاق معاك علا أنو ماخاساكش تخسار بزاف ديال لفلوس باش تقاد حافلا زوينا</t>
  </si>
  <si>
    <t>Sorry, I mean Ambassador</t>
  </si>
  <si>
    <t>sma7 liya bghit ngol safir</t>
  </si>
  <si>
    <t>سماح لييا بغيت نڭول سافير</t>
  </si>
  <si>
    <t>What sort of music were you thinking of?</t>
  </si>
  <si>
    <t>achmn nawy3 dyal lmosi9a liknti katfakr fiha</t>
  </si>
  <si>
    <t>أشمن ناويع ديال لموسيقا ليكنتي كاتفاكر فيها</t>
  </si>
  <si>
    <t>Do you have anything to play it on that would be loud enough?</t>
  </si>
  <si>
    <t>wach 3andak chi 7aja fach tla3bo otkon bsawt mj88ed</t>
  </si>
  <si>
    <t>واش عانداك شي حاجا فاش تلاعبو أُتكون بساوت مجهّد</t>
  </si>
  <si>
    <t>Or do you have any friends who could play instruments?</t>
  </si>
  <si>
    <t>wla wach 3andak chi S7ab kayl3bo 3la alat lmosi9ia</t>
  </si>
  <si>
    <t>ولا واش عانداك شي صحاب كايلعبو علا ألات لموسيقيا</t>
  </si>
  <si>
    <t>I have a few friends who play folk type instruments like the violin</t>
  </si>
  <si>
    <t>3ndi chi s7abi kay3azfo 3la 2alat mosi9iya cha3biya b7al lkamanja</t>
  </si>
  <si>
    <t>عندي شي سحابي كايعازفو علا ألات موسيقييا شاعبييا بحال لكامانجا</t>
  </si>
  <si>
    <t>Maybe you would like that before rock music</t>
  </si>
  <si>
    <t>momkin tabghiha 9bal mosi9a dyal rock</t>
  </si>
  <si>
    <t>مومكين تابغيها قبال موسيقا ديال روكك</t>
  </si>
  <si>
    <t>The first one to come with a bagpipe will be sent directly back to Scotland</t>
  </si>
  <si>
    <t>awal wa7d kayji m3a lmizmar ghadi nsiftoh mobachara l skotlanda</t>
  </si>
  <si>
    <t>أوال واحد كايجي معا لميزمار غادي نسيفتوه موباشارا ل سكوتلاندا</t>
  </si>
  <si>
    <t>It's my birthday, not a funeral</t>
  </si>
  <si>
    <t>rah 3id miladi machi gnaza</t>
  </si>
  <si>
    <t>راه عيد ميلادي ماشي ڭنازا</t>
  </si>
  <si>
    <t>Let's just stay rock</t>
  </si>
  <si>
    <t>khlina ghir nb9aw f rock</t>
  </si>
  <si>
    <t>خلينا غير نبقاو ف روكك</t>
  </si>
  <si>
    <t>I won't share with my lovely musical friends your opinion!!</t>
  </si>
  <si>
    <t>maghadich nchark ra2yak m3a s7abi lmosi9yin l3zaz</t>
  </si>
  <si>
    <t>ماغاديش نشارك راإياك معا سحابي لموسيقيين لعزاز</t>
  </si>
  <si>
    <t>That's why they're your friends, not mine</t>
  </si>
  <si>
    <t>hadchi 3lach homa s7abk o machi s7abi</t>
  </si>
  <si>
    <t>هادشي علاش هوما سحابك أُ ماشي سحابي</t>
  </si>
  <si>
    <t>I was thinking of my french bagpipe playing friends</t>
  </si>
  <si>
    <t>kant kanfakar f S7abi lfransawiyin li kayl3bo mizmar</t>
  </si>
  <si>
    <t>كانت كانفاكار ف صحابي لفرانساوييين لي كايلعبو ميزمار</t>
  </si>
  <si>
    <t>they play lovely french dance music</t>
  </si>
  <si>
    <t>homa kay3azfo 3la mosi9a dyal ra9s faransiya zwina</t>
  </si>
  <si>
    <t>هوما كايعازفو علا موسيقا ديال راقس فارانسييا زوينا</t>
  </si>
  <si>
    <t>You could be open minded!!</t>
  </si>
  <si>
    <t>ta9dar tkon matfatta7</t>
  </si>
  <si>
    <t>تاقدار تكون ماتفاتّاح</t>
  </si>
  <si>
    <t>If you heard good alternative music you might like it</t>
  </si>
  <si>
    <t>ila sma3ti mosi9a okhra mzyana t9dr t3ajbak</t>
  </si>
  <si>
    <t>إلا سماعتي موسيقا أُخرا مزيانا تقدر تعاجباك</t>
  </si>
  <si>
    <t>Maybe when it is my party you can come and enjoy something new</t>
  </si>
  <si>
    <t>momkin mnin tkon l7afla dyali ta9dar tji o tstmte3 bchi 7aja jdida</t>
  </si>
  <si>
    <t>مومكين منين تكون لحافلا ديالي تاقدار تجي أُ تستمتع بشي حاجا جديدا</t>
  </si>
  <si>
    <t>That's why I'm listening to the good English pop rock</t>
  </si>
  <si>
    <t>hadchi 3lach kansma3 lmosi9a pop o rock lmzyana</t>
  </si>
  <si>
    <t>هادشي علاش كانسماع لموسيقا پوپ أُ روكك لمزيانا</t>
  </si>
  <si>
    <t>no French music</t>
  </si>
  <si>
    <t>makayna la mosi9a faranciya</t>
  </si>
  <si>
    <t>ماكاينا لا موسيقا فارانسييا</t>
  </si>
  <si>
    <t>I don't like Breton, all that moving slowly around in a line or circle - very dull</t>
  </si>
  <si>
    <t>maknbghich Breton, ga3 dakchi kaymchi bchwiya fkhaT wla da2ira - momila bzaf</t>
  </si>
  <si>
    <t>ماكنبغيش برتون, ڭاع داكشي كايمشي بشوييا فخاط ولا داإرا - موميلا بزاف</t>
  </si>
  <si>
    <t>But it's supposed to be my birthday, not your party</t>
  </si>
  <si>
    <t>wlakin rah mfrouD ykon 3id miladi machi 7afla dyalk</t>
  </si>
  <si>
    <t>ولاكين راه مفروض يكون عيد ميلادي ماشي حافلا ديالك</t>
  </si>
  <si>
    <t>I demand the right to choose the music that I love at my birthday</t>
  </si>
  <si>
    <t>kanTalab bl7a9 f annani nakhtar lmosi9a likanbghi f 3id miladi</t>
  </si>
  <si>
    <t>كانطالاب بلحاق ف أنّاني ناختار لموسيقا ليكانبغي ف عيد ميلادي</t>
  </si>
  <si>
    <t>I know, it's my party I can cry if I want to</t>
  </si>
  <si>
    <t>ana 3araf, hadi 7afla dyali na9dar nabki ila bghit</t>
  </si>
  <si>
    <t>أنا عاراف, هادي حافلا ديالي ناقدار نابكي إلا بغيت</t>
  </si>
  <si>
    <t>when I have a party for my birthday you may enjoy some different type of music</t>
  </si>
  <si>
    <t>mnin tkon 3andi 7afla f 3id miladi, t9dar tastamta3 bno3 makhtalaf mn lmosi9a</t>
  </si>
  <si>
    <t>منين تكون عاندي حافلا ف عيد ميلادي, تقدار تاستامتاع بنوع ماختالاف من لموسيقا</t>
  </si>
  <si>
    <t>pop will be great</t>
  </si>
  <si>
    <t>pop aykoun mbarra3</t>
  </si>
  <si>
    <t>پوپ أيكون مبارّاع</t>
  </si>
  <si>
    <t>It is your choice after all</t>
  </si>
  <si>
    <t>rah lkhiyar dyalk mora kolchi</t>
  </si>
  <si>
    <t>راه لخييار ديالك مورا كولشي</t>
  </si>
  <si>
    <t>I don't know it</t>
  </si>
  <si>
    <t>ma3rftouch</t>
  </si>
  <si>
    <t>ماعرفتوش</t>
  </si>
  <si>
    <t>ma3raft8ach</t>
  </si>
  <si>
    <t>ماعرافتهاش</t>
  </si>
  <si>
    <t>you can play it to me if you want</t>
  </si>
  <si>
    <t>t9dr tl3b8a lia ala bghiti</t>
  </si>
  <si>
    <t>تقدر تلعبها ليا ألا بغيتي</t>
  </si>
  <si>
    <t>but it's forbidden to cry at my parties</t>
  </si>
  <si>
    <t>walakin mamno3 lbka f l7afla dyali</t>
  </si>
  <si>
    <t>والاكين مامنوع لبكا ف لحافلا ديالي</t>
  </si>
  <si>
    <t>except for joy</t>
  </si>
  <si>
    <t>mn ghir lfara7</t>
  </si>
  <si>
    <t>من غير لفاراح</t>
  </si>
  <si>
    <t>I was only being humourous</t>
  </si>
  <si>
    <t>knt ghir kanD7k</t>
  </si>
  <si>
    <t>كنت غير كانضحك</t>
  </si>
  <si>
    <t>knt ghir fokaha</t>
  </si>
  <si>
    <t>كنت غير فوكاها</t>
  </si>
  <si>
    <t>knt ghir m9cheb</t>
  </si>
  <si>
    <t>كنت غير مقشب</t>
  </si>
  <si>
    <t>It is a song by Lesley Gore from the 1960's, you should listen to it on youtube</t>
  </si>
  <si>
    <t>raha oghniya dyal Lesey Gore mn ssttinat, khasak tsma3 liha f youtube</t>
  </si>
  <si>
    <t>راها أُغنييا ديال لسي ڭور من الستّينات, خاساك تسماع ليها ف يوتوب</t>
  </si>
  <si>
    <t>Send me the link</t>
  </si>
  <si>
    <t>sift liya rabiT</t>
  </si>
  <si>
    <t>سيفت لييا رابيط</t>
  </si>
  <si>
    <t>sift lia lien</t>
  </si>
  <si>
    <t>سيفت ليا لين</t>
  </si>
  <si>
    <t>I will do tomorrow</t>
  </si>
  <si>
    <t>ghadi nsifto ghda</t>
  </si>
  <si>
    <t>غادي نسيفتو غدا</t>
  </si>
  <si>
    <t>What about food?</t>
  </si>
  <si>
    <t>o lmakla?</t>
  </si>
  <si>
    <t>أُ لماكلا?</t>
  </si>
  <si>
    <t>Have you had any thoughts?</t>
  </si>
  <si>
    <t>3ndak chi afkar?</t>
  </si>
  <si>
    <t>عنداك شي أفكار?</t>
  </si>
  <si>
    <t>Let's keep it simple</t>
  </si>
  <si>
    <t>yalah nkhaliwha bsiTa</t>
  </si>
  <si>
    <t>يالاه نخاليوها بسيطا</t>
  </si>
  <si>
    <t>Hi, is this the first time you've been on a plane?</t>
  </si>
  <si>
    <t>ahlan, wach hadi hiya lmarra lawla lighadi tsafar biha f Tayara?</t>
  </si>
  <si>
    <t>أهلان, واش هادي هييا لمارّا لاولا ليغادي تسافار بيها ف طايارا?</t>
  </si>
  <si>
    <t>Do I feel a little nervous?</t>
  </si>
  <si>
    <t>wach kanban chwiya matwatar?</t>
  </si>
  <si>
    <t>واش كانبان شوييا ماتواتار?</t>
  </si>
  <si>
    <t>No, it's not my first time flying, but I still get extremely anxious</t>
  </si>
  <si>
    <t>la, hadi machi lmarra lawla likansafar biha f Tayara, walakin mazal kan7as btawattor kbir</t>
  </si>
  <si>
    <t>لا, هادي ماشي لمارّا لاولا ليكانسافار بيها ف طايارا, والاكين مازال كانحاس بتاواتّور كبير</t>
  </si>
  <si>
    <t>I don't know why</t>
  </si>
  <si>
    <t>ma3raftch 3lach</t>
  </si>
  <si>
    <t>ماعرافتش علاش</t>
  </si>
  <si>
    <t>And why are you traveling today?</t>
  </si>
  <si>
    <t>o 3lach msafra lyoum?</t>
  </si>
  <si>
    <t>أُ علاش مسافرا ليوم?</t>
  </si>
  <si>
    <t>I'm visiting my daughter who I've not seen for a good while</t>
  </si>
  <si>
    <t>ana ghadya nchouf bnti limchfthach moudda hadi</t>
  </si>
  <si>
    <t>أنا غاديا نشوف بنتي ليمشفتهاش مودّا هادي</t>
  </si>
  <si>
    <t>I'm very excited to see her</t>
  </si>
  <si>
    <t>ana mat7amsa bzaf nchofha</t>
  </si>
  <si>
    <t>أنا ماتحامسا بزاف نشوفها</t>
  </si>
  <si>
    <t>Are you on business?</t>
  </si>
  <si>
    <t>wach khdam?</t>
  </si>
  <si>
    <t>واش خدام?</t>
  </si>
  <si>
    <t>No, I'm on vacation</t>
  </si>
  <si>
    <t>la, ana f 3oTla</t>
  </si>
  <si>
    <t>لا, أنا ف عوطلا</t>
  </si>
  <si>
    <t>You must be really happy to see your daughter</t>
  </si>
  <si>
    <t>khask tkoni fr7ana bzaf 7it ghadi tchofi bntk</t>
  </si>
  <si>
    <t>خاسك تكوني فرحانا بزاف حيت غادي تشوفي بنتك</t>
  </si>
  <si>
    <t>It's six months since I've seen her</t>
  </si>
  <si>
    <t>stt ch8or hadi machftha</t>
  </si>
  <si>
    <t>ستّ شهور هادي ماشفتها</t>
  </si>
  <si>
    <t>I have my case loaded with all the things she likes to eat</t>
  </si>
  <si>
    <t>3ndi chanTa 3amra bdakchi likatbghi takol</t>
  </si>
  <si>
    <t>عندي شانطا عامرا بداكشي ليكاتبغي تاكول</t>
  </si>
  <si>
    <t>and some toiletries she likes too</t>
  </si>
  <si>
    <t>o chi l3ibat dyal naDafa likatbghiha 7ta hiya</t>
  </si>
  <si>
    <t>أُ شي لعيبات ديال ناضافا ليكاتبغيها حتا هييا</t>
  </si>
  <si>
    <t>She's gonna be really happy</t>
  </si>
  <si>
    <t>ghadi tkon far7ana bzaf</t>
  </si>
  <si>
    <t>غادي تكون فارحانا بزاف</t>
  </si>
  <si>
    <t>What's good for him?</t>
  </si>
  <si>
    <t>achno mzyan bnisba lih?</t>
  </si>
  <si>
    <t>أشنو مزيان بنيسبا ليه?</t>
  </si>
  <si>
    <t>Cheese? Chocolate?</t>
  </si>
  <si>
    <t>lfrmaj? choklat?</t>
  </si>
  <si>
    <t>لفرماج? شوكلات?</t>
  </si>
  <si>
    <t>and I've got her the soap she likes</t>
  </si>
  <si>
    <t>o jabt liha sabon likatbghi</t>
  </si>
  <si>
    <t>أُ جابت ليها سابون ليكاتبغي</t>
  </si>
  <si>
    <t>My bag is really heavy</t>
  </si>
  <si>
    <t>sac dyali t9il bzaf</t>
  </si>
  <si>
    <t>ساك ديالي تقيل بزاف</t>
  </si>
  <si>
    <t>Will she pick you up at the airport on arrival?</t>
  </si>
  <si>
    <t>wach ghadi tji t8zzek mn lmaTar mnin toSl?</t>
  </si>
  <si>
    <t>واش غادي تجي تهزّك من لماطار منين توصل?</t>
  </si>
  <si>
    <t>Yes hopefully</t>
  </si>
  <si>
    <t>ah kantmana</t>
  </si>
  <si>
    <t>أه كانتمانا</t>
  </si>
  <si>
    <t>although she said she might be late</t>
  </si>
  <si>
    <t>wakha galt bila t9dr t3TTal</t>
  </si>
  <si>
    <t>واخا ڭالت بيلا تقدر تعطّال</t>
  </si>
  <si>
    <t>because she will be travelling through rush hour</t>
  </si>
  <si>
    <t>7it ghadi tsafar fsa3a dyal z7am</t>
  </si>
  <si>
    <t>حيت غادي تسافار فساعا ديال زحام</t>
  </si>
  <si>
    <t>The plan is to get a taxi to her apartment</t>
  </si>
  <si>
    <t>lkhota hia nchdd taxi l parTma dyalha</t>
  </si>
  <si>
    <t>لخوتا هيا نشدّ تاشي ل پارطما ديالها</t>
  </si>
  <si>
    <t>What are you planning to do on your holiday?</t>
  </si>
  <si>
    <t>achno katkhaTaT dir f 3oTla dyalk?</t>
  </si>
  <si>
    <t>أشنو كاتخاطاط دير ف عوطلا ديالك?</t>
  </si>
  <si>
    <t>Taxi sounds like a good idea!</t>
  </si>
  <si>
    <t>kayban liya taxi fikra mzyana</t>
  </si>
  <si>
    <t>كايبان لييا تاشي فيكرا مزيانا</t>
  </si>
  <si>
    <t>On my side, I plan on joining friends who live there</t>
  </si>
  <si>
    <t>mn ji8ti, kankhaTaT nmchi 3nd S7abi likay3icho tma</t>
  </si>
  <si>
    <t>من جيهتي, كانخاطاط نمشي عند صحابي ليكايعيشو تما</t>
  </si>
  <si>
    <t>The point is mostly to see them</t>
  </si>
  <si>
    <t>l8adaf howa awwalan nchofhom</t>
  </si>
  <si>
    <t>لهاداف هووا أوّالان نشوفهوم</t>
  </si>
  <si>
    <t>to take advantage of the city and everything she can offer</t>
  </si>
  <si>
    <t>nstafdo mn lmdina o dakchi li t9dr t3Ti</t>
  </si>
  <si>
    <t>نستافدو من لمدينا أُ داكشي لي تقدر تعطي</t>
  </si>
  <si>
    <t>thank you for talking to me and settling my nerves</t>
  </si>
  <si>
    <t>chokran mli hderti m3aya o 8ddentini</t>
  </si>
  <si>
    <t>شوكران ملي هدرتي معايا أُ هدّنتيني</t>
  </si>
  <si>
    <t>Have a wonderful holiday!</t>
  </si>
  <si>
    <t>3otla sa3ida!</t>
  </si>
  <si>
    <t>عوتلا ساعيدا!</t>
  </si>
  <si>
    <t>Have a good trip, too</t>
  </si>
  <si>
    <t>kantmana lik ri7la zwina ta hiya</t>
  </si>
  <si>
    <t>كانتمانا ليك ريحلا زوينا تا هييا</t>
  </si>
  <si>
    <t>Enjoy your daughter!</t>
  </si>
  <si>
    <t>stamta3 m3a bntk</t>
  </si>
  <si>
    <t>ستامتاع معا بنتك</t>
  </si>
  <si>
    <t>They say that flying is the safest form of transport, you know!</t>
  </si>
  <si>
    <t>kaygolo Tayaran howa aktar was2il na9l li 2amina, kif kat3arfo</t>
  </si>
  <si>
    <t>كايڭولو طاياران هووا أكتار واسإل ناقل لي أمينا, كيف كاتعارفو</t>
  </si>
  <si>
    <t>You shouldn't worry so much</t>
  </si>
  <si>
    <t>matkhafoch bzaf</t>
  </si>
  <si>
    <t>ماتخافوش بزاف</t>
  </si>
  <si>
    <t>Oh, I know</t>
  </si>
  <si>
    <t>ah 3raft</t>
  </si>
  <si>
    <t>أه عرافت</t>
  </si>
  <si>
    <t>But you know, being a little stressed out on planes is not a rational thing</t>
  </si>
  <si>
    <t>walakin kif kat3raf, tkon matwatar f Tyarat machi 7aja 3a9laniya</t>
  </si>
  <si>
    <t>والاكين كيف كاتعراف, تكون ماتواتار ف طيارات ماشي حاجا عاقلانييا</t>
  </si>
  <si>
    <t>There's something really unnatural about an object so big and heavy can be suspended</t>
  </si>
  <si>
    <t>kayna chi 7aja machi Tabi3iya f jism kbir o t9il lhad daraja m3lle9 fsma</t>
  </si>
  <si>
    <t>كاينا شي حاجا ماشي طابيعييا ف جيسم كبير أُ تقيل لهاد داراجا معلّق فسما</t>
  </si>
  <si>
    <t>10 miles above the ground</t>
  </si>
  <si>
    <t>3la rtifa3 10 amyal fo9 sat7 l2arD</t>
  </si>
  <si>
    <t>علا رتيفاع 10 أميال فوق ساتح لأرض</t>
  </si>
  <si>
    <t>Well, imagine when space travel becomes commercialised</t>
  </si>
  <si>
    <t>wakha, tkhayal nhar ywali safar lfaDa2 tijari</t>
  </si>
  <si>
    <t>واخا, تخايال نهار يوالي سافار لفاضاء تيجاري</t>
  </si>
  <si>
    <t>That's going to be a bit of a shock for you isn't it!</t>
  </si>
  <si>
    <t>ghadi ykon Sdma bnsba lik, awlla la?</t>
  </si>
  <si>
    <t>غادي يكون صدما بنسبا ليك, أولّا لا?</t>
  </si>
  <si>
    <t>Oh, yeah, tell me about it</t>
  </si>
  <si>
    <t>ah, ah, goliya 3liha</t>
  </si>
  <si>
    <t>أه, أه, ڭولييا عليها</t>
  </si>
  <si>
    <t>But at the same time, being away from the earth, without gravity, it's different</t>
  </si>
  <si>
    <t>walakin fnafs lwa9t, tb33d 3la l2arD, bla jadibiya, l2amr mkhtalf</t>
  </si>
  <si>
    <t>والاكين فنافس لواقت, تبعّد علا لأرض, بلا جاديبييا, لأمر مختالف</t>
  </si>
  <si>
    <t>We're not going to fall apart, since there's not really up and down</t>
  </si>
  <si>
    <t>maghdich n8aro 7it makaynch aSlan lfo9 olt7t</t>
  </si>
  <si>
    <t>ماغديش نهارو حيت ماكاينش أصلان لفوق أُلتحت</t>
  </si>
  <si>
    <t>No, in space, actually, it's more like a submarine</t>
  </si>
  <si>
    <t>la, fl faDa2, flwa9i3, hya b7al lghwwaSa</t>
  </si>
  <si>
    <t>لا, فل فاضاء, فلواقيع, هيا بحال لغوّاصا</t>
  </si>
  <si>
    <t>The spaceship has to be solid</t>
  </si>
  <si>
    <t>khas safina dyal lfaDa2 9as7a</t>
  </si>
  <si>
    <t>خاس سافينا ديال لفاضاء قاسحا</t>
  </si>
  <si>
    <t>cause if there's a hole in the hull, we'll probably be dead soon</t>
  </si>
  <si>
    <t>7it ila kan chi to9b fl8aykal, rah mo7tamal nmoutou 9ariban</t>
  </si>
  <si>
    <t>حيت إلا كان شي توقب فلهايكال, راه موحتامال نموتو قاريبان</t>
  </si>
  <si>
    <t>Like a submarine</t>
  </si>
  <si>
    <t>b7al lghwwaSa</t>
  </si>
  <si>
    <t>بحال لغوّاصا</t>
  </si>
  <si>
    <t>It's absurd</t>
  </si>
  <si>
    <t>hadchi makaydkholch l39l</t>
  </si>
  <si>
    <t>هادشي ماكايدخولش لعقل</t>
  </si>
  <si>
    <t>but I think I'd be less afraid</t>
  </si>
  <si>
    <t>walakin kanDn ghadi nkon a9al khawf</t>
  </si>
  <si>
    <t>والاكين كانضن غادي نكون أقال خاوف</t>
  </si>
  <si>
    <t>Well, can you not force yourself to be rational about it?</t>
  </si>
  <si>
    <t>wakha, mach mat9darch tabzaz 3la rask tkon 3a9lani fhadchi?</t>
  </si>
  <si>
    <t>واخا, ماش ماتقدارش تابزاز علا راسك تكون عاقلاني فهادشي?</t>
  </si>
  <si>
    <t>Being in space is worse than being here now</t>
  </si>
  <si>
    <t>rah tkon f lfaDa2 khyeb mn tkon 8na daba</t>
  </si>
  <si>
    <t>راه تكون ف لفاضاء خيب من تكون هنا دابا</t>
  </si>
  <si>
    <t>Are you really still scared after what you just said?</t>
  </si>
  <si>
    <t>wach mazal khayf mora hadchi liglti daba?</t>
  </si>
  <si>
    <t>واش مازال خايف مورا هادشي ليڭلتي دابا?</t>
  </si>
  <si>
    <t>Yes, absolutely</t>
  </si>
  <si>
    <t>ah bta2kid</t>
  </si>
  <si>
    <t>أه بتاءكيد</t>
  </si>
  <si>
    <t>It's not really fear</t>
  </si>
  <si>
    <t>rah machi khawf niit</t>
  </si>
  <si>
    <t>راه ماشي خاوف نيّت</t>
  </si>
  <si>
    <t>More like some kind of stress</t>
  </si>
  <si>
    <t>b7al t9riban tawtor</t>
  </si>
  <si>
    <t>بحال تقريبان تاوتور</t>
  </si>
  <si>
    <t>But you're not nervous about it, are you?</t>
  </si>
  <si>
    <t>walakin nta mamtwatarch, kayna?</t>
  </si>
  <si>
    <t>والاكين نتا مامتواتارش, كاينا?</t>
  </si>
  <si>
    <t>Even when there's turbulence?</t>
  </si>
  <si>
    <t>7ta mnin kaykon idTirab</t>
  </si>
  <si>
    <t>حتا منين كايكون إدطيراب</t>
  </si>
  <si>
    <t>No, it's like a rollercoaster</t>
  </si>
  <si>
    <t>la, rah b7al of3owaniya</t>
  </si>
  <si>
    <t>لا, راه بحال أُفعووانييا</t>
  </si>
  <si>
    <t>It's amazing!</t>
  </si>
  <si>
    <t>hadchi mod8ich!</t>
  </si>
  <si>
    <t>هادشي مودهيش!</t>
  </si>
  <si>
    <t>And they have amazing service</t>
  </si>
  <si>
    <t>o 3ndhom khdma ra2i3a</t>
  </si>
  <si>
    <t>أُ عندهوم خدما راإعا</t>
  </si>
  <si>
    <t>I love it when they give free food!</t>
  </si>
  <si>
    <t>kay3jbni mnin kay3tiwna makla fabor</t>
  </si>
  <si>
    <t>كايعجبني منين كايعتيونا ماكلا فابور</t>
  </si>
  <si>
    <t>Especially when there's turbulence and all the tea and coffee goes everywhere!</t>
  </si>
  <si>
    <t>khoSoSan mnin kaykon idTirab o kamchi atay ol9ahwa fga3 lblays!</t>
  </si>
  <si>
    <t>خوصوصان منين كايكون إدطيراب أُ كامشي أتاي أُلقاهوا فڭاع لبلايس!</t>
  </si>
  <si>
    <t>That's really hilarious</t>
  </si>
  <si>
    <t>hadchi kayda7ek sara7a</t>
  </si>
  <si>
    <t>هادشي كايداحك ساراحا</t>
  </si>
  <si>
    <t>I'll give you that, it's fun</t>
  </si>
  <si>
    <t>ghadi n3tik hada rah momti3"</t>
  </si>
  <si>
    <t>غادي نعتيك هادا راه مومتيع"</t>
  </si>
  <si>
    <t>But it's also awfully stressful for people like me</t>
  </si>
  <si>
    <t>walakin rah mor8i9 bzaf lnas b7ali</t>
  </si>
  <si>
    <t>والاكين راه مورهيق بزاف لناس بحالي</t>
  </si>
  <si>
    <t>Ah, don't worry</t>
  </si>
  <si>
    <t>ah kon 8ani</t>
  </si>
  <si>
    <t>أه كون هاني</t>
  </si>
  <si>
    <t>That should make you feel a bit better, surely!</t>
  </si>
  <si>
    <t>hadchi ghadi ykhalik t7as mazyan, bta2kid</t>
  </si>
  <si>
    <t>هادشي غادي يخاليك تحاس مازيان, بتاءكيد</t>
  </si>
  <si>
    <t>We'll see</t>
  </si>
  <si>
    <t>ghadi nchofo</t>
  </si>
  <si>
    <t>غادي نشوفو</t>
  </si>
  <si>
    <t>daba nchofo</t>
  </si>
  <si>
    <t>دابا نشوفو</t>
  </si>
  <si>
    <t>Thank you for your support, anyway</t>
  </si>
  <si>
    <t>chokran 3la da3m dyalkom, 3la kol 7al</t>
  </si>
  <si>
    <t>شوكران علا داعم ديالكوم, علا كول حال</t>
  </si>
  <si>
    <t>have you made a guest list for the party?</t>
  </si>
  <si>
    <t>wach darti 9a2ima dyal Dyof l7afla?</t>
  </si>
  <si>
    <t>واش دارتي قاإما ديال ضيوف لحافلا?</t>
  </si>
  <si>
    <t>Are there particular people you want to invite?</t>
  </si>
  <si>
    <t>wach kaynin chi nas bghiti t3raD 3lihom?</t>
  </si>
  <si>
    <t>واش كاينين شي ناس بغيتي تعراض عليهوم?</t>
  </si>
  <si>
    <t>Well, it depends on where we set it up</t>
  </si>
  <si>
    <t>iwa, hadchi kay3tamad 3la lblasa li9adina</t>
  </si>
  <si>
    <t>إوا, هادشي كايعتاماد علا لبلاسا ليقادينا</t>
  </si>
  <si>
    <t>If we are doing this at my house, I cannot invite over 15 people</t>
  </si>
  <si>
    <t>ila drna8a f dari, maghadich n9dar n3ayaT 3la ktar mn 15 wa7ad</t>
  </si>
  <si>
    <t>إلا درناها ف داري, ماغاديش نقدار نعاياط علا كتار من 15 واحاد</t>
  </si>
  <si>
    <t>Why not?</t>
  </si>
  <si>
    <t>3lach la?</t>
  </si>
  <si>
    <t>علاش لا?</t>
  </si>
  <si>
    <t>I know you don't have much space</t>
  </si>
  <si>
    <t>3arf ma3ndakch blaSa kbira</t>
  </si>
  <si>
    <t>عارف ماعنداكش بلاصا كبيرا</t>
  </si>
  <si>
    <t>parties go better when everyone is squashed together</t>
  </si>
  <si>
    <t>l7afalat kaydozo 7sn mlli taykon chi mkhchi fchi</t>
  </si>
  <si>
    <t>لحافالات كايدوزو حسن ملّي تايكون شي مخشي فشي</t>
  </si>
  <si>
    <t>Or are you worried about the neighbours?</t>
  </si>
  <si>
    <t>wla nta khayf 3la jiran?</t>
  </si>
  <si>
    <t>ولا نتا خايف علا جيران?</t>
  </si>
  <si>
    <t>We can invite them</t>
  </si>
  <si>
    <t>t9dar t3raD 3lihom</t>
  </si>
  <si>
    <t>تقدار تعراض عليهوم</t>
  </si>
  <si>
    <t>That's true, we could</t>
  </si>
  <si>
    <t>ayeh bsa7, na9dro</t>
  </si>
  <si>
    <t>أيه بساح, ناقدرو</t>
  </si>
  <si>
    <t>Plus, the third neighbor is really pretty good</t>
  </si>
  <si>
    <t>zid 3liha ljar talt, lay3mmr8a dar</t>
  </si>
  <si>
    <t>زيد عليها لجار تالت, لايعمّرها دار</t>
  </si>
  <si>
    <t>Have you seen her before?</t>
  </si>
  <si>
    <t>wach chftiha mn 9bal</t>
  </si>
  <si>
    <t>واش شفتيها من قبال</t>
  </si>
  <si>
    <t>Ah yes, she would be good fun</t>
  </si>
  <si>
    <t>ah ghadi tkon momti3a</t>
  </si>
  <si>
    <t>أه غادي تكون مومتيعا</t>
  </si>
  <si>
    <t>just drinks and snacks?</t>
  </si>
  <si>
    <t>hir lmachrobat o lwajabat lkhfifa?</t>
  </si>
  <si>
    <t>هير لماشروبات أُ لواجابات لخفيفا?</t>
  </si>
  <si>
    <t>Providing a lot of food makes it all more complicated</t>
  </si>
  <si>
    <t>tawfir bzaf dyal lmakla kaykhali kolchi m399d ktr</t>
  </si>
  <si>
    <t>تاوفير بزاف ديال لماكلا كايخالي كولشي معقّد كتر</t>
  </si>
  <si>
    <t>We could even ask people to come with stuff, right?</t>
  </si>
  <si>
    <t>n9adro 7ta nTalbo mn nas yjibo chi 7aja, kayna?</t>
  </si>
  <si>
    <t>نقادرو حتا نطالبو من ناس يجيبو شي حاجا, كاينا?</t>
  </si>
  <si>
    <t>Drink or food, by the way</t>
  </si>
  <si>
    <t>mchrob wla makla, blmonasaba</t>
  </si>
  <si>
    <t>مشروب ولا ماكلا, بلموناسابا</t>
  </si>
  <si>
    <t>Good idea, that makes it all much easier and more relaxing</t>
  </si>
  <si>
    <t>fikra mzyana, hadchi kaykhali kolchi s8el o aktar ra7a</t>
  </si>
  <si>
    <t>فيكرا مزيانا, هادشي كايخالي كولشي سهل أُ أكتار راحا</t>
  </si>
  <si>
    <t>Do you have enough plates and glasses?</t>
  </si>
  <si>
    <t>wach kafyin tbasl o lkisan li 3ndk?</t>
  </si>
  <si>
    <t>واش كافيين تباسل أُ لكيسان لي عندك?</t>
  </si>
  <si>
    <t>Maybe get some ice from there too</t>
  </si>
  <si>
    <t>imkn jib chwiya dyal talj mn tma tahowa</t>
  </si>
  <si>
    <t>إمكن جيب شوييا ديال تالج من تما تاهووا</t>
  </si>
  <si>
    <t>We can buy plastic plates, it's easier, right?</t>
  </si>
  <si>
    <t>n9adro nchriw TbaSl tl plastik, hadchi s8al, awlla?</t>
  </si>
  <si>
    <t>نقادرو نشريو طباصل تل پلاستيك, هادشي سهال, أولّا?</t>
  </si>
  <si>
    <t>Same with the drinks</t>
  </si>
  <si>
    <t>nafs l7aja m3a lmachrobat</t>
  </si>
  <si>
    <t>نافس لحاجا معا لماشروبات</t>
  </si>
  <si>
    <t>We can schedule basic stuff like chips</t>
  </si>
  <si>
    <t>n9adro n9ado l7wayj asasiya b7al chips</t>
  </si>
  <si>
    <t>نقادرو نقادو لحوايج أساسييا بحال شيپس</t>
  </si>
  <si>
    <t>I hate plastic plates</t>
  </si>
  <si>
    <t>makan7mlch TbaSl dyal plastik</t>
  </si>
  <si>
    <t>ماكانحملش طباصل ديال پلاستيك</t>
  </si>
  <si>
    <t>I'd much rather have proper ones even if it means more work clearing up</t>
  </si>
  <si>
    <t>ana kanfaDal ykono 3ndi chi w7din monasibin wakha hadchi kay3ni bzaf dyal lkhadma f lghsil</t>
  </si>
  <si>
    <t>أنا كانفاضال يكونو عندي شي وحدين موناسيبين واخا هادشي كايعني بزاف ديال لخادما ف لغسيل</t>
  </si>
  <si>
    <t>I don't mind doing that</t>
  </si>
  <si>
    <t>ma3andi ta mochkil m3a hadchi</t>
  </si>
  <si>
    <t>ماعاندي تا موشكيل معا هادشي</t>
  </si>
  <si>
    <t>Is there going to be a theme, or should people just bring whatever they like?</t>
  </si>
  <si>
    <t>wach ghadi ykon mawDou3, wla khas bnadam yjib libgha?</t>
  </si>
  <si>
    <t>واش غادي يكون ماوضوع, ولا خاس بنادام يجيب ليبغا?</t>
  </si>
  <si>
    <t>Then we'll make sure we don't starve to death</t>
  </si>
  <si>
    <t>o ghadi nt2akdo bila maghadich nmouto bjo3</t>
  </si>
  <si>
    <t>أُ غادي نتأكدو بيلا ماغاديش نموتو بجوع</t>
  </si>
  <si>
    <t>Okay, plates</t>
  </si>
  <si>
    <t>wakha, tbaSl</t>
  </si>
  <si>
    <t>واخا, تباصل</t>
  </si>
  <si>
    <t>No, there's no need to complicate things with a theme</t>
  </si>
  <si>
    <t>la, makhasnach n3a9do l2omor bchi mawdo3</t>
  </si>
  <si>
    <t>لا, ماخاسناش نعاقدو لأمور بشي ماودوع</t>
  </si>
  <si>
    <t>Do we have vegetarians amongst our friends?</t>
  </si>
  <si>
    <t>wach 3ndna nabatiyin bin s7abna?</t>
  </si>
  <si>
    <t>واش عندنا ناباتييين بين سحابنا?</t>
  </si>
  <si>
    <t>It's always good to have some meat-free dishes anyway.</t>
  </si>
  <si>
    <t>rah mazyan ykono 3ndak chi tbasal bla l7am 3la kol 7al</t>
  </si>
  <si>
    <t>راه مازيان يكونو عنداك شي تباسال بلا لحام علا كول حال</t>
  </si>
  <si>
    <t>vegetarians can just avoid the ones with meat</t>
  </si>
  <si>
    <t>nabatiyin i9dro hir itjnnbo hadik lifiha l7am</t>
  </si>
  <si>
    <t>ناباتييين إقدرو هير إتجنّبو هاديك ليفيها لحام</t>
  </si>
  <si>
    <t>But vegans, well, I think if there is someone else it would be better</t>
  </si>
  <si>
    <t>walakin nabatiyin, wakha, kanDn ila kan chi 7d akhor ghatkon mzyana</t>
  </si>
  <si>
    <t>والاكين ناباتييين, واخا, كانضن إلا كان شي حد أخور غاتكون مزيانا</t>
  </si>
  <si>
    <t>Well, you know, we'll take care of the raw vegetables</t>
  </si>
  <si>
    <t>wakha kif kat3raf, ghadi nt8llaw f lkhoDra</t>
  </si>
  <si>
    <t>واخا كيف كاتعراف, غادي نتهلّاو ف لخوضرا</t>
  </si>
  <si>
    <t>like everyone else</t>
  </si>
  <si>
    <t>b7al ay wa7d akhor</t>
  </si>
  <si>
    <t>بحال أي واحد أخور</t>
  </si>
  <si>
    <t>All right, look, I think we're all gone</t>
  </si>
  <si>
    <t>wakha, chof, kanDn mchina kamlin</t>
  </si>
  <si>
    <t>واخا, شوف, كانضن مشينا كاملين</t>
  </si>
  <si>
    <t>I'll think about the guest list</t>
  </si>
  <si>
    <t>ghadi nfakar fl9a2ima dyal Dyaf</t>
  </si>
  <si>
    <t>غادي نفاكار فلقاإما ديال ضياف</t>
  </si>
  <si>
    <t>I have to leave you for now, but thank you for all your advice</t>
  </si>
  <si>
    <t>khasni nkhalik daba, walakin kanchkrk 3la naSa2i7 dyalk</t>
  </si>
  <si>
    <t>خاسني نخاليك دابا, والاكين كانشكرك علا ناصاإح ديالك</t>
  </si>
  <si>
    <t>You're welcome!</t>
  </si>
  <si>
    <t>mar7aban</t>
  </si>
  <si>
    <t>مارحابان</t>
  </si>
  <si>
    <t>Good morning, ma'am</t>
  </si>
  <si>
    <t>sbah lkhir a lalla</t>
  </si>
  <si>
    <t>سباه لخير أ لالّا</t>
  </si>
  <si>
    <t>Lie down, I'm listening</t>
  </si>
  <si>
    <t>tkka, ana kansma3</t>
  </si>
  <si>
    <t>تكّا, أنا كانسماع</t>
  </si>
  <si>
    <t>Do I have to lie down?</t>
  </si>
  <si>
    <t>wach khasni ntkka?</t>
  </si>
  <si>
    <t>واش خاسني نتكّا?</t>
  </si>
  <si>
    <t>I'd prefer to just sit</t>
  </si>
  <si>
    <t>ana kanfaDal ghir nglas safi</t>
  </si>
  <si>
    <t>أنا كانفاضال غير نڭلاس سافي</t>
  </si>
  <si>
    <t>I'm feeling a little bit apprehensive about this</t>
  </si>
  <si>
    <t>kan7as bchwiya dyal dérangement mn hadchi</t>
  </si>
  <si>
    <t>كانحاس بشوييا ديال دéرانڭمنت من هادشي</t>
  </si>
  <si>
    <t>What are you worried about?</t>
  </si>
  <si>
    <t>3lach nta mderongi</t>
  </si>
  <si>
    <t>علاش نتا مدرونڭي</t>
  </si>
  <si>
    <t>Oh, you know everything</t>
  </si>
  <si>
    <t>ah, rak 3arf kolchi</t>
  </si>
  <si>
    <t>أه, راك عارف كولشي</t>
  </si>
  <si>
    <t>I don't know where to begin</t>
  </si>
  <si>
    <t>ma3arfch mnin nbda</t>
  </si>
  <si>
    <t>ماعارفش منين نبدا</t>
  </si>
  <si>
    <t>Then let's start with simple questions</t>
  </si>
  <si>
    <t>yalah nabdaw b as2ila sa8la</t>
  </si>
  <si>
    <t>يالاه نابداو ب أسإلا ساهلا</t>
  </si>
  <si>
    <t>I don't know what you mean</t>
  </si>
  <si>
    <t>ma3raftch ach kat9sad</t>
  </si>
  <si>
    <t>ماعرافتش أش كاتقساد</t>
  </si>
  <si>
    <t>ma3raftch chno bghiti t9Sed</t>
  </si>
  <si>
    <t>ماعرافتش شنو بغيتي تقصد</t>
  </si>
  <si>
    <t>I'm not worried about talking to you</t>
  </si>
  <si>
    <t>ana makhayfch mn l8Dra m3ak</t>
  </si>
  <si>
    <t>أنا ماخايفش من لهضرا معاك</t>
  </si>
  <si>
    <t>I'm worried about... I seem to worry about everything</t>
  </si>
  <si>
    <t>ana khayf mn... ban liya ana khayf 3la kolchi</t>
  </si>
  <si>
    <t>أنا خايف من... بان لييا أنا خايف علا كولشي</t>
  </si>
  <si>
    <t>My job</t>
  </si>
  <si>
    <t>khdmti</t>
  </si>
  <si>
    <t>خدمتي</t>
  </si>
  <si>
    <t>My children</t>
  </si>
  <si>
    <t>wladi</t>
  </si>
  <si>
    <t>ولادي</t>
  </si>
  <si>
    <t>It's all very overwhelming</t>
  </si>
  <si>
    <t>kolchi fayt l9yas bzaf</t>
  </si>
  <si>
    <t>كولشي فايت لقياس بزاف</t>
  </si>
  <si>
    <t>And I talk too much</t>
  </si>
  <si>
    <t>o ana kan8Dr bzaf</t>
  </si>
  <si>
    <t>أُ أنا كانهضر بزاف</t>
  </si>
  <si>
    <t>Thank you for talking</t>
  </si>
  <si>
    <t>chokran 3la l8dra</t>
  </si>
  <si>
    <t>شوكران علا لهدرا</t>
  </si>
  <si>
    <t>It's important that I test your concern</t>
  </si>
  <si>
    <t>rah darori nkhtabr l9ala9 dyalk</t>
  </si>
  <si>
    <t>راه داروري نختابر لقالاق ديالك</t>
  </si>
  <si>
    <t>If you're not worried in my office</t>
  </si>
  <si>
    <t>ila makntich 9ali9 f lmaktab dyali</t>
  </si>
  <si>
    <t>إلا ماكنتيش قاليق ف لماكتاب ديالي</t>
  </si>
  <si>
    <t>it's a good thing you're not afraid to talk about yourself</t>
  </si>
  <si>
    <t>mzyan matkhafch t8dar 3la rask</t>
  </si>
  <si>
    <t>مزيان ماتخافش تهدار علا راسك</t>
  </si>
  <si>
    <t>It's a big step!</t>
  </si>
  <si>
    <t>rah khoTwa kbira!</t>
  </si>
  <si>
    <t>راه خوطوا كبيرا!</t>
  </si>
  <si>
    <t>Do you know how long you've been feeling all these concerns?</t>
  </si>
  <si>
    <t>wach 3rafti mnimta onta kat7s bhad lmakhawif?</t>
  </si>
  <si>
    <t>واش عرافتي منيمتا أُنتا كاتحس بهاد لماخاويف?</t>
  </si>
  <si>
    <t>It started this year</t>
  </si>
  <si>
    <t>bda had l3am</t>
  </si>
  <si>
    <t>بدا هاد لعام</t>
  </si>
  <si>
    <t>When I was offered promotion</t>
  </si>
  <si>
    <t>mnin t3arDat 3lia tar9iya</t>
  </si>
  <si>
    <t>منين تعارضات عليا تارقييا</t>
  </si>
  <si>
    <t>I turned it down</t>
  </si>
  <si>
    <t>rfaDt8a</t>
  </si>
  <si>
    <t>رفاضتها</t>
  </si>
  <si>
    <t>What do you think you're afraid of?</t>
  </si>
  <si>
    <t>achno kadan mnach khayf?</t>
  </si>
  <si>
    <t>أشنو كادان مناش خايف?</t>
  </si>
  <si>
    <t>Responsibility</t>
  </si>
  <si>
    <t>lms2oliya?</t>
  </si>
  <si>
    <t>لمسألييا?</t>
  </si>
  <si>
    <t>Fear of failure?</t>
  </si>
  <si>
    <t>lkhawf mn lfachal?</t>
  </si>
  <si>
    <t>لخاوف من لفاشال?</t>
  </si>
  <si>
    <t>I hate my job but I don't want to leave it</t>
  </si>
  <si>
    <t>ana kankr8 lkhdma dyali walakin mabghitch nkhrj mn8a</t>
  </si>
  <si>
    <t>أنا كانكره لخدما ديالي والاكين مابغيتش نخرج منها</t>
  </si>
  <si>
    <t>Um... how exactly do you manifest your fears?</t>
  </si>
  <si>
    <t>um... kifach bDabT kat3bbr 3la lkhawf dyalk?</t>
  </si>
  <si>
    <t>وم... كيفاش بضابط كاتعبّر علا لخاوف ديالك?</t>
  </si>
  <si>
    <t>I have difficulty sleeping</t>
  </si>
  <si>
    <t>3ndi So3obat fn3as</t>
  </si>
  <si>
    <t>عندي صوعوبات فنعاس</t>
  </si>
  <si>
    <t>I lose things</t>
  </si>
  <si>
    <t>kanf9ad l7wayj</t>
  </si>
  <si>
    <t>كانفقاد لحوايج</t>
  </si>
  <si>
    <t>I forget stuff</t>
  </si>
  <si>
    <t>kannsa chi 7wayj</t>
  </si>
  <si>
    <t>كانّسا شي حوايج</t>
  </si>
  <si>
    <t>Um... sorry what was the question?</t>
  </si>
  <si>
    <t>um...sma7 liya achno kan so2al dyalk?</t>
  </si>
  <si>
    <t>وم...سماح لييا أشنو كان سوأل ديالك?</t>
  </si>
  <si>
    <t>Well, the subject seems serious to me</t>
  </si>
  <si>
    <t>wakha, lmawDo3 kayban jadd bnsba lia</t>
  </si>
  <si>
    <t>واخا, لماوضوع كايبان جادّ بنسبا ليا</t>
  </si>
  <si>
    <t>So I suggest we meet once a week for six months</t>
  </si>
  <si>
    <t>hadchi 3lach ghadi n9tar7 ntla9aw mrra f simana lmoda dyal stt ch8or</t>
  </si>
  <si>
    <t>هادشي علاش غادي نقتارح نتلاقاو مرّا ف سيمانا لمودا ديال ستّ شهور</t>
  </si>
  <si>
    <t>For today, that'll be $150</t>
  </si>
  <si>
    <t>bnisba l lyoum, ghadi ykon 150 dollar</t>
  </si>
  <si>
    <t>بنيسبا ل ليوم, غادي يكون 150 دولّار</t>
  </si>
  <si>
    <t>Make it twice a week and double your fee</t>
  </si>
  <si>
    <t>khaliha joj mrrat f simana o Dobl lkhlas dyalk</t>
  </si>
  <si>
    <t>خاليها جوج مرّات ف سيمانا أُ ضوبل لخلاس ديالك</t>
  </si>
  <si>
    <t>far7an 7it 8Drt m3ak</t>
  </si>
  <si>
    <t>فارحان حيت هضرت معاك</t>
  </si>
  <si>
    <t>I feel better already</t>
  </si>
  <si>
    <t>kan7as 7san daba</t>
  </si>
  <si>
    <t>كانحاس حسان دابا</t>
  </si>
  <si>
    <t>This is very inconvenient!</t>
  </si>
  <si>
    <t>hadchi mbrzaT bzaf</t>
  </si>
  <si>
    <t>هادشي مبرزاط بزاف</t>
  </si>
  <si>
    <t>Oh, no, that's not possible!</t>
  </si>
  <si>
    <t>oh, la, hadchi maymknch!</t>
  </si>
  <si>
    <t>أُه, لا, هادشي مايمكنش!</t>
  </si>
  <si>
    <t>I have to go pick up my kids in five minutes</t>
  </si>
  <si>
    <t>khasni nmchi njib wladi f khamsa d9ay9</t>
  </si>
  <si>
    <t>خاسني نمشي نجيب ولادي ف خامسا دقايق</t>
  </si>
  <si>
    <t>I have to tell the school that I'm gonna be late</t>
  </si>
  <si>
    <t>khasni ngol lmdrasa bila ghadi nt3atal</t>
  </si>
  <si>
    <t>خاسني نڭول لمدراسا بيلا غادي نتعاتال</t>
  </si>
  <si>
    <t>Never mind your kids</t>
  </si>
  <si>
    <t>nsa wladk</t>
  </si>
  <si>
    <t>نسا ولادك</t>
  </si>
  <si>
    <t>What about my meeting with our new clients?</t>
  </si>
  <si>
    <t>ewa o ljtima3 dyalna m3a lklyan jjdad dyalna</t>
  </si>
  <si>
    <t>إوا أُ لجتيماع ديالنا معا لكليان الجداد ديالنا</t>
  </si>
  <si>
    <t>They'll be arriving in 3 minutes!</t>
  </si>
  <si>
    <t>ghadi ywSlo mn daba 3 d9ay9!</t>
  </si>
  <si>
    <t>غادي يوصلو من دابا 3 دقايق!</t>
  </si>
  <si>
    <t>Is this a very important appointment for you?</t>
  </si>
  <si>
    <t>wach hada maw3id mohim bnasba lik?</t>
  </si>
  <si>
    <t>واش هادا ماوعيد موهيم بناسبا ليك?</t>
  </si>
  <si>
    <t>Of course it is</t>
  </si>
  <si>
    <t>Tab3an</t>
  </si>
  <si>
    <t>طابعان</t>
  </si>
  <si>
    <t>do you have a phone?</t>
  </si>
  <si>
    <t>wach 3ndak tilifon?</t>
  </si>
  <si>
    <t>واش عنداك تيليفون?</t>
  </si>
  <si>
    <t>If you send a message to the secretary, she'll warn them</t>
  </si>
  <si>
    <t>ila siftti message lsikritira, ghadi t3lm8om</t>
  </si>
  <si>
    <t>إلا سيفتّي مسّاڭ لسيكريتيرا, غادي تعلمهوم</t>
  </si>
  <si>
    <t>There is a problem with that</t>
  </si>
  <si>
    <t>kayna mochkila fhadchi</t>
  </si>
  <si>
    <t>كاينا موشكيلا فهادشي</t>
  </si>
  <si>
    <t>The secretary is ill today</t>
  </si>
  <si>
    <t>sikritira mriDa lyoum</t>
  </si>
  <si>
    <t>سيكريتيرا مريضا ليوم</t>
  </si>
  <si>
    <t>Think again</t>
  </si>
  <si>
    <t>fkkar tani</t>
  </si>
  <si>
    <t>فكّار تاني</t>
  </si>
  <si>
    <t>I pay you to think</t>
  </si>
  <si>
    <t>ana kankhalSk bach tfkkr</t>
  </si>
  <si>
    <t>أنا كانخالصك باش تفكّر</t>
  </si>
  <si>
    <t>we need solution</t>
  </si>
  <si>
    <t>khasna 7all</t>
  </si>
  <si>
    <t>خاسنا حالّ</t>
  </si>
  <si>
    <t>Ah, you want me to lend you my phone?</t>
  </si>
  <si>
    <t>ah wach bghiti nsllfk tilifoni?</t>
  </si>
  <si>
    <t>أه واش بغيتي نسلّفك تيليفوني?</t>
  </si>
  <si>
    <t>but we do not want the clients to know we are stuck in the lift do we?</t>
  </si>
  <si>
    <t>walakin mabghinach lklyan y3rfo bila 7na wa7lin f sansour, awlla la?</t>
  </si>
  <si>
    <t>والاكين مابغيناش لكليان يعرفو بيلا حنا واحلين ف سانسور, أولّا لا?</t>
  </si>
  <si>
    <t>Oh, yes, of course</t>
  </si>
  <si>
    <t>oh, bSSe7, Tab3an</t>
  </si>
  <si>
    <t>أُه, بصّح, طابعان</t>
  </si>
  <si>
    <t>What are you going to tell them?</t>
  </si>
  <si>
    <t>achno ghadi tgollihom?</t>
  </si>
  <si>
    <t>أشنو غادي تڭولّيهوم?</t>
  </si>
  <si>
    <t>You're getting back from Los Angeles and your plane's been delayed.</t>
  </si>
  <si>
    <t>wach t9dar tgol bila ghadi trja3 mn los angeles, wla Tyartak t3atlat?</t>
  </si>
  <si>
    <t>واش تقدار تڭول بيلا غادي ترجاع من لوس أنڭلس, ولا طيارتاك تعاتلات?</t>
  </si>
  <si>
    <t>I could call them, make them think I'm your secretary</t>
  </si>
  <si>
    <t>n9dr n3yt lihom, o nkhaliwhom ys7ab lihom bila ana sikritira dyalk</t>
  </si>
  <si>
    <t>نقدر نعيت ليهوم, أُ نخاليوهوم يسحاب ليهوم بيلا أنا سيكريتيرا ديالك</t>
  </si>
  <si>
    <t>you asked me to warn them</t>
  </si>
  <si>
    <t>Tlabti mni n7ddr8om</t>
  </si>
  <si>
    <t>طلابتي مني نحدّرهوم</t>
  </si>
  <si>
    <t>Good idea</t>
  </si>
  <si>
    <t>fikra mzyana</t>
  </si>
  <si>
    <t>فيكرا مزيانا</t>
  </si>
  <si>
    <t>now you are thinking</t>
  </si>
  <si>
    <t>daba rak katfkkr</t>
  </si>
  <si>
    <t>دابا راك كاتفكّر</t>
  </si>
  <si>
    <t>With our company name being XX we cannot possibly let them know that we are stuck in our own lift</t>
  </si>
  <si>
    <t>m3a smiya dyal charika dyalna XX man9adroch ngolo lihom rah wa7lin f sansour dyalna</t>
  </si>
  <si>
    <t>معا سمييا ديال شاريكا ديالنا شش مانقادروش نڭولو ليهوم راه واحلين ف سانسور ديالنا</t>
  </si>
  <si>
    <t>I'll call them right away, so what's the number?</t>
  </si>
  <si>
    <t>ghadi nSoni 3lihom drok, achna8owa rra9m?</t>
  </si>
  <si>
    <t>غادي نصوني عليهوم دروك, أشناهووا الراقم?</t>
  </si>
  <si>
    <t>Oh no!</t>
  </si>
  <si>
    <t>oh la!</t>
  </si>
  <si>
    <t>أُه لا!</t>
  </si>
  <si>
    <t>It's on my computer, which is in my office</t>
  </si>
  <si>
    <t>rah kayn fl PC dyali, likayn fl biro dyali</t>
  </si>
  <si>
    <t>راه كاين فل پك ديالي, ليكاين فل بيرو ديالي</t>
  </si>
  <si>
    <t>this just gets worse and worse</t>
  </si>
  <si>
    <t>hadchi ghir kayzid yakhyab</t>
  </si>
  <si>
    <t>هادشي غير كايزيد ياخياب</t>
  </si>
  <si>
    <t>hadchi ghir kayzid itkffes</t>
  </si>
  <si>
    <t>هادشي غير كايزيد إتكفّس</t>
  </si>
  <si>
    <t>hadchi ghir kayzid itrowwen</t>
  </si>
  <si>
    <t>هادشي غير كايزيد إترووّن</t>
  </si>
  <si>
    <t>there's only one thing for it</t>
  </si>
  <si>
    <t>kayna 7aja wa7da lih</t>
  </si>
  <si>
    <t>كاينا حاجا واحدا ليه</t>
  </si>
  <si>
    <t>We have got to get out of here!</t>
  </si>
  <si>
    <t>khasna nkhorjo mn 8na!</t>
  </si>
  <si>
    <t>خاسنا نخورجو من هنا!</t>
  </si>
  <si>
    <t>Give me your phone</t>
  </si>
  <si>
    <t>3tini tilifonk</t>
  </si>
  <si>
    <t>عتيني تيليفونك</t>
  </si>
  <si>
    <t>I got my laptop in my backpack</t>
  </si>
  <si>
    <t>rah 3ndi PC dyali f chkarti</t>
  </si>
  <si>
    <t>راه عندي پك ديالي ف شكارتي</t>
  </si>
  <si>
    <t>like I said</t>
  </si>
  <si>
    <t>kimma glt lik</t>
  </si>
  <si>
    <t>كيمّا ڭلت ليك</t>
  </si>
  <si>
    <t>I was gonna pick up my kids from school</t>
  </si>
  <si>
    <t>knt ghadi njib wladi mn lmdrasa</t>
  </si>
  <si>
    <t>كنت غادي نجيب ولادي من لمدراسا</t>
  </si>
  <si>
    <t>I thought I'd work tonight at home</t>
  </si>
  <si>
    <t>knt nawi nkhdam had llila f dar</t>
  </si>
  <si>
    <t>كنت ناوي نخدام هاد الليلا ف دار</t>
  </si>
  <si>
    <t>We're gonna find their phones in my computer, don't worry.</t>
  </si>
  <si>
    <t>ghadi nl9aw nwamr8om f PC dyali. matkhafch</t>
  </si>
  <si>
    <t>غادي نلقاو نوامرهوم ف پك ديالي. ماتخافش</t>
  </si>
  <si>
    <t>Here it is, I'll give it to you.</t>
  </si>
  <si>
    <t>hahoa, daba n3Tih lik.</t>
  </si>
  <si>
    <t>هاهوا, دابا نعطيه ليك.</t>
  </si>
  <si>
    <t>In the meantime</t>
  </si>
  <si>
    <t>fnfs lwe9t</t>
  </si>
  <si>
    <t>فنفس لوقت</t>
  </si>
  <si>
    <t>f nafs lwa9t</t>
  </si>
  <si>
    <t>ف نافس لواقت</t>
  </si>
  <si>
    <t>I'll call the school and let them know I'm gonna be a little late</t>
  </si>
  <si>
    <t>ghadi ndower lmdrasa o ngolihom rah ghadi nt3Tl chwiya</t>
  </si>
  <si>
    <t>غادي ندوور لمدراسا أُ نڭوليهوم راه غادي نتعطل شوييا</t>
  </si>
  <si>
    <t>Your phone is very low in battery</t>
  </si>
  <si>
    <t>batri dyal tilifonk na9sa bzaf</t>
  </si>
  <si>
    <t>باتري ديال تيليفونك ناقسا بزاف</t>
  </si>
  <si>
    <t>have you charged it up recently?</t>
  </si>
  <si>
    <t>wach charjitih mo2kharan?</t>
  </si>
  <si>
    <t>واش شارجيتيه موءخاران?</t>
  </si>
  <si>
    <t>it has just run out of battery</t>
  </si>
  <si>
    <t>rah yalah khwa mn la charge</t>
  </si>
  <si>
    <t>راه يالاه خوا من لا شارڭ</t>
  </si>
  <si>
    <t>We have no way of communicating with anyone</t>
  </si>
  <si>
    <t>ma3ndna tta Tari9a bach ntwaslo m3a chi 7d</t>
  </si>
  <si>
    <t>ماعندنا التا طاريقا باش نتواسلو معا شي حد</t>
  </si>
  <si>
    <t>Ah, that's getting really disturbing</t>
  </si>
  <si>
    <t>ah, hadchi ghadi o kaywlli moz3ij bzaf</t>
  </si>
  <si>
    <t>أه, هادشي غادي أُ كايولّي موزعيج بزاف</t>
  </si>
  <si>
    <t>I hope the paramedics get here.</t>
  </si>
  <si>
    <t>kantmna lmos3ifin ikono wSLo l8na</t>
  </si>
  <si>
    <t>كانتمنا لموسعيفين إكونو وصلو لهنا</t>
  </si>
  <si>
    <t>Don't panic</t>
  </si>
  <si>
    <t>matpanikich</t>
  </si>
  <si>
    <t>ماتپانيكيش</t>
  </si>
  <si>
    <t>matkhl3ch</t>
  </si>
  <si>
    <t>ماتخلعش</t>
  </si>
  <si>
    <t>matkhal3ich</t>
  </si>
  <si>
    <t>ماتخالعيش</t>
  </si>
  <si>
    <t>we're not injured!</t>
  </si>
  <si>
    <t>7na mamjro7inch</t>
  </si>
  <si>
    <t>حنا مامجروحينش</t>
  </si>
  <si>
    <t>Why don't we just press the alarm button</t>
  </si>
  <si>
    <t>3lach manbrkoch 3la boton dyal indar</t>
  </si>
  <si>
    <t>علاش مانبركوش علا بوتون ديال إندار</t>
  </si>
  <si>
    <t>why didn't you think of that before?</t>
  </si>
  <si>
    <t>3lach mafkkrtich fhadchi mn 9bal?</t>
  </si>
  <si>
    <t>علاش مافكّرتيش فهادشي من قبال?</t>
  </si>
  <si>
    <t>I pay you to think!</t>
  </si>
  <si>
    <t>ana rah kankhalsak bach tfakar!</t>
  </si>
  <si>
    <t>أنا راه كانخالساك باش تفاكار!</t>
  </si>
  <si>
    <t>I believe this forest path leads us to a dead end</t>
  </si>
  <si>
    <t>kanDn had Tri9 dyal lghaba kaydina lTri9 masdod</t>
  </si>
  <si>
    <t>كانضن هاد طريق ديال لغابا كايدينا لطريق ماسدود</t>
  </si>
  <si>
    <t>Have you been here before?</t>
  </si>
  <si>
    <t>wach knti 8na mn 9bal?</t>
  </si>
  <si>
    <t>واش كنتي هنا من قبال?</t>
  </si>
  <si>
    <t>It's problematic</t>
  </si>
  <si>
    <t>rah mochkila</t>
  </si>
  <si>
    <t>راه موشكيلا</t>
  </si>
  <si>
    <t>No, I don't know the area.</t>
  </si>
  <si>
    <t>la la ma3arfch lminTa9a</t>
  </si>
  <si>
    <t>لا لا ماعارفش لمينطاقا</t>
  </si>
  <si>
    <t>Do you think we should go back?</t>
  </si>
  <si>
    <t>wach katDan bila khasna nrj3o?</t>
  </si>
  <si>
    <t>واش كاتضان بيلا خاسنا نرجعو?</t>
  </si>
  <si>
    <t>Yes, I think it would be prudent to retrace our steps</t>
  </si>
  <si>
    <t>ah, kanDn ghadi ykon mn l7ikma ntab3o lkhotowat dyalna</t>
  </si>
  <si>
    <t>أه, كانضن غادي يكون من لحيكما نتابعو لخوتووات ديالنا</t>
  </si>
  <si>
    <t>How long have we walked on this path?</t>
  </si>
  <si>
    <t>mnimta o 7na kanmchiw fhad Tri9?</t>
  </si>
  <si>
    <t>منيمتا أُ حنا كانمشيو فهاد طريق?</t>
  </si>
  <si>
    <t>hadi fikra zwina</t>
  </si>
  <si>
    <t>هادي فيكرا زوينا</t>
  </si>
  <si>
    <t>What time is it now?</t>
  </si>
  <si>
    <t>ch7al fsa3a daba?</t>
  </si>
  <si>
    <t>شحال فساعا دابا?</t>
  </si>
  <si>
    <t>Do you have your phone or watch?</t>
  </si>
  <si>
    <t>wach 3ndk tilifonk wla magana dyalk?</t>
  </si>
  <si>
    <t>واش عندك تيليفونك ولا ماڭانا ديالك?</t>
  </si>
  <si>
    <t>Yes, I have a watch.</t>
  </si>
  <si>
    <t>ah 3andi magana</t>
  </si>
  <si>
    <t>أه عاندي ماڭانا</t>
  </si>
  <si>
    <t>My phone is dead.</t>
  </si>
  <si>
    <t>tilifoni decharja</t>
  </si>
  <si>
    <t>تيليفوني دشارجا</t>
  </si>
  <si>
    <t>It's 8:00 already</t>
  </si>
  <si>
    <t>ra8a 8:00 daba</t>
  </si>
  <si>
    <t>راها ه:00 دابا</t>
  </si>
  <si>
    <t>it's getting dark</t>
  </si>
  <si>
    <t>bda Dlam kayTi7</t>
  </si>
  <si>
    <t>بدا ضلام كايطيح</t>
  </si>
  <si>
    <t>Do you have any dinner?</t>
  </si>
  <si>
    <t>wach 3ndak chi 3cha?</t>
  </si>
  <si>
    <t>واش عنداك شي عشا?</t>
  </si>
  <si>
    <t>Do you have an idea of how long it took us to reach this point in the forest?</t>
  </si>
  <si>
    <t>wach 3andk chi fikra ch7al tlwa9t khdina bach noSlo lhad lblasa f lghaba?</t>
  </si>
  <si>
    <t>واش عاندك شي فيكرا شحال تلواقت خدينا باش نوصلو لهاد لبلاسا ف لغابا?</t>
  </si>
  <si>
    <t>I believe it's been four hours since we walked on this path</t>
  </si>
  <si>
    <t>kanDn dazt rb3a dyal sway3 o7na kantmchaw f had Tri9</t>
  </si>
  <si>
    <t>كانضن دازت ربعا ديال سوايع أُحنا كانتمشاو ف هاد طريق</t>
  </si>
  <si>
    <t>I have some biscuits in my rucksack</t>
  </si>
  <si>
    <t>3ndi chwiya dyal biskwit f sac dyali</t>
  </si>
  <si>
    <t>عندي شوييا ديال بيسكويت ف ساك ديالي</t>
  </si>
  <si>
    <t>We had better move fast</t>
  </si>
  <si>
    <t>khasna nat7arko bzarba</t>
  </si>
  <si>
    <t>خاسنا ناتحاركو بزاربا</t>
  </si>
  <si>
    <t>The problem is the light</t>
  </si>
  <si>
    <t>lmochkila hiya DDo</t>
  </si>
  <si>
    <t>لموشكيلا هييا الضو</t>
  </si>
  <si>
    <t>We may lose ourselves or trip over an obstacle and hurt us</t>
  </si>
  <si>
    <t>n9adro ntlfo wla n3sfo 3la chi 39ba o nt2adaw</t>
  </si>
  <si>
    <t>نقادرو نتلفو ولا نعسفو علا شي عقبا أُ نتأداو</t>
  </si>
  <si>
    <t>Yes, we must hurry.</t>
  </si>
  <si>
    <t>ah khasna nsarbiw</t>
  </si>
  <si>
    <t>أه خاسنا نساربيو</t>
  </si>
  <si>
    <t>Let's be careful in our steps</t>
  </si>
  <si>
    <t>ndeddo lbal lkhTwat dyalna</t>
  </si>
  <si>
    <t>نددّو لبال لخطوات ديالنا</t>
  </si>
  <si>
    <t>And on your side</t>
  </si>
  <si>
    <t>o mn jihtak</t>
  </si>
  <si>
    <t>أُ من جيهتاك</t>
  </si>
  <si>
    <t>Four hours?</t>
  </si>
  <si>
    <t>rb3a dyal sway3?</t>
  </si>
  <si>
    <t>ربعا ديال سوايع?</t>
  </si>
  <si>
    <t>Luckily I have my phone on me</t>
  </si>
  <si>
    <t>l7osn l7aD haz m3aya tilifoni</t>
  </si>
  <si>
    <t>لحوسن لحاض هاز معايا تيليفوني</t>
  </si>
  <si>
    <t>we had better alert our families</t>
  </si>
  <si>
    <t>khasna n3almo 3a2ilatna</t>
  </si>
  <si>
    <t>خاسنا نعالمو عاإلاتنا</t>
  </si>
  <si>
    <t>we should tell them about our problem</t>
  </si>
  <si>
    <t>khsna n3awdo lihom 3la lmochkila dyalna</t>
  </si>
  <si>
    <t>خسنا نعاودو ليهوم علا لموشكيلا ديالنا</t>
  </si>
  <si>
    <t>Great, at least send a text to warn them.</t>
  </si>
  <si>
    <t>mzyan, 3la9al sift lihom risala bach ta7drhom</t>
  </si>
  <si>
    <t>مزيان, علاقال سيفت ليهوم ريسالا باش تاحدرهوم</t>
  </si>
  <si>
    <t>We can use the torch in my phone</t>
  </si>
  <si>
    <t>n9adro nkhdmo ddo li f tilifoni</t>
  </si>
  <si>
    <t>نقادرو نخدمو الدو لي ف تيليفوني</t>
  </si>
  <si>
    <t>this is my phone, not yours</t>
  </si>
  <si>
    <t>hada tilifoni, machi dyalk</t>
  </si>
  <si>
    <t>هادا تيليفوني, ماشي ديالك</t>
  </si>
  <si>
    <t>is that your phone</t>
  </si>
  <si>
    <t>wach hada tilifonk</t>
  </si>
  <si>
    <t>واش هادا تيليفونك</t>
  </si>
  <si>
    <t>no, that's Naima's phone</t>
  </si>
  <si>
    <t>la, hadak tilifon dyal Naima</t>
  </si>
  <si>
    <t>لا, هاداك تيليفون ديال نايما</t>
  </si>
  <si>
    <t>Yes, but let's save it</t>
  </si>
  <si>
    <t>ah, walakin khlina n7afDo 3liha</t>
  </si>
  <si>
    <t>أه, والاكين خلينا نحافضو عليها</t>
  </si>
  <si>
    <t>Do you have any warm clothes?</t>
  </si>
  <si>
    <t>wach 3andak chi 7wayj dafya?</t>
  </si>
  <si>
    <t>واش عانداك شي حوايج دافيا?</t>
  </si>
  <si>
    <t>fikra naDia</t>
  </si>
  <si>
    <t>فيكرا ناضيا</t>
  </si>
  <si>
    <t>We had better get a move on</t>
  </si>
  <si>
    <t>khasna nat7arko</t>
  </si>
  <si>
    <t>خاسنا ناتحاركو</t>
  </si>
  <si>
    <t>With the night falling, it might get cold fast enough now.</t>
  </si>
  <si>
    <t>m3a lil, ghadi ybrad l7al bzarba daba</t>
  </si>
  <si>
    <t>معا ليل, غادي يبراد لحال بزاربا دابا</t>
  </si>
  <si>
    <t>Only a jacket and a scarf</t>
  </si>
  <si>
    <t>ghir tjakita o zif</t>
  </si>
  <si>
    <t>غير تجاكيتا أُ زيف</t>
  </si>
  <si>
    <t>Let's try to walk a little faster to warm ourselves.</t>
  </si>
  <si>
    <t>khalina nmchiw bzarba bach nadfaw</t>
  </si>
  <si>
    <t>خالينا نمشيو بزاربا باش نادفاو</t>
  </si>
  <si>
    <t>I think I still have some hot water in my bag</t>
  </si>
  <si>
    <t>kanDn ba9i 3ndi chwiya dyal lma dafi f saki</t>
  </si>
  <si>
    <t>كانضن باقي عندي شوييا ديال لما دافي ف ساكي</t>
  </si>
  <si>
    <t>Would you like some tea or coffee?</t>
  </si>
  <si>
    <t>bghiti chwiya dyal atay wla l9ahwa</t>
  </si>
  <si>
    <t>بغيتي شوييا ديال أتاي ولا لقاهوا</t>
  </si>
  <si>
    <t>I would love some tea but we better not stop</t>
  </si>
  <si>
    <t>bghit atay walakin 7san manwa9foch</t>
  </si>
  <si>
    <t>بغيت أتاي والاكين حسان مانواقفوش</t>
  </si>
  <si>
    <t>All right, we'll take it later.</t>
  </si>
  <si>
    <t>wakha, ghadi nakhdoh mn ba3d</t>
  </si>
  <si>
    <t>واخا, غادي ناخدوه من باعد</t>
  </si>
  <si>
    <t>Good morning ma'am, come in and sit down if you wish</t>
  </si>
  <si>
    <t>sbah lkhir lala, aji glsi ila bghiti</t>
  </si>
  <si>
    <t>سباه لخير لالا, أجي ڭلسي إلا بغيتي</t>
  </si>
  <si>
    <t>I'm feeling a bit nervous to be honest</t>
  </si>
  <si>
    <t>kan7as bchwiya dyal tawator sara7a</t>
  </si>
  <si>
    <t>كانحاس بشوييا ديال تاواتور ساراحا</t>
  </si>
  <si>
    <t>It's normal</t>
  </si>
  <si>
    <t>rah 7aja Tabi3iya</t>
  </si>
  <si>
    <t>راه حاجا طابيعييا</t>
  </si>
  <si>
    <t>just relax and find out everything's going well</t>
  </si>
  <si>
    <t>ghir rta7 o ktachf bila kolchi rah mzyan</t>
  </si>
  <si>
    <t>غير رتاح أُ كتاشف بيلا كولشي راه مزيان</t>
  </si>
  <si>
    <t>Where do we start?</t>
  </si>
  <si>
    <t>mnin nabdaw?</t>
  </si>
  <si>
    <t>منين نابداو?</t>
  </si>
  <si>
    <t>The best part is, you tell me why you wanted to come.</t>
  </si>
  <si>
    <t>a7san 7aja tgoliya 3lach bghiti tji</t>
  </si>
  <si>
    <t>أحسان حاجا تڭولييا علاش بغيتي تجي</t>
  </si>
  <si>
    <t>But you can also talk to me about something else</t>
  </si>
  <si>
    <t>walakin t9dar t8dar m3aya 3la 7aja khra</t>
  </si>
  <si>
    <t>والاكين تقدار تهدار معايا علا حاجا خرا</t>
  </si>
  <si>
    <t>I feel overwhelmed by everything happening at the moment</t>
  </si>
  <si>
    <t>kan7as bl3ya mn ga3 dakchi likaywqa3 daba</t>
  </si>
  <si>
    <t>كانحاس بلعيا من ڭاع داكشي ليكايوقاع دابا</t>
  </si>
  <si>
    <t>It's as you wish</t>
  </si>
  <si>
    <t>kifma bghiti</t>
  </si>
  <si>
    <t>كيفما بغيتي</t>
  </si>
  <si>
    <t>Can you tell me more?</t>
  </si>
  <si>
    <t>ta9dar tgolia liya ktar?</t>
  </si>
  <si>
    <t>تاقدار تڭوليا لييا كتار?</t>
  </si>
  <si>
    <t>Work is stressful</t>
  </si>
  <si>
    <t>lkhdma mor8i9a</t>
  </si>
  <si>
    <t>لخدما مورهيقا</t>
  </si>
  <si>
    <t>My husband doesn't understand how stressful my job is</t>
  </si>
  <si>
    <t>rajli makayfhamch ch7al kat3yyi khdmti</t>
  </si>
  <si>
    <t>راجلي ماكايفهامش شحال كاتعيّي خدمتي</t>
  </si>
  <si>
    <t>Did you tell her that?</t>
  </si>
  <si>
    <t>wach glti liha hadchi</t>
  </si>
  <si>
    <t>واش ڭلتي ليها هادشي</t>
  </si>
  <si>
    <t>He says that if I don't like my job then change it</t>
  </si>
  <si>
    <t>kaygol ila ma3jbatnich lkhdma nbdlha</t>
  </si>
  <si>
    <t>كايڭول إلا ماعجباتنيش لخدما نبدلها</t>
  </si>
  <si>
    <t>I work as a project manager for a big corporate company</t>
  </si>
  <si>
    <t>kankhdam modir machro3 fcharika kbira</t>
  </si>
  <si>
    <t>كانخدام مودير ماشروع فشاريكا كبيرا</t>
  </si>
  <si>
    <t>He's unemployed at the moment</t>
  </si>
  <si>
    <t>hoa makhadamch fhad lwa9t</t>
  </si>
  <si>
    <t>هوا ماخادامش فهاد لواقت</t>
  </si>
  <si>
    <t>he isn't making much effort to get a new job</t>
  </si>
  <si>
    <t>hoa makaybdalch mj8oud bach il9a khdma jdida</t>
  </si>
  <si>
    <t>هوا ماكايبدالش مجهود باش إلقا خدما جديدا</t>
  </si>
  <si>
    <t>His situation doesn't make him put himself in your position</t>
  </si>
  <si>
    <t>lwaD3 dyalo makaykhalihch y7at raso fblastak</t>
  </si>
  <si>
    <t>لواضع ديالو ماكايخاليهش يحات راسو فبلاستاك</t>
  </si>
  <si>
    <t>because they have to spend some relaxing days</t>
  </si>
  <si>
    <t>7it khashom ydawzo chi yamat dyal ra7a</t>
  </si>
  <si>
    <t>حيت خاسهوم يداوزو شي يامات ديال راحا</t>
  </si>
  <si>
    <t>He's resting a lot on you, obviously.</t>
  </si>
  <si>
    <t>hoa mtkki 3lik bzaf, bayna</t>
  </si>
  <si>
    <t>هوا متكّي عليك بزاف, باينا</t>
  </si>
  <si>
    <t>And I guess he's a little bored during the day</t>
  </si>
  <si>
    <t>o kanadan bila kay7as blmalal chwiya fnhar</t>
  </si>
  <si>
    <t>أُ كانادان بيلا كايحاس بلمالال شوييا فنهار</t>
  </si>
  <si>
    <t>he would like to find you available at night</t>
  </si>
  <si>
    <t>kaybghik tkoni mojoda flil</t>
  </si>
  <si>
    <t>كايبغيك تكوني موجودا فليل</t>
  </si>
  <si>
    <t>Yes and I'm bringing in the money</t>
  </si>
  <si>
    <t>ah o ana kanjib lflous</t>
  </si>
  <si>
    <t>أه أُ أنا كانجيب لفلوس</t>
  </si>
  <si>
    <t>I can't afford to change jobs at the moment or be unemployed</t>
  </si>
  <si>
    <t>man9darch nt7amal nbddl lkhdami fhad lwa9t wla mankonch khddama</t>
  </si>
  <si>
    <t>مانقدارش نتحامال نبدّل لخدامي فهاد لواقت ولا مانكونش خدّاما</t>
  </si>
  <si>
    <t>I get in from work and still have to cook.</t>
  </si>
  <si>
    <t>kandkhol mn lkhdma o kaykhasni nTayab</t>
  </si>
  <si>
    <t>كاندخول من لخدما أُ كايخاسني نطاياب</t>
  </si>
  <si>
    <t>Do you have any suggestions as to how I talk to him about this?</t>
  </si>
  <si>
    <t>wach 3ndak chi 9tira7at kifach ndwi m3ah fhadchi?</t>
  </si>
  <si>
    <t>واش عنداك شي قتيراحات كيفاش ندوي معاه فهادشي?</t>
  </si>
  <si>
    <t>You could talk to him about your feelings</t>
  </si>
  <si>
    <t>t9adri dwi m3ah 3la lmacha3ir dyalk</t>
  </si>
  <si>
    <t>تقادري دوي معاه علا لماشاعير ديالك</t>
  </si>
  <si>
    <t>tell him you're tired and you need his help</t>
  </si>
  <si>
    <t>goli lih billa raki 3yana o ma7taja lmosa3ada dyalo</t>
  </si>
  <si>
    <t>ڭولي ليه بيلّا راكي عيانا أُ ماحتاجا لموساعادا ديالو</t>
  </si>
  <si>
    <t>give him a reason to do it</t>
  </si>
  <si>
    <t>3tih sabab bach ydir8a</t>
  </si>
  <si>
    <t>عتيه ساباب باش يديرها</t>
  </si>
  <si>
    <t>Hello, this is the first time I've seen you here!</t>
  </si>
  <si>
    <t>ahlan, hadi awal mrra kanchofk 8na</t>
  </si>
  <si>
    <t>أهلان, هادي أوال مرّا كانشوفك هنا</t>
  </si>
  <si>
    <t>Oh really!</t>
  </si>
  <si>
    <t>wayli!</t>
  </si>
  <si>
    <t>وايلي!</t>
  </si>
  <si>
    <t>That's funny</t>
  </si>
  <si>
    <t>hadchi moD7ik</t>
  </si>
  <si>
    <t>هادشي موضحيك</t>
  </si>
  <si>
    <t>I've been coming here for a while</t>
  </si>
  <si>
    <t>mn ch7al hadi wana kanji l8na</t>
  </si>
  <si>
    <t>من شحال هادي وانا كانجي لهنا</t>
  </si>
  <si>
    <t>It's lovely here</t>
  </si>
  <si>
    <t>zwiwen 8na</t>
  </si>
  <si>
    <t>زويون هنا</t>
  </si>
  <si>
    <t>Yes, it's very nice.</t>
  </si>
  <si>
    <t>ah rah zwiyen bzaf</t>
  </si>
  <si>
    <t>أه راه زويين بزاف</t>
  </si>
  <si>
    <t>I try to give more to the ducks and swans than these greedy seagulls</t>
  </si>
  <si>
    <t>kan7awal n3ti lbaT o lbaja3 ktar mn had nawras TTmma3</t>
  </si>
  <si>
    <t>كانحاوال نعتي لباط أُ لباجاع كتار من هاد ناوراس الطمّاع</t>
  </si>
  <si>
    <t>Careful!</t>
  </si>
  <si>
    <t>rad lbal</t>
  </si>
  <si>
    <t>راد لبال</t>
  </si>
  <si>
    <t>kon 3la bal</t>
  </si>
  <si>
    <t>كون علا بال</t>
  </si>
  <si>
    <t>attention</t>
  </si>
  <si>
    <t>أتّنتيون</t>
  </si>
  <si>
    <t>Don't fall in</t>
  </si>
  <si>
    <t>matti7ch</t>
  </si>
  <si>
    <t>ماتّيحش</t>
  </si>
  <si>
    <t>Thank you, I tripped!</t>
  </si>
  <si>
    <t>chokran lik, rah t3akalt!</t>
  </si>
  <si>
    <t>شوكران ليك, راه تعاكالت!</t>
  </si>
  <si>
    <t>I wanted to see the ducks again, they're so cute!</t>
  </si>
  <si>
    <t>bghit nchof lbaT mrra khra, rahom zwinin bzaf</t>
  </si>
  <si>
    <t>بغيت نشوف لباط مرّا خرا, راهوم زوينين بزاف</t>
  </si>
  <si>
    <t>Is that your dog?</t>
  </si>
  <si>
    <t>wach hada lkalb dyalk?</t>
  </si>
  <si>
    <t>واش هادا لكالب ديالك?</t>
  </si>
  <si>
    <t>He's lovely</t>
  </si>
  <si>
    <t>hoa fnikich</t>
  </si>
  <si>
    <t>هوا فنيكيش</t>
  </si>
  <si>
    <t>His name is Fetna, it's a long story</t>
  </si>
  <si>
    <t>smiyto Fetna, 9iSa Twila</t>
  </si>
  <si>
    <t>سمييتو فتنا, قيصا طويلا</t>
  </si>
  <si>
    <t>I like to walk around here</t>
  </si>
  <si>
    <t>kay3jbni ntmcha fhad nawa7i</t>
  </si>
  <si>
    <t>كايعجبني نتمشا فهاد ناواحي</t>
  </si>
  <si>
    <t>have you ever been in the woods nearby?</t>
  </si>
  <si>
    <t>wach 3amrak knti flghaba l9riba?</t>
  </si>
  <si>
    <t>واش عامراك كنتي فلغابا لقريبا?</t>
  </si>
  <si>
    <t>Oh I never go near the woods</t>
  </si>
  <si>
    <t>oh, ana makanmchich 7da lghaba</t>
  </si>
  <si>
    <t>أُه, أنا ماكانمشيش حدا لغابا</t>
  </si>
  <si>
    <t>Tell me about Fatna</t>
  </si>
  <si>
    <t>3awd liya 3la Fatna</t>
  </si>
  <si>
    <t>عاود لييا علا فاتنا</t>
  </si>
  <si>
    <t>It's not a name I've ever heard before</t>
  </si>
  <si>
    <t>hadi machi chi smiya fayt sam3 biha mn 9bal</t>
  </si>
  <si>
    <t>هادي ماشي شي سمييا فايت سامع بيها من قبال</t>
  </si>
  <si>
    <t>It's quite simple, actually</t>
  </si>
  <si>
    <t>rah sa8la, sara7a</t>
  </si>
  <si>
    <t>راه ساهلا, ساراحا</t>
  </si>
  <si>
    <t>She was born on the day of the holiday and so we agreed to call her Fetna, as in the calendar</t>
  </si>
  <si>
    <t>twldat nhar l3id o taf9na nsamiwha Fetna kif f yawmia</t>
  </si>
  <si>
    <t>تولدات نهار لعيد أُ تافقنا نساميوها فتنا كيف ف ياوميا</t>
  </si>
  <si>
    <t>It's silly, but it made us laugh with my parents</t>
  </si>
  <si>
    <t>hadchi sakhif, walakin khlana nda7ko m3a walidia</t>
  </si>
  <si>
    <t>هادشي ساخيف, والاكين خلانا نداحكو معا واليديا</t>
  </si>
  <si>
    <t>It's silly</t>
  </si>
  <si>
    <t>hadchi 3abiT</t>
  </si>
  <si>
    <t>هادشي عابيط</t>
  </si>
  <si>
    <t>It's a good thing they didn't process their kids' names</t>
  </si>
  <si>
    <t>rah 7aja mzyana ma3aljoch smiya dyal wladhom</t>
  </si>
  <si>
    <t>راه حاجا مزيانا ماعالجوش سمييا ديال ولادهوم</t>
  </si>
  <si>
    <t>Because you'd be called Lent or something</t>
  </si>
  <si>
    <t>7it ghadi itmmaw Lent wla chi 7aja b7al hakka</t>
  </si>
  <si>
    <t>حيت غادي إتمّاو لنت ولا شي حاجا بحال هاكّا</t>
  </si>
  <si>
    <t>I am a bit of a heathen</t>
  </si>
  <si>
    <t>ana wathani chwiya</t>
  </si>
  <si>
    <t>أنا واتهاني شوييا</t>
  </si>
  <si>
    <t>I don't know anything about holy days or religious events</t>
  </si>
  <si>
    <t>ana ma3arft ta haja 3la had liyam lmo9adassa wla lmonasabat diniya</t>
  </si>
  <si>
    <t>أنا ماعارفت تا حاجة علا هاد لييام لموقاداسّا ولا لموناسابات دينييا</t>
  </si>
  <si>
    <t>Imagine being born on the day of Saint Ignatius, or Ascension Day</t>
  </si>
  <si>
    <t>tkhayal ttold fyawm l9idis Ignatius wla 3id SSo3od</t>
  </si>
  <si>
    <t>تخايال التولد فياوم لقيديس إڭناتيوس ولا عيد الصوعود</t>
  </si>
  <si>
    <t>Ha ha!</t>
  </si>
  <si>
    <t>ha ha</t>
  </si>
  <si>
    <t>ها ها</t>
  </si>
  <si>
    <t>No I see what you mean now</t>
  </si>
  <si>
    <t>la 3rft ach kat3ni daba</t>
  </si>
  <si>
    <t>لا عرفت أش كاتعني دابا</t>
  </si>
  <si>
    <t>Oh look, is that a Heron over there</t>
  </si>
  <si>
    <t>oh chof, hadak Heron l8i8</t>
  </si>
  <si>
    <t>أُه شوف, هاداك هرون لهيه</t>
  </si>
  <si>
    <t>How beautiful!</t>
  </si>
  <si>
    <t>ch7al zwin!</t>
  </si>
  <si>
    <t>شحال زوين!</t>
  </si>
  <si>
    <t>I must take a picture of it</t>
  </si>
  <si>
    <t>khasni nakhod liha tswira</t>
  </si>
  <si>
    <t>خاسني ناخود ليها تسويرا</t>
  </si>
  <si>
    <t>Don't get too close!</t>
  </si>
  <si>
    <t>mat9rrbch bzaf!</t>
  </si>
  <si>
    <t>ماتقرّبش بزاف!</t>
  </si>
  <si>
    <t>It's a really nice place</t>
  </si>
  <si>
    <t>blasa zwina hadi sara7a</t>
  </si>
  <si>
    <t>بلاسا زوينا هادي ساراحا</t>
  </si>
  <si>
    <t>Do you live far from here?</t>
  </si>
  <si>
    <t>wach kat3ich b3id 3la 8na</t>
  </si>
  <si>
    <t>واش كاتعيش بعيد علا هنا</t>
  </si>
  <si>
    <t>Wait, I have to catch my dog</t>
  </si>
  <si>
    <t>tsna, khasni nchd klbi</t>
  </si>
  <si>
    <t>تسنا, خاسني نشد كلبي</t>
  </si>
  <si>
    <t>khasni nmchi</t>
  </si>
  <si>
    <t>خاسني نمشي</t>
  </si>
  <si>
    <t>I live over there</t>
  </si>
  <si>
    <t>ana kan3ich l8i8</t>
  </si>
  <si>
    <t>أنا كانعيش لهيه</t>
  </si>
  <si>
    <t>Oh look I can't wait till you catch him</t>
  </si>
  <si>
    <t>oh chouf ana man9darch ntsna 7ta tchado</t>
  </si>
  <si>
    <t>أُه شوف أنا مانقدارش نتسنا حتا تشادو</t>
  </si>
  <si>
    <t>Might see you tomorrow</t>
  </si>
  <si>
    <t>imkn nchofk ghdda</t>
  </si>
  <si>
    <t>إمكن نشوفك غدّا</t>
  </si>
  <si>
    <t>what kind of butter?</t>
  </si>
  <si>
    <t>chmn naw3 dyal zbda?</t>
  </si>
  <si>
    <t>شمن ناوع ديال زبدا?</t>
  </si>
  <si>
    <t>And what vegetables do we serve with these fish?</t>
  </si>
  <si>
    <t>o achnahiya lkhodra lighadi ta3tiha lhad l7ot?</t>
  </si>
  <si>
    <t>أُ أشناهييا لخودرا ليغادي تاعتيها لهاد لحوت?</t>
  </si>
  <si>
    <t>We'll have a garlic butter</t>
  </si>
  <si>
    <t>ghadi ykon 3ndna zabda dyal toma</t>
  </si>
  <si>
    <t>غادي يكون عندنا زابدا ديال توما</t>
  </si>
  <si>
    <t>I'd rather go home</t>
  </si>
  <si>
    <t>7sn lia nmchi lddar</t>
  </si>
  <si>
    <t>حسن ليا نمشي لدّار</t>
  </si>
  <si>
    <t>Well as you asked about vegetables, I only gave my choice of vegetables, not other accompaniaments</t>
  </si>
  <si>
    <t>wakha, 7it swlti 3la lkhodra, ana 3Tit ghir lkhiyar dyal lkhodra, machi chi morafi9at khra</t>
  </si>
  <si>
    <t>واخا, حيت سولتي علا لخودرا, أنا عطيت غير لخييار ديال لخودرا, ماشي شي مورافيقات خرا</t>
  </si>
  <si>
    <t>I don't think pasta and fish go well together</t>
  </si>
  <si>
    <t>makanDnch ch3ria o l7ot kayjiw mzyan m3a b3Diyathom</t>
  </si>
  <si>
    <t>ماكانضنش شعريا أُ لحوت كايجيو مزيان معا بعضيياتهوم</t>
  </si>
  <si>
    <t>we all have different preferences</t>
  </si>
  <si>
    <t>kolna 3ndna raghabat makhtalfa</t>
  </si>
  <si>
    <t>كولنا عندنا راغابات ماختالفا</t>
  </si>
  <si>
    <t>What do you think about potatoes?</t>
  </si>
  <si>
    <t>achno ra2yak f lbTaTa?</t>
  </si>
  <si>
    <t>أشنو راإياك ف لبطاطا?</t>
  </si>
  <si>
    <t>No, no potatoes with a fish, depending on my taste</t>
  </si>
  <si>
    <t>la, la bTaTa m3a l7ot, 7sab daw9 dyali</t>
  </si>
  <si>
    <t>لا, لا بطاطا معا لحوت, حساب داوق ديالي</t>
  </si>
  <si>
    <t>What do you think, sir?</t>
  </si>
  <si>
    <t>ach ban lik asidi?</t>
  </si>
  <si>
    <t>أش بان ليك أسيدي?</t>
  </si>
  <si>
    <t>Vegetable it is</t>
  </si>
  <si>
    <t>lkhodra hia li kayna</t>
  </si>
  <si>
    <t>لخودرا هيا لي كاينا</t>
  </si>
  <si>
    <t>The customer can always add a side order if they wish</t>
  </si>
  <si>
    <t>lklyan i9dr dima izid Talab janibi ila bgha</t>
  </si>
  <si>
    <t>لكليان إقدر ديما إزيد طالاب جانيبي إلا بغا</t>
  </si>
  <si>
    <t>Now can you start prepping the potatoes?</t>
  </si>
  <si>
    <t>daba t9dr twjjd bTaTa</t>
  </si>
  <si>
    <t>دابا تقدر توجّد بطاطا</t>
  </si>
  <si>
    <t>that seems a lot</t>
  </si>
  <si>
    <t>ban liya hadchi bzaf</t>
  </si>
  <si>
    <t>بان لييا هادشي بزاف</t>
  </si>
  <si>
    <t>What's the wine?</t>
  </si>
  <si>
    <t>achnahowa chrab?</t>
  </si>
  <si>
    <t>أشناهووا شراب?</t>
  </si>
  <si>
    <t>A white or a rosé?</t>
  </si>
  <si>
    <t>byaD wla wardi?</t>
  </si>
  <si>
    <t>بياض ولا واردي?</t>
  </si>
  <si>
    <t>Now what for dessert?</t>
  </si>
  <si>
    <t>o daba chno f ddisir?</t>
  </si>
  <si>
    <t>أُ دابا شنو ف الديسير?</t>
  </si>
  <si>
    <t>I suggest a light dessert</t>
  </si>
  <si>
    <t>kan9tara7 disir khfif</t>
  </si>
  <si>
    <t>كانقتاراح ديسير خفيف</t>
  </si>
  <si>
    <t>Maybe something lemony?</t>
  </si>
  <si>
    <t>momkin chi 7aja b limoun?</t>
  </si>
  <si>
    <t>مومكين شي حاجا ب ليمون?</t>
  </si>
  <si>
    <t>Lemon tart perhaps?</t>
  </si>
  <si>
    <t>torta dyal limon imkn?</t>
  </si>
  <si>
    <t>تورتا ديال ليمون إمكن?</t>
  </si>
  <si>
    <t>a light dessert sounds like a good idea</t>
  </si>
  <si>
    <t>disir khfif kayban fikra zwina</t>
  </si>
  <si>
    <t>ديسير خفيف كايبان فيكرا زوينا</t>
  </si>
  <si>
    <t>Either a lemon pie or a pineapple</t>
  </si>
  <si>
    <t>ima 7lwa dyal limon wla ananas</t>
  </si>
  <si>
    <t>إما حلوا ديال ليمون ولا أناناس</t>
  </si>
  <si>
    <t>Both my favourites</t>
  </si>
  <si>
    <t>bjojhom kanfadlohom</t>
  </si>
  <si>
    <t>بجوجهوم كانفادلوهوم</t>
  </si>
  <si>
    <t>Which do you prefer?</t>
  </si>
  <si>
    <t>achmn wa7da katbDDel</t>
  </si>
  <si>
    <t>أشمن واحدا كاتبضّل</t>
  </si>
  <si>
    <t>I'll let you choose as you'll be the one making it</t>
  </si>
  <si>
    <t>ghadi nkhalik takhtar 7it nta lighadi t9adha</t>
  </si>
  <si>
    <t>غادي نخاليك تاختار حيت نتا ليغادي تقادها</t>
  </si>
  <si>
    <t>It's hard to choose</t>
  </si>
  <si>
    <t>s3ib nkhtar</t>
  </si>
  <si>
    <t>سعيب نختار</t>
  </si>
  <si>
    <t>Personally, I will do pineapple slices with Armagnac</t>
  </si>
  <si>
    <t>ana chakhsiyan ghadi ndir chara2i7 dyal anans o Armagnac</t>
  </si>
  <si>
    <t>أنا شاخسييان غادي ندير شاراإح ديال أنانس أُ أرماڭناك</t>
  </si>
  <si>
    <t>Shall I make you a hot chocolate?</t>
  </si>
  <si>
    <t>wach n9ad lik choklat skhon?</t>
  </si>
  <si>
    <t>واش نقاد ليك شوكلات سخون?</t>
  </si>
  <si>
    <t>Everything will seem better after a nice warm drink</t>
  </si>
  <si>
    <t>ghadi ywlli kolchi 7san, mora machrob dafi2 laTif</t>
  </si>
  <si>
    <t>غادي يولّي كولشي حسان, مورا ماشروب دافيء لاطيف</t>
  </si>
  <si>
    <t>That's sweet, but I prefer coffee</t>
  </si>
  <si>
    <t>hada 7lo, walakin kanfaDal l9ahwa</t>
  </si>
  <si>
    <t>هادا حلو, والاكين كانفاضال لقاهوا</t>
  </si>
  <si>
    <t>With sugar but the ideal would be a caipirinha!</t>
  </si>
  <si>
    <t>m3a sokar walakin a7san haja ghatkon hia caiprinha!</t>
  </si>
  <si>
    <t>معا سوكار والاكين أحسان حاجة غاتكون هيا كايپرينها!</t>
  </si>
  <si>
    <t>Oh dear!</t>
  </si>
  <si>
    <t>ya salam!</t>
  </si>
  <si>
    <t>يا سالام!</t>
  </si>
  <si>
    <t>It must have been a really tough day</t>
  </si>
  <si>
    <t>bayna kan nhar s3ib bzaf</t>
  </si>
  <si>
    <t>باينا كان نهار سعيب بزاف</t>
  </si>
  <si>
    <t>Would you like to talk about it?</t>
  </si>
  <si>
    <t>bghiti tahdar 3lih</t>
  </si>
  <si>
    <t>بغيتي تاهدار عليه</t>
  </si>
  <si>
    <t>What went on at work in the end?</t>
  </si>
  <si>
    <t>chno tra flkhdma flkhr?</t>
  </si>
  <si>
    <t>شنو ترا فلخدما فلخر?</t>
  </si>
  <si>
    <t>Did you manage to meet the deadline?</t>
  </si>
  <si>
    <t>wach 9darti twfi blmw3id niha2i?</t>
  </si>
  <si>
    <t>واش قدارتي توفي بلموعيد نيهاإ?</t>
  </si>
  <si>
    <t>Yes, very hard day</t>
  </si>
  <si>
    <t>ayah, nhar S3ib bzaf.</t>
  </si>
  <si>
    <t>أياه, نهار صعيب بزاف.</t>
  </si>
  <si>
    <t>We have lost an important contract and we don't understand why</t>
  </si>
  <si>
    <t>khasrna contrat mohima omaf8amnach 3lach</t>
  </si>
  <si>
    <t>خاسرنا كونترات موهيما أُمافهامناش علاش</t>
  </si>
  <si>
    <t>Did they not explain why?</t>
  </si>
  <si>
    <t>machr7och 3lach?</t>
  </si>
  <si>
    <t>ماشرحوش علاش?</t>
  </si>
  <si>
    <t>No explanations at all?</t>
  </si>
  <si>
    <t>mafsroch ga3?</t>
  </si>
  <si>
    <t>مافسروش ڭاع?</t>
  </si>
  <si>
    <t>Yes, of course we had some explaining to do</t>
  </si>
  <si>
    <t>ah, btabi3t l7al kan 3ndna char7 ndiroh</t>
  </si>
  <si>
    <t>أه, بتابيعت لحال كان عندنا شارح نديروه</t>
  </si>
  <si>
    <t>We don't, according to them, responded to all their technical requirements</t>
  </si>
  <si>
    <t>7na makanstajboch, 3la 7sab hdarthom, l ga3 almotatllabat tti9nia dyalhom.</t>
  </si>
  <si>
    <t>حنا ماكانستاجبوش, علا حساب هدارتهوم, ل ڭاع ألموتاتلّابات التيقنيا ديالهوم.</t>
  </si>
  <si>
    <t>Besides, we were too expensive</t>
  </si>
  <si>
    <t>o zid 3la dakchi, knna ghalyin ftaman.</t>
  </si>
  <si>
    <t>أُ زيد علا داكشي, كنّا غاليين فتامان.</t>
  </si>
  <si>
    <t>Whose job was it to negotiate the contract?</t>
  </si>
  <si>
    <t>chkoun li kan khasso itfawd 3la l3a9d?</t>
  </si>
  <si>
    <t>شكون لي كان خاسّو إتفاود علا لعاقد?</t>
  </si>
  <si>
    <t>Surely there's some way to lower the prices a bit?</t>
  </si>
  <si>
    <t>Tab3an kant chi Tari9a bach i8bat taman chwiya?</t>
  </si>
  <si>
    <t>طابعان كانت شي طاريقا باش إهبات تامان شوييا?</t>
  </si>
  <si>
    <t>Let us go do some archery</t>
  </si>
  <si>
    <t>khalina nmchiw nadiro chwia t rimaya</t>
  </si>
  <si>
    <t>خالينا نمشيو ناديرو شويا ت ريمايا</t>
  </si>
  <si>
    <t>It was really good fun yesterday</t>
  </si>
  <si>
    <t>kan momti3 lbar7 blm39ol</t>
  </si>
  <si>
    <t>كان مومتيع لبارح بلمعقول</t>
  </si>
  <si>
    <t>I am sure you would enjoy it!</t>
  </si>
  <si>
    <t>ana mat2ked anak knti ghadi tstamta3 bih!</t>
  </si>
  <si>
    <t>أنا ماتءكد أناك كنتي غادي تستامتاع بيه!</t>
  </si>
  <si>
    <t>Uhhhh, archery?</t>
  </si>
  <si>
    <t>Uhhhh, rimaya?</t>
  </si>
  <si>
    <t>وهههه, ريمايا?</t>
  </si>
  <si>
    <t>It's quite original</t>
  </si>
  <si>
    <t>hadchi original</t>
  </si>
  <si>
    <t>هادشي أُريڭينال</t>
  </si>
  <si>
    <t>Can we do this close?</t>
  </si>
  <si>
    <t>wach momkin nadiroh o7na 9rab hakka?</t>
  </si>
  <si>
    <t>واش مومكين ناديروه أُحنا قراب هاكّا?</t>
  </si>
  <si>
    <t>I've never done this before</t>
  </si>
  <si>
    <t>ma3marni dart hadchi 9bel</t>
  </si>
  <si>
    <t>ماعمارني دارت هادشي قبل</t>
  </si>
  <si>
    <t>You what?</t>
  </si>
  <si>
    <t>nta ach?</t>
  </si>
  <si>
    <t>نتا أش?</t>
  </si>
  <si>
    <t>Sorry, I didn't catch what you said</t>
  </si>
  <si>
    <t>sma7 liya, machdditch ach galti</t>
  </si>
  <si>
    <t>سماح لييا, ماشدّيتش أش ڭالتي</t>
  </si>
  <si>
    <t>Yeah, I'm asking if we can shoot the archery nearby</t>
  </si>
  <si>
    <t>ah, kanswel wach momkin nrmiw mn blassa 9riba</t>
  </si>
  <si>
    <t>أه, كانسول واش مومكين نرميو من بلاسّا قريبا</t>
  </si>
  <si>
    <t>Oh yeah, just over there behind the tennis courts</t>
  </si>
  <si>
    <t>ah ayah, hir tma mora lmal3ab dyal tennis</t>
  </si>
  <si>
    <t>أه أياه, هير تما مورا لمالعاب ديال تنّيس</t>
  </si>
  <si>
    <t>There are about 10 lanes and a couple of instructors</t>
  </si>
  <si>
    <t>kayn tma ta9riban 10 dyal lmamrat o jouj madrribin</t>
  </si>
  <si>
    <t>كاين تما تاقريبان 10 ديال لمامرات أُ جوج مادرّيبين</t>
  </si>
  <si>
    <t>Archery is a pretty tiring sport</t>
  </si>
  <si>
    <t>rrimaya riyada kat3yi bzaf</t>
  </si>
  <si>
    <t>الريمايا رييادا كاتعيي بزاف</t>
  </si>
  <si>
    <t>I'd rather stay by the pool</t>
  </si>
  <si>
    <t>kanfdel nb9a 7da lmsba7</t>
  </si>
  <si>
    <t>كانفدل نبقا حدا لمسباح</t>
  </si>
  <si>
    <t>kanfdel nb9a 7da lapisin</t>
  </si>
  <si>
    <t>كانفدل نبقا حدا لاپيسين</t>
  </si>
  <si>
    <t>That's so boring</t>
  </si>
  <si>
    <t>hadchii momil bzef</t>
  </si>
  <si>
    <t>هادشيّ موميل بزف</t>
  </si>
  <si>
    <t>Oh come on, I've had enough of getting burnt in the sun and doing crosswords</t>
  </si>
  <si>
    <t>awdi hir aji, rah mllit man nt7r9 fchms onl3ab lkalimat lmota9ati3a</t>
  </si>
  <si>
    <t>أودي هير أجي, راه ملّيت مان نتحرق فشمس أُنلعاب لكاليمات لموتاقاتيعا</t>
  </si>
  <si>
    <t>If you don't like archery, how about rock climbing?</t>
  </si>
  <si>
    <t>Ila makntich kat3jbak rimaya, ach balik f tasllo9 l7jr?</t>
  </si>
  <si>
    <t>إلا ماكنتيش كاتعجباك ريمايا, أش باليك ف تاسلّوق لحجر?</t>
  </si>
  <si>
    <t>Wait, that's quite tiring too</t>
  </si>
  <si>
    <t>Sber, ta8ada kay3yyi</t>
  </si>
  <si>
    <t>صبر, تاهادا كايعيّي</t>
  </si>
  <si>
    <t>What do you suggest?</t>
  </si>
  <si>
    <t>chno kat9tar7</t>
  </si>
  <si>
    <t>شنو كاتقتارح</t>
  </si>
  <si>
    <t>other than staying by the pool of course!</t>
  </si>
  <si>
    <t>mn ghir nb9aw 7da lmsba7 btabi3t l7al!</t>
  </si>
  <si>
    <t>من غير نبقاو حدا لمسباح بتابيعت لحال!</t>
  </si>
  <si>
    <t>I look great in climbing</t>
  </si>
  <si>
    <t>kanban wa3er ftaslo9</t>
  </si>
  <si>
    <t>كانبان واعر فتاسلوق</t>
  </si>
  <si>
    <t>Where is it in the area the possibility of making this sport?</t>
  </si>
  <si>
    <t>fin kayn flminTa9a imkaniyat momarasat had riyaDa?</t>
  </si>
  <si>
    <t>فين كاين فلمينطاقا إمكانييات موماراسات هاد ريياضا?</t>
  </si>
  <si>
    <t>You can see them from here</t>
  </si>
  <si>
    <t>momkin lik tchofhoum mn 8na</t>
  </si>
  <si>
    <t>مومكين ليك تشوفهوم من هنا</t>
  </si>
  <si>
    <t>it's not very high</t>
  </si>
  <si>
    <t>machi 3aliya bzef</t>
  </si>
  <si>
    <t>ماشي عالييا بزف</t>
  </si>
  <si>
    <t>ma3alyach bzaf</t>
  </si>
  <si>
    <t>ماعالياش بزاف</t>
  </si>
  <si>
    <t>but they have different levels of difficulty</t>
  </si>
  <si>
    <t>walakin 3ndhoum mostawayat mkhtalfin dyal SSo3oba</t>
  </si>
  <si>
    <t>والاكين عندهوم موستاوايات مختالفين ديال الصوعوبا</t>
  </si>
  <si>
    <t>so it's fun for all the family</t>
  </si>
  <si>
    <t>dakchi 3lach hia momti3a lga3 afrad l3a2ila</t>
  </si>
  <si>
    <t>داكشي علاش هيا مومتيعا لڭاع أفراد لعاإلا</t>
  </si>
  <si>
    <t>so they say!</t>
  </si>
  <si>
    <t>kif kaygolo!</t>
  </si>
  <si>
    <t>كيف كايڭولو!</t>
  </si>
  <si>
    <t>kimma kaygolo!</t>
  </si>
  <si>
    <t>كيمّا كايڭولو!</t>
  </si>
  <si>
    <t>Okay, but is there a guide to help us?</t>
  </si>
  <si>
    <t>wakha, walakin wach kayn chi guide ghadi i3awnna?</t>
  </si>
  <si>
    <t>واخا, والاكين واش كاين شي ڭويد غادي إعاونّا?</t>
  </si>
  <si>
    <t>Yeah, there should be someone there</t>
  </si>
  <si>
    <t>ayah, darori ghadi ikoun chi 7ed tmak</t>
  </si>
  <si>
    <t>أياه, داروري غادي إكون شي حد تماك</t>
  </si>
  <si>
    <t>At least somebody who can get us kitted out</t>
  </si>
  <si>
    <t>3al a9al chi 7ad li ghadi ij88zna</t>
  </si>
  <si>
    <t>عال أقال شي حاد لي غادي إجهّزنا</t>
  </si>
  <si>
    <t>It's pretty safe, I'm sure</t>
  </si>
  <si>
    <t>hadchi 2aamin, ana mt2kked</t>
  </si>
  <si>
    <t>هادشي أامين, أنا متءكّد</t>
  </si>
  <si>
    <t>So are you up for it?</t>
  </si>
  <si>
    <t>ewa mst3d?</t>
  </si>
  <si>
    <t>إوا مستعد?</t>
  </si>
  <si>
    <t>I'd like to try climbing</t>
  </si>
  <si>
    <t>makra8tch njarrab tasallo9</t>
  </si>
  <si>
    <t>ماكراهتش نجارّاب تاسالّوق</t>
  </si>
  <si>
    <t>but I'm wondering if it wouldn't be better to stay here quietly by the pool</t>
  </si>
  <si>
    <t>walakin kantsa2l wach machi 7sn nb9a hi 8na mrta7 7da la piscine</t>
  </si>
  <si>
    <t>والاكين كانتساءل واش ماشي حسن نبقا هي هنا مرتاح حدا لا پيسسين</t>
  </si>
  <si>
    <t>But you always want to stay quietly by the pool whenever we're on holiday</t>
  </si>
  <si>
    <t>walakin dima katbghi tb9a mrta7 7da lmsba7 mlli kankono f3otla</t>
  </si>
  <si>
    <t>والاكين ديما كاتبغي تبقا مرتاح حدا لمسباح ملّي كانكونو فعوتلا</t>
  </si>
  <si>
    <t>I actually thought I'd managed to convince you for once!</t>
  </si>
  <si>
    <t>knt kanDn anani 9dart n9n3ak walaw mara w7da!</t>
  </si>
  <si>
    <t>كنت كانضن أناني قدارت نقنعاك والاو مارا وحدا!</t>
  </si>
  <si>
    <t>Are you going to say the same thing tomorrow?</t>
  </si>
  <si>
    <t>wach ghadi tgol nafs l7aja ghda?</t>
  </si>
  <si>
    <t>واش غادي تڭول نافس لحاجا غدا?</t>
  </si>
  <si>
    <t>Maybe tomorrow I'll have a little more courage to go rock climbing with you</t>
  </si>
  <si>
    <t>momkin ghda ghadi tkoun 3ndi chwiya dyal chaja3a bach ntsala9 m3ak SSokhor</t>
  </si>
  <si>
    <t>مومكين غدا غادي تكون عندي شوييا ديال شاجاعا باش نتسالاق معاك الصوخور</t>
  </si>
  <si>
    <t>Or, we could go now, while you haven't had enough time to change your mind!</t>
  </si>
  <si>
    <t>ola n9dro nmchiw daba ma7dak mazal m3ndakch lwa9t bach tbadal ra2y dyalk!</t>
  </si>
  <si>
    <t>أُلا نقدرو نمشيو دابا ماحداك مازال معنداكش لواقت باش تبادال راإي ديالك!</t>
  </si>
  <si>
    <t>I'd like to go with you, but not today</t>
  </si>
  <si>
    <t>bghit nmchi m3ak, walakin machi lyom</t>
  </si>
  <si>
    <t>بغيت نمشي معاك, والاكين ماشي ليوم</t>
  </si>
  <si>
    <t>what the hell are you doing</t>
  </si>
  <si>
    <t>achawa katrowwen</t>
  </si>
  <si>
    <t>أشاوا كاترووّن</t>
  </si>
  <si>
    <t>Why not</t>
  </si>
  <si>
    <t>3lach la</t>
  </si>
  <si>
    <t>علاش لا</t>
  </si>
  <si>
    <t>all the kids have left now so they won't get in our way</t>
  </si>
  <si>
    <t>ga3 drari mchaw daba idan maghadich yo9fo fTri9na</t>
  </si>
  <si>
    <t>ڭاع دراري مشاو دابا إدان ماغاديش يوقفو فطريقنا</t>
  </si>
  <si>
    <t>We have the pool for both of us</t>
  </si>
  <si>
    <t>3ndna la piscine lina bjoj</t>
  </si>
  <si>
    <t>عندنا لا پيسسين لينا بجوج</t>
  </si>
  <si>
    <t>I'll race you to the other side</t>
  </si>
  <si>
    <t>ghadi ntsab9 m3ak ljji8a lokhra</t>
  </si>
  <si>
    <t>غادي نتسابق معاك لجّيها لوخرا</t>
  </si>
  <si>
    <t>I'm sure I'll win</t>
  </si>
  <si>
    <t>ana mt2akd bli ghadi nrba7</t>
  </si>
  <si>
    <t>أنا متأكد بلي غادي نرباح</t>
  </si>
  <si>
    <t>Come on, let's go!</t>
  </si>
  <si>
    <t>yalah, mchina!</t>
  </si>
  <si>
    <t>يالاه, مشينا!</t>
  </si>
  <si>
    <t>chno lmochkil?</t>
  </si>
  <si>
    <t>شنو لموشكيل?</t>
  </si>
  <si>
    <t>fin kayn lmochkil?</t>
  </si>
  <si>
    <t>فين كاين لموشكيل?</t>
  </si>
  <si>
    <t>achno lmochkil?</t>
  </si>
  <si>
    <t>أشنو لموشكيل?</t>
  </si>
  <si>
    <t>achna8owa lmochkil?</t>
  </si>
  <si>
    <t>أشناهووا لموشكيل?</t>
  </si>
  <si>
    <t>I want to get off</t>
  </si>
  <si>
    <t>bghit nkhrj</t>
  </si>
  <si>
    <t>بغيت نخرج</t>
  </si>
  <si>
    <t>Can we get off?</t>
  </si>
  <si>
    <t>wach imkan lina nkhorjo?</t>
  </si>
  <si>
    <t>واش إمكان لينا نخورجو?</t>
  </si>
  <si>
    <t>No, she'll try to get me to stay on</t>
  </si>
  <si>
    <t>la ghadi t7awl tbzaz 3lia nb9a</t>
  </si>
  <si>
    <t>لا غادي تحاول تبزاز عليا نبقا</t>
  </si>
  <si>
    <t>But I really don't want to be on this plane</t>
  </si>
  <si>
    <t>walakin ana bsa7 mabghitch nkon f had tyara</t>
  </si>
  <si>
    <t>والاكين أنا بساح مابغيتش نكون ف هاد تيارا</t>
  </si>
  <si>
    <t>fin ghadi?</t>
  </si>
  <si>
    <t>فين غادي?</t>
  </si>
  <si>
    <t>You're going on vacation?</t>
  </si>
  <si>
    <t>wach nta kharj 3otla?</t>
  </si>
  <si>
    <t>واش نتا خارج عوتلا?</t>
  </si>
  <si>
    <t>Is this about work?</t>
  </si>
  <si>
    <t>wach hadchi 3la lkhdma?</t>
  </si>
  <si>
    <t>واش هادشي علا لخدما?</t>
  </si>
  <si>
    <t>My boss won't be happy</t>
  </si>
  <si>
    <t>rra2is dyali maghadich ikon far7an</t>
  </si>
  <si>
    <t>الراإس ديالي ماغاديش إكون فارحان</t>
  </si>
  <si>
    <t>chef dyali maghadich ikon fr7an</t>
  </si>
  <si>
    <t>شف ديالي ماغاديش إكون فرحان</t>
  </si>
  <si>
    <t>Yes, it's for work</t>
  </si>
  <si>
    <t>ah, rah t lkhdma</t>
  </si>
  <si>
    <t>أه, راه ت لخدما</t>
  </si>
  <si>
    <t>But I haven't prepared the presentation I'm meant to be doing whilst there</t>
  </si>
  <si>
    <t>walakin mawjadtch l presentation li khsni ndir fach nkon tmma</t>
  </si>
  <si>
    <t>والاكين ماوجادتش ل پرسنتاتيون لي خسني ندير فاش نكون تمّا</t>
  </si>
  <si>
    <t>And I really don't trust this thing to stay up in the air</t>
  </si>
  <si>
    <t>o ana bsa7 makanti9ch fhad chi bach nb9a fsma</t>
  </si>
  <si>
    <t>أُ أنا بساح ماكانتيقش فهاد شي باش نبقا فسما</t>
  </si>
  <si>
    <t>To be honest</t>
  </si>
  <si>
    <t>bach nkon m3ak Sari7</t>
  </si>
  <si>
    <t>باش نكون معاك صاريح</t>
  </si>
  <si>
    <t>bach nkon Sari7</t>
  </si>
  <si>
    <t>باش نكون صاريح</t>
  </si>
  <si>
    <t>bach njik direct</t>
  </si>
  <si>
    <t>باش نجيك ديركت</t>
  </si>
  <si>
    <t>I don't really trust anybody at the moment</t>
  </si>
  <si>
    <t>ana Sara7a makanti9ch fta 7d fhad lwa9t</t>
  </si>
  <si>
    <t>أنا صاراحا ماكانتيقش فتا حد فهاد لواقت</t>
  </si>
  <si>
    <t>What's the presentation?</t>
  </si>
  <si>
    <t>achnahya l presentation?</t>
  </si>
  <si>
    <t>أشناهيا ل پرسنتاتيون?</t>
  </si>
  <si>
    <t>You may have time to think about it now</t>
  </si>
  <si>
    <t>i9dar ikon 3andak lwa9t bach tfakar fiha daba</t>
  </si>
  <si>
    <t>إقدار إكون عانداك لواقت باش تفاكار فيها دابا</t>
  </si>
  <si>
    <t>I think we work really well here</t>
  </si>
  <si>
    <t>kanDn bli kankhadmo bchakal mzyan 8na</t>
  </si>
  <si>
    <t>كانضن بلي كانخادمو بشاكال مزيان هنا</t>
  </si>
  <si>
    <t>Once above the clouds, everything is calm</t>
  </si>
  <si>
    <t>ghir tkon fo9 s7ab, kaykon kolchi hwa hadak</t>
  </si>
  <si>
    <t>غير تكون فوق سحاب, كايكون كولشي هوا هاداك</t>
  </si>
  <si>
    <t>there's light</t>
  </si>
  <si>
    <t>kayn DDo</t>
  </si>
  <si>
    <t>كاين الضو</t>
  </si>
  <si>
    <t>it gives you ideas</t>
  </si>
  <si>
    <t>kay3tik afkar</t>
  </si>
  <si>
    <t>كايعتيك أفكار</t>
  </si>
  <si>
    <t>And the plane is an extremely safe transport</t>
  </si>
  <si>
    <t>o Tyara wasila dyal na9l 2amina bzaf</t>
  </si>
  <si>
    <t>أُ طيارا واسيلا ديال ناقل أمينا بزاف</t>
  </si>
  <si>
    <t>It's the safest way to travel in the air</t>
  </si>
  <si>
    <t>hya Tari9a l aktar amaanan bach tsafar fsma</t>
  </si>
  <si>
    <t>هيا طاريقا ل أكتار أمانان باش تسافار فسما</t>
  </si>
  <si>
    <t>you're probably right</t>
  </si>
  <si>
    <t>ghaliban 3ndak Sa7</t>
  </si>
  <si>
    <t>غاليبان عنداك صاح</t>
  </si>
  <si>
    <t>I'm not joking</t>
  </si>
  <si>
    <t>ana makand7akch</t>
  </si>
  <si>
    <t>أنا ماكاندحاكش</t>
  </si>
  <si>
    <t>I'm getting off</t>
  </si>
  <si>
    <t>ana ghadi nzal</t>
  </si>
  <si>
    <t>أنا غادي نزال</t>
  </si>
  <si>
    <t>Wait!</t>
  </si>
  <si>
    <t>tsanna!</t>
  </si>
  <si>
    <t>تسانّا!</t>
  </si>
  <si>
    <t>They serve excellent breakfast after takeoff</t>
  </si>
  <si>
    <t>kay9ddmo fTour ra2i3 mn ba3d l i9la3</t>
  </si>
  <si>
    <t>كايقدّمو فطور راإع من باعد ل إقلاع</t>
  </si>
  <si>
    <t>Do you like onions?</t>
  </si>
  <si>
    <t>wach kat3jbak lbaSla?</t>
  </si>
  <si>
    <t>واش كاتعجباك لباصلا?</t>
  </si>
  <si>
    <t>is it enough to compensate for being in this prison?</t>
  </si>
  <si>
    <t>wach hadchi kafi bach i3wweD 3la lwojod dyalk fhad l7abs?</t>
  </si>
  <si>
    <t>واش هادشي كافي باش إعوّض علا لووجود ديالك فهاد لحابس?</t>
  </si>
  <si>
    <t>It might be</t>
  </si>
  <si>
    <t>momkin</t>
  </si>
  <si>
    <t>مومكين</t>
  </si>
  <si>
    <t>i9der</t>
  </si>
  <si>
    <t>إقدر</t>
  </si>
  <si>
    <t>What flavours do they have?</t>
  </si>
  <si>
    <t>achman nak8at 3ndhom?</t>
  </si>
  <si>
    <t>أشمان ناكهات عندهوم?</t>
  </si>
  <si>
    <t>I get on a plane every week</t>
  </si>
  <si>
    <t>kanakhd Tyara kol simana</t>
  </si>
  <si>
    <t>كاناخد طيارا كول سيمانا</t>
  </si>
  <si>
    <t>Sometimes even a few times a week</t>
  </si>
  <si>
    <t>chi marart mrat bzaf fsimana</t>
  </si>
  <si>
    <t>شي مارارت مرات بزاف فسيمانا</t>
  </si>
  <si>
    <t>That's really nice</t>
  </si>
  <si>
    <t>hadchi wa3r nit</t>
  </si>
  <si>
    <t>هادشي واعر نيت</t>
  </si>
  <si>
    <t>And today's team is one of my favorites</t>
  </si>
  <si>
    <t>olfar9a dyal lyom hya mn a7san wa7din 3ndi</t>
  </si>
  <si>
    <t>أُلفارقا ديال ليوم هيا من أحسان واحدين عندي</t>
  </si>
  <si>
    <t>They know me well</t>
  </si>
  <si>
    <t>kay3arfoni mzyan</t>
  </si>
  <si>
    <t>كايعارفوني مزيان</t>
  </si>
  <si>
    <t>They always give me extra cakes</t>
  </si>
  <si>
    <t>dima kay3Tiwni kikat zaydin</t>
  </si>
  <si>
    <t>ديما كايعطيوني كيكات زايدين</t>
  </si>
  <si>
    <t>I'll ask them for you too</t>
  </si>
  <si>
    <t>ghadi nTlab mn8om lik tanta</t>
  </si>
  <si>
    <t>غادي نطلاب منهوم ليك تانتا</t>
  </si>
  <si>
    <t>Stay, you'll see</t>
  </si>
  <si>
    <t>b9a, daba tchouf</t>
  </si>
  <si>
    <t>بقا, دابا تشوف</t>
  </si>
  <si>
    <t>it's not as bad as you think</t>
  </si>
  <si>
    <t>rah makhaybch kima kadan</t>
  </si>
  <si>
    <t>راه ماخايبش كيما كادان</t>
  </si>
  <si>
    <t>It's very nice!</t>
  </si>
  <si>
    <t>rah zwin bzaf!</t>
  </si>
  <si>
    <t>راه زوين بزاف!</t>
  </si>
  <si>
    <t>And when you get there, you'll be proud of yourself!</t>
  </si>
  <si>
    <t>omli twsal ltma, ghadi tkon fakhor brask!</t>
  </si>
  <si>
    <t>أُملي توسال لتما, غادي تكون فاخور براسك!</t>
  </si>
  <si>
    <t>Well, ok</t>
  </si>
  <si>
    <t>ewa, wakha</t>
  </si>
  <si>
    <t>إوا, واخا</t>
  </si>
  <si>
    <t>If you're very sure</t>
  </si>
  <si>
    <t>ila kanti mt2kad bzaf</t>
  </si>
  <si>
    <t>إلا كانتي متءكاد بزاف</t>
  </si>
  <si>
    <t>I do like a good cake</t>
  </si>
  <si>
    <t>ana kat3jbni kika mzyana</t>
  </si>
  <si>
    <t>أنا كاتعجبني كيكا مزيانا</t>
  </si>
  <si>
    <t>Oh, here's the hostess!</t>
  </si>
  <si>
    <t>oh, hahya lmodifa!</t>
  </si>
  <si>
    <t>أُه, هاهيا لموديفا!</t>
  </si>
  <si>
    <t>Christine, do you have any cake in advance for my friend?</t>
  </si>
  <si>
    <t>Christine, wach 3ndak chi kika hya lwla lsa7bi?</t>
  </si>
  <si>
    <t>شريستين, واش عنداك شي كيكا هيا لولا لساحبي?</t>
  </si>
  <si>
    <t>It is his first night here</t>
  </si>
  <si>
    <t>hadi llila lwla dyalo 8na</t>
  </si>
  <si>
    <t>هادي الليلا لولا ديالو هنا</t>
  </si>
  <si>
    <t>So, it's good?</t>
  </si>
  <si>
    <t>idan, mzyan?</t>
  </si>
  <si>
    <t>إدان, مزيان?</t>
  </si>
  <si>
    <t>Although I'm a bit worried about the fact that they have ovens onboard</t>
  </si>
  <si>
    <t>wakha ana mchowech chwiya 7it 3ndhom frran fTyyara</t>
  </si>
  <si>
    <t>واخا أنا مشووش شوييا حيت عندهوم فرّان فطيّارا</t>
  </si>
  <si>
    <t>Ah!</t>
  </si>
  <si>
    <t>ah!</t>
  </si>
  <si>
    <t>أه!</t>
  </si>
  <si>
    <t>We took off and you didn't even notice</t>
  </si>
  <si>
    <t>rah 9lle3na onta ga3 mardditi lbal</t>
  </si>
  <si>
    <t>راه قلّعنا أُنتا ڭاع ماردّيتي لبال</t>
  </si>
  <si>
    <t>Look how pretty the clouds are up there!</t>
  </si>
  <si>
    <t>chofo ch7al ss7ab zwin l8i8!</t>
  </si>
  <si>
    <t>شوفو شحال السحاب زوين لهيه!</t>
  </si>
  <si>
    <t>Hello Miss could I talk to you for a few moments please?</t>
  </si>
  <si>
    <t>ahalan 2anisa wach imkan liya ndwi m3ak lchi la7adat 3afak?</t>
  </si>
  <si>
    <t>أهالان أنيسا واش إمكان لييا ندوي معاك لشي لاحادات عافاك?</t>
  </si>
  <si>
    <t>I'm sorry, I meant Sir!</t>
  </si>
  <si>
    <t>sma7lia, 9Sadt sidi!</t>
  </si>
  <si>
    <t>سماحليا, قصادت سيدي!</t>
  </si>
  <si>
    <t>Well, tell me what brings you here</t>
  </si>
  <si>
    <t>wakha, goliya 3lach jiti l8na</t>
  </si>
  <si>
    <t>واخا, ڭولييا علاش جيتي لهنا</t>
  </si>
  <si>
    <t>wakha, goliya chno jabk 8na</t>
  </si>
  <si>
    <t>واخا, ڭولييا شنو جابك هنا</t>
  </si>
  <si>
    <t>One of my friends is being bullied because he wears glasses</t>
  </si>
  <si>
    <t>wa7d mn s7abi kayt3rad ltanamor 7it kaylbs nDaDr</t>
  </si>
  <si>
    <t>واحد من سحابي كايتعراد لتانامور حيت كايلبس نضاضر</t>
  </si>
  <si>
    <t>I want to help him</t>
  </si>
  <si>
    <t>bghit n3awno</t>
  </si>
  <si>
    <t>بغيت نعاونو</t>
  </si>
  <si>
    <t>How does wearing glasses play a role in these brutal acts?</t>
  </si>
  <si>
    <t>kifach tlbas nDaDr kayl3ab dawr fhad l2a3mal lwa7chia?</t>
  </si>
  <si>
    <t>كيفاش تلباس نضاضر كايلعاب داور فهاد لأعمال لواحشيا?</t>
  </si>
  <si>
    <t>They tease him</t>
  </si>
  <si>
    <t>kayTll3oha 3lih</t>
  </si>
  <si>
    <t>كايطلّعوها عليه</t>
  </si>
  <si>
    <t>they call him names like 'square eyes'</t>
  </si>
  <si>
    <t>kaygolo lih smiyat b7al 'l3yon lmoraba3a'</t>
  </si>
  <si>
    <t>كايڭولو ليه سمييات بحال 'لعيون لموراباعا'</t>
  </si>
  <si>
    <t>But that doesn't tell me what the glasses are doing in this case?</t>
  </si>
  <si>
    <t>walakin hadchi makaygolch liya achno kaydiro nDaDr fhad l7ala?</t>
  </si>
  <si>
    <t>والاكين هادشي ماكايڭولش لييا أشنو كايديرو نضاضر فهاد لحالا?</t>
  </si>
  <si>
    <t>it's because he is different to everybody else</t>
  </si>
  <si>
    <t>hadchi 7it hwa mkhtalf 3la ay wa7d akhor</t>
  </si>
  <si>
    <t>هادشي حيت هوا مختالف علا أي واحد أخور</t>
  </si>
  <si>
    <t>No-one else wears glasses</t>
  </si>
  <si>
    <t>tta wa7d akhor makaylbs nDaDr</t>
  </si>
  <si>
    <t>التا واحد أخور ماكايلبس نضاضر</t>
  </si>
  <si>
    <t>the nasty boys call him names</t>
  </si>
  <si>
    <t>drari DDasrin kayknniw 3lih kniyat</t>
  </si>
  <si>
    <t>دراري الضاسرين كايكنّيو عليه كنييات</t>
  </si>
  <si>
    <t>Maybe it's his glasses that are horrible!</t>
  </si>
  <si>
    <t>imkan ikono nDaDro lli khaybin!</t>
  </si>
  <si>
    <t>إمكان إكونو نضاضرو اللي خايبين!</t>
  </si>
  <si>
    <t>even if they are, people should be more sympathetic</t>
  </si>
  <si>
    <t>wakha ikono, nnas khashom ikon fihom chwia t ta3aTof</t>
  </si>
  <si>
    <t>واخا إكونو, الناس خاسهوم إكون فيهوم شويا ت تاعاطوف</t>
  </si>
  <si>
    <t>Your words seem a little consistent</t>
  </si>
  <si>
    <t>lkalimat dyalk taybano mtnas9in ktar</t>
  </si>
  <si>
    <t>لكاليمات ديالك تايبانو متناسقين كتار</t>
  </si>
  <si>
    <t>I don't know what you expect from me</t>
  </si>
  <si>
    <t>ana ma3rftch chno katw99e3 mnni</t>
  </si>
  <si>
    <t>أنا ماعرفتش شنو كاتوقّع منّي</t>
  </si>
  <si>
    <t>Well, perhaps I need to explain</t>
  </si>
  <si>
    <t>wakha, imkan an7taj ltawDi7</t>
  </si>
  <si>
    <t>واخا, إمكان أنحتاج لتاوضيح</t>
  </si>
  <si>
    <t>perhaps I need to explain</t>
  </si>
  <si>
    <t>imkan aykhssni nfsser</t>
  </si>
  <si>
    <t>إمكان أيخسّني نفسّر</t>
  </si>
  <si>
    <t>I have come to speak to you because you are a teacher and other students are upsetting my friend</t>
  </si>
  <si>
    <t>jit ndwi m3ak 7it nta ostad o tlamd lkhrin kaymrrDo sa7bi</t>
  </si>
  <si>
    <t>جيت ندوي معاك حيت نتا أُستاد أُ تلامد لخرين كايمرّضو ساحبي</t>
  </si>
  <si>
    <t>The reason they are cruel to him is because he wears glasses</t>
  </si>
  <si>
    <t>sabab l9aswa dyalhom 3lih 8wa 7itach kaylbas ndadr</t>
  </si>
  <si>
    <t>ساباب لقاسوا ديالهوم عليه هوا حيتاش كايلباس ندادر</t>
  </si>
  <si>
    <t>I need your advice on how to help him</t>
  </si>
  <si>
    <t>bghit nasi7a dyalk kifach n3awno</t>
  </si>
  <si>
    <t>بغيت ناسيحا ديالك كيفاش نعاونو</t>
  </si>
  <si>
    <t>Could you give all the students some glasses?</t>
  </si>
  <si>
    <t>wach imkan lik ta3ti ga3 talaba ndadar?</t>
  </si>
  <si>
    <t>واش إمكان ليك تاعتي ڭاع تالابا ندادار?</t>
  </si>
  <si>
    <t>That would be silly</t>
  </si>
  <si>
    <t>ghadi ikon dakchi sakhif</t>
  </si>
  <si>
    <t>غادي إكون داكشي ساخيف</t>
  </si>
  <si>
    <t>Is that still stupid?</t>
  </si>
  <si>
    <t>wach ba9i hadchi ghaby?</t>
  </si>
  <si>
    <t>واش باقي هادشي غابي?</t>
  </si>
  <si>
    <t>actually that might be a good solution</t>
  </si>
  <si>
    <t>flwa9i3 i9dar ikon hada 7al mzyan</t>
  </si>
  <si>
    <t>فلواقيع إقدار إكون هادا حال مزيان</t>
  </si>
  <si>
    <t>but I am only a child so I can't get him lenses</t>
  </si>
  <si>
    <t>walakin ana ghir dri sghir idan maymknch lia njib lih 3adasat</t>
  </si>
  <si>
    <t>والاكين أنا غير دري سغير إدان مايمكنش ليا نجيب ليه عاداسات</t>
  </si>
  <si>
    <t>I will suggest that he asks his parents for them</t>
  </si>
  <si>
    <t>an9tara7 bach itlb8om mn walidih</t>
  </si>
  <si>
    <t>أنقتاراح باش إتلبهوم من واليديه</t>
  </si>
  <si>
    <t>In fact, it all depends on the shape of the glasses</t>
  </si>
  <si>
    <t>flwa9i3 hadchi kamlo m3tamd 3la chkal dyal ndadar</t>
  </si>
  <si>
    <t>فلواقيع هادشي كاملو معتامد علا شكال ديال ندادار</t>
  </si>
  <si>
    <t>Yes, that might be part of the problem</t>
  </si>
  <si>
    <t>wayeh, i9dar ikon hada joz2 mn lmochkila</t>
  </si>
  <si>
    <t>وايه, إقدار إكون هادا جوزء من لموشكيلا</t>
  </si>
  <si>
    <t>they are very ugly</t>
  </si>
  <si>
    <t>rahom khaybin bzaf</t>
  </si>
  <si>
    <t>راهوم خايبين بزاف</t>
  </si>
  <si>
    <t>For instance</t>
  </si>
  <si>
    <t>ماتالان</t>
  </si>
  <si>
    <t>if the frames are round</t>
  </si>
  <si>
    <t>ila kan lkadr mdwwr</t>
  </si>
  <si>
    <t>إلا كان لكادر مدوّر</t>
  </si>
  <si>
    <t>it may be the round form that irritates students rather than glasses themselves</t>
  </si>
  <si>
    <t>i9dr ikon chkl lmdowwer li kayz3aj talaba omachi ndadr</t>
  </si>
  <si>
    <t>إقدر إكون شكل لمدووّر لي كايزعاج تالابا أُماشي ندادر</t>
  </si>
  <si>
    <t>I'm sorry I didn't mean to press 'send'</t>
  </si>
  <si>
    <t>sma7lia makntch 9aSd nbrak 3la 'irsal'</t>
  </si>
  <si>
    <t>سماحليا ماكنتش قاصد نبراك علا 'يرسال'</t>
  </si>
  <si>
    <t>I wanted to say I'm thinking of him</t>
  </si>
  <si>
    <t>knt bghit ngol blli ana kanfkkar fih</t>
  </si>
  <si>
    <t>كنت بغيت نڭول بلّي أنا كانفكّار فيه</t>
  </si>
  <si>
    <t>One question, Sandra:</t>
  </si>
  <si>
    <t>so2al wahd, Sandra:</t>
  </si>
  <si>
    <t>سوأل واهد, صاندرا:</t>
  </si>
  <si>
    <t>I'm aware that the problem requires a thorough reflection</t>
  </si>
  <si>
    <t>ana 3araf bli lmochkila aykhasha tafkir 3ami9</t>
  </si>
  <si>
    <t>أنا عاراف بلي لموشكيلا أيخاسها تافكير عاميق</t>
  </si>
  <si>
    <t>we'll take the question later</t>
  </si>
  <si>
    <t>daba nchofo so2al mn ba3d</t>
  </si>
  <si>
    <t>دابا نشوفو سوأل من باعد</t>
  </si>
  <si>
    <t>I was happy to argue with you</t>
  </si>
  <si>
    <t>kan mn dawa3i soror dyali anani ntna9ch m3ak</t>
  </si>
  <si>
    <t>كان من داواعي سورور ديالي أناني نتناقش معاك</t>
  </si>
  <si>
    <t>I am impressed by the depth of what you're saying</t>
  </si>
  <si>
    <t>ana mnba8r bl3om9 dyal chno katgol</t>
  </si>
  <si>
    <t>أنا منباهر بلعومق ديال شنو كاتڭول</t>
  </si>
  <si>
    <t>There's a lot of ducks this year</t>
  </si>
  <si>
    <t>kayn bzaf dyal lbaT had l3am</t>
  </si>
  <si>
    <t>كاين بزاف ديال لباط هاد لعام</t>
  </si>
  <si>
    <t>I wonder why</t>
  </si>
  <si>
    <t>kantsa2l 3lach</t>
  </si>
  <si>
    <t>كانتساءل علاش</t>
  </si>
  <si>
    <t>Did the ducks use to live in the stables?</t>
  </si>
  <si>
    <t>wach kan lbat kay3ich fl2isTablat?</t>
  </si>
  <si>
    <t>واش كان لبات كايعيش فلإسطابلات?</t>
  </si>
  <si>
    <t>It's just like in Charlotte's web</t>
  </si>
  <si>
    <t>rah b7al chbka dyal Charlotte</t>
  </si>
  <si>
    <t>راه بحال شبكا ديال شارلوتّ</t>
  </si>
  <si>
    <t>with all the animals living with each other</t>
  </si>
  <si>
    <t>b ga3 dok l7ayawanat 3aychin m3a ba3dyathom</t>
  </si>
  <si>
    <t>ب ڭاع دوك لحاياوانات عايشين معا باعدياتهوم</t>
  </si>
  <si>
    <t>I wonder if they ever unionised against the dominant farmer upper class</t>
  </si>
  <si>
    <t>kantsa2al ila kano tta7do chi nhar dad taba9a l3oliya tlmozari3in li wakhda kolchi</t>
  </si>
  <si>
    <t>كانتساأل إلا كانو التاحدو شي نهار داد تاباقا لعولييا تلموزاريعين لي واخدا كولشي</t>
  </si>
  <si>
    <t>sorry</t>
  </si>
  <si>
    <t>sma7lina</t>
  </si>
  <si>
    <t>سماحلينا</t>
  </si>
  <si>
    <t>I'm just being silly</t>
  </si>
  <si>
    <t>ana ghir sakhifa</t>
  </si>
  <si>
    <t>أنا غير ساخيفا</t>
  </si>
  <si>
    <t>ana ghir kantbar8ach</t>
  </si>
  <si>
    <t>أنا غير كانتبارهاش</t>
  </si>
  <si>
    <t>how often do you come here?</t>
  </si>
  <si>
    <t>ch7al mn mra jiti lhna?</t>
  </si>
  <si>
    <t>شحال من مرا جيتي لهنا?</t>
  </si>
  <si>
    <t>I haven't seen you around before</t>
  </si>
  <si>
    <t>machftakch 9bal fhad jjwayh</t>
  </si>
  <si>
    <t>ماشفتاكش قبال فهاد الجوايه</t>
  </si>
  <si>
    <t>It's true that I don't know that</t>
  </si>
  <si>
    <t>bssa7 ana makan3rfch hadchi</t>
  </si>
  <si>
    <t>بسّاح أنا ماكانعرفش هادشي</t>
  </si>
  <si>
    <t>the new socio-economic category</t>
  </si>
  <si>
    <t>lfi2a sosio 9tiSadia jjdida</t>
  </si>
  <si>
    <t>لفيأ سوسيو قتيصاديا الجديدا</t>
  </si>
  <si>
    <t>Do you think the duck migrations would be caused by socioeconomic factors?</t>
  </si>
  <si>
    <t>wach kadan bli hijrat lbat kant bsbab 3awamil socio 9tiSadia?</t>
  </si>
  <si>
    <t>واش كادان بلي هيجرات لبات كانت بسباب عاواميل سوسيو قتيصاديا?</t>
  </si>
  <si>
    <t>Maybe pollution has increased?</t>
  </si>
  <si>
    <t>imkan zad talawot?</t>
  </si>
  <si>
    <t>إمكان زاد تالاووت?</t>
  </si>
  <si>
    <t>climate change</t>
  </si>
  <si>
    <t>taghayor lmonakh</t>
  </si>
  <si>
    <t>تاغايور لموناخ</t>
  </si>
  <si>
    <t>and Trump</t>
  </si>
  <si>
    <t>o Trump</t>
  </si>
  <si>
    <t>أُ طرومپ</t>
  </si>
  <si>
    <t>everything is Trump's fault nowadays</t>
  </si>
  <si>
    <t>kolchi 8aa khata2 Trump had lyamat</t>
  </si>
  <si>
    <t>كولشي ها خاتاء طرومپ هاد ليامات</t>
  </si>
  <si>
    <t>It's true for short-term decisions</t>
  </si>
  <si>
    <t>hadchi s7i7 bnsba l9arart l9sirat l2amad</t>
  </si>
  <si>
    <t>هادشي سحيح بنسبا لقارارت لقسيرات لأماد</t>
  </si>
  <si>
    <t>come on!</t>
  </si>
  <si>
    <t>yalah!</t>
  </si>
  <si>
    <t>يالاه!</t>
  </si>
  <si>
    <t>tl9na!</t>
  </si>
  <si>
    <t>تلقنا!</t>
  </si>
  <si>
    <t>anti-Trump</t>
  </si>
  <si>
    <t>Dadd Trump</t>
  </si>
  <si>
    <t>ضادّ طرومپ</t>
  </si>
  <si>
    <t>there's plenty of room!</t>
  </si>
  <si>
    <t>kayna blasa!</t>
  </si>
  <si>
    <t>كاينا بلاسا!</t>
  </si>
  <si>
    <t>3Ta lah lblayS!</t>
  </si>
  <si>
    <t>عطا الله لبلايص!</t>
  </si>
  <si>
    <t>I don't support Trump at all</t>
  </si>
  <si>
    <t>makanchaja3ch Trump ga3</t>
  </si>
  <si>
    <t>ماكانشاجاعش طرومپ ڭاع</t>
  </si>
  <si>
    <t>I'm being practical</t>
  </si>
  <si>
    <t>ana 3amali</t>
  </si>
  <si>
    <t>أنا عامالي</t>
  </si>
  <si>
    <t>I hear you, brother!</t>
  </si>
  <si>
    <t>kansam3ak akhoya!</t>
  </si>
  <si>
    <t>كانسامعاك أخويا!</t>
  </si>
  <si>
    <t>let's fight the good fight and defend the rights of powerless people everywhere</t>
  </si>
  <si>
    <t>khalona n7arbo l7rb lmzyana ondaf3o 3la 7o9o9 dyal nas li magaddinch fga3 lblays</t>
  </si>
  <si>
    <t>خالونا نحاربو لحرب لمزيانا أُندافعو علا حوقوق ديال ناس لي ماڭادّينش فڭاع لبلايس</t>
  </si>
  <si>
    <t>And the bees!</t>
  </si>
  <si>
    <t>o n7al!</t>
  </si>
  <si>
    <t>أُ نحال!</t>
  </si>
  <si>
    <t>I'm very worried about the disappearance of the bees</t>
  </si>
  <si>
    <t>ana machTon bzaf bsbab khtifa2 n7al</t>
  </si>
  <si>
    <t>أنا ماشطون بزاف بسباب ختيفاء نحال</t>
  </si>
  <si>
    <t>and the bees too</t>
  </si>
  <si>
    <t>on7al tahwa</t>
  </si>
  <si>
    <t>أُنحال تاهوا</t>
  </si>
  <si>
    <t>anything else?</t>
  </si>
  <si>
    <t>chi 7aja khra?</t>
  </si>
  <si>
    <t>شي حاجا خرا?</t>
  </si>
  <si>
    <t>what about dolphins?</t>
  </si>
  <si>
    <t>o dalafin?</t>
  </si>
  <si>
    <t>أُ دالافين?</t>
  </si>
  <si>
    <t>they're cute and look good on posters</t>
  </si>
  <si>
    <t>homa ghzalin okaybano zwinin fl molSa9at</t>
  </si>
  <si>
    <t>هوما غزالين أُكايبانو زوينين فل مولصاقات</t>
  </si>
  <si>
    <t>everyone loves dolphins</t>
  </si>
  <si>
    <t>kolchi kaybghi dalafin</t>
  </si>
  <si>
    <t>كولشي كايبغي دالافين</t>
  </si>
  <si>
    <t>I know someone who didn't like dolphins because they don't have a mustache</t>
  </si>
  <si>
    <t>kan3raf wa7ad chakhs makay7mlch dalafin 7it 3ndhomch mostach</t>
  </si>
  <si>
    <t>كانعراف واحاد شاخس ماكايحملش دالافين حيت عندهومش موستاش</t>
  </si>
  <si>
    <t>That person liked cats because they had mustaches</t>
  </si>
  <si>
    <t>had bnadm kay3jboh lmchach 7it 3ndhom mostach</t>
  </si>
  <si>
    <t>هاد بنادم كايعجبوه لمشاش حيت عندهوم موستاش</t>
  </si>
  <si>
    <t>a mustache?!</t>
  </si>
  <si>
    <t>mostach?!</t>
  </si>
  <si>
    <t>موستاش?!</t>
  </si>
  <si>
    <t>what are they?</t>
  </si>
  <si>
    <t>achnahoma?</t>
  </si>
  <si>
    <t>أشناهوما?</t>
  </si>
  <si>
    <t>gentlemen cats that drink cognac</t>
  </si>
  <si>
    <t>syadna lmchach li katchrab lcognac</t>
  </si>
  <si>
    <t>سيادنا لمشاش لي كاتشراب لكوڭناك</t>
  </si>
  <si>
    <t>Mustaches are what some men carry between the mouth and the nose</t>
  </si>
  <si>
    <t>lmostach hwa likaykon 3and chi rjal bin lfom onif</t>
  </si>
  <si>
    <t>لموستاش هوا ليكايكون عاند شي رجال بين لفوم أُنيف</t>
  </si>
  <si>
    <t>And the cats</t>
  </si>
  <si>
    <t>o lmchach</t>
  </si>
  <si>
    <t>أُ لمشاش</t>
  </si>
  <si>
    <t>whatever they're like</t>
  </si>
  <si>
    <t>kimma kano</t>
  </si>
  <si>
    <t>كيمّا كانو</t>
  </si>
  <si>
    <t>they use to run into a room</t>
  </si>
  <si>
    <t>mwllfin ijrriw lchi bit</t>
  </si>
  <si>
    <t>مولّفين إجرّيو لشي بيت</t>
  </si>
  <si>
    <t>You must have special cats if they drink brandy</t>
  </si>
  <si>
    <t>aykono 3ndak mchach fchkel ila kano kaycharbo brandy</t>
  </si>
  <si>
    <t>أيكونو عنداك مشاش فشكل إلا كانو كايشاربو براندي</t>
  </si>
  <si>
    <t>My cat doesn't already agree to drink soy milk</t>
  </si>
  <si>
    <t>lmcha dyali mamwaf9ach bach tchrab 7lib soya</t>
  </si>
  <si>
    <t>لمشا ديالي ماموافقاش باش تشراب حليب سويا</t>
  </si>
  <si>
    <t>ahlan wa sahlan</t>
  </si>
  <si>
    <t>أهلان وا ساهلان</t>
  </si>
  <si>
    <t>I'm glad I've found you</t>
  </si>
  <si>
    <t>ana far7an 7it l9itak</t>
  </si>
  <si>
    <t>أنا فارحان حيت لقيتاك</t>
  </si>
  <si>
    <t>I've lost my way</t>
  </si>
  <si>
    <t>tllaft tri9 dyali</t>
  </si>
  <si>
    <t>تلّافت تريق ديالي</t>
  </si>
  <si>
    <t>tlaft 3la tri9</t>
  </si>
  <si>
    <t>تلافت علا تريق</t>
  </si>
  <si>
    <t>I have been walking in circles for ages</t>
  </si>
  <si>
    <t>kandor fblasti mn ch7al hada</t>
  </si>
  <si>
    <t>كاندور فبلاستي من شحال هادا</t>
  </si>
  <si>
    <t>Do you know the way out of these trees?</t>
  </si>
  <si>
    <t>wach kat3raf tari9a tkhraj mn had l2achjar?</t>
  </si>
  <si>
    <t>واش كاتعراف تاريقا تخراج من هاد لأشجار?</t>
  </si>
  <si>
    <t>No, I've never been here before</t>
  </si>
  <si>
    <t>la, ma3mri kant 8na mn 9bal</t>
  </si>
  <si>
    <t>لا, ماعمري كانت هنا من قبال</t>
  </si>
  <si>
    <t>but maybe we can try moving forward in the same direction</t>
  </si>
  <si>
    <t>walakin imkan lina n7awlo nmchiw l9dam f nafs l2itijah</t>
  </si>
  <si>
    <t>والاكين إمكان لينا نحاولو نمشيو لقدام ف نافس لإتيجاه</t>
  </si>
  <si>
    <t>Yes, but which direction?</t>
  </si>
  <si>
    <t>ah, walakin chmn itijah?</t>
  </si>
  <si>
    <t>أه, والاكين شمن إتيجاه?</t>
  </si>
  <si>
    <t>I think I came from that way</t>
  </si>
  <si>
    <t>kanDn bli jit mn dik tri9</t>
  </si>
  <si>
    <t>كانضن بلي جيت من ديك تريق</t>
  </si>
  <si>
    <t>but over there also seems familiar</t>
  </si>
  <si>
    <t>walakin 7ta tma kayban lia fayt chayfo</t>
  </si>
  <si>
    <t>والاكين حتا تما كايبان ليا فايت شايفو</t>
  </si>
  <si>
    <t>Isn't the moss still supposed to grow north?</t>
  </si>
  <si>
    <t>wach makhasch Ta7alib inoDo f chamal?</t>
  </si>
  <si>
    <t>واش ماخاسش طاحاليب إنوضو ف شامال?</t>
  </si>
  <si>
    <t>At the worst</t>
  </si>
  <si>
    <t>f aswa2 l2a7wal</t>
  </si>
  <si>
    <t>ف أسواء لأحوال</t>
  </si>
  <si>
    <t>we pick at random</t>
  </si>
  <si>
    <t>kankhtaro ghir hakak</t>
  </si>
  <si>
    <t>كانختارو غير هاكاك</t>
  </si>
  <si>
    <t>nkhtaro ghir 3llah</t>
  </si>
  <si>
    <t>نختارو غير علّاه</t>
  </si>
  <si>
    <t>we'll end up on people's lives</t>
  </si>
  <si>
    <t>ghayntahi bina lmataf f7ayat bnadm</t>
  </si>
  <si>
    <t>غاينتاهي بينا لماتاف فحايات بنادم</t>
  </si>
  <si>
    <t>we'll end up there</t>
  </si>
  <si>
    <t>ghankhtmo8a l8i8</t>
  </si>
  <si>
    <t>غانختموها لهيه</t>
  </si>
  <si>
    <t>I suggest that we go that way and stick closely together</t>
  </si>
  <si>
    <t>kan9tara7 nmchiw kima hakka onb9aw m3a ba3dyatna</t>
  </si>
  <si>
    <t>كانقتاراح نمشيو كيما هاكّا أُنبقاو معا باعدياتنا</t>
  </si>
  <si>
    <t>The light is beginning to fade</t>
  </si>
  <si>
    <t>ddo bda kaymchi</t>
  </si>
  <si>
    <t>الدو بدا كايمشي</t>
  </si>
  <si>
    <t>ddo bda kaytlacha</t>
  </si>
  <si>
    <t>الدو بدا كايتلاشا</t>
  </si>
  <si>
    <t>we don't want to loose touch with each other</t>
  </si>
  <si>
    <t>mabghinach nfa9do l2itisal b ba3dyatna</t>
  </si>
  <si>
    <t>مابغيناش نفاقدو لإتيسال ب باعدياتنا</t>
  </si>
  <si>
    <t>Do you have any food or drink with you?</t>
  </si>
  <si>
    <t>wach 3andak chi makla ola chrab?</t>
  </si>
  <si>
    <t>واش عانداك شي ماكلا أُلا شراب?</t>
  </si>
  <si>
    <t>wach 3andak chi maytkal ola maytchrb?</t>
  </si>
  <si>
    <t>واش عانداك شي مايتكال أُلا مايتشرب?</t>
  </si>
  <si>
    <t>Yes, I still have water in my bag</t>
  </si>
  <si>
    <t>ah, ba9i 3ndi lma fchkara dyali</t>
  </si>
  <si>
    <t>أه, باقي عندي لما فشكارا ديالي</t>
  </si>
  <si>
    <t>Thirsty?</t>
  </si>
  <si>
    <t>wach 3atchan?</t>
  </si>
  <si>
    <t>واش عاتشان?</t>
  </si>
  <si>
    <t>fik l3Tach?</t>
  </si>
  <si>
    <t>فيك لعطاش?</t>
  </si>
  <si>
    <t>I am thirsty but I was hoping for something a bit stronger than water</t>
  </si>
  <si>
    <t>fia l3Tch walakin knt kantmna chi 7aja 9as7a chwiya 3la lma</t>
  </si>
  <si>
    <t>فيا لعطش والاكين كنت كانتمنا شي حاجا قاسحا شوييا علا لما</t>
  </si>
  <si>
    <t>Anyway, can you let me have a bit of your water?</t>
  </si>
  <si>
    <t>3la ay 7al, wach imkan lik t3Tini chwiya dyal lma?</t>
  </si>
  <si>
    <t>علا أي حال, واش إمكان ليك تعطيني شوييا ديال لما?</t>
  </si>
  <si>
    <t>Yeah, here</t>
  </si>
  <si>
    <t>ah, 8na</t>
  </si>
  <si>
    <t>أه, هنا</t>
  </si>
  <si>
    <t>And if we stay stuck here too long, we can still try blackberries</t>
  </si>
  <si>
    <t>o ila b9ina wa7lin 8na bzaf dyal lw9t, imkan lina njarbo tot lk7al</t>
  </si>
  <si>
    <t>أُ إلا بقينا واحلين هنا بزاف ديال لوقت, إمكان لينا نجاربو توت لكحال</t>
  </si>
  <si>
    <t>So what can I get you?</t>
  </si>
  <si>
    <t>iwa achno bghitini njib lik?</t>
  </si>
  <si>
    <t>إوا أشنو بغيتيني نجيب ليك?</t>
  </si>
  <si>
    <t>I'll get you a coffee, please!</t>
  </si>
  <si>
    <t>ghadi njib lik l9ahwa!</t>
  </si>
  <si>
    <t>غادي نجيب ليك لقاهوا!</t>
  </si>
  <si>
    <t>I've got a drink here thanks</t>
  </si>
  <si>
    <t>3ndi mchrob hna, chokran</t>
  </si>
  <si>
    <t>عندي مشروب هنا, شوكران</t>
  </si>
  <si>
    <t>Or do you mean for you?</t>
  </si>
  <si>
    <t>ola kat9sad lik?</t>
  </si>
  <si>
    <t>أُلا كاتقساد ليك?</t>
  </si>
  <si>
    <t>A coffee lying there, that would be perfect</t>
  </si>
  <si>
    <t>9ahwa m7tota tma, ghadi tkon hya hadik</t>
  </si>
  <si>
    <t>قاهوا محتوتا تما, غادي تكون هيا هاديك</t>
  </si>
  <si>
    <t>With a little glass of water next to it</t>
  </si>
  <si>
    <t>m3a chwiya t lma 7dah</t>
  </si>
  <si>
    <t>معا شوييا ت لما حداه</t>
  </si>
  <si>
    <t>Ok!</t>
  </si>
  <si>
    <t>wakha!</t>
  </si>
  <si>
    <t>واخا!</t>
  </si>
  <si>
    <t>With milk?</t>
  </si>
  <si>
    <t>m3a l7lib?</t>
  </si>
  <si>
    <t>معا لحليب?</t>
  </si>
  <si>
    <t>Long or short?</t>
  </si>
  <si>
    <t>twil ola 9sir?</t>
  </si>
  <si>
    <t>تويل أُلا قسير?</t>
  </si>
  <si>
    <t>Are you sure?</t>
  </si>
  <si>
    <t>wach nta mt2akad?</t>
  </si>
  <si>
    <t>واش نتا متأكاد?</t>
  </si>
  <si>
    <t>wach mti99en?</t>
  </si>
  <si>
    <t>واش متيقّن?</t>
  </si>
  <si>
    <t>It's happy hour right now!</t>
  </si>
  <si>
    <t>sa3a sa3ida hadi daba!</t>
  </si>
  <si>
    <t>ساعا ساعيدا هادي دابا!</t>
  </si>
  <si>
    <t>Without milk!</t>
  </si>
  <si>
    <t>bla 7lib!</t>
  </si>
  <si>
    <t>بلا حليب!</t>
  </si>
  <si>
    <t>Is it 9 p.m. already?</t>
  </si>
  <si>
    <t>wach 9 tllil hadi?</t>
  </si>
  <si>
    <t>واش 9 تلّيل هادي?</t>
  </si>
  <si>
    <t>In that case, I'd like a little mojito</t>
  </si>
  <si>
    <t>fhad l7ala, bghit chwiya dyal mojito</t>
  </si>
  <si>
    <t>فهاد لحالا, بغيت شوييا ديال موجيتو</t>
  </si>
  <si>
    <t>That's a good mix!</t>
  </si>
  <si>
    <t>hada khaliT mzyan!</t>
  </si>
  <si>
    <t>هادا خاليط مزيان!</t>
  </si>
  <si>
    <t>A coffee, some water and a mojito!</t>
  </si>
  <si>
    <t>9ahwa ochwiya dyal lma o mojito!</t>
  </si>
  <si>
    <t>قاهوا أُشوييا ديال لما أُ موجيتو!</t>
  </si>
  <si>
    <t>Have you had a good day at work?</t>
  </si>
  <si>
    <t>wach dwazti nhar zwin flkhadma?</t>
  </si>
  <si>
    <t>واش دوازتي نهار زوين فلخادما?</t>
  </si>
  <si>
    <t>A big day</t>
  </si>
  <si>
    <t>nhar kbir</t>
  </si>
  <si>
    <t>نهار كبير</t>
  </si>
  <si>
    <t>Hence the necessary coffee, and a mojito</t>
  </si>
  <si>
    <t>3la hadchi l9ahwa likhasa, o mojito</t>
  </si>
  <si>
    <t>علا هادشي لقاهوا ليخاسا, أُ موجيتو</t>
  </si>
  <si>
    <t>Aren't any of your colleagues going to join you?</t>
  </si>
  <si>
    <t>wach maghayl79och 3lik nas mn lkhdma?</t>
  </si>
  <si>
    <t>واش ماغايلحقوش عليك ناس من لخدما?</t>
  </si>
  <si>
    <t>I could get you some drinks for them in the meantime</t>
  </si>
  <si>
    <t>imkn lia njib lihom maychrbo fhad lw9t</t>
  </si>
  <si>
    <t>إمكن ليا نجيب ليهوم مايشربو فهاد لوقت</t>
  </si>
  <si>
    <t>if they're coming of course</t>
  </si>
  <si>
    <t>ila kano ghayjiw bTabi3t l7al</t>
  </si>
  <si>
    <t>إلا كانو غايجيو بطابيعت لحال</t>
  </si>
  <si>
    <t>My boyfriend's coming to join me</t>
  </si>
  <si>
    <t>Sa7bi jay ghayl79 3lia</t>
  </si>
  <si>
    <t>صاحبي جاي غايلحق عليا</t>
  </si>
  <si>
    <t>I think he'll have a mojito, too</t>
  </si>
  <si>
    <t>kanDn bli ghadi yakhod mojito ta8owa</t>
  </si>
  <si>
    <t>كانضن بلي غادي ياخود موجيتو تاهووا</t>
  </si>
  <si>
    <t>It's going to be a big night in here tonight</t>
  </si>
  <si>
    <t>ghadi tkon lila kbira had lila hna.</t>
  </si>
  <si>
    <t>غادي تكون ليلا كبيرا هاد ليلا هنا.</t>
  </si>
  <si>
    <t>No, I'm a woman...!</t>
  </si>
  <si>
    <t>la, ana mra...!</t>
  </si>
  <si>
    <t>لا, أنا مرا...!</t>
  </si>
  <si>
    <t>It's true that my short hair can make you doubt</t>
  </si>
  <si>
    <t>bsa7 cha3ri l9sir imkan ikhlik tchak</t>
  </si>
  <si>
    <t>بساح شاعري لقسير إمكان إخليك تشاك</t>
  </si>
  <si>
    <t>But I'm working as an engineer on a big site</t>
  </si>
  <si>
    <t>walakin kankhdam ka mohandis fmaw9a3 kbir</t>
  </si>
  <si>
    <t>والاكين كانخدام كا موهانديس فماوقاع كبير</t>
  </si>
  <si>
    <t>I didn't have time to change</t>
  </si>
  <si>
    <t>makanch 3ndi w9t bach nbddl</t>
  </si>
  <si>
    <t>ماكانش عندي وقت باش نبدّل</t>
  </si>
  <si>
    <t>or take a shower after a day in the field</t>
  </si>
  <si>
    <t>olla ndowech mora nhar f l7a9l</t>
  </si>
  <si>
    <t>أُلّا ندووش مورا نهار ف لحاقل</t>
  </si>
  <si>
    <t>Oh no, not at all!</t>
  </si>
  <si>
    <t>Oh la, la itla9an!</t>
  </si>
  <si>
    <t>أُه لا, لا إتلاقان!</t>
  </si>
  <si>
    <t>I think you misunderstood me</t>
  </si>
  <si>
    <t>kanDn bli fhmtini ghalat</t>
  </si>
  <si>
    <t>كانضن بلي فهمتيني غالات</t>
  </si>
  <si>
    <t>you just misunderstood me</t>
  </si>
  <si>
    <t>ghir fhmtini ghalat</t>
  </si>
  <si>
    <t>غير فهمتيني غالات</t>
  </si>
  <si>
    <t>All I said was that it's going to be busy tonight</t>
  </si>
  <si>
    <t>lli glt hoa annaho ghaykon mza7m lioma</t>
  </si>
  <si>
    <t>اللي ڭلت هوا أنّاهو غايكون مزاحم ليوما</t>
  </si>
  <si>
    <t>because we have two groups coming in to celebrate</t>
  </si>
  <si>
    <t>7it 3andna joj mjmo3at ghayjiw bach i7taflo</t>
  </si>
  <si>
    <t>حيت عاندنا جوج مجموعات غايجيو باش إحتافلو</t>
  </si>
  <si>
    <t>Is there going to be a party in the bar tonight?</t>
  </si>
  <si>
    <t>wach ghadi tkon 7fla fl bar had lila?</t>
  </si>
  <si>
    <t>واش غادي تكون حفلا فل بار هاد ليلا?</t>
  </si>
  <si>
    <t>It's going to be very lively</t>
  </si>
  <si>
    <t>ghadi tkon 7ayawiya bzaf</t>
  </si>
  <si>
    <t>غادي تكون حاياوييا بزاف</t>
  </si>
  <si>
    <t>Yes, there are going to be two of them!</t>
  </si>
  <si>
    <t>ah, ghadi ikono joj mnhom!</t>
  </si>
  <si>
    <t>أه, غادي إكونو جوج منهوم!</t>
  </si>
  <si>
    <t>And don't worry about the clothes</t>
  </si>
  <si>
    <t>o mat8azch l8amm l l7wayj</t>
  </si>
  <si>
    <t>أُ ماتهازش لهامّ ل لحوايج</t>
  </si>
  <si>
    <t>I'm wearing something very similar myself!</t>
  </si>
  <si>
    <t>ana labs chi haja b7alha!</t>
  </si>
  <si>
    <t>أنا لابس شي حاجة بحالها!</t>
  </si>
  <si>
    <t>How did we get here?</t>
  </si>
  <si>
    <t>kifach wSlna l8na?</t>
  </si>
  <si>
    <t>كيفاش وصلنا لهنا?</t>
  </si>
  <si>
    <t>We have been walking in the forest for a long time</t>
  </si>
  <si>
    <t>kna kantmchaw flghaba lmodda twila</t>
  </si>
  <si>
    <t>كنا كانتمشاو فلغابا لمودّا تويلا</t>
  </si>
  <si>
    <t>we seem to have come to a dead end</t>
  </si>
  <si>
    <t>kayban bli wSalna ltari9 msdod</t>
  </si>
  <si>
    <t>كايبان بلي وصالنا لتاريق مسدود</t>
  </si>
  <si>
    <t>ana fia lbard</t>
  </si>
  <si>
    <t>أنا فيا لبارد</t>
  </si>
  <si>
    <t>jani lbard</t>
  </si>
  <si>
    <t>جاني لبارد</t>
  </si>
  <si>
    <t>Do you know when we entered the forest?</t>
  </si>
  <si>
    <t>wach 3rfti imta dkhlna lghaba?</t>
  </si>
  <si>
    <t>واش عرفتي إمتا دخلنا لغابا?</t>
  </si>
  <si>
    <t>And hungry</t>
  </si>
  <si>
    <t>o fia jo3</t>
  </si>
  <si>
    <t>أُ فيا جوع</t>
  </si>
  <si>
    <t>It's been three hours</t>
  </si>
  <si>
    <t>rah dazt tlata dyal sway3</t>
  </si>
  <si>
    <t>راه دازت تلاتا ديال سوايع</t>
  </si>
  <si>
    <t>No, you need it, too</t>
  </si>
  <si>
    <t>la, nta at7aj liha 7Ta nta</t>
  </si>
  <si>
    <t>لا, نتا أتحاج ليها حطا نتا</t>
  </si>
  <si>
    <t>I have got some biscuits</t>
  </si>
  <si>
    <t>3ndi chwiya dya biskwit</t>
  </si>
  <si>
    <t>عندي شوييا ديا بيسكويت</t>
  </si>
  <si>
    <t>would you like some?</t>
  </si>
  <si>
    <t>wach bghiti chwiya?</t>
  </si>
  <si>
    <t>واش بغيتي شوييا?</t>
  </si>
  <si>
    <t>What do you think we should do?</t>
  </si>
  <si>
    <t>achno kadan bli aykhasna ndiroh?</t>
  </si>
  <si>
    <t>أشنو كادان بلي أيخاسنا نديروه?</t>
  </si>
  <si>
    <t>achno kayballik aykhasna ndiro?</t>
  </si>
  <si>
    <t>أشنو كايبالّيك أيخاسنا نديرو?</t>
  </si>
  <si>
    <t>I remember when we were in front of a cabin</t>
  </si>
  <si>
    <t>kan39l mli kna 9dam lkokh</t>
  </si>
  <si>
    <t>كانعقل ملي كنا قدام لكوخ</t>
  </si>
  <si>
    <t>We should find her</t>
  </si>
  <si>
    <t>aykhasna nl9awha</t>
  </si>
  <si>
    <t>أيخاسنا نلقاوها</t>
  </si>
  <si>
    <t>Do you think we should retrace our steps?</t>
  </si>
  <si>
    <t>wach kadan bli aykhsna ntab3o lkhtwat dyalna?</t>
  </si>
  <si>
    <t>واش كادان بلي أيخسنا نتابعو لختوات ديالنا?</t>
  </si>
  <si>
    <t>It is not long till it will start getting dark</t>
  </si>
  <si>
    <t>maghaydozch bzaf dyal lwa9t 7ta ibda iTi7 dlam</t>
  </si>
  <si>
    <t>ماغايدوزش بزاف ديال لواقت حتا إبدا إطيح دلام</t>
  </si>
  <si>
    <t>I agree</t>
  </si>
  <si>
    <t>mttaf9</t>
  </si>
  <si>
    <t>we should try to find the cabin</t>
  </si>
  <si>
    <t>aykhasna n7awlo nl9aw lma9sora</t>
  </si>
  <si>
    <t>أيخاسنا نحاولو نلقاو لماقسورا</t>
  </si>
  <si>
    <t>I have some water</t>
  </si>
  <si>
    <t>3ndi chwiya dyal lma</t>
  </si>
  <si>
    <t>عندي شوييا ديال لما</t>
  </si>
  <si>
    <t>bghiti chwiya?</t>
  </si>
  <si>
    <t>بغيتي شوييا?</t>
  </si>
  <si>
    <t>You thought of everything!</t>
  </si>
  <si>
    <t>fkkarti fkolchi!</t>
  </si>
  <si>
    <t>فكّارتي فكولشي!</t>
  </si>
  <si>
    <t>Let's try to keep the water and the cookies for later</t>
  </si>
  <si>
    <t>khalina n7awlo n7tafdo blma olbaskwit lmn b3d</t>
  </si>
  <si>
    <t>خالينا نحاولو نحتافدو بلما أُلباسكويت لمن بعد</t>
  </si>
  <si>
    <t>I'm not usually organised</t>
  </si>
  <si>
    <t>ana mamndamch fl3ada</t>
  </si>
  <si>
    <t>أنا مامندامش فلعادا</t>
  </si>
  <si>
    <t>but I remembered the basics this time</t>
  </si>
  <si>
    <t>walakin tfakart l2asasyat had lmra</t>
  </si>
  <si>
    <t>والاكين تفاكارت لأساسيات هاد لمرا</t>
  </si>
  <si>
    <t>Do you have a torch?</t>
  </si>
  <si>
    <t>wach 3ndak ppil?</t>
  </si>
  <si>
    <t>واش عنداك الپيل?</t>
  </si>
  <si>
    <t>No, unfortunately</t>
  </si>
  <si>
    <t>La, m3a l2asaf</t>
  </si>
  <si>
    <t>لا, معا لأساف</t>
  </si>
  <si>
    <t>La, lil asaf</t>
  </si>
  <si>
    <t>لا, ليل أساف</t>
  </si>
  <si>
    <t>By the way, do you have your cell phone?</t>
  </si>
  <si>
    <t>blmonasaba, wach 3andak tilifon?</t>
  </si>
  <si>
    <t>بلموناسابا, واش عانداك تيليفون?</t>
  </si>
  <si>
    <t>Well, I suppose we could use my phone as a light</t>
  </si>
  <si>
    <t>wakha, kanftarad bli imkan lina nstakhdmo lportabl b7al dow</t>
  </si>
  <si>
    <t>واخا, كانفتاراد بلي إمكان لينا نستاخدمو لپورتابل بحال دوو</t>
  </si>
  <si>
    <t>Is your phone charged up?</t>
  </si>
  <si>
    <t>wach tilifonk mcharji?</t>
  </si>
  <si>
    <t>واش تيليفونك مشارجي?</t>
  </si>
  <si>
    <t>You had the same thoughts as me!</t>
  </si>
  <si>
    <t>kan 3ndak b7al l2afkar dyali!</t>
  </si>
  <si>
    <t>كان عنداك بحال لأفكار ديالي!</t>
  </si>
  <si>
    <t>I don't have any battery</t>
  </si>
  <si>
    <t>ma3ndi tta chi batri</t>
  </si>
  <si>
    <t>ماعندي التا شي باتري</t>
  </si>
  <si>
    <t>And besides, we don't have a signal</t>
  </si>
  <si>
    <t>ozid 3la dakchi, ma3ndnach rrizo</t>
  </si>
  <si>
    <t>أُزيد علا داكشي, ماعندناش الريزو</t>
  </si>
  <si>
    <t>We will need to rely on my phone</t>
  </si>
  <si>
    <t>ghadi n7tajo n3awlo 3la tilifoni</t>
  </si>
  <si>
    <t>غادي نحتاجو نعاولو علا تيليفوني</t>
  </si>
  <si>
    <t>Oh dear that will be a problem</t>
  </si>
  <si>
    <t>a mimti hadchi ghaykhl9 mochkil</t>
  </si>
  <si>
    <t>أ ميمتي هادشي غايخلق موشكيل</t>
  </si>
  <si>
    <t>We had better get to move on</t>
  </si>
  <si>
    <t>mn l2a7san lina nt7arko</t>
  </si>
  <si>
    <t>من لأحسان لينا نتحاركو</t>
  </si>
  <si>
    <t>tsana!</t>
  </si>
  <si>
    <t>تسانا!</t>
  </si>
  <si>
    <t>Where does the sun set?</t>
  </si>
  <si>
    <t>fin katghrb chams?</t>
  </si>
  <si>
    <t>فين كاتغرب شامس?</t>
  </si>
  <si>
    <t>mnin katghrob chmch?</t>
  </si>
  <si>
    <t>منين كاتغروب شمش?</t>
  </si>
  <si>
    <t>It is setting in that direction</t>
  </si>
  <si>
    <t>wach katghrob mn dik jjiha?</t>
  </si>
  <si>
    <t>واش كاتغروب من ديك الجيها?</t>
  </si>
  <si>
    <t>it must be the west!</t>
  </si>
  <si>
    <t>aykhso ikon flgharb!</t>
  </si>
  <si>
    <t>أيخسو إكون فلغارب!</t>
  </si>
  <si>
    <t>Hi Miss Smith</t>
  </si>
  <si>
    <t>ahlan madame Smith</t>
  </si>
  <si>
    <t>أهلان مادام صميته</t>
  </si>
  <si>
    <t>can you explain how I do this piece of work please?</t>
  </si>
  <si>
    <t>wach imkan tchr7i lia kifach ndir had lkhadma 3afak?</t>
  </si>
  <si>
    <t>واش إمكان تشرحي ليا كيفاش ندير هاد لخادما عافاك?</t>
  </si>
  <si>
    <t>I don't really understand what it is I have to do</t>
  </si>
  <si>
    <t>mkanfhamch bsa7 achni aykhasni ndir.</t>
  </si>
  <si>
    <t>مكانفهامش بساح أشني أيخاسني ندير.</t>
  </si>
  <si>
    <t>What I'm asking you</t>
  </si>
  <si>
    <t>li kanTlb mnnek</t>
  </si>
  <si>
    <t>لي كانطلب منّك</t>
  </si>
  <si>
    <t>it's a team effort</t>
  </si>
  <si>
    <t>hada 3amal jama3i</t>
  </si>
  <si>
    <t>هادا عامال جاماعي</t>
  </si>
  <si>
    <t>with other students</t>
  </si>
  <si>
    <t>m3a Talaba khrin</t>
  </si>
  <si>
    <t>معا طالابا خرين</t>
  </si>
  <si>
    <t>You have to assemble groups of three students</t>
  </si>
  <si>
    <t>aykhsak tjma3 majmoa3at mn tlata dyal Talaba</t>
  </si>
  <si>
    <t>أيخساك تجماع ماجمواعات من تلاتا ديال طالابا</t>
  </si>
  <si>
    <t>And prepare a chemistry experiment</t>
  </si>
  <si>
    <t>o t9ad tajriba kimya2ia</t>
  </si>
  <si>
    <t>أُ تقاد تاجريبا كيمياإا</t>
  </si>
  <si>
    <t>to present by oral to other students</t>
  </si>
  <si>
    <t>bach t9adamha chafawiayn ltolab lakhrin</t>
  </si>
  <si>
    <t>باش تقادامها شافاوياين لتولاب لاخرين</t>
  </si>
  <si>
    <t>bach njik dirikt</t>
  </si>
  <si>
    <t>باش نجيك ديريكت</t>
  </si>
  <si>
    <t>I don't like working in a team as I end up doing all the work</t>
  </si>
  <si>
    <t>makanbghich nkhdm f mjmo3a 7it f nihaya lmataf kandir lkhdma kollha</t>
  </si>
  <si>
    <t>ماكانبغيش نخدم ف مجموعا حيت ف نيهايا لماتاف كاندير لخدما كولّها</t>
  </si>
  <si>
    <t>and the rest of the team take the credit</t>
  </si>
  <si>
    <t>o lkhrin flmjmo3a kayddiw lfadl</t>
  </si>
  <si>
    <t>أُ لخرين فلمجموعا كايدّيو لفادل</t>
  </si>
  <si>
    <t>I'm going to evaluate them</t>
  </si>
  <si>
    <t>ghadi n9ayyam8om</t>
  </si>
  <si>
    <t>غادي نقايّامهوم</t>
  </si>
  <si>
    <t>That's fair</t>
  </si>
  <si>
    <t>hadchi 3adil</t>
  </si>
  <si>
    <t>هادشي عاديل</t>
  </si>
  <si>
    <t>hadchi m39ol</t>
  </si>
  <si>
    <t>هادشي معقول</t>
  </si>
  <si>
    <t>I'll choose some people I don't normally work with</t>
  </si>
  <si>
    <t>ghadi nkhtar chi achkhas ali makankhdamch m3ahom 3adatan</t>
  </si>
  <si>
    <t>غادي نختار شي أشخاس ألي ماكانخدامش معاهوم عاداتان</t>
  </si>
  <si>
    <t>How long do we have to prepare the experiment?</t>
  </si>
  <si>
    <t>ch7al dyal lwa9t aykhasna bach njahzo tajriba?</t>
  </si>
  <si>
    <t>شحال ديال لواقت أيخاسنا باش نجاهزو تاجريبا?</t>
  </si>
  <si>
    <t>How long is the oral presentation?</t>
  </si>
  <si>
    <t>ch7al hya lmodda dyal l3arad lighadi ngol chafawian?</t>
  </si>
  <si>
    <t>شحال هيا لمودّا ديال لعاراد ليغادي نڭول شافاويان?</t>
  </si>
  <si>
    <t>You've got 15 days before the presentation date to get the job done</t>
  </si>
  <si>
    <t>3ndak 15 lyom 9bal nhar l3ard t9dimi bach tSawb chghlk</t>
  </si>
  <si>
    <t>عنداك 15 ليوم قبال نهار لعارد تقديمي باش تصاوب شغلك</t>
  </si>
  <si>
    <t>And the day of experimentation</t>
  </si>
  <si>
    <t>onhar tajriba</t>
  </si>
  <si>
    <t>أُنهار تاجريبا</t>
  </si>
  <si>
    <t>3achra d9aya9</t>
  </si>
  <si>
    <t>عاشرا دقاياق</t>
  </si>
  <si>
    <t>twenty minutes of oral presentation with slides</t>
  </si>
  <si>
    <t>3chrin d9i9a dyal l3ard lighadi chafawi m3a les slides</t>
  </si>
  <si>
    <t>عشرين دقيقا ديال لعارد ليغادي شافاوي معا لس سليدس</t>
  </si>
  <si>
    <t>I have a lot of deadlines from other teachers</t>
  </si>
  <si>
    <t>3ndi bzaf dyal lmawa3id t l asatida lkhrin</t>
  </si>
  <si>
    <t>عندي بزاف ديال لماواعيد ت ل أساتيدا لخرين</t>
  </si>
  <si>
    <t>Is it possible to get an extension?</t>
  </si>
  <si>
    <t>wach imkan nakhdo chi tamdid?</t>
  </si>
  <si>
    <t>واش إمكان ناخدو شي تامديد?</t>
  </si>
  <si>
    <t>It seems a little difficult</t>
  </si>
  <si>
    <t>kayban l2amr S3ib chwiya</t>
  </si>
  <si>
    <t>كايبان لأمر صعيب شوييا</t>
  </si>
  <si>
    <t>because it wouldn't be fair to the other students</t>
  </si>
  <si>
    <t>7it maghadich ikon 3adil ltolab lakhrin</t>
  </si>
  <si>
    <t>حيت ماغاديش إكون عاديل لتولاب لاخرين</t>
  </si>
  <si>
    <t>Think of a very simple experience!</t>
  </si>
  <si>
    <t>fkkar ftajriba bsita bzaf!</t>
  </si>
  <si>
    <t>فكّار فتاجريبا بسيتا بزاف!</t>
  </si>
  <si>
    <t>The goal is to teach you to work as a team</t>
  </si>
  <si>
    <t>l8adaf 8owa n3llmk l3amal ka fari9</t>
  </si>
  <si>
    <t>لهاداف هووا نعلّمك لعامال كا فاريق</t>
  </si>
  <si>
    <t>and give yourself an oral experience</t>
  </si>
  <si>
    <t>ot3ti lrasak tajriba chafa8ya</t>
  </si>
  <si>
    <t>أُتعتي لراساك تاجريبا شافاهيا</t>
  </si>
  <si>
    <t>How many marks is there?</t>
  </si>
  <si>
    <t>ch7al mn 3alama tmma?</t>
  </si>
  <si>
    <t>شحال من عالاما تمّا?</t>
  </si>
  <si>
    <t>Then the note is 30 points</t>
  </si>
  <si>
    <t>o natija hia 30 no9ta</t>
  </si>
  <si>
    <t>أُ ناتيجا هيا 30 نوقتا</t>
  </si>
  <si>
    <t>Ten points to her</t>
  </si>
  <si>
    <t>3achra dyal no9at liha</t>
  </si>
  <si>
    <t>عاشرا ديال نوقات ليها</t>
  </si>
  <si>
    <t>Ten points for the oral speech</t>
  </si>
  <si>
    <t>3achra dyal no9at lkhitab chafawi</t>
  </si>
  <si>
    <t>عاشرا ديال نوقات لخيتاب شافاوي</t>
  </si>
  <si>
    <t>And ten points on the ability to work as a team</t>
  </si>
  <si>
    <t>o3achra dyal no9at 3la l9odra 3la lkhadma ka fari9</t>
  </si>
  <si>
    <t>أُعاشرا ديال نوقات علا لقودرا علا لخادما كا فاريق</t>
  </si>
  <si>
    <t>I'd better get working</t>
  </si>
  <si>
    <t>7san lia nbda lkhdma</t>
  </si>
  <si>
    <t>حسان ليا نبدا لخدما</t>
  </si>
  <si>
    <t>Miss, I think the fire alarm has just gone off</t>
  </si>
  <si>
    <t>lalla, kanDn bli indar l7ari9 yallah tfa daba</t>
  </si>
  <si>
    <t>لالّا, كانضن بلي إندار لحاريق يالّاه تفا دابا</t>
  </si>
  <si>
    <t>Do we need to evacuate?</t>
  </si>
  <si>
    <t>wach khasna nkhwiw?</t>
  </si>
  <si>
    <t>واش خاسنا نخويو?</t>
  </si>
  <si>
    <t>It could be a fire!</t>
  </si>
  <si>
    <t>i9dar ikon 7ari9!</t>
  </si>
  <si>
    <t>إقدار إكون حاريق!</t>
  </si>
  <si>
    <t>i9dar tkon l3afia!</t>
  </si>
  <si>
    <t>إقدار تكون لعافيا!</t>
  </si>
  <si>
    <t>Let's get out of the room quickly!</t>
  </si>
  <si>
    <t>khlina nkhrjo mn lghorfa bzarba!</t>
  </si>
  <si>
    <t>خلينا نخرجو من لغورفا بزاربا!</t>
  </si>
  <si>
    <t>yallaho nkhrjo mn lbit bzrba!</t>
  </si>
  <si>
    <t>يالّاهو نخرجو من لبيت بزربا!</t>
  </si>
  <si>
    <t>the other professor of Chemistry</t>
  </si>
  <si>
    <t>lostad lakhor dyal chimi</t>
  </si>
  <si>
    <t>لوستاد لاخور ديال شيمي</t>
  </si>
  <si>
    <t>He does a lot of new experiments</t>
  </si>
  <si>
    <t>kaydir bzaf dyal tajarib</t>
  </si>
  <si>
    <t>كايدير بزاف ديال تاجاريب</t>
  </si>
  <si>
    <t>but he's already turned the fire alarm off</t>
  </si>
  <si>
    <t>walakin hoa rah wa9af b3da l indar tl7ari9</t>
  </si>
  <si>
    <t>والاكين هوا راه واقاف بعدا ل إندار تلحاريق</t>
  </si>
  <si>
    <t>Maybe he'll be fired!</t>
  </si>
  <si>
    <t>imkan ayjriw 3lih!</t>
  </si>
  <si>
    <t>إمكان أيجريو عليه!</t>
  </si>
  <si>
    <t>Hi, I'm better when we get in the air</t>
  </si>
  <si>
    <t>ahlan, ana 7san mli kantl3o f l8awa2</t>
  </si>
  <si>
    <t>أهلان, أنا حسان ملي كانتلعو ف لهاواء</t>
  </si>
  <si>
    <t>Why, are you afraid at the time of decolation?</t>
  </si>
  <si>
    <t>3lach, wach nta khayf f wa9t dyal l i9la3?</t>
  </si>
  <si>
    <t>علاش, واش نتا خايف ف واقت ديال ل إقلاع?</t>
  </si>
  <si>
    <t>I really don't like flying at all</t>
  </si>
  <si>
    <t>ana bsa7 makan7mlch Tayaran ga3</t>
  </si>
  <si>
    <t>أنا بساح ماكانحملش طاياران ڭاع</t>
  </si>
  <si>
    <t>Is this the first time you've been on a plane?</t>
  </si>
  <si>
    <t>wach hadi hya lmra lwla li katkon fiha f tyara?</t>
  </si>
  <si>
    <t>واش هادي هيا لمرا لولا لي كاتكون فيها ف تيارا?</t>
  </si>
  <si>
    <t>It's an extremely safe transport, you don't need to panic</t>
  </si>
  <si>
    <t>hya rah wasila dyal na9l 2amina bzaf, makhskch tkhaf</t>
  </si>
  <si>
    <t>هيا راه واسيلا ديال ناقل أمينا بزاف, ماخسكش تخاف</t>
  </si>
  <si>
    <t>I've flown quite a few times</t>
  </si>
  <si>
    <t>safrt bzaf dyal lmrat</t>
  </si>
  <si>
    <t>سافرت بزاف ديال لمرات</t>
  </si>
  <si>
    <t>I just feel stressed at the going up and down</t>
  </si>
  <si>
    <t>kan7as btawator mli kan9l3o omli kanhabto</t>
  </si>
  <si>
    <t>كانحاس بتاواتور ملي كانقلعو أُملي كانهابتو</t>
  </si>
  <si>
    <t>and obviously if there is turbulence</t>
  </si>
  <si>
    <t>obtaba3 ila kan chi iDtirab</t>
  </si>
  <si>
    <t>أُبتاباع إلا كان شي إضتيراب</t>
  </si>
  <si>
    <t>Planes are built so that they can resist very strong turbulence</t>
  </si>
  <si>
    <t>rah tyarat tSawbo bach i9awmo l2itirabat l9as7a</t>
  </si>
  <si>
    <t>راه تيارات تصاوبو باش إقاومو لإتيرابات لقاسحا</t>
  </si>
  <si>
    <t>There's nothing to worry about</t>
  </si>
  <si>
    <t>makaynch mnach tkhaf</t>
  </si>
  <si>
    <t>ماكاينش مناش تخاف</t>
  </si>
  <si>
    <t>I know the theory but anxiety is not always rational</t>
  </si>
  <si>
    <t>kan3raf nadarya walakin lkhawf machi dima 39lani</t>
  </si>
  <si>
    <t>كانعراف ناداريا والاكين لخاوف ماشي ديما عقلاني</t>
  </si>
  <si>
    <t>I will try to switch off and not think about it</t>
  </si>
  <si>
    <t>ghadi n7awal nw9af tchghil omanfakrch fhadchi</t>
  </si>
  <si>
    <t>غادي نحاوال نوقاف تشغيل أُمانفاكرش فهادشي</t>
  </si>
  <si>
    <t>ignore me if I start over breathing</t>
  </si>
  <si>
    <t>tjahlni ila bdit ntnafas</t>
  </si>
  <si>
    <t>تجاهلني إلا بديت نتنافاس</t>
  </si>
  <si>
    <t>You should try to sleep a little, it'll calm your stress</t>
  </si>
  <si>
    <t>aykhsk t7awal tn3as chwiya, rah ghadi ihda2 mn tawator dyalk</t>
  </si>
  <si>
    <t>أيخسك تحاوال تنعاس شوييا, راه غادي إهداء من تاواتور ديالك</t>
  </si>
  <si>
    <t>Where would you like a glass of champagne?</t>
  </si>
  <si>
    <t>fin bghiti kas dyal champagne?</t>
  </si>
  <si>
    <t>فين بغيتي كاس ديال شامپاڭن?</t>
  </si>
  <si>
    <t>It works, too</t>
  </si>
  <si>
    <t>rah kayli9 ta8owa</t>
  </si>
  <si>
    <t>راه كايليق تاهووا</t>
  </si>
  <si>
    <t>I think the champagne sounds more fun</t>
  </si>
  <si>
    <t>kandan bli champagne katban momti3a ktar</t>
  </si>
  <si>
    <t>كاندان بلي شامپاڭن كاتبان مومتيعا كتار</t>
  </si>
  <si>
    <t>I'm not one for sleeping in odd places</t>
  </si>
  <si>
    <t>ana machi dyal n3as fl2amakin lghariba</t>
  </si>
  <si>
    <t>أنا ماشي ديال نعاس فلأماكين لغاريبا</t>
  </si>
  <si>
    <t>do you fly often?</t>
  </si>
  <si>
    <t>wach katir bzaf</t>
  </si>
  <si>
    <t>واش كاتير بزاف</t>
  </si>
  <si>
    <t>Yes, very often</t>
  </si>
  <si>
    <t>ah, fbzaf dyal lwa9t</t>
  </si>
  <si>
    <t>أه, فبزاف ديال لواقت</t>
  </si>
  <si>
    <t>for my work</t>
  </si>
  <si>
    <t>lkhdma dyali</t>
  </si>
  <si>
    <t>لخدما ديالي</t>
  </si>
  <si>
    <t>because I'm in charge of business</t>
  </si>
  <si>
    <t>7it ana ms2oul 3la wahd charika</t>
  </si>
  <si>
    <t>حيت أنا مسأول علا واهد شاريكا</t>
  </si>
  <si>
    <t>I should visit a lot of countries</t>
  </si>
  <si>
    <t>aykhsni nzor bzaf dyal lboldan</t>
  </si>
  <si>
    <t>أيخسني نزور بزاف ديال لبولدان</t>
  </si>
  <si>
    <t>And you, for what reason do you travel?</t>
  </si>
  <si>
    <t>onta, 3la ach mn sabab katsafar?</t>
  </si>
  <si>
    <t>أُنتا, علا أش من ساباب كاتسافار?</t>
  </si>
  <si>
    <t>family stuff, my son lives in Paris</t>
  </si>
  <si>
    <t>dorof 3a2iliya, waldi kay3ich f Paris</t>
  </si>
  <si>
    <t>دوروف عاإلييا, والدي كايعيش ف پاريس</t>
  </si>
  <si>
    <t>He comes to the UK often but his children are too little to travel much</t>
  </si>
  <si>
    <t>kayji l ngliz bzaf walakin wlado ba9i sghar 3la ssafar bzaf</t>
  </si>
  <si>
    <t>كايجي ل نڭليز بزاف والاكين ولادو باقي سغار علا السافار بزاف</t>
  </si>
  <si>
    <t>How often do you get to see them?</t>
  </si>
  <si>
    <t>cha7al mn mra kat9dri tchofihom?</t>
  </si>
  <si>
    <t>شاحال من مرا كاتقدري تشوفيهوم?</t>
  </si>
  <si>
    <t>What ages have your grandchildren?</t>
  </si>
  <si>
    <t>ch7al f3mar l2a7fad dyalk?</t>
  </si>
  <si>
    <t>شحال فعمار لأحفاد ديالك?</t>
  </si>
  <si>
    <t>What ages are your daughters?</t>
  </si>
  <si>
    <t>ch7al f3mar lbnitat dyalk?</t>
  </si>
  <si>
    <t>شحال فعمار لبنيتات ديالك?</t>
  </si>
  <si>
    <t>You meant to say I don't look old enough to be a grandma!</t>
  </si>
  <si>
    <t>kat9sad tgol bli makanbanch kbira bach nkon jdda!</t>
  </si>
  <si>
    <t>كاتقساد تڭول بلي ماكانبانش كبيرا باش نكون جدّا!</t>
  </si>
  <si>
    <t>I see them about every 3 months</t>
  </si>
  <si>
    <t>kanchofhom kol 3 chhor t9riban</t>
  </si>
  <si>
    <t>كانشوفهوم كول 3 شهور تقريبان</t>
  </si>
  <si>
    <t>but I still don't like flying, although when I see their smiling faces it is worth my stress</t>
  </si>
  <si>
    <t>wakin mazal makan7malch tayaran,wakha mli kanchof wjoh dyalhom Da7kin fl2mar kaysta7a9 dak l3ya</t>
  </si>
  <si>
    <t>واكين مازال ماكانحمالش تاياران,واخا ملي كانشوف وجوه ديالهوم ضاحكين فلءمار كايستاحاق داك لعيا</t>
  </si>
  <si>
    <t>they are 3 and 5</t>
  </si>
  <si>
    <t>3ndhom 3 o 5</t>
  </si>
  <si>
    <t>عندهوم 3 أُ 5</t>
  </si>
  <si>
    <t>I understand perfectly</t>
  </si>
  <si>
    <t>ana kantfham mzyan</t>
  </si>
  <si>
    <t>أنا كانتفهام مزيان</t>
  </si>
  <si>
    <t>I also have grandchildren</t>
  </si>
  <si>
    <t>tana 3ndi a7fad</t>
  </si>
  <si>
    <t>تانا عندي أحفاد</t>
  </si>
  <si>
    <t>what do you intend to do with them in Paris?</t>
  </si>
  <si>
    <t>chno nawiya diri m3ahom f Paris?</t>
  </si>
  <si>
    <t>شنو ناوييا ديري معاهوم ف پاريس?</t>
  </si>
  <si>
    <t>Take them to the circus?</t>
  </si>
  <si>
    <t>tddi8om l sirk?</t>
  </si>
  <si>
    <t>تدّيهوم ل سيرك?</t>
  </si>
  <si>
    <t>That is a good idea</t>
  </si>
  <si>
    <t>I think I may try and sleep now after the champagne</t>
  </si>
  <si>
    <t>kanDn n9dar n3as daba mn ba3d champagne</t>
  </si>
  <si>
    <t>كانضن نقدار نعاس دابا من باعد شامپاڭن</t>
  </si>
  <si>
    <t>thanks for helping me calm down</t>
  </si>
  <si>
    <t>chokran lik 7it 3awntini bach nt8ddn</t>
  </si>
  <si>
    <t>شوكران ليك حيت عاونتيني باش نتهدّن</t>
  </si>
  <si>
    <t>I haven't been coping very well this week</t>
  </si>
  <si>
    <t>makntch mwalaf mzyan had simana</t>
  </si>
  <si>
    <t>ماكنتش موالاف مزيان هاد سيمانا</t>
  </si>
  <si>
    <t>Whatever I do</t>
  </si>
  <si>
    <t>ndir lli drt</t>
  </si>
  <si>
    <t>ندير اللي درت</t>
  </si>
  <si>
    <t>I can't stop thinking about ice-cream</t>
  </si>
  <si>
    <t>makan9drch n7bs tfkir f la glace</t>
  </si>
  <si>
    <t>ماكانقدرش نحبس تفكير ف لا ڭلاس</t>
  </si>
  <si>
    <t>Wherever I go</t>
  </si>
  <si>
    <t>finmma mchit</t>
  </si>
  <si>
    <t>فينمّا مشيت</t>
  </si>
  <si>
    <t>What can I do?</t>
  </si>
  <si>
    <t>achno imkan lia ndir?</t>
  </si>
  <si>
    <t>أشنو إمكان ليا ندير?</t>
  </si>
  <si>
    <t>Let's say together with your difficulty</t>
  </si>
  <si>
    <t>khalina ngolo bjoj m3a So3oba li3ndak</t>
  </si>
  <si>
    <t>خالينا نڭولو بجوج معا صوعوبا ليعنداك</t>
  </si>
  <si>
    <t>Do you always think of the ice?</t>
  </si>
  <si>
    <t>wach nta dima katfakar f tlj?</t>
  </si>
  <si>
    <t>واش نتا ديما كاتفاكار ف تلج?</t>
  </si>
  <si>
    <t>Or a mirror to look at?</t>
  </si>
  <si>
    <t>ola chi mraya tchof fiha?</t>
  </si>
  <si>
    <t>أُلا شي مرايا تشوف فيها?</t>
  </si>
  <si>
    <t>I don't think a mirror will help</t>
  </si>
  <si>
    <t>makandanch mraya t9dar t3awn</t>
  </si>
  <si>
    <t>ماكاندانش مرايا تقدار تعاون</t>
  </si>
  <si>
    <t>It will just remind me of my inability to resist</t>
  </si>
  <si>
    <t>ghadi ghir tfakarni bli makan9darch n9awm</t>
  </si>
  <si>
    <t>غادي غير تفاكارني بلي ماكانقدارش نقاوم</t>
  </si>
  <si>
    <t>I constantly have ice-cream round my mouth</t>
  </si>
  <si>
    <t>3ndi dima ice cream f fmi</t>
  </si>
  <si>
    <t>عندي ديما إس كرام ف فمي</t>
  </si>
  <si>
    <t>You see</t>
  </si>
  <si>
    <t>chfti</t>
  </si>
  <si>
    <t>شفتي</t>
  </si>
  <si>
    <t>I can't even pretend it's not happening!</t>
  </si>
  <si>
    <t>maymknch lia 7tta nbyyen bli dakchi makayw9a3ch!</t>
  </si>
  <si>
    <t>مايمكنش ليا حتّا نبيّن بلي داكشي ماكايوقاعش!</t>
  </si>
  <si>
    <t>So you have an irrepressible urge to eat ice cream</t>
  </si>
  <si>
    <t>idan nta 3ndk raghba maymkanch tkbtha bach takol ice cream</t>
  </si>
  <si>
    <t>إدان نتا عندك راغبا مايمكانش تكبتها باش تاكول إس كرام</t>
  </si>
  <si>
    <t>Are there any special circumstances</t>
  </si>
  <si>
    <t>wach kayna chi dorof khasa</t>
  </si>
  <si>
    <t>واش كاينا شي دوروف خاسا</t>
  </si>
  <si>
    <t>It's especially at night</t>
  </si>
  <si>
    <t>khasatan flil</t>
  </si>
  <si>
    <t>خاساتان فليل</t>
  </si>
  <si>
    <t>My bedsheets are covered in ice-cream</t>
  </si>
  <si>
    <t>lghTa dyal namosyti 3amr b la glace</t>
  </si>
  <si>
    <t>لغطا ديال ناموسيتي عامر ب لا ڭلاس</t>
  </si>
  <si>
    <t>It's awful</t>
  </si>
  <si>
    <t>hadchi khayb bzaf</t>
  </si>
  <si>
    <t>هادشي خايب بزاف</t>
  </si>
  <si>
    <t>especially when the cat gets covered in it too!</t>
  </si>
  <si>
    <t>aktarya mli lmcha tahia kaat3mr bih!</t>
  </si>
  <si>
    <t>أكتاريا ملي لمشا تاهيا كاتعمر بيه!</t>
  </si>
  <si>
    <t>Especially at night?</t>
  </si>
  <si>
    <t>okhososan blil?</t>
  </si>
  <si>
    <t>أُخوسوسان بليل?</t>
  </si>
  <si>
    <t>That's very interesting</t>
  </si>
  <si>
    <t>hadchi motir lil2ihtimam bzaf</t>
  </si>
  <si>
    <t>هادشي موتير ليلإهتيمام بزاف</t>
  </si>
  <si>
    <t>hadchi mohim bzaf</t>
  </si>
  <si>
    <t>هادشي موهيم بزاف</t>
  </si>
  <si>
    <t>Do you dream that you eat ice cream for the night before you wake up and eat them?</t>
  </si>
  <si>
    <t>wach kat7lam katakol l ice cream flil 9bal matnod otaklo?</t>
  </si>
  <si>
    <t>واش كاتحلام كاتاكول ل إس كرام فليل قبال ماتنود أُتاكلو?</t>
  </si>
  <si>
    <t>even when I'm asleep</t>
  </si>
  <si>
    <t>7ta mli kankon na3sa</t>
  </si>
  <si>
    <t>حتا ملي كانكون ناعسا</t>
  </si>
  <si>
    <t>Once I even forgot to close the door</t>
  </si>
  <si>
    <t>wa7ad lmra nsit mnsad lbab</t>
  </si>
  <si>
    <t>واحاد لمرا نسيت منساد لباب</t>
  </si>
  <si>
    <t>And then there was no more ice-cream to eat at all!</t>
  </si>
  <si>
    <t>omn ba3d mab9ach 7tta chi ice cream li naklo ga3!</t>
  </si>
  <si>
    <t>أُمن باعد مابقاش حتّا شي إس كرام لي ناكلو ڭاع!</t>
  </si>
  <si>
    <t>So you eat ice cream while you sleep?</t>
  </si>
  <si>
    <t>idan nta katakl ice cream 7ta fn3as dyalk?</t>
  </si>
  <si>
    <t>إدان نتا كاتاكل إس كرام حتا فنعاس ديالك?</t>
  </si>
  <si>
    <t>Tell me about your childhood</t>
  </si>
  <si>
    <t>golia 3la Tofola dyalk</t>
  </si>
  <si>
    <t>ڭوليا علا طوفولا ديالك</t>
  </si>
  <si>
    <t>Have you experienced an unhappy experience?</t>
  </si>
  <si>
    <t>wach dwazti chi tajriba khayba?</t>
  </si>
  <si>
    <t>واش دوازتي شي تاجريبا خايبا?</t>
  </si>
  <si>
    <t>Repressed trauma maybe?</t>
  </si>
  <si>
    <t>matalan chi Sadma?</t>
  </si>
  <si>
    <t>ماتالان شي صادما?</t>
  </si>
  <si>
    <t>Well, there was this one time when we got snowed in</t>
  </si>
  <si>
    <t>wakha, kayna dik lmra mli kan talj kayti7</t>
  </si>
  <si>
    <t>واخا, كاينا ديك لمرا ملي كان تالج كايتيح</t>
  </si>
  <si>
    <t>It was a really cold winter</t>
  </si>
  <si>
    <t>kant chtwa barda bzaf</t>
  </si>
  <si>
    <t>كانت شتوا باردا بزاف</t>
  </si>
  <si>
    <t>and it snowed for four days straight</t>
  </si>
  <si>
    <t>ota7 talj chi rba3 ayam mtab3a</t>
  </si>
  <si>
    <t>أُتاح تالج شي رباع أيام متابعا</t>
  </si>
  <si>
    <t>Do you think that could play a part in all this?</t>
  </si>
  <si>
    <t>wach kadan bli hada imkan il3ab chi dawr fhadchi kamlo?</t>
  </si>
  <si>
    <t>واش كادان بلي هادا إمكان إلعاب شي داور فهادشي كاملو?</t>
  </si>
  <si>
    <t>Snow, ice-cream</t>
  </si>
  <si>
    <t>talj, la glace</t>
  </si>
  <si>
    <t>تالج, لا ڭلاس</t>
  </si>
  <si>
    <t>It's a very interesting story</t>
  </si>
  <si>
    <t>9isa chayi9a bzaf</t>
  </si>
  <si>
    <t>قيسا شاييقا بزاف</t>
  </si>
  <si>
    <t>Because it could indeed be the point of departure from your trauma</t>
  </si>
  <si>
    <t>7itach imkan tkon hadi hya lbdaya dyal Sadma dyalk</t>
  </si>
  <si>
    <t>حيتاش إمكان تكون هادي هيا لبدايا ديال صادما ديالك</t>
  </si>
  <si>
    <t>Do you consume white ice cream?</t>
  </si>
  <si>
    <t>wach nta katakhod ice cream</t>
  </si>
  <si>
    <t>واش نتا كاتاخود إس كرام</t>
  </si>
  <si>
    <t>or beige ones</t>
  </si>
  <si>
    <t>ola dok lbonniyin</t>
  </si>
  <si>
    <t>أُلا دوك لبونّييين</t>
  </si>
  <si>
    <t>I do!</t>
  </si>
  <si>
    <t>kandirha!</t>
  </si>
  <si>
    <t>كانديرها!</t>
  </si>
  <si>
    <t>My favourite is vanilla</t>
  </si>
  <si>
    <t>a3azz w7da 3ndi hia vanilla</t>
  </si>
  <si>
    <t>أعازّ وحدا عندي هيا ڤانيلّا</t>
  </si>
  <si>
    <t>followed by coconut</t>
  </si>
  <si>
    <t>tab38a jawz lhind</t>
  </si>
  <si>
    <t>تابعها جاوز لهيند</t>
  </si>
  <si>
    <t>But I'll eat any flavour you give me</t>
  </si>
  <si>
    <t>walakin anakl ay nak8a 3titiha lia</t>
  </si>
  <si>
    <t>والاكين أناكل أي ناكها عتيتيها ليا</t>
  </si>
  <si>
    <t>Well, well, we're moving on</t>
  </si>
  <si>
    <t>wakha, wakha, ha7na ghadyin</t>
  </si>
  <si>
    <t>واخا, واخا, هاحنا غاديين</t>
  </si>
  <si>
    <t>I was meaning to ask</t>
  </si>
  <si>
    <t>knt nawi nswlk</t>
  </si>
  <si>
    <t>كنت ناوي نسولك</t>
  </si>
  <si>
    <t>would you like some ice cream?</t>
  </si>
  <si>
    <t>wach bghiti chwiya dyal ice cream?</t>
  </si>
  <si>
    <t>واش بغيتي شوييا ديال إس كرام?</t>
  </si>
  <si>
    <t>It's currently melting in my bag</t>
  </si>
  <si>
    <t>rah kaydob daba f sac dyali</t>
  </si>
  <si>
    <t>راه كايدوب دابا ف ساك ديالي</t>
  </si>
  <si>
    <t>and I think we should save it before it does</t>
  </si>
  <si>
    <t>o kandan bli khasna n7afdo 3lih 9bal maydoub</t>
  </si>
  <si>
    <t>أُ كاندان بلي خاسنا نحافدو عليه قبال مايدوب</t>
  </si>
  <si>
    <t>Well at least I can't be fired for being late for the meeting</t>
  </si>
  <si>
    <t>wakha 3l a9l maymknch liya ntTred 7itach t3TTlt 3la ljtima3</t>
  </si>
  <si>
    <t>واخا عل أقل مايمكنش لييا نتطرد حيتاش تعطّلت علا لجتيماع</t>
  </si>
  <si>
    <t>You'll be able to vouch for me!</t>
  </si>
  <si>
    <t>ghadi tkon 9adr 3la tdaf3 lia!</t>
  </si>
  <si>
    <t>غادي تكون قادر علا تدافع ليا!</t>
  </si>
  <si>
    <t>btab3</t>
  </si>
  <si>
    <t>بتابع</t>
  </si>
  <si>
    <t>allah awdi</t>
  </si>
  <si>
    <t>الله أودي</t>
  </si>
  <si>
    <t>But let's take a look at him</t>
  </si>
  <si>
    <t>walakin blati nDrbo Tlila 3lih</t>
  </si>
  <si>
    <t>والاكين بلاتي نضربو طليلا عليه</t>
  </si>
  <si>
    <t>But let's take a look</t>
  </si>
  <si>
    <t>walakin khlina nchofo</t>
  </si>
  <si>
    <t>والاكين خلينا نشوفو</t>
  </si>
  <si>
    <t>the instructions are here</t>
  </si>
  <si>
    <t>t3limat hahoma 8na</t>
  </si>
  <si>
    <t>تعليمات هاهوما هنا</t>
  </si>
  <si>
    <t>in case of stopping the elevator between floors</t>
  </si>
  <si>
    <t>f7alat w9f l'ascenseur bin les etages</t>
  </si>
  <si>
    <t>فحالات وقف ل'اسسنسور بين لس إتاڭس</t>
  </si>
  <si>
    <t>f7alat w9f lmas3ad bin twabi9</t>
  </si>
  <si>
    <t>فحالات وقف لماسعاد بين توابيق</t>
  </si>
  <si>
    <t>I push the call button</t>
  </si>
  <si>
    <t>wrakt 3la boton dyal l2itisal</t>
  </si>
  <si>
    <t>وراكت علا بوتون ديال لإتيسال</t>
  </si>
  <si>
    <t>Please provide the sentence you would like to translate into Modern Standard Arabic (MSA).</t>
  </si>
  <si>
    <t>Does this happen often?</t>
  </si>
  <si>
    <t>wach hadchi kayw9a3 fbzaf dyal mrat?</t>
  </si>
  <si>
    <t>واش هادشي كايوقاع فبزاف ديال مرات?</t>
  </si>
  <si>
    <t>wach hadchi kayw9a3 bzaf?</t>
  </si>
  <si>
    <t>واش هادشي كايوقاع بزاف?</t>
  </si>
  <si>
    <t>I usually take the stairs</t>
  </si>
  <si>
    <t>3adatan kanTl3 f drouj</t>
  </si>
  <si>
    <t>عاداتان كانطلع ف دروج</t>
  </si>
  <si>
    <t>but was feeling lazy today!</t>
  </si>
  <si>
    <t>walakin lyom knt kan7as blkasal!</t>
  </si>
  <si>
    <t>والاكين ليوم كنت كانحاس بلكاسال!</t>
  </si>
  <si>
    <t>walakin lyom 3gzt!</t>
  </si>
  <si>
    <t>والاكين ليوم عڭزت!</t>
  </si>
  <si>
    <t>Me, too, but since I'm very busy, I took the elevator</t>
  </si>
  <si>
    <t>7ta ana, walakin 7it mchghol bzaf khdit sansour</t>
  </si>
  <si>
    <t>حتا أنا, والاكين حيت مشغول بزاف خديت سانسور</t>
  </si>
  <si>
    <t>I regret it</t>
  </si>
  <si>
    <t>ndmt 3liha</t>
  </si>
  <si>
    <t>ندمت عليها</t>
  </si>
  <si>
    <t>ana nadm 3la hadchi</t>
  </si>
  <si>
    <t>أنا نادم علا هادشي</t>
  </si>
  <si>
    <t>I am also waiting</t>
  </si>
  <si>
    <t>o ana tantsnna</t>
  </si>
  <si>
    <t>أُ أنا تانتسنّا</t>
  </si>
  <si>
    <t>my cell phone has no service</t>
  </si>
  <si>
    <t>tilifon dyali mafihch rrizo</t>
  </si>
  <si>
    <t>تيليفون ديالي مافيهش الريزو</t>
  </si>
  <si>
    <t>Since we're having an unexpected moment together, explain to me what you're working on right now</t>
  </si>
  <si>
    <t>mli kandwzo la7DA mamtw93ach bjoj, chr7 lia chno katkhdam 3lih</t>
  </si>
  <si>
    <t>ملي كاندوزو لاحضا مامتوقعاش بجوج, شرح ليا شنو كاتخدام عليه</t>
  </si>
  <si>
    <t>Well, I did tell you at the meeting this morning</t>
  </si>
  <si>
    <t>mohim, rah glt lik fl2ijtima3 had sba7</t>
  </si>
  <si>
    <t>موهيم, راه ڭلت ليك فلإجتيماع هاد سباح</t>
  </si>
  <si>
    <t>But ok</t>
  </si>
  <si>
    <t>walakin wakha</t>
  </si>
  <si>
    <t>والاكين واخا</t>
  </si>
  <si>
    <t>I'm organising the big event in London next week</t>
  </si>
  <si>
    <t>ghadi nDDem blan kbir f London simana jaya</t>
  </si>
  <si>
    <t>غادي نضّم بلان كبير ف لوندون سيمانا جايا</t>
  </si>
  <si>
    <t>Lots of guests, lots of speakers!</t>
  </si>
  <si>
    <t>bzaf dyal doyof, bzaf dyal lmo7aDirin</t>
  </si>
  <si>
    <t>بزاف ديال دويوف, بزاف ديال لموحاضيرين</t>
  </si>
  <si>
    <t>I even have to organise catering!</t>
  </si>
  <si>
    <t>khasni nDDam 7ta t9dim lmakla!</t>
  </si>
  <si>
    <t>خاسني نضّام حتا تقديم لماكلا!</t>
  </si>
  <si>
    <t>I'm sure you're doing the best you can</t>
  </si>
  <si>
    <t>ana mt2akad bli kadir jhdak kamlo</t>
  </si>
  <si>
    <t>أنا متأكاد بلي كادير جهداك كاملو</t>
  </si>
  <si>
    <t>The big event you organized last year went beautifully</t>
  </si>
  <si>
    <t>l7adat lkbir lidarti l3am lifat daz mzyan</t>
  </si>
  <si>
    <t>لحادات لكبير ليدارتي لعام ليفات داز مزيان</t>
  </si>
  <si>
    <t>Aw that's nice you remembered!</t>
  </si>
  <si>
    <t>Aw hadchi mzyan mlli tfkrtih!</t>
  </si>
  <si>
    <t>أو هادشي مزيان ملّي تفكرتيه!</t>
  </si>
  <si>
    <t>It's good to know our work is appreciated</t>
  </si>
  <si>
    <t>mazyan n3raf bli lkhdma dyalna kat9addar</t>
  </si>
  <si>
    <t>مازيان نعراف بلي لخدما ديالنا كاتقادّار</t>
  </si>
  <si>
    <t>I mean, I've barely slept for the last couple of weeks</t>
  </si>
  <si>
    <t>kan9sad blli bzzez bach kan3s had simanat lidazo</t>
  </si>
  <si>
    <t>كانقساد بلّي بزّز باش كانعس هاد سيمانات ليدازو</t>
  </si>
  <si>
    <t>Not that you work too hard</t>
  </si>
  <si>
    <t>makay3nich bli katkhdam bzaf</t>
  </si>
  <si>
    <t>ماكايعنيش بلي كاتخدام بزاف</t>
  </si>
  <si>
    <t>Well, you do work us hard and everything</t>
  </si>
  <si>
    <t>wakha, rah katkhddamna bzaf okolchi</t>
  </si>
  <si>
    <t>واخا, راه كاتخدّامنا بزاف أُكولشي</t>
  </si>
  <si>
    <t>We all work a lot</t>
  </si>
  <si>
    <t>kollna kankhdmo bzaf</t>
  </si>
  <si>
    <t>كولّنا كانخدمو بزاف</t>
  </si>
  <si>
    <t>especially right now</t>
  </si>
  <si>
    <t>khoSoSan daba</t>
  </si>
  <si>
    <t>خوصوصان دابا</t>
  </si>
  <si>
    <t>to prepare for this event</t>
  </si>
  <si>
    <t>bach n7adro had l7dat</t>
  </si>
  <si>
    <t>باش نحادرو هاد لحدات</t>
  </si>
  <si>
    <t>I hope you can take a few days off after our meetings</t>
  </si>
  <si>
    <t>kan2mal annak t9dr takhd 3oTla chi yamat mora l2ijtima3at dyalna</t>
  </si>
  <si>
    <t>كانءمال أنّاك تقدر تاخد عوطلا شي يامات مورا لإجتيماعات ديالنا</t>
  </si>
  <si>
    <t>and enjoy your family</t>
  </si>
  <si>
    <t>o tstamta3 m3a l3a2ila dyalk</t>
  </si>
  <si>
    <t>أُ تستامتاع معا لعاإلا ديالك</t>
  </si>
  <si>
    <t>Me too!</t>
  </si>
  <si>
    <t>7ta ana!</t>
  </si>
  <si>
    <t>حتا أنا!</t>
  </si>
  <si>
    <t>It's been a while since I've been on holiday</t>
  </si>
  <si>
    <t>ch7al hada machddit 3oTla</t>
  </si>
  <si>
    <t>شحال هادا ماشدّيت عوطلا</t>
  </si>
  <si>
    <t>daz w9t Twil mli knt f3otla</t>
  </si>
  <si>
    <t>داز وقت طويل ملي كنت فعوتلا</t>
  </si>
  <si>
    <t>I have to say that the pay isn't great here</t>
  </si>
  <si>
    <t>aykhsni ngol bli lkhlsa mamzyanach 8na</t>
  </si>
  <si>
    <t>أيخسني نڭول بلي لخلسا مامزياناش هنا</t>
  </si>
  <si>
    <t>I've actually been thinking about changing jobs</t>
  </si>
  <si>
    <t>Sara7a knt kanfakar nbadal lkhadma</t>
  </si>
  <si>
    <t>صاراحا كنت كانفاكار نبادال لخادما</t>
  </si>
  <si>
    <t>I know I shouldn't be saying this to you though</t>
  </si>
  <si>
    <t>3arf bli mkhasnich ngol hadchi lik wakha hakak</t>
  </si>
  <si>
    <t>عارف بلي مخاسنيش نڭول هادشي ليك واخا هاكاك</t>
  </si>
  <si>
    <t>I'll think about what you just told me</t>
  </si>
  <si>
    <t>ghadi nfakar fhadchi liglti lia daba</t>
  </si>
  <si>
    <t>غادي نفاكار فهادشي ليڭلتي ليا دابا</t>
  </si>
  <si>
    <t>If everything goes as well this year as last year</t>
  </si>
  <si>
    <t>ila mchat l omor mzyan had l3am b7al l3am lifat</t>
  </si>
  <si>
    <t>إلا مشات ل أُمور مزيان هاد لعام بحال لعام ليفات</t>
  </si>
  <si>
    <t>if we earn customers</t>
  </si>
  <si>
    <t>ala dbbrna 3la klyan</t>
  </si>
  <si>
    <t>ألا دبّرنا علا كليان</t>
  </si>
  <si>
    <t>You mean a raise?</t>
  </si>
  <si>
    <t>kat9sad zyada?</t>
  </si>
  <si>
    <t>كاتقساد زيادا?</t>
  </si>
  <si>
    <t>Or I could go up a pay grade perhaps?</t>
  </si>
  <si>
    <t>ola imkan lia nrfa3 daraja dyal lkhalsa dyali?</t>
  </si>
  <si>
    <t>أُلا إمكان ليا نرفاع داراجا ديال لخالسا ديالي?</t>
  </si>
  <si>
    <t>law3lm</t>
  </si>
  <si>
    <t>لاوعلم</t>
  </si>
  <si>
    <t>laho a3lam</t>
  </si>
  <si>
    <t>لاهو أعلام</t>
  </si>
  <si>
    <t>man3rf</t>
  </si>
  <si>
    <t>مانعرف</t>
  </si>
  <si>
    <t>who knows</t>
  </si>
  <si>
    <t>chkon 3ref</t>
  </si>
  <si>
    <t>شكون عرف</t>
  </si>
  <si>
    <t>I can't promise anything by myself</t>
  </si>
  <si>
    <t>man9darch nwa3dak bchi haja</t>
  </si>
  <si>
    <t>مانقدارش نواعداك بشي حاجة</t>
  </si>
  <si>
    <t>Decisions concerning personnel are always taken by her</t>
  </si>
  <si>
    <t>l9ararat lmt3ll9a bl khddama dima katakhd8om hia</t>
  </si>
  <si>
    <t>لقارارات لمتعلّقا بل خدّاما ديما كاتاخدهوم هيا</t>
  </si>
  <si>
    <t>But I'll offer to study your situation</t>
  </si>
  <si>
    <t>walakin ghadi nchof lwaD3 dyalk</t>
  </si>
  <si>
    <t>والاكين غادي نشوف لواضع ديالك</t>
  </si>
  <si>
    <t>Oh wow, amazing!</t>
  </si>
  <si>
    <t>Oh, wow, mod8il!</t>
  </si>
  <si>
    <t>أُه, ووو, مودهيل!</t>
  </si>
  <si>
    <t>chokran!</t>
  </si>
  <si>
    <t>شوكران!</t>
  </si>
  <si>
    <t>Who knew that lifts breaking down could be a good thing!</t>
  </si>
  <si>
    <t>chkon likan kay3raf bli l ascenseur ikhsar i9dr tkon chi haja mzyana!</t>
  </si>
  <si>
    <t>شكون ليكان كايعراف بلي ل أسسنسور إخسار إقدر تكون شي حاجة مزيانا!</t>
  </si>
  <si>
    <t>But I think it's very long for the paramedics to come forward</t>
  </si>
  <si>
    <t>walakin kanDn bli twil bzaf bach it9admo lmos3ifin</t>
  </si>
  <si>
    <t>والاكين كانضن بلي تويل بزاف باش إتقادمو لموسعيفين</t>
  </si>
  <si>
    <t>I'm going to push the call button again</t>
  </si>
  <si>
    <t>ghadi nbrak 3la zir l2itisal mra khra</t>
  </si>
  <si>
    <t>غادي نبراك علا زير لإتيسال مرا خرا</t>
  </si>
  <si>
    <t>ok</t>
  </si>
  <si>
    <t>أُك</t>
  </si>
  <si>
    <t>I'm not sure we need them</t>
  </si>
  <si>
    <t>ana mamt2akadch bli 7na m7tajin8om</t>
  </si>
  <si>
    <t>أنا مامتأكادش بلي حنا محتاجينهوم</t>
  </si>
  <si>
    <t>but let's give it a go</t>
  </si>
  <si>
    <t>walakin khlina njrrbo</t>
  </si>
  <si>
    <t>والاكين خلينا نجرّبو</t>
  </si>
  <si>
    <t>move the elevator to floor one</t>
  </si>
  <si>
    <t>ddi sansour l liTaj wahd</t>
  </si>
  <si>
    <t>الدي سانسور ل ليطاج واهد</t>
  </si>
  <si>
    <t>ddi l'ascenseur l l'etage wahd</t>
  </si>
  <si>
    <t>الدي ل'اسسنسور ل ل'تاڭ واهد</t>
  </si>
  <si>
    <t>make the door open to free us</t>
  </si>
  <si>
    <t>7ll lbab bach ikhrjona</t>
  </si>
  <si>
    <t>حلّ لباب باش إخرجونا</t>
  </si>
  <si>
    <t>we might even still be able to make the meeting on time!</t>
  </si>
  <si>
    <t>n9dro mazal nwSlo l ijtima3 flwa9t!</t>
  </si>
  <si>
    <t>نقدرو مازال نوصلو ل إجتيماع فلواقت!</t>
  </si>
  <si>
    <t>I'm really excited about my partner</t>
  </si>
  <si>
    <t>ana mt7amas bsa7 3la 7sab charik dyali</t>
  </si>
  <si>
    <t>أنا متحاماس بساح علا حساب شاريك ديالي</t>
  </si>
  <si>
    <t>It would be great if you could help me organise it?</t>
  </si>
  <si>
    <t>ghadi tkon mzyana ila knti t9dar t3awni f tandim dyalo</t>
  </si>
  <si>
    <t>غادي تكون مزيانا إلا كنتي تقدار تعاوني ف تانديم ديالو</t>
  </si>
  <si>
    <t>Sorry that should say party</t>
  </si>
  <si>
    <t>sma7lia aykhasni ngol 7afla</t>
  </si>
  <si>
    <t>سماحليا أيخاسني نڭول حافلا</t>
  </si>
  <si>
    <t>I'm not sure I understand</t>
  </si>
  <si>
    <t>mamt2akadch wach fhamt</t>
  </si>
  <si>
    <t>مامتأكادش واش فهامت</t>
  </si>
  <si>
    <t>ana mamt2akadch annani f8mt</t>
  </si>
  <si>
    <t>أنا مامتأكادش أنّاني فهمت</t>
  </si>
  <si>
    <t>What turns you on?</t>
  </si>
  <si>
    <t>achno likaykhlik mt7amas?</t>
  </si>
  <si>
    <t>أشنو ليكايخليك متحاماس?</t>
  </si>
  <si>
    <t>I'm excited about my party</t>
  </si>
  <si>
    <t>ana mt7amach l7afla dyali</t>
  </si>
  <si>
    <t>أنا متحاماش لحافلا ديالي</t>
  </si>
  <si>
    <t>I don't know the word in French</t>
  </si>
  <si>
    <t>ma3rfch lklma bl farancia</t>
  </si>
  <si>
    <t>ماعرفش لكلما بل فارانكيا</t>
  </si>
  <si>
    <t>Can you help me organise it?</t>
  </si>
  <si>
    <t>wach imkan lik t3awni ftanDim dyalha?</t>
  </si>
  <si>
    <t>واش إمكان ليك تعاوني فتانضيم ديالها?</t>
  </si>
  <si>
    <t>Of course, I can help you organize your party!</t>
  </si>
  <si>
    <t>bTab3, imakan lia n3awnak ftanDim l7afla dyalk!</t>
  </si>
  <si>
    <t>بطابع, إماكان ليا نعاوناك فتانضيم لحافلا ديالك!</t>
  </si>
  <si>
    <t>I'd like that</t>
  </si>
  <si>
    <t>bghit hadchi</t>
  </si>
  <si>
    <t>بغيت هادشي</t>
  </si>
  <si>
    <t>Did you have any specific ideas?</t>
  </si>
  <si>
    <t>wach 3andak chi afkar mo7adada?</t>
  </si>
  <si>
    <t>واش عانداك شي أفكار موحادادا?</t>
  </si>
  <si>
    <t>I'd like to keep it quite small, say for around 30 people</t>
  </si>
  <si>
    <t>bghit nkhlih Sghir, ngolo chi 30 wahd</t>
  </si>
  <si>
    <t>بغيت نخليه صغير, نڭولو شي 30 واهد</t>
  </si>
  <si>
    <t>Some food and wine, maybe dancing</t>
  </si>
  <si>
    <t>chwiya dyal chrab olmakla, o imkan chTi7</t>
  </si>
  <si>
    <t>شوييا ديال شراب أُلماكلا, أُ إمكان شطيح</t>
  </si>
  <si>
    <t>Do you know anywhere I could hold it, like a bar or club?</t>
  </si>
  <si>
    <t>wach kat3raf chi blasa fin n9dar ndirha, b7al chi bar ola nadi?</t>
  </si>
  <si>
    <t>واش كاتعراف شي بلاسا فين نقدار نديرها, بحال شي بار أُلا نادي?</t>
  </si>
  <si>
    <t>I know several bars, which could very well greet 30 people</t>
  </si>
  <si>
    <t>kan3raf bzaf dyal lbiran lit9dar tsta9bl 30 wahd</t>
  </si>
  <si>
    <t>كانعراف بزاف ديال لبيران ليتقدار تستاقبل 30 واهد</t>
  </si>
  <si>
    <t>Would you like a special atmosphere?</t>
  </si>
  <si>
    <t>wach bghiti chi jaw ikon khas?</t>
  </si>
  <si>
    <t>واش بغيتي شي جاو إكون خاس?</t>
  </si>
  <si>
    <t>Somewhere not too noisy</t>
  </si>
  <si>
    <t>chi blaSa mafihach Sda3 bzaf</t>
  </si>
  <si>
    <t>شي بلاصا مافيهاش صداع بزاف</t>
  </si>
  <si>
    <t>otherwise it's difficult to hear people speak</t>
  </si>
  <si>
    <t>olla rah aykon S3ib tsma3 nas ach kaygolo</t>
  </si>
  <si>
    <t>أُلّا راه أيكون صعيب تسماع ناس أش كايڭولو</t>
  </si>
  <si>
    <t>where they would serve some good food</t>
  </si>
  <si>
    <t>fin ikono tay9ddmo makla mzyana</t>
  </si>
  <si>
    <t>فين إكونو تايقدّمو ماكلا مزيانا</t>
  </si>
  <si>
    <t>It makes me think of a bar I know, who's got a lot of charm</t>
  </si>
  <si>
    <t>kaykhli nfkar fwa7ad l7ana kan3rfha, zwina bzaf</t>
  </si>
  <si>
    <t>كايخلي نفكار فواحاد لحانا كانعرفها, زوينا بزاف</t>
  </si>
  <si>
    <t>With a very nice musical background</t>
  </si>
  <si>
    <t>m3a khalfia mosi9ia zwina bzaf</t>
  </si>
  <si>
    <t>معا خالفيا موسيقيا زوينا بزاف</t>
  </si>
  <si>
    <t>And their kitchen is excellent!</t>
  </si>
  <si>
    <t>olkozina dyalhom ra2i3a bzaf!</t>
  </si>
  <si>
    <t>أُلكوزينا ديالهوم راإعا بزاف!</t>
  </si>
  <si>
    <t>That sounds great</t>
  </si>
  <si>
    <t>hadchi kayban wa3r</t>
  </si>
  <si>
    <t>هادشي كايبان واعر</t>
  </si>
  <si>
    <t>We could go and chat with the owner and see what she can offer?</t>
  </si>
  <si>
    <t>n9dro nmchiw ndwiw m3a molat lma7al onchofo ach t9dar t9ddam?</t>
  </si>
  <si>
    <t>نقدرو نمشيو ندويو معا مولات لماحال أُنشوفو أش تقدار تقدّام?</t>
  </si>
  <si>
    <t>Sometimes they charge for the space for the party</t>
  </si>
  <si>
    <t>chi mrrat kaytkhalso 3la lblaSa lighadi takhdha l7afla</t>
  </si>
  <si>
    <t>شي مرّات كايتخالسو علا لبلاصا ليغادي تاخدها لحافلا</t>
  </si>
  <si>
    <t>it would allow you to see if the place suits you</t>
  </si>
  <si>
    <t>ghadi ikhliwk tchof wach lblasa mzyana lik olala</t>
  </si>
  <si>
    <t>غادي إخليوك تشوف واش لبلاسا مزيانا ليك أُلالا</t>
  </si>
  <si>
    <t>And discuss the financial aspect</t>
  </si>
  <si>
    <t>wina9cho m3ak lflos</t>
  </si>
  <si>
    <t>ويناقشو معاك لفلوس</t>
  </si>
  <si>
    <t>But also a menu</t>
  </si>
  <si>
    <t>o7ta l9a2ima</t>
  </si>
  <si>
    <t>أُحتا لقاإما</t>
  </si>
  <si>
    <t>I would like to bring my own cake as well</t>
  </si>
  <si>
    <t>bghit njib m3aya lkika dyali ta8ia</t>
  </si>
  <si>
    <t>بغيت نجيب معايا لكيكا ديالي تاهيا</t>
  </si>
  <si>
    <t>And not all bars allows balloons</t>
  </si>
  <si>
    <t>o machi ga3 lbiran kaysm7o bnffakhat</t>
  </si>
  <si>
    <t>أُ ماشي ڭاع لبيران كايسمحو بنفّاخات</t>
  </si>
  <si>
    <t>It's possible in this bar</t>
  </si>
  <si>
    <t>momkin fhad l bar</t>
  </si>
  <si>
    <t>مومكين فهاد ل بار</t>
  </si>
  <si>
    <t>then you can bring dessert!</t>
  </si>
  <si>
    <t>omn b3d imkn lik tjib dessert!</t>
  </si>
  <si>
    <t>أُمن بعد إمكن ليك تجيب دسّرت!</t>
  </si>
  <si>
    <t>That sounds perfect</t>
  </si>
  <si>
    <t>hadchi kayban hwa hadak</t>
  </si>
  <si>
    <t>هادشي كايبان هوا هاداك</t>
  </si>
  <si>
    <t>Let's go tomorrow</t>
  </si>
  <si>
    <t>safi nmchiw ghdda</t>
  </si>
  <si>
    <t>سافي نمشيو غدّا</t>
  </si>
  <si>
    <t>Put your phone away please</t>
  </si>
  <si>
    <t>7at tilifonk b3id 3afak</t>
  </si>
  <si>
    <t>حات تيليفونك بعيد عافاك</t>
  </si>
  <si>
    <t>it is not hygienic in the kitchen</t>
  </si>
  <si>
    <t>8oa rah machi si7i flcouzina</t>
  </si>
  <si>
    <t>هوا راه ماشي سيحي فلكوزينا</t>
  </si>
  <si>
    <t>Just get on and start prepping the vegetables for tonight</t>
  </si>
  <si>
    <t>ghir bda tatgadd lkhDra t had llila</t>
  </si>
  <si>
    <t>غير بدا تاتڭادّ لخضرا ت هاد الليلا</t>
  </si>
  <si>
    <t>But euuuh!</t>
  </si>
  <si>
    <t>walakin euuuh</t>
  </si>
  <si>
    <t>والاكين إوووه</t>
  </si>
  <si>
    <t>No phone from Instagram</t>
  </si>
  <si>
    <t>makaynch téléphone man instagram</t>
  </si>
  <si>
    <t>ماكاينش تéلéپهون مان إنستاڭرام</t>
  </si>
  <si>
    <t>I'm going up, but I'm keeping my phone nah!</t>
  </si>
  <si>
    <t>ghadi ntla3, walakin ankhki 3andi téléphone nah!</t>
  </si>
  <si>
    <t>غادي نتلاع, والاكين أنخكي عاندي تéلéپهون ناه!</t>
  </si>
  <si>
    <t>Look I am trying to be nice</t>
  </si>
  <si>
    <t>chouf rani kan7awl nban zwin</t>
  </si>
  <si>
    <t>شوف راني كانحاول نبان زوين</t>
  </si>
  <si>
    <t>you are having some personal issues</t>
  </si>
  <si>
    <t>nta 3ndk chi machakil chekhSiya</t>
  </si>
  <si>
    <t>نتا عندك شي ماشاكيل شخصييا</t>
  </si>
  <si>
    <t>but please get on with your work</t>
  </si>
  <si>
    <t>walakin 3afak kmml khdamtak ba3da</t>
  </si>
  <si>
    <t>والاكين عافاك كمّل خدامتاك باعدا</t>
  </si>
  <si>
    <t>The garlic needs roasting</t>
  </si>
  <si>
    <t>ttoma khasha t7mass</t>
  </si>
  <si>
    <t>التوما خاسها تحماسّ</t>
  </si>
  <si>
    <t>Oh lalaa!</t>
  </si>
  <si>
    <t>oh lalaa!</t>
  </si>
  <si>
    <t>أُه لالا!</t>
  </si>
  <si>
    <t>No garlic</t>
  </si>
  <si>
    <t>bla touma</t>
  </si>
  <si>
    <t>بلا توما</t>
  </si>
  <si>
    <t>It gives me bad breath</t>
  </si>
  <si>
    <t>kaykhali liya ri7a khayba</t>
  </si>
  <si>
    <t>كايخالي لييا ريحا خايبا</t>
  </si>
  <si>
    <t>And with bad breath, impossible for me to show up in public</t>
  </si>
  <si>
    <t>oma3a ri7a dyal lfoum khayba, mosta7il nban fl2makin li fiha nnas</t>
  </si>
  <si>
    <t>أُماعا ريحا ديال لفوم خايبا, موستاحيل نبان فلءماكين لي فيها الناس</t>
  </si>
  <si>
    <t>I'll get the peppers ready and take a picture of them</t>
  </si>
  <si>
    <t>ghadi nwjad lfalfla onkhod lihoum tswera</t>
  </si>
  <si>
    <t>غادي نوجاد لفالفلا أُنخود ليهوم تسورا</t>
  </si>
  <si>
    <t>Give me the new subscriptions!</t>
  </si>
  <si>
    <t>3tini l ichtirakat jjdida!</t>
  </si>
  <si>
    <t>عتيني ل إشتيراكات الجديدا!</t>
  </si>
  <si>
    <t>You are not here to be a joker</t>
  </si>
  <si>
    <t>nta makaynch 8na bach tkoun joker</t>
  </si>
  <si>
    <t>نتا ماكاينش هنا باش تكون جوكر</t>
  </si>
  <si>
    <t>You are a junior sous chef and you had better remember it</t>
  </si>
  <si>
    <t>nta ghi Tbbakh sgher o7ssen lik tfkerha</t>
  </si>
  <si>
    <t>نتا غي طبّاخ سغر أُحسّن ليك تفكرها</t>
  </si>
  <si>
    <t>As for not liking garlic, I am not interested in your likes and dislikes</t>
  </si>
  <si>
    <t>ama bnsba lwach kat3jbk ttoma ola la, fa ana machi so9i fdakchi li kay3jbak o makay3jbakch</t>
  </si>
  <si>
    <t>أما بنسبا لواش كاتعجبك التوما أُلا لا, فا أنا ماشي سوقي فداكشي لي كايعجباك أُ ماكايعجباكش</t>
  </si>
  <si>
    <t>I know a very good recipe for garlic soup which uses forty cloves</t>
  </si>
  <si>
    <t>kan3ref waSfa wa3ra tl7rira dyal toum oli kanstkhdmo fiha ghi fassa</t>
  </si>
  <si>
    <t>كانعرف واصفا واعرا تلحريرا ديال توم أُلي كانستخدمو فيها غي فاسّا</t>
  </si>
  <si>
    <t>You can make that tomorrow</t>
  </si>
  <si>
    <t>momkin dir dakchi ghdda</t>
  </si>
  <si>
    <t>مومكين دير داكشي غدّا</t>
  </si>
  <si>
    <t>But that's not fair!</t>
  </si>
  <si>
    <t>walakin hadchi machi 3adil!</t>
  </si>
  <si>
    <t>والاكين هادشي ماشي عاديل!</t>
  </si>
  <si>
    <t>walakin hadchi machi m39ol!</t>
  </si>
  <si>
    <t>والاكين هادشي ماشي معقول!</t>
  </si>
  <si>
    <t>I'm a chef in the kitchen, but I'm a PR chef!</t>
  </si>
  <si>
    <t>ana chef f cousina, o7ta chef tl3ala9at l3amma!</t>
  </si>
  <si>
    <t>أنا شف ف كوسينا, أُحتا شف تلعالاقات لعامّا!</t>
  </si>
  <si>
    <t>I refuse!</t>
  </si>
  <si>
    <t>mabghitch!</t>
  </si>
  <si>
    <t>مابغيتش!</t>
  </si>
  <si>
    <t>I say, I refuse to cook garlic!</t>
  </si>
  <si>
    <t>galt lik, ana mabghitch nTyyeb touma!</t>
  </si>
  <si>
    <t>ڭالت ليك, أنا مابغيتش نطيّب توما!</t>
  </si>
  <si>
    <t>As I said I am the boss and you will do as you are told</t>
  </si>
  <si>
    <t>kif glt lik ana chef oghadi dir dakchi li glt lik</t>
  </si>
  <si>
    <t>كيف ڭلت ليك أنا شف أُغادي دير داكشي لي ڭلت ليك</t>
  </si>
  <si>
    <t>I am not interested in your opinions</t>
  </si>
  <si>
    <t>ana mam8tamch bra2y dyalk</t>
  </si>
  <si>
    <t>أنا مامهتامش براإي ديالك</t>
  </si>
  <si>
    <t>ana mamsww9ch lra2y dyalk</t>
  </si>
  <si>
    <t>أنا مامسوّقش لراإي ديالك</t>
  </si>
  <si>
    <t>Smelling of garlic will stop you flirting with the waitresses anyway</t>
  </si>
  <si>
    <t>ghadi tmn3ak ri7a dyal toum man moghazalat srbyaat kima kan l7al</t>
  </si>
  <si>
    <t>غادي تمنعاك ريحا ديال توم مان موغازالات سربيات كيما كان لحال</t>
  </si>
  <si>
    <t>You're cruel!</t>
  </si>
  <si>
    <t>nta mojrim!</t>
  </si>
  <si>
    <t>نتا موجريم!</t>
  </si>
  <si>
    <t>What have I done to you?</t>
  </si>
  <si>
    <t>achno dart lik?</t>
  </si>
  <si>
    <t>أشنو دارت ليك?</t>
  </si>
  <si>
    <t>chno drt lik?</t>
  </si>
  <si>
    <t>شنو درت ليك?</t>
  </si>
  <si>
    <t>ach drt lik?</t>
  </si>
  <si>
    <t>أش درت ليك?</t>
  </si>
  <si>
    <t>Waitresses aren't interesting</t>
  </si>
  <si>
    <t>srbayat ga3 madit8a fihoum</t>
  </si>
  <si>
    <t>سربايات ڭاع ماديتها فيهوم</t>
  </si>
  <si>
    <t>I have to earn a pair!</t>
  </si>
  <si>
    <t>khasni naksab jouj</t>
  </si>
  <si>
    <t>خاسني ناكساب جوج</t>
  </si>
  <si>
    <t>I'm in Instagram and other social networks!</t>
  </si>
  <si>
    <t>ana f instagram o f chabakat jtima3ya khra!</t>
  </si>
  <si>
    <t>أنا ف إنستاڭرام أُ ف شاباكات جتيماعيا خرا!</t>
  </si>
  <si>
    <t>A star</t>
  </si>
  <si>
    <t>najm</t>
  </si>
  <si>
    <t>ناجم</t>
  </si>
  <si>
    <t>najma</t>
  </si>
  <si>
    <t>ناجما</t>
  </si>
  <si>
    <t>I'm only doing this job until I get hired!</t>
  </si>
  <si>
    <t>ana fa9aT kandir had lkhdma binma nDbbr 3la khdma</t>
  </si>
  <si>
    <t>أنا فاقاط كاندير هاد لخدما بينما نضبّر علا خدما</t>
  </si>
  <si>
    <t>I'm a star!</t>
  </si>
  <si>
    <t>ana najm</t>
  </si>
  <si>
    <t>أنا ناجم</t>
  </si>
  <si>
    <t>You are deluded</t>
  </si>
  <si>
    <t>nta ghi kaytflaw 3lik</t>
  </si>
  <si>
    <t>نتا غي كايتفلاو عليك</t>
  </si>
  <si>
    <t>Well, since you are here you will do as I say</t>
  </si>
  <si>
    <t>wakha, bima anak 8na ghadi dir dakchi li kangol lik</t>
  </si>
  <si>
    <t>واخا, بيما أناك هنا غادي دير داكشي لي كانڭول ليك</t>
  </si>
  <si>
    <t>You are here to work</t>
  </si>
  <si>
    <t>nta hna bach tkhdem</t>
  </si>
  <si>
    <t>نتا هنا باش تخدم</t>
  </si>
  <si>
    <t>All right!</t>
  </si>
  <si>
    <t>I'm going to work</t>
  </si>
  <si>
    <t>ana ghadi lkhdma</t>
  </si>
  <si>
    <t>أنا غادي لخدما</t>
  </si>
  <si>
    <t>ana ghadi nkhdm</t>
  </si>
  <si>
    <t>أنا غادي نخدم</t>
  </si>
  <si>
    <t>I'm going to work in Chanel and resign from this rotten food job!</t>
  </si>
  <si>
    <t>ghadi nkhdm f Chanel oghadi nsta9l mn had lkhdma dyal lmakla lkhamja</t>
  </si>
  <si>
    <t>غادي نخدم ف شانل أُغادي نستاقل من هاد لخدما ديال لماكلا لخامجا</t>
  </si>
  <si>
    <t>Honestly, using garlic doesn't suit a person of my caliber!</t>
  </si>
  <si>
    <t>Sra7a, stikhdam touma makaynsbch chi 7ed b7ali!</t>
  </si>
  <si>
    <t>صراحا, ستيخدام توما ماكاينسبش شي حد بحالي!</t>
  </si>
  <si>
    <t>Hello, can I get you something?</t>
  </si>
  <si>
    <t>ahlan achno bghiti nakhod lik?</t>
  </si>
  <si>
    <t>أهلان أشنو بغيتي ناخود ليك?</t>
  </si>
  <si>
    <t>ahlan njib lik chi haja?</t>
  </si>
  <si>
    <t>أهلان نجيب ليك شي حاجة?</t>
  </si>
  <si>
    <t>I've had a rubbish day, so something strong would be good!</t>
  </si>
  <si>
    <t>dwzt nhar kizbel, chi 7ja 9as7a ghadi tkoun mzyana!</t>
  </si>
  <si>
    <t>دوزت نهار كيزبل, شي حجا قاسحا غادي تكون مزيانا!</t>
  </si>
  <si>
    <t>Do you do cocktails here?</t>
  </si>
  <si>
    <t>katsaweb koktilat 8na?</t>
  </si>
  <si>
    <t>كاتساوب كوكتيلات هنا?</t>
  </si>
  <si>
    <t>Yes, of course!</t>
  </si>
  <si>
    <t>ah darori!</t>
  </si>
  <si>
    <t>أه داروري!</t>
  </si>
  <si>
    <t>What kind of alcohol do you like?</t>
  </si>
  <si>
    <t>achman nou3 dyal chrab katfdel?</t>
  </si>
  <si>
    <t>أشمان نوع ديال شراب كاتفدل?</t>
  </si>
  <si>
    <t>Something sweet, and something colourful would be nice!</t>
  </si>
  <si>
    <t>chi 7aja 7lowa, ochi 7aja mlwwna ghadi tkoun mziana!</t>
  </si>
  <si>
    <t>شي حاجا حلووا, أُشي حاجا ملوّنا غادي تكون مزيانا!</t>
  </si>
  <si>
    <t>I like it when there's sugar round the rim. Can you do that?</t>
  </si>
  <si>
    <t>kay3jbni mli kaykoun sokar fl 7afa. t9der dirha?</t>
  </si>
  <si>
    <t>كايعجبني ملي كايكون سوكار فل حافا. تقدر ديرها?</t>
  </si>
  <si>
    <t>But get something to eat with it</t>
  </si>
  <si>
    <t>walakin khod chi 7aja taklha m3aha</t>
  </si>
  <si>
    <t>والاكين خود شي حاجا تاكلها معاها</t>
  </si>
  <si>
    <t>I'm feeling a little peckish</t>
  </si>
  <si>
    <t>kan7as bchwiya dyal jo3</t>
  </si>
  <si>
    <t>كانحاس بشوييا ديال جوع</t>
  </si>
  <si>
    <t>What would you suggest?</t>
  </si>
  <si>
    <t>ach kat9tar7?</t>
  </si>
  <si>
    <t>أش كاتقتارح?</t>
  </si>
  <si>
    <t>Our fries are delicious</t>
  </si>
  <si>
    <t>bTaTa ma9liya dyalna bnina</t>
  </si>
  <si>
    <t>بطاطا ماقلييا ديالنا بنينا</t>
  </si>
  <si>
    <t>And of course they're homemade!</t>
  </si>
  <si>
    <t>o Tab3an rah mgadda f dar!</t>
  </si>
  <si>
    <t>أُ طابعان راه مڭادّا ف دار!</t>
  </si>
  <si>
    <t>I'll have some of those then</t>
  </si>
  <si>
    <t>ghadi nakhod chwiya mn8om</t>
  </si>
  <si>
    <t>غادي ناخود شوييا منهوم</t>
  </si>
  <si>
    <t>And I'll probably get a dessert later too</t>
  </si>
  <si>
    <t>o n9dar nakhod disir mn ba3d 7ta howa</t>
  </si>
  <si>
    <t>أُ نقدار ناخود ديسير من باعد حتا هووا</t>
  </si>
  <si>
    <t>Do you know who that rowdy group is over there?</t>
  </si>
  <si>
    <t>wach 3rafti dik lmajmo3a Sakhiba lli l8i8</t>
  </si>
  <si>
    <t>واش عرافتي ديك لماجموعا صاخيبا اللي لهيه</t>
  </si>
  <si>
    <t>Will they be here all night?</t>
  </si>
  <si>
    <t>wach ghadi ib9aw 8na lil kaml?</t>
  </si>
  <si>
    <t>واش غادي إبقاو هنا ليل كامل?</t>
  </si>
  <si>
    <t>It's a rugby team that celebrates its victory</t>
  </si>
  <si>
    <t>rah fari9 dyal rigbi kay7taflo brba7 dyalhom</t>
  </si>
  <si>
    <t>راه فاريق ديال ريڭبي كايحتافلو برباح ديالهوم</t>
  </si>
  <si>
    <t>It's likely they're staying late</t>
  </si>
  <si>
    <t>mo7tamal yab9aw m3TTlin</t>
  </si>
  <si>
    <t>موحتامال يابقاو معطّلين</t>
  </si>
  <si>
    <t>They're very noisy, but very nice</t>
  </si>
  <si>
    <t>fihom Sda3 bzaf walakin lay3mmr8a dar</t>
  </si>
  <si>
    <t>فيهوم صداع بزاف والاكين لايعمّرها دار</t>
  </si>
  <si>
    <t>this guy is very nice</t>
  </si>
  <si>
    <t>had khona lay3mmrha dar</t>
  </si>
  <si>
    <t>هاد خونا لايعمّرها دار</t>
  </si>
  <si>
    <t>They'll change your mind</t>
  </si>
  <si>
    <t>ghadi ibddlo lik ra2yk</t>
  </si>
  <si>
    <t>غادي إبدّلو ليك راإيك</t>
  </si>
  <si>
    <t>Hmm, I'm not sure about that</t>
  </si>
  <si>
    <t>hmm, mamta2akdch mn hadchi</t>
  </si>
  <si>
    <t>همّ, مامتاأكدش من هادشي</t>
  </si>
  <si>
    <t>hmm, mo7al</t>
  </si>
  <si>
    <t>همّ, موحال</t>
  </si>
  <si>
    <t>But maybe they'll be up for a bit of karaoke later</t>
  </si>
  <si>
    <t>walakin y9adro ykono masta3din lchi Karaoke mn ba3d</t>
  </si>
  <si>
    <t>والاكين يقادرو يكونو ماستاعدين لشي كاراوك من باعد</t>
  </si>
  <si>
    <t>I think so</t>
  </si>
  <si>
    <t>kanDn hadchi</t>
  </si>
  <si>
    <t>كانضن هادشي</t>
  </si>
  <si>
    <t>hadchi li kaybalia</t>
  </si>
  <si>
    <t>هادشي لي كايباليا</t>
  </si>
  <si>
    <t>After a few drinks, they'll probably be ready for karaoke!</t>
  </si>
  <si>
    <t>mora chwiya dyal lmachrobat, mn lmo7tamal ykono jahzin l karaoke</t>
  </si>
  <si>
    <t>مورا شوييا ديال لماشروبات, من لموحتامال يكونو جاهزين ل كاراوك</t>
  </si>
  <si>
    <t>Do you ever have a go at karaoke too?</t>
  </si>
  <si>
    <t>wach 3amrak drti l karaoke tanta?</t>
  </si>
  <si>
    <t>واش عامراك درتي ل كاراوك تانتا?</t>
  </si>
  <si>
    <t>Is it allowed?</t>
  </si>
  <si>
    <t>wach hadchi masmo7 bih?</t>
  </si>
  <si>
    <t>واش هادشي ماسموح بيه?</t>
  </si>
  <si>
    <t>Yeah, we do that a lot</t>
  </si>
  <si>
    <t>ah, 7na kandiroha bzaf</t>
  </si>
  <si>
    <t>أه, حنا كانديروها بزاف</t>
  </si>
  <si>
    <t>It always puts a good atmosphere</t>
  </si>
  <si>
    <t>dima kayzid jaw zwin</t>
  </si>
  <si>
    <t>ديما كايزيد جاو زوين</t>
  </si>
  <si>
    <t>But we start a little later in the evening</t>
  </si>
  <si>
    <t>walakin kanbdaw chwiya m3TTlin fl3chiya</t>
  </si>
  <si>
    <t>والاكين كانبداو شوييا معطّلين فلعشييا</t>
  </si>
  <si>
    <t>Probably around 9:00</t>
  </si>
  <si>
    <t>t9riban jwayh 9:00</t>
  </si>
  <si>
    <t>تقريبان جوايه ق:00</t>
  </si>
  <si>
    <t>I've got enough time to choose my song then!</t>
  </si>
  <si>
    <t>3andi maykfi mn lwa9t bach nakhtar oghniya dyali</t>
  </si>
  <si>
    <t>عاندي مايكفي من لواقت باش ناختار أُغنييا ديالي</t>
  </si>
  <si>
    <t>Although I warn you, I'm not a very good singer</t>
  </si>
  <si>
    <t>wakha ana kan7adrak, ana rah machi moghani wa3r</t>
  </si>
  <si>
    <t>واخا أنا كانحادراك, أنا راه ماشي موغاني واعر</t>
  </si>
  <si>
    <t>I could empty this cup in seconds probably!</t>
  </si>
  <si>
    <t>n9dar nakhwi had lkas f tawani ghaliban!</t>
  </si>
  <si>
    <t>نقدار ناخوي هاد لكاس ف تاواني غاليبان!</t>
  </si>
  <si>
    <t>Good evening, miss</t>
  </si>
  <si>
    <t>masa2 lkhir anisa</t>
  </si>
  <si>
    <t>ماساء لخير أنيسا</t>
  </si>
  <si>
    <t>What kind of gin do you have?</t>
  </si>
  <si>
    <t>achmn naw3 dyal gin 3andak?</t>
  </si>
  <si>
    <t>أشمن ناوع ديال ڭين عانداك?</t>
  </si>
  <si>
    <t>Oh, sorry</t>
  </si>
  <si>
    <t>oh sma7 liya</t>
  </si>
  <si>
    <t>أُه سماح لييا</t>
  </si>
  <si>
    <t>There's not much light, and from the back, your long hair misled me</t>
  </si>
  <si>
    <t>makaynch bzaf dyal ddo, o mn lor, cha3rak twil gyydni</t>
  </si>
  <si>
    <t>ماكاينش بزاف ديال الدو, أُ من لور, شاعراك تويل ڭيّدني</t>
  </si>
  <si>
    <t>Anyway, what kind of gin do you have?</t>
  </si>
  <si>
    <t>3la kol 7al, achmn naw3 dyal gin 3ndak</t>
  </si>
  <si>
    <t>علا كول حال, أشمن ناوع ديال ڭين عنداك</t>
  </si>
  <si>
    <t>We have Gordon's gin only</t>
  </si>
  <si>
    <t>3ndna ghir Gordon gin safi</t>
  </si>
  <si>
    <t>عندنا غير ڭوردون ڭين سافي</t>
  </si>
  <si>
    <t>That's it?</t>
  </si>
  <si>
    <t>hada howa?</t>
  </si>
  <si>
    <t>هادا هووا?</t>
  </si>
  <si>
    <t>hadchi li kayn?</t>
  </si>
  <si>
    <t>هادشي لي كاين?</t>
  </si>
  <si>
    <t>All others are sold out</t>
  </si>
  <si>
    <t>ga3 lkhrin tba3o</t>
  </si>
  <si>
    <t>ڭاع لخرين تباعو</t>
  </si>
  <si>
    <t>another time</t>
  </si>
  <si>
    <t>mrra khra</t>
  </si>
  <si>
    <t>مرّا خرا</t>
  </si>
  <si>
    <t>Get me tea, please</t>
  </si>
  <si>
    <t>jib liya atay 3afak</t>
  </si>
  <si>
    <t>جيب لييا أتاي عافاك</t>
  </si>
  <si>
    <t>Are you new here?</t>
  </si>
  <si>
    <t>wach nta jdid 8na?</t>
  </si>
  <si>
    <t>واش نتا جديد هنا?</t>
  </si>
  <si>
    <t>Yes, this is my first day in this job</t>
  </si>
  <si>
    <t>ah, hada awal nhar liya fhad lkhdma</t>
  </si>
  <si>
    <t>أه, هادا أوال نهار لييا فهاد لخدما</t>
  </si>
  <si>
    <t>I'll get you your food</t>
  </si>
  <si>
    <t>ghadi njib lik lmakla dyalk</t>
  </si>
  <si>
    <t>غادي نجيب ليك لماكلا ديالك</t>
  </si>
  <si>
    <t>And what do you do otherwise?</t>
  </si>
  <si>
    <t>o achno kadir mn ghir hadchi?</t>
  </si>
  <si>
    <t>أُ أشنو كادير من غير هادشي?</t>
  </si>
  <si>
    <t>Are you a student?</t>
  </si>
  <si>
    <t>wach nta Talib?</t>
  </si>
  <si>
    <t>واش نتا طاليب?</t>
  </si>
  <si>
    <t>I am a philosopher</t>
  </si>
  <si>
    <t>ana faylasouf</t>
  </si>
  <si>
    <t>أنا فايلاسوف</t>
  </si>
  <si>
    <t>I need this bar tender job to help me pay my rent</t>
  </si>
  <si>
    <t>ana m7taj had lkhdma t barman bach t3awnni nkhlls lkra</t>
  </si>
  <si>
    <t>أنا محتاج هاد لخدما ت بارمان باش تعاونّي نخلّس لكرا</t>
  </si>
  <si>
    <t>This is exciting!</t>
  </si>
  <si>
    <t>hadchi mo7ammis</t>
  </si>
  <si>
    <t>هادشي موحامّيس</t>
  </si>
  <si>
    <t>What's your specialty in philosophy?</t>
  </si>
  <si>
    <t>achnahowa takhasos dyalk fl falsafa?</t>
  </si>
  <si>
    <t>أشناهووا تاخاسوس ديالك فل فالسافا?</t>
  </si>
  <si>
    <t>I am an existentialist</t>
  </si>
  <si>
    <t>ana wojodi</t>
  </si>
  <si>
    <t>أنا ووجودي</t>
  </si>
  <si>
    <t>but there no paid vacancies for this</t>
  </si>
  <si>
    <t>walakin makaynin 7ta 3oTal mkhllSa fhadchi</t>
  </si>
  <si>
    <t>والاكين ماكاينين حتا عوطال مخلّصا فهادشي</t>
  </si>
  <si>
    <t>so I live in a small hut in the forest with my books</t>
  </si>
  <si>
    <t>hadchi 3lach kan3ich f kokh sghir flghaba m3a ktobi</t>
  </si>
  <si>
    <t>هادشي علاش كانعيش ف كوخ سغير فلغابا معا كتوبي</t>
  </si>
  <si>
    <t>and work here to pay my rent</t>
  </si>
  <si>
    <t>o kankhdam 8na bach nkhlls lkra dyali</t>
  </si>
  <si>
    <t>أُ كانخدام هنا باش نخلّس لكرا ديالي</t>
  </si>
  <si>
    <t>I myself studied a bit of philosophy many years ago</t>
  </si>
  <si>
    <t>rah tana brasi 9rit chwiya dyal lflsafa sinin hadi</t>
  </si>
  <si>
    <t>راه تانا براسي قريت شوييا ديال لفلسافا سينين هادي</t>
  </si>
  <si>
    <t>But I was more interested in questions linked to consciousness</t>
  </si>
  <si>
    <t>walakin knt m8tam kter bl2asi2ila lmrtabTa blwa3y</t>
  </si>
  <si>
    <t>والاكين كنت مهتام كتر بلأسيإلا لمرتابطا بلواعي</t>
  </si>
  <si>
    <t>But you can't study everything, can you?</t>
  </si>
  <si>
    <t>walakin maymknch lik t9ra kolchi, kayna?</t>
  </si>
  <si>
    <t>والاكين مايمكنش ليك تقرا كولشي, كاينا?</t>
  </si>
  <si>
    <t>I greatly respect the view of Sartre</t>
  </si>
  <si>
    <t>ana kan7tarm bzaf ra2y Satre</t>
  </si>
  <si>
    <t>أنا كانحتارم بزاف راإي صاتر</t>
  </si>
  <si>
    <t>However I've come to the conclusion</t>
  </si>
  <si>
    <t>wakha hakkak ana wSlt l wahd nnatija</t>
  </si>
  <si>
    <t>واخا هاكّاك أنا وصلت ل واهد الناتيجا</t>
  </si>
  <si>
    <t>like many before me</t>
  </si>
  <si>
    <t>b7al bzaf 9bel mnni</t>
  </si>
  <si>
    <t>بحال بزاف قبل منّي</t>
  </si>
  <si>
    <t>that is life's final discovery</t>
  </si>
  <si>
    <t>hada hoa lktichaf lkher dyal l7ayat</t>
  </si>
  <si>
    <t>هادا هوا لكتيشاف لخر ديال لحايات</t>
  </si>
  <si>
    <t>inconsistency is part of the human condition</t>
  </si>
  <si>
    <t>3adam tanaso9 howa joz2 mn l7ala lbachariya</t>
  </si>
  <si>
    <t>عادام تاناسوق هووا جوزء من لحالا لباشارييا</t>
  </si>
  <si>
    <t>Maybe, I'll have a gin as well!</t>
  </si>
  <si>
    <t>imkn, ghadi nakhod gin tahowa</t>
  </si>
  <si>
    <t>إمكن, غادي ناخود ڭين تاهووا</t>
  </si>
  <si>
    <t>What do you mean by X?</t>
  </si>
  <si>
    <t>achno kat9sad b X?</t>
  </si>
  <si>
    <t>أشنو كاتقساد ب ش?</t>
  </si>
  <si>
    <t>I think a cup of tea would cheer me up</t>
  </si>
  <si>
    <t>kanDn chi kwiyes t atay ghadi ychaja3ni</t>
  </si>
  <si>
    <t>كانضن شي كوييس ت أتاي غادي يشاجاعني</t>
  </si>
  <si>
    <t>it would make me feel happier</t>
  </si>
  <si>
    <t>ghadi ykhalini n7as bsa3ada</t>
  </si>
  <si>
    <t>غادي يخاليني نحاس بساعادا</t>
  </si>
  <si>
    <t>Please, I'll give it to you</t>
  </si>
  <si>
    <t>3afak, ghadi na3tih lik</t>
  </si>
  <si>
    <t>عافاك, غادي ناعتيه ليك</t>
  </si>
  <si>
    <t>And get me an apple</t>
  </si>
  <si>
    <t>o jib lia chi tffa7a</t>
  </si>
  <si>
    <t>أُ جيب ليا شي تفّاحا</t>
  </si>
  <si>
    <t>I already finished mine</t>
  </si>
  <si>
    <t>rah salit dyali</t>
  </si>
  <si>
    <t>راه ساليت ديالي</t>
  </si>
  <si>
    <t>So you studied Sartre?</t>
  </si>
  <si>
    <t>idan nta 9riti Sartre</t>
  </si>
  <si>
    <t>إدان نتا قريتي صارتر</t>
  </si>
  <si>
    <t>did you want a sandwich?</t>
  </si>
  <si>
    <t>wach bghiti chi sandwich?</t>
  </si>
  <si>
    <t>واش بغيتي شي ساندويش?</t>
  </si>
  <si>
    <t>Yeah, I guess so</t>
  </si>
  <si>
    <t>ah kanDn</t>
  </si>
  <si>
    <t>أه كانضن</t>
  </si>
  <si>
    <t>What have you got?</t>
  </si>
  <si>
    <t>ach 3andak?</t>
  </si>
  <si>
    <t>أش عانداك?</t>
  </si>
  <si>
    <t>ach khditi?</t>
  </si>
  <si>
    <t>أش خديتي?</t>
  </si>
  <si>
    <t>ach chdditi?</t>
  </si>
  <si>
    <t>أش شدّيتي?</t>
  </si>
  <si>
    <t>a mixture of any of these</t>
  </si>
  <si>
    <t>khaliT mn ay haja mn hado</t>
  </si>
  <si>
    <t>خاليط من أي حاجة من هادو</t>
  </si>
  <si>
    <t>Put it all in, it'll be perfect</t>
  </si>
  <si>
    <t>7at kolchi fih, ghadi ykon mitali</t>
  </si>
  <si>
    <t>حات كولشي فيه, غادي يكون ميتالي</t>
  </si>
  <si>
    <t>Do you work here every day?</t>
  </si>
  <si>
    <t>wach katkhdam 8na kol nhar</t>
  </si>
  <si>
    <t>واش كاتخدام هنا كول نهار</t>
  </si>
  <si>
    <t>wach katkhdem 8na yawmiyan</t>
  </si>
  <si>
    <t>واش كاتخدم هنا ياومييان</t>
  </si>
  <si>
    <t>I only work here to provide enough money for food and rent</t>
  </si>
  <si>
    <t>ana kankhdam 8na hir bach njm3 flos lmakla o lkra</t>
  </si>
  <si>
    <t>أنا كانخدام هنا هير باش نجمع فلوس لماكلا أُ لكرا</t>
  </si>
  <si>
    <t>then I disappear into the forest to consider existence</t>
  </si>
  <si>
    <t>o mn ba3d kankhtafi flghaba bach nfakar f lwojod</t>
  </si>
  <si>
    <t>أُ من باعد كانختافي فلغابا باش نفاكار ف لووجود</t>
  </si>
  <si>
    <t>The bar owner is very kind</t>
  </si>
  <si>
    <t>mol lbar drayaf bzaf</t>
  </si>
  <si>
    <t>مول لبار دراياف بزاف</t>
  </si>
  <si>
    <t>The bar is about to close</t>
  </si>
  <si>
    <t>lbar 9rib itsedd</t>
  </si>
  <si>
    <t>لبار قريب إتسدّ</t>
  </si>
  <si>
    <t>msa2 lkhir</t>
  </si>
  <si>
    <t>مساء لخير</t>
  </si>
  <si>
    <t>Good night, and thank you for this evening!</t>
  </si>
  <si>
    <t>lila sa3ida o chokran 3la had l3chiya</t>
  </si>
  <si>
    <t>ليلا ساعيدا أُ شوكران علا هاد لعشييا</t>
  </si>
  <si>
    <t>My pleasure</t>
  </si>
  <si>
    <t>ta7iyati</t>
  </si>
  <si>
    <t>تاحيياتي</t>
  </si>
  <si>
    <t>ana kan7as blmalal</t>
  </si>
  <si>
    <t>أنا كانحاس بلمالال</t>
  </si>
  <si>
    <t>What are we gonna do?</t>
  </si>
  <si>
    <t>achno ghadi ndiro</t>
  </si>
  <si>
    <t>أشنو غادي نديرو</t>
  </si>
  <si>
    <t>ach ghandiro</t>
  </si>
  <si>
    <t>أش غانديرو</t>
  </si>
  <si>
    <t>You can't be bored</t>
  </si>
  <si>
    <t>maymknch lik t7as blmalal</t>
  </si>
  <si>
    <t>مايمكنش ليك تحاس بلمالال</t>
  </si>
  <si>
    <t>Look at the beautiful view</t>
  </si>
  <si>
    <t>chof lmandar zwin</t>
  </si>
  <si>
    <t>شوف لماندار زوين</t>
  </si>
  <si>
    <t>There are some beautiful people to look at too</t>
  </si>
  <si>
    <t>kaynin 7ta chi nas zwinin fach tchof</t>
  </si>
  <si>
    <t>كاينين حتا شي ناس زوينين فاش تشوف</t>
  </si>
  <si>
    <t>I've been watching people around the pool for two days</t>
  </si>
  <si>
    <t>knt kanchof nas 7da lmasba7 lmoda dyal yawmayn</t>
  </si>
  <si>
    <t>كنت كانشوف ناس حدا لماسباح لمودا ديال ياوماين</t>
  </si>
  <si>
    <t>yomayn wana kanchof nas 7da la piscine</t>
  </si>
  <si>
    <t>يوماين وانا كانشوف ناس حدا لا پيسسين</t>
  </si>
  <si>
    <t>And there's no big world of interest</t>
  </si>
  <si>
    <t>o makaynach 3alam kbir mn l2ihtimam</t>
  </si>
  <si>
    <t>أُ ماكايناش عالام كبير من لإهتيمام</t>
  </si>
  <si>
    <t>Well, go and talk to someone then</t>
  </si>
  <si>
    <t>wakha, ewa sir 8Dar m3a chi 7d</t>
  </si>
  <si>
    <t>واخا, إوا سير هضار معا شي حد</t>
  </si>
  <si>
    <t>or join in the water exercise</t>
  </si>
  <si>
    <t>olla chark f tamrin lma2i</t>
  </si>
  <si>
    <t>أُلّا شارك ف تامرين لماإ</t>
  </si>
  <si>
    <t>Have you met anyone?</t>
  </si>
  <si>
    <t>wach tla9iti m3a chi 7ad?</t>
  </si>
  <si>
    <t>واش تلاقيتي معا شي حاد?</t>
  </si>
  <si>
    <t>wach tla9iti chi wa7d?</t>
  </si>
  <si>
    <t>واش تلاقيتي شي واحد?</t>
  </si>
  <si>
    <t>I think there will be bingo soon</t>
  </si>
  <si>
    <t>kanDn ghadi tkon lo3ba dyal bingo 9rib</t>
  </si>
  <si>
    <t>كانضن غادي تكون لوعبا ديال بينڭو قريب</t>
  </si>
  <si>
    <t>Great, a bingo</t>
  </si>
  <si>
    <t>3aDim, lo3ba dyal bingo</t>
  </si>
  <si>
    <t>عاضيم, لوعبا ديال بينڭو</t>
  </si>
  <si>
    <t>I hope there's a chicken to win</t>
  </si>
  <si>
    <t>kantmana tkon chi djaja lrba7</t>
  </si>
  <si>
    <t>كانتمانا تكون شي دجاجا لرباح</t>
  </si>
  <si>
    <t>You might want a few drinks or something</t>
  </si>
  <si>
    <t>ta9dar tabghi chi machrobat wla chi 7aja</t>
  </si>
  <si>
    <t>تاقدار تابغي شي ماشروبات ولا شي حاجا</t>
  </si>
  <si>
    <t>I think it's funny</t>
  </si>
  <si>
    <t>kanDn bila moD7ik</t>
  </si>
  <si>
    <t>كانضن بيلا موضحيك</t>
  </si>
  <si>
    <t>it reminds me of the village party</t>
  </si>
  <si>
    <t>kayfakrni bl7afla dyal l9arya"</t>
  </si>
  <si>
    <t>كايفاكرني بلحافلا ديال لقاريا"</t>
  </si>
  <si>
    <t>Oh, yes, I would</t>
  </si>
  <si>
    <t>oh, ah, ghadi ndirha</t>
  </si>
  <si>
    <t>أُه, أه, غادي نديرها</t>
  </si>
  <si>
    <t>Leave me in peace</t>
  </si>
  <si>
    <t>khalini 3lik</t>
  </si>
  <si>
    <t>خاليني عليك</t>
  </si>
  <si>
    <t>fotni 3lik</t>
  </si>
  <si>
    <t>فوتني عليك</t>
  </si>
  <si>
    <t>You know how hard I usually work</t>
  </si>
  <si>
    <t>nta 3arf kikankhDm</t>
  </si>
  <si>
    <t>نتا عارف كيكانخضم</t>
  </si>
  <si>
    <t>No, but it's too late now that you've offered it</t>
  </si>
  <si>
    <t>la, walakin fat l7al daba mora ma3radtha</t>
  </si>
  <si>
    <t>لا, والاكين فات لحال دابا مورا ماعرادتها</t>
  </si>
  <si>
    <t>I'm ordering cocktails</t>
  </si>
  <si>
    <t>ana ghanTlb coctailat</t>
  </si>
  <si>
    <t>أنا غانطلب كوكتايلات</t>
  </si>
  <si>
    <t>Forget your work, you've had enough sleep</t>
  </si>
  <si>
    <t>nsa khdamtak, rah khditi n3as kafi</t>
  </si>
  <si>
    <t>نسا خدامتاك, راه خديتي نعاس كافي</t>
  </si>
  <si>
    <t>you've had enough sleep</t>
  </si>
  <si>
    <t>rak n3sti bima fih lkifaya</t>
  </si>
  <si>
    <t>راك نعستي بيما فيه لكيفايا</t>
  </si>
  <si>
    <t>Mojito for me please</t>
  </si>
  <si>
    <t>mojito liya 3afak</t>
  </si>
  <si>
    <t>موجيتو لييا عافاك</t>
  </si>
  <si>
    <t>I am definitely forgetting work</t>
  </si>
  <si>
    <t>ana bta2kid kansa lkhadma</t>
  </si>
  <si>
    <t>أنا بتاءكيد كانسا لخادما</t>
  </si>
  <si>
    <t>You have to change your mind</t>
  </si>
  <si>
    <t>khasak tbadal 39lytek</t>
  </si>
  <si>
    <t>خاساك تبادال عقليتك</t>
  </si>
  <si>
    <t>the holidays are for that</t>
  </si>
  <si>
    <t>l3oTal rah dyal hadchi</t>
  </si>
  <si>
    <t>لعوطال راه ديال هادشي</t>
  </si>
  <si>
    <t>Come on, get up, you're not drinking lying down</t>
  </si>
  <si>
    <t>aji, nod, maghatchrabch onta mtekki</t>
  </si>
  <si>
    <t>أجي, نود, ماغاتشرابش أُنتا متكّي</t>
  </si>
  <si>
    <t>We've got to get to the bar</t>
  </si>
  <si>
    <t>khaskom tmchiw lbar</t>
  </si>
  <si>
    <t>خاسكوم تمشيو لبار</t>
  </si>
  <si>
    <t>Cool</t>
  </si>
  <si>
    <t>ra2i3</t>
  </si>
  <si>
    <t>راإع</t>
  </si>
  <si>
    <t>The mojito has arrived</t>
  </si>
  <si>
    <t>mojito wSal</t>
  </si>
  <si>
    <t>موجيتو وصال</t>
  </si>
  <si>
    <t>I got some orange juice</t>
  </si>
  <si>
    <t>3andi 3aSir limon</t>
  </si>
  <si>
    <t>عاندي عاصير ليمون</t>
  </si>
  <si>
    <t>I'm thinking</t>
  </si>
  <si>
    <t>ana kanfakar</t>
  </si>
  <si>
    <t>أنا كانفاكار</t>
  </si>
  <si>
    <t>Reasonable</t>
  </si>
  <si>
    <t>m39ol</t>
  </si>
  <si>
    <t>Shall we see what is on the activity programme</t>
  </si>
  <si>
    <t>wach nchofo achno mojod f barnamaj nachaT</t>
  </si>
  <si>
    <t>واش نشوفو أشنو موجود ف بارناماج ناشاط</t>
  </si>
  <si>
    <t>maybe some archery or silly dancing</t>
  </si>
  <si>
    <t>imkn chwiya dyal rimaya o chti7 mbr8ch</t>
  </si>
  <si>
    <t>إمكن شوييا ديال ريمايا أُ شتيح مبرهش</t>
  </si>
  <si>
    <t>We could finish our drinks and investigate</t>
  </si>
  <si>
    <t>n9adro nsaliw machrob dyalna o nbdaw n7a9e9o</t>
  </si>
  <si>
    <t>نقادرو نساليو ماشروب ديالنا أُ نبداو نحاققو</t>
  </si>
  <si>
    <t>Let's go investigate</t>
  </si>
  <si>
    <t>khlina nmchiw n7a9e9o</t>
  </si>
  <si>
    <t>خلينا نمشيو نحاققو</t>
  </si>
  <si>
    <t>I hope you were able to rest</t>
  </si>
  <si>
    <t>kantmana tkon 9adr 3la ra7a</t>
  </si>
  <si>
    <t>كانتمانا تكون قادر علا راحا</t>
  </si>
  <si>
    <t>kantmana tkon 9adr trta7</t>
  </si>
  <si>
    <t>كانتمانا تكون قادر ترتاح</t>
  </si>
  <si>
    <t>nchofak lmara jaya</t>
  </si>
  <si>
    <t>نشوفاك لمارا جايا</t>
  </si>
  <si>
    <t>nchofok lmrra jjaya</t>
  </si>
  <si>
    <t>نشوفوك لمرّا الجايا</t>
  </si>
  <si>
    <t>Oh no, I think we're lost and it's starting to get dark</t>
  </si>
  <si>
    <t>oh, kanDn twaDarna o bda Dlam</t>
  </si>
  <si>
    <t>أُه, كانضن تواضارنا أُ بدا ضلام</t>
  </si>
  <si>
    <t>it's starting to get dark</t>
  </si>
  <si>
    <t>bda kayTi7 Dlam</t>
  </si>
  <si>
    <t>بدا كايطيح ضلام</t>
  </si>
  <si>
    <t>Can you get a GPS signal on your phone to find out where we are?</t>
  </si>
  <si>
    <t>wach t9dar tl9a ichara dyal GPS 3la tifon dyalk bach n3rfo fin 7na</t>
  </si>
  <si>
    <t>واش تقدار تلقا إشارا ديال ڭپص علا تيفون ديالك باش نعرفو فين حنا</t>
  </si>
  <si>
    <t>where are we</t>
  </si>
  <si>
    <t>fin 7na</t>
  </si>
  <si>
    <t>فين حنا</t>
  </si>
  <si>
    <t>I'm out of drums, unfortunately!</t>
  </si>
  <si>
    <t>salat liya charge lil2asaf</t>
  </si>
  <si>
    <t>سالات لييا شارڭ ليلأساف</t>
  </si>
  <si>
    <t>My phone is completely dead too</t>
  </si>
  <si>
    <t>tilifoni Tfa ta8owa</t>
  </si>
  <si>
    <t>تيليفوني طفا تاهووا</t>
  </si>
  <si>
    <t>Did you remember to bring the map?</t>
  </si>
  <si>
    <t>wach tfakarti tjib lkhariTa?</t>
  </si>
  <si>
    <t>واش تفاكارتي تجيب لخاريطا?</t>
  </si>
  <si>
    <t>I don't have the card, I lost it earlier</t>
  </si>
  <si>
    <t>ma3ndich biTa9a, rah twadrat liya mn 9bel</t>
  </si>
  <si>
    <t>ماعنديش بيطاقا, راه توادرات لييا من قبل</t>
  </si>
  <si>
    <t>We could camp here for the night and hope we can find our way in the morning when it's light</t>
  </si>
  <si>
    <t>n9adro nkhaymo 8na lil kaml o kantmnaw nl9aw Tri9na f sbah mnin ykon DDo</t>
  </si>
  <si>
    <t>نقادرو نخايمو هنا ليل كامل أُ كانتمناو نلقاو طريقنا ف سباه منين يكون الضو</t>
  </si>
  <si>
    <t>Yeah, that's a good idea, but we don't have a tent</t>
  </si>
  <si>
    <t>ah fikra mzyana, walakin ma3ndnach khima</t>
  </si>
  <si>
    <t>أه فيكرا مزيانا, والاكين ماعندناش خيما</t>
  </si>
  <si>
    <t>Did you see a place to shelter nearby?</t>
  </si>
  <si>
    <t>wach chafti blaSa fin ntkhbbaw 9riba?</t>
  </si>
  <si>
    <t>واش شافتي بلاصا فين نتخبّاو قريبا?</t>
  </si>
  <si>
    <t>I think we're just going to have to build it</t>
  </si>
  <si>
    <t>kanDn bila khasna fa9aT nbniw8a</t>
  </si>
  <si>
    <t>كانضن بيلا خاسنا فاقاط نبنيوها</t>
  </si>
  <si>
    <t>we hope there are no wild animals in the forest</t>
  </si>
  <si>
    <t>kantmanaw mtkonch 7ayawanat bariya f lghaba</t>
  </si>
  <si>
    <t>كانتماناو متكونش حاياوانات بارييا ف لغابا</t>
  </si>
  <si>
    <t>Did you ever learn to make a fire with a flint?</t>
  </si>
  <si>
    <t>wach 3mmrek t3alamti tcha3al l3afya b sowan?</t>
  </si>
  <si>
    <t>واش عمّرك تعالامتي تشاعال لعافيا ب سووان?</t>
  </si>
  <si>
    <t>Yes, let's hope so</t>
  </si>
  <si>
    <t>ah, khlina n2amlo hadchi</t>
  </si>
  <si>
    <t>أه, خلينا نأملو هادشي</t>
  </si>
  <si>
    <t>Do you have any sugar?</t>
  </si>
  <si>
    <t>3andak chi skkar?</t>
  </si>
  <si>
    <t>عانداك شي سكّار?</t>
  </si>
  <si>
    <t>No, I'm afraid not</t>
  </si>
  <si>
    <t>la la m3ndich</t>
  </si>
  <si>
    <t>لا لا معنديش</t>
  </si>
  <si>
    <t>Can you hear that noise?</t>
  </si>
  <si>
    <t>wach ta9dar tasma3 had Sda3?</t>
  </si>
  <si>
    <t>واش تاقدار تاسماع هاد صداع?</t>
  </si>
  <si>
    <t>It's a bit scary</t>
  </si>
  <si>
    <t>rah mokhif chwiya</t>
  </si>
  <si>
    <t>راه موخيف شوييا</t>
  </si>
  <si>
    <t>I hope it's someone who has come to rescue us!</t>
  </si>
  <si>
    <t>kantmana ykon chi 7add lija y3ta9na</t>
  </si>
  <si>
    <t>كانتمانا يكون شي حادّ ليجا يعتاقنا</t>
  </si>
  <si>
    <t>Wolf howl?</t>
  </si>
  <si>
    <t>3iwa2 di2b?</t>
  </si>
  <si>
    <t>عيواء ديءب?</t>
  </si>
  <si>
    <t>I'm afraid I've seen a wolf or a big stray dog before</t>
  </si>
  <si>
    <t>ana khayf chaft di2b wla kalb kbir mn 9bal</t>
  </si>
  <si>
    <t>أنا خايف شافت ديءب ولا كالب كبير من قبال</t>
  </si>
  <si>
    <t>I have three boxes of matches in my left pocket</t>
  </si>
  <si>
    <t>3andi tlata tlbwaTat t lou9id fjibi lisr</t>
  </si>
  <si>
    <t>عاندي تلاتا تلبواطات ت لوقيد فجيبي ليسر</t>
  </si>
  <si>
    <t>That's a bit of good news about the matches</t>
  </si>
  <si>
    <t>hadi chwiya dyal lkhbarat zwina 3la lou9id</t>
  </si>
  <si>
    <t>هادي شوييا ديال لخبارات زوينا علا لوقيد</t>
  </si>
  <si>
    <t>Animals don't like fire</t>
  </si>
  <si>
    <t>l7ayawanat makatbghich l3afya</t>
  </si>
  <si>
    <t>لحاياوانات ماكاتبغيش لعافيا</t>
  </si>
  <si>
    <t>I can give them</t>
  </si>
  <si>
    <t>n9dr n3Tihom</t>
  </si>
  <si>
    <t>نقدر نعطيهوم</t>
  </si>
  <si>
    <t>they are too close</t>
  </si>
  <si>
    <t>homa 9rab bzaf</t>
  </si>
  <si>
    <t>هوما قراب بزاف</t>
  </si>
  <si>
    <t>Have you got anything to give them?</t>
  </si>
  <si>
    <t>wach 3andak chi 7aja ta3tiha lihom?</t>
  </si>
  <si>
    <t>واش عانداك شي حاجا تاعتيها ليهوم?</t>
  </si>
  <si>
    <t>I'm gonna make a fire to get them away</t>
  </si>
  <si>
    <t>ghadi ncha3al l3afya bach nba3adhom</t>
  </si>
  <si>
    <t>غادي نشاعال لعافيا باش نباعادهوم</t>
  </si>
  <si>
    <t>wach bghiti chwiya dyal atay wla l9ahwa?</t>
  </si>
  <si>
    <t>واش بغيتي شوييا ديال أتاي ولا لقاهوا?</t>
  </si>
  <si>
    <t>I got some hot water left in my thermos</t>
  </si>
  <si>
    <t>rah khlit chwiya dyal lma skhon f termos</t>
  </si>
  <si>
    <t>راه خليت شوييا ديال لما سخون ف ترموس</t>
  </si>
  <si>
    <t>Yes please, that would be great</t>
  </si>
  <si>
    <t>ayeh 3afak, ghadi ykon hadchi zwin</t>
  </si>
  <si>
    <t>أيه عافاك, غادي يكون هادشي زوين</t>
  </si>
  <si>
    <t>I've got some chocolate biscuits left too</t>
  </si>
  <si>
    <t>3andi 7ta chwiya dyal biskwit dyal choklat ba9i</t>
  </si>
  <si>
    <t>عاندي حتا شوييا ديال بيسكويت ديال شوكلات باقي</t>
  </si>
  <si>
    <t>although they've melted a bit in the heat</t>
  </si>
  <si>
    <t>wakha rah dab chwiya f l7arara</t>
  </si>
  <si>
    <t>واخا راه داب شوييا ف لحارارا</t>
  </si>
  <si>
    <t>Light the fire quick!</t>
  </si>
  <si>
    <t>cha3al l3afya bzarba</t>
  </si>
  <si>
    <t>شاعال لعافيا بزاربا</t>
  </si>
  <si>
    <t>My matches are all wet</t>
  </si>
  <si>
    <t>ga3 lou9id sard lil2asaf</t>
  </si>
  <si>
    <t>ڭاع لوقيد سارد ليلأساف</t>
  </si>
  <si>
    <t>ga3 lou9id fazg lil2asaf</t>
  </si>
  <si>
    <t>ڭاع لوقيد فازڭ ليلأساف</t>
  </si>
  <si>
    <t>I hear voices nearby</t>
  </si>
  <si>
    <t>kansma3 aswat 7dana</t>
  </si>
  <si>
    <t>كانسماع أسوات حدانا</t>
  </si>
  <si>
    <t>What a relief!</t>
  </si>
  <si>
    <t>wa 3la ra7a</t>
  </si>
  <si>
    <t>وا علا راحا</t>
  </si>
  <si>
    <t>lah 3la ra7a</t>
  </si>
  <si>
    <t>الله علا راحا</t>
  </si>
  <si>
    <t>I didn't want to die here!</t>
  </si>
  <si>
    <t>makntch bghit nmot hna</t>
  </si>
  <si>
    <t>ماكنتش بغيت نموت هنا</t>
  </si>
  <si>
    <t>I don't want to die here!</t>
  </si>
  <si>
    <t>mabghitch nmot hna</t>
  </si>
  <si>
    <t>مابغيتش نموت هنا</t>
  </si>
  <si>
    <t>Want to play a game?</t>
  </si>
  <si>
    <t>bghiti tl3ab chi lo3ba</t>
  </si>
  <si>
    <t>بغيتي تلعاب شي لوعبا</t>
  </si>
  <si>
    <t>Not at the moment, I'm enjoying the sun and relaxing</t>
  </si>
  <si>
    <t>machi fhad lwa9t, ana kanstamta3 bchamch o kantarkha</t>
  </si>
  <si>
    <t>ماشي فهاد لواقت, أنا كانستامتاع بشامش أُ كانتارخا</t>
  </si>
  <si>
    <t>Not at the moment</t>
  </si>
  <si>
    <t>machi daba</t>
  </si>
  <si>
    <t>ماشي دابا</t>
  </si>
  <si>
    <t>machi droka</t>
  </si>
  <si>
    <t>ماشي دروكا</t>
  </si>
  <si>
    <t>Maybe later</t>
  </si>
  <si>
    <t>yaqdar fwa9t akhor</t>
  </si>
  <si>
    <t>ياقدار فواقت أخور</t>
  </si>
  <si>
    <t>mn ba3d</t>
  </si>
  <si>
    <t>من باعد</t>
  </si>
  <si>
    <t>You're not gonna stand there and do nothing!</t>
  </si>
  <si>
    <t>maghadich tb9a wa9af tmma o makadir walo</t>
  </si>
  <si>
    <t>ماغاديش تبقا واقاف تمّا أُ ماكادير والو</t>
  </si>
  <si>
    <t>I'm too hot to do anything at the moment</t>
  </si>
  <si>
    <t>ana skhon bzaf bach ndir chi 7aja fhad lwa9t</t>
  </si>
  <si>
    <t>أنا سخون بزاف باش ندير شي حاجا فهاد لواقت</t>
  </si>
  <si>
    <t>Can you get me a nice cold drink with some ice please</t>
  </si>
  <si>
    <t>wach t9dr tjib liya machrob bard m3a chwiya dyal talj 3afak</t>
  </si>
  <si>
    <t>واش تقدر تجيب لييا ماشروب بارد معا شوييا ديال تالج عافاك</t>
  </si>
  <si>
    <t>It's okay that you're warm, you're in the sun</t>
  </si>
  <si>
    <t>machi mochkil tkon skhon, rak kayn f chamch</t>
  </si>
  <si>
    <t>ماشي موشكيل تكون سخون, راك كاين ف شامش</t>
  </si>
  <si>
    <t>Okay, I'll get you your drink</t>
  </si>
  <si>
    <t>wakha ghadi njib lik chrabk</t>
  </si>
  <si>
    <t>واخا غادي نجيب ليك شرابك</t>
  </si>
  <si>
    <t>You want some water?</t>
  </si>
  <si>
    <t>bghiti chwiya dyal lma?</t>
  </si>
  <si>
    <t>بغيتي شوييا ديال لما?</t>
  </si>
  <si>
    <t>I was thinking of something a bit more exciting</t>
  </si>
  <si>
    <t>knt kanfakar fchi 7aja aktar itara</t>
  </si>
  <si>
    <t>كنت كانفاكار فشي حاجا أكتار إتارا</t>
  </si>
  <si>
    <t>you shouldn't drink in the sun</t>
  </si>
  <si>
    <t>makhsskch tchrab fchamch</t>
  </si>
  <si>
    <t>ماخسّكش تشراب فشامش</t>
  </si>
  <si>
    <t>Is it bad for me?</t>
  </si>
  <si>
    <t>wach hadchi khayb liya?</t>
  </si>
  <si>
    <t>واش هادشي خايب لييا?</t>
  </si>
  <si>
    <t>You might get drunk faster</t>
  </si>
  <si>
    <t>ta9dar tskr bzarba</t>
  </si>
  <si>
    <t>تاقدار تسكر بزاربا</t>
  </si>
  <si>
    <t>it might even be dangerous to go in the pool!</t>
  </si>
  <si>
    <t>ya9dar ykon khaTir tchmi lmasba7</t>
  </si>
  <si>
    <t>ياقدار يكون خاطير تشمي لماسباح</t>
  </si>
  <si>
    <t>I've not heard of that before</t>
  </si>
  <si>
    <t>masma3t bhadchi mn 9bal</t>
  </si>
  <si>
    <t>ماسماعت بهادشي من قبال</t>
  </si>
  <si>
    <t>Perhaps I should eat something as well</t>
  </si>
  <si>
    <t>imkn khasni nakol chi 7aja ta8ia</t>
  </si>
  <si>
    <t>إمكن خاسني ناكول شي حاجا تاهيا</t>
  </si>
  <si>
    <t>Did you notice any food available at the bar?</t>
  </si>
  <si>
    <t>wach chafti chi makla kayna f lbar?</t>
  </si>
  <si>
    <t>واش شافتي شي ماكلا كاينا ف لبار?</t>
  </si>
  <si>
    <t>Yeah, I think there's some sandwiches</t>
  </si>
  <si>
    <t>ah, kanDn kayn chi sandwichat</t>
  </si>
  <si>
    <t>أه, كانضن كاين شي ساندويشات</t>
  </si>
  <si>
    <t>I'll do a deal</t>
  </si>
  <si>
    <t>ghadi ndir Saf9a</t>
  </si>
  <si>
    <t>غادي ندير صافقا</t>
  </si>
  <si>
    <t>If you get me a sandwich, I'll play a game after</t>
  </si>
  <si>
    <t>ila jabti liya sandwich, ghadi nl3ab m3ak lo3ba mn b3d</t>
  </si>
  <si>
    <t>إلا جابتي لييا ساندويش, غادي نلعاب معاك لوعبا من بعد</t>
  </si>
  <si>
    <t>mchat!</t>
  </si>
  <si>
    <t>مشات!</t>
  </si>
  <si>
    <t>Sla 3la nnbi!</t>
  </si>
  <si>
    <t>صلا علا النبي!</t>
  </si>
  <si>
    <t>wa 3ayalh!</t>
  </si>
  <si>
    <t>وا عاياله!</t>
  </si>
  <si>
    <t>Here's your sandwich!</t>
  </si>
  <si>
    <t>hahoa sandwich dyalk</t>
  </si>
  <si>
    <t>هاهوا ساندويش ديالك</t>
  </si>
  <si>
    <t>Didn't you get something for yourself?</t>
  </si>
  <si>
    <t>wach makhditich lik chi 7aja</t>
  </si>
  <si>
    <t>واش ماخديتيش ليك شي حاجا</t>
  </si>
  <si>
    <t>you must be hungry?</t>
  </si>
  <si>
    <t>ghatkon ji3an?</t>
  </si>
  <si>
    <t>غاتكون جيعان?</t>
  </si>
  <si>
    <t>ghaykon fik jou3?</t>
  </si>
  <si>
    <t>غايكون فيك جوع?</t>
  </si>
  <si>
    <t>While I was making your sandwich, I got one, too</t>
  </si>
  <si>
    <t>o ana kan9ad sandwich, khdit wa7d ta ana</t>
  </si>
  <si>
    <t>أُ أنا كانقاد ساندويش, خديت واحد تا أنا</t>
  </si>
  <si>
    <t>Nice of you to ask</t>
  </si>
  <si>
    <t>zwina mnk tsawal</t>
  </si>
  <si>
    <t>زوينا منك تساوال</t>
  </si>
  <si>
    <t>thanks for asking</t>
  </si>
  <si>
    <t>chokran mlli sowelti</t>
  </si>
  <si>
    <t>شوكران ملّي سوولتي</t>
  </si>
  <si>
    <t>Shall we play badminton or tennis?</t>
  </si>
  <si>
    <t>wach nl3bo korat richa wla tinis</t>
  </si>
  <si>
    <t>واش نلعبو كورات ريشا ولا تينيس</t>
  </si>
  <si>
    <t>It's my favorite sport</t>
  </si>
  <si>
    <t>hia riyada lmofaDala dyali</t>
  </si>
  <si>
    <t>هيا رييادا لموفاضالا ديالي</t>
  </si>
  <si>
    <t>Sounds like you are good</t>
  </si>
  <si>
    <t>kayban liya nta mazyan</t>
  </si>
  <si>
    <t>كايبان لييا نتا مازيان</t>
  </si>
  <si>
    <t>I'll get the racquets</t>
  </si>
  <si>
    <t>ghadi njib lmaDarib</t>
  </si>
  <si>
    <t>غادي نجيب لماضاريب</t>
  </si>
  <si>
    <t>ghadi njib rakitat</t>
  </si>
  <si>
    <t>غادي نجيب راكيتات</t>
  </si>
  <si>
    <t>I've had a terrible day</t>
  </si>
  <si>
    <t>rah dwzt nhar S3ib</t>
  </si>
  <si>
    <t>راه دوزت نهار صعيب</t>
  </si>
  <si>
    <t>Hope the cat isn't around or I will kick it</t>
  </si>
  <si>
    <t>kantmana matkonch lmcha tmma wla ghadi ndrabha</t>
  </si>
  <si>
    <t>كانتمانا ماتكونش لمشا تمّا ولا غادي ندرابها</t>
  </si>
  <si>
    <t>Horrible?</t>
  </si>
  <si>
    <t>ra8ib?</t>
  </si>
  <si>
    <t>راهيب?</t>
  </si>
  <si>
    <t>But that's no reason to take it out on our cat!</t>
  </si>
  <si>
    <t>walakin hada machi sabab bach nsbboha f lmcha dyalna</t>
  </si>
  <si>
    <t>والاكين هادا ماشي ساباب باش نسبّوها ف لمشا ديالنا</t>
  </si>
  <si>
    <t>First the train was late so when it came it was full and there were no seats left</t>
  </si>
  <si>
    <t>awalan, t3atal tran, o mnin wsal kan 3amar o makanoch blays khawyin</t>
  </si>
  <si>
    <t>أوالان, تعاتال تران, أُ منين وسال كان عامار أُ ماكانوش بلايس خاويين</t>
  </si>
  <si>
    <t>Then when I apologised for being late I realised I had left my papers at home</t>
  </si>
  <si>
    <t>o mnin 3tadart 3la ta3tal dyali, tfakart khlit wra9i fdar</t>
  </si>
  <si>
    <t>أُ منين عتادارت علا تاعتال ديالي, تفاكارت خليت وراقي فدار</t>
  </si>
  <si>
    <t>Keep the cat out of the way!</t>
  </si>
  <si>
    <t>ba3d lmacha mn Tri9</t>
  </si>
  <si>
    <t>باعد لماشا من طريق</t>
  </si>
  <si>
    <t>I see</t>
  </si>
  <si>
    <t>kanchof</t>
  </si>
  <si>
    <t>كانشوف</t>
  </si>
  <si>
    <t>Then I realised I had got your glasses and not mine</t>
  </si>
  <si>
    <t>mn ba3d 3raft bila khdit nDaDrk o machi nDaDri</t>
  </si>
  <si>
    <t>من باعد عرافت بيلا خديت نضاضرك أُ ماشي نضاضري</t>
  </si>
  <si>
    <t>Hope you weren't too annoyed by that</t>
  </si>
  <si>
    <t>kantmana matkonch m9ala9 mn hadchi</t>
  </si>
  <si>
    <t>كانتمانا ماتكونش مقالاق من هادشي</t>
  </si>
  <si>
    <t>Have you been able to participate in the meeting anyway?</t>
  </si>
  <si>
    <t>wach 9darti tchark b3da f ijtima3?</t>
  </si>
  <si>
    <t>واش قدارتي تشارك بعدا ف إجتيماع?</t>
  </si>
  <si>
    <t>Oh, yeah, I saw about the glasses</t>
  </si>
  <si>
    <t>oh, ah rah chaft nDaDr</t>
  </si>
  <si>
    <t>أُه, أه راه شافت نضاضر</t>
  </si>
  <si>
    <t>but I didn't have to drive</t>
  </si>
  <si>
    <t>walakin makanch 3liya nsog</t>
  </si>
  <si>
    <t>والاكين ماكانش علييا نسوڭ</t>
  </si>
  <si>
    <t>so that didn't embarrass me too much</t>
  </si>
  <si>
    <t>dakchi 3lach ma7rajnich dakchi bzaf</t>
  </si>
  <si>
    <t>داكشي علاش ماحراجنيش داكشي بزاف</t>
  </si>
  <si>
    <t>Someone said I was better than usual but I think they were just poking fun at me</t>
  </si>
  <si>
    <t>galiya chi 7ad bila knt 7san mn 9bal walakin kanDn kano kayda7ko 3liya</t>
  </si>
  <si>
    <t>ڭالييا شي حاد بيلا كنت حسان من قبال والاكين كانضن كانو كايداحكو علييا</t>
  </si>
  <si>
    <t>You think they made fun of you?</t>
  </si>
  <si>
    <t>wach kadan bila kano kayD7ko 3lik?</t>
  </si>
  <si>
    <t>واش كادان بيلا كانو كايضحكو عليك?</t>
  </si>
  <si>
    <t>It's not certain!</t>
  </si>
  <si>
    <t>hadchi machi m2akad</t>
  </si>
  <si>
    <t>هادشي ماشي مأكاد</t>
  </si>
  <si>
    <t>And, as you know very well, you had to be perfect!</t>
  </si>
  <si>
    <t>o 7ta nta kat3raf bila khasak tkon mitali</t>
  </si>
  <si>
    <t>أُ حتا نتا كاتعراف بيلا خاساك تكون ميتالي</t>
  </si>
  <si>
    <t>No, maybe I'm just paranoid</t>
  </si>
  <si>
    <t>la, imkn hir ana mr3oud</t>
  </si>
  <si>
    <t>لا, إمكن هير أنا مرعود</t>
  </si>
  <si>
    <t>But when we got in the lift my boss started to tell me this story</t>
  </si>
  <si>
    <t>walakin mnin rkabna lmas3ad, bda ra2is dyali kay3awad liya dik l9iSSa</t>
  </si>
  <si>
    <t>والاكين منين ركابنا لماسعاد, بدا راإس ديالي كايعاواد لييا ديك لقيصّا</t>
  </si>
  <si>
    <t>then the lift broke down between floors</t>
  </si>
  <si>
    <t>mn ba3d khsar lmas3ad bin tawabi9</t>
  </si>
  <si>
    <t>من باعد خسار لماسعاد بين تاوابيق</t>
  </si>
  <si>
    <t>And then the lift broke down between floors</t>
  </si>
  <si>
    <t>o mn b3d khsar sansour bin liTajat</t>
  </si>
  <si>
    <t>أُ من بعد خسار سانسور بين ليطاجات</t>
  </si>
  <si>
    <t>I was stuck in the lift with my boss!</t>
  </si>
  <si>
    <t>w7alt flmas3ad m3a ra2is dyali</t>
  </si>
  <si>
    <t>وحالت فلماسعاد معا راإس ديالي</t>
  </si>
  <si>
    <t>Now you're making fun of me</t>
  </si>
  <si>
    <t>nta daba kadhak 3liya</t>
  </si>
  <si>
    <t>نتا دابا كادهاك علييا</t>
  </si>
  <si>
    <t>Well, I think you've had a really bad day, and you're mostly in a bad mood</t>
  </si>
  <si>
    <t>wakha, kanDn bila dawzti nhar khayb, onta ghaliban f mazaj khayb</t>
  </si>
  <si>
    <t>واخا, كانضن بيلا داوزتي نهار خايب, أُنتا غاليبان ف مازاج خايب</t>
  </si>
  <si>
    <t>While the lift was stopped he said we should use the time doing my appraisal!</t>
  </si>
  <si>
    <t>mnin w9af lmas3ad, galiya bila khasna nstaghllo lwa9t f ta9yim dyali</t>
  </si>
  <si>
    <t>منين وقاف لماسعاد, ڭالييا بيلا خاسنا نستاغلّو لواقت ف تاقييم ديالي</t>
  </si>
  <si>
    <t>I'm always in a bad mood</t>
  </si>
  <si>
    <t>ana dima fmizaj khayb</t>
  </si>
  <si>
    <t>أنا ديما فميزاج خايب</t>
  </si>
  <si>
    <t>ana dima Tal3a lia l9rda</t>
  </si>
  <si>
    <t>أنا ديما طالعا ليا لقردا</t>
  </si>
  <si>
    <t>Sorry, I haven't asked how your day was?</t>
  </si>
  <si>
    <t>sma7 liya masawltkch kidaz nhark?</t>
  </si>
  <si>
    <t>سماح لييا ماساولتكش كيداز نهارك?</t>
  </si>
  <si>
    <t>you're not always in a bad mood</t>
  </si>
  <si>
    <t>nta machi dima fmizaj khayb</t>
  </si>
  <si>
    <t>نتا ماشي ديما فميزاج خايب</t>
  </si>
  <si>
    <t>but tonight, you definitely are!</t>
  </si>
  <si>
    <t>walakin had llila, bta2kid</t>
  </si>
  <si>
    <t>والاكين هاد الليلا, بتاءكيد</t>
  </si>
  <si>
    <t>At the same time</t>
  </si>
  <si>
    <t>fnafs lwa9t</t>
  </si>
  <si>
    <t>فنافس لواقت</t>
  </si>
  <si>
    <t>after the day you've passed, that makes sense</t>
  </si>
  <si>
    <t>mora lyoum lidawzti, hadchi Tabi3i</t>
  </si>
  <si>
    <t>مورا ليوم ليداوزتي, هادشي طابيعي</t>
  </si>
  <si>
    <t>I had a good day</t>
  </si>
  <si>
    <t>daz 3andi lyoum mazyan</t>
  </si>
  <si>
    <t>داز عاندي ليوم مازيان</t>
  </si>
  <si>
    <t>lyoum daz mazyan</t>
  </si>
  <si>
    <t>ليوم داز مازيان</t>
  </si>
  <si>
    <t>That's probably why I see things more serene</t>
  </si>
  <si>
    <t>ghaliban hadchi 3lach kanchof l7wayj b8odo2</t>
  </si>
  <si>
    <t>غاليبان هادشي علاش كانشوف لحوايج بهودوء</t>
  </si>
  <si>
    <t>I would go for a lie down to calm down a bit, but I see the cat is on the stairs</t>
  </si>
  <si>
    <t>knt ghadi ntaka bach nthadan chwiya walakin knchof lmcha f droj</t>
  </si>
  <si>
    <t>كنت غادي نتاكا باش نتهادان شوييا والاكين كنشوف لمشا ف دروج</t>
  </si>
  <si>
    <t>Have you left any wine or have you finished the bottle?</t>
  </si>
  <si>
    <t>wach khliti chwiya dyal nabid wla kmmlti l9ar3a?</t>
  </si>
  <si>
    <t>واش خليتي شوييا ديال نابيد ولا كمّلتي لقارعا?</t>
  </si>
  <si>
    <t>leave that poor cat alone</t>
  </si>
  <si>
    <t>khali dik lmacha maskina</t>
  </si>
  <si>
    <t>خالي ديك لماشا ماسكينا</t>
  </si>
  <si>
    <t>fout 3lik dik lmcha mskina</t>
  </si>
  <si>
    <t>فوت عليك ديك لمشا مسكينا</t>
  </si>
  <si>
    <t>take a glass of wine</t>
  </si>
  <si>
    <t>khod kas dyal nabid</t>
  </si>
  <si>
    <t>خود كاس ديال نابيد</t>
  </si>
  <si>
    <t>Thanks I will have a big glass and try to forget about the day</t>
  </si>
  <si>
    <t>chokran, ghadi nakhod kas kbir o n7awal nsa lyoum</t>
  </si>
  <si>
    <t>شوكران, غادي ناخود كاس كبير أُ نحاوال نسا ليوم</t>
  </si>
  <si>
    <t>What would I do without a sympathetic ear when I get home</t>
  </si>
  <si>
    <t>chno ghadi ndir bla wdan mat3atfa mnin nrja3 ldar</t>
  </si>
  <si>
    <t>شنو غادي ندير بلا ودان ماتعاتفا منين نرجاع لدار</t>
  </si>
  <si>
    <t>Hi, this is my first time flying and I have to admit that I'm a bit nervous</t>
  </si>
  <si>
    <t>ahlan, hadi lmrra lawla likansafar fiha bTayara o khasni n3tarf bila matwatar chwiya</t>
  </si>
  <si>
    <t>أهلان, هادي لمرّا لاولا ليكانسافار فيها بطايارا أُ خاسني نعتارف بيلا ماتواتار شوييا</t>
  </si>
  <si>
    <t>Have you flown before?</t>
  </si>
  <si>
    <t>wach safarti fsma mn 9bal</t>
  </si>
  <si>
    <t>واش سافارتي فسما من قبال</t>
  </si>
  <si>
    <t>I take it very often!</t>
  </si>
  <si>
    <t>kanakhod8a bzaf tlmrrat</t>
  </si>
  <si>
    <t>كاناخودها بزاف تلمرّات</t>
  </si>
  <si>
    <t>Almost every week for my work</t>
  </si>
  <si>
    <t>ta9riban kol simana lkhadma dyali</t>
  </si>
  <si>
    <t>تاقريبان كول سيمانا لخادما ديالي</t>
  </si>
  <si>
    <t>You'll see, the journey will go well, I'm sure!</t>
  </si>
  <si>
    <t>ghadi tchof, ghadi doz ri7la 3la khir, ana mat2akad</t>
  </si>
  <si>
    <t>غادي تشوف, غادي دوز ريحلا علا خير, أنا ماتأكاد</t>
  </si>
  <si>
    <t>I'm quite scared in fact</t>
  </si>
  <si>
    <t>ana khayf chwia sara7a</t>
  </si>
  <si>
    <t>أنا خايف شويا ساراحا</t>
  </si>
  <si>
    <t>What is that strange noise and shaking?</t>
  </si>
  <si>
    <t>ach had sda3 o irti3ach lgharib?</t>
  </si>
  <si>
    <t>أش هاد سداع أُ إرتيعاش لغاريب?</t>
  </si>
  <si>
    <t>It's perfectly normal</t>
  </si>
  <si>
    <t>rah Tabi3i tamaman</t>
  </si>
  <si>
    <t>راه طابيعي تامامان</t>
  </si>
  <si>
    <t>I was very scared, too, when I started getting on the plane ten years ago</t>
  </si>
  <si>
    <t>knt khayf bzaf ta ana mnin bdit kanrkab Tayara 9bal 3chr snin</t>
  </si>
  <si>
    <t>كنت خايف بزاف تا أنا منين بديت كانركاب طايارا قبال عشر سنين</t>
  </si>
  <si>
    <t>And I even trained to learn how to not be afraid of flying!</t>
  </si>
  <si>
    <t>7ta tdarabt 3la kifach mankhafch mn Tayaran</t>
  </si>
  <si>
    <t>حتا تدارابت علا كيفاش مانخافش من طاياران</t>
  </si>
  <si>
    <t>that's reassuring</t>
  </si>
  <si>
    <t>hadchi kayTam2an</t>
  </si>
  <si>
    <t>هادشي كايطامأن</t>
  </si>
  <si>
    <t>Maybe I should order a drink</t>
  </si>
  <si>
    <t>imkan khasni nTlab machrob</t>
  </si>
  <si>
    <t>إمكان خاسني نطلاب ماشروب</t>
  </si>
  <si>
    <t>Would you like one?</t>
  </si>
  <si>
    <t>bghiti wa7da?</t>
  </si>
  <si>
    <t>بغيتي واحدا?</t>
  </si>
  <si>
    <t>It's a good idea to relax!</t>
  </si>
  <si>
    <t>fikra mzyana annak tarkha</t>
  </si>
  <si>
    <t>فيكرا مزيانا أنّاك تارخا</t>
  </si>
  <si>
    <t>But I'll have a coffee instead</t>
  </si>
  <si>
    <t>walakin ghadi nakhod 9ahwa blastha</t>
  </si>
  <si>
    <t>والاكين غادي ناخود قاهوا بلاستها</t>
  </si>
  <si>
    <t>I got up a little early to get on the plane</t>
  </si>
  <si>
    <t>a9t bkri chwiya bach nrkab Tayara</t>
  </si>
  <si>
    <t>أقت بكري شوييا باش نركاب طايارا</t>
  </si>
  <si>
    <t>I need that coffee to wake me up a bit!</t>
  </si>
  <si>
    <t>khssni dik l9ahwa bach nfi9 chwiya</t>
  </si>
  <si>
    <t>خسّني ديك لقاهوا باش نفيق شوييا</t>
  </si>
  <si>
    <t>I'll grab the stewardess when she passes</t>
  </si>
  <si>
    <t>ghadi ngolha lmoDifa mnin douz</t>
  </si>
  <si>
    <t>غادي نڭولها لموضيفا منين دوز</t>
  </si>
  <si>
    <t>Would you like anything to eat with your coffee?</t>
  </si>
  <si>
    <t>bghiti takol chi 7aja m3a l9ahwa dyalk</t>
  </si>
  <si>
    <t>بغيتي تاكول شي حاجا معا لقاهوا ديالك</t>
  </si>
  <si>
    <t>I could eat a croissant with coffee</t>
  </si>
  <si>
    <t>n9dar nakol crwasa m3a l9ahwa</t>
  </si>
  <si>
    <t>نقدار ناكول كرواسا معا لقاهوا</t>
  </si>
  <si>
    <t>Good idea, I'll get one too</t>
  </si>
  <si>
    <t>fikra mzyana, ghadi nakhod 7ta ana wa7da</t>
  </si>
  <si>
    <t>فيكرا مزيانا, غادي ناخود حتا أنا واحدا</t>
  </si>
  <si>
    <t>I usually only eat croissant on special occasions</t>
  </si>
  <si>
    <t>ana asasan kanakol karwasa flmonasabt lkhasa safi</t>
  </si>
  <si>
    <t>أنا أساسان كاناكول كارواسا فلموناسابت لخاسا سافي</t>
  </si>
  <si>
    <t>I'm a chocolatier</t>
  </si>
  <si>
    <t>ana kansayab choklat</t>
  </si>
  <si>
    <t>أنا كانساياب شوكلات</t>
  </si>
  <si>
    <t>Flying for the first time is a bit of a special occasion</t>
  </si>
  <si>
    <t>Tayaran l2awal mra rah monasaba khaSSa</t>
  </si>
  <si>
    <t>طاياران لأوال مرا راه موناسابا خاصّا</t>
  </si>
  <si>
    <t>Oh wow!</t>
  </si>
  <si>
    <t>oh, waw</t>
  </si>
  <si>
    <t>أُه, واو</t>
  </si>
  <si>
    <t>What a dream job</t>
  </si>
  <si>
    <t>ay 3la khdma dyal l2a7lam</t>
  </si>
  <si>
    <t>أي علا خدما ديال لأحلام</t>
  </si>
  <si>
    <t>But since I'm a bit greedy, I tend to eat croissants often!</t>
  </si>
  <si>
    <t>walakin 7it ana Tmma3 chwiya, rah kanmil nakol karawasa bzaf</t>
  </si>
  <si>
    <t>والاكين حيت أنا طمّاع شوييا, راه كانميل ناكول كاراواسا بزاف</t>
  </si>
  <si>
    <t>Yes, it's a fantastic job!</t>
  </si>
  <si>
    <t>ah, rah waDifa zwina</t>
  </si>
  <si>
    <t>أه, راه واضيفا زوينا</t>
  </si>
  <si>
    <t>Which chocolate company do you work for?</t>
  </si>
  <si>
    <t>achmn chrika dyal choklat fach khdam</t>
  </si>
  <si>
    <t>أشمن شريكا ديال شوكلات فاش خدام</t>
  </si>
  <si>
    <t>I'm an auto contractor, and I'm working on my account.</t>
  </si>
  <si>
    <t>ana mo9awil dati, o kankhdam lrasi</t>
  </si>
  <si>
    <t>أنا موقاويل داتي, أُ كانخدام لراسي</t>
  </si>
  <si>
    <t>I'm not sure what that means, but you are definitely someone to stay in touch with!!</t>
  </si>
  <si>
    <t>mamt2akd ach kay3ni dakchi, walakin nta bta2kid chi 7ad t9dar tb9a 3la itisal m3ah</t>
  </si>
  <si>
    <t>مامتأكد أش كايعني داكشي, والاكين نتا بتاءكيد شي حاد تقدار تبقا علا إتيسال معاه</t>
  </si>
  <si>
    <t>I adore chocolate</t>
  </si>
  <si>
    <t>kan3cha9 choklat</t>
  </si>
  <si>
    <t>كانعشاق شوكلات</t>
  </si>
  <si>
    <t>Ah, the order of eight has arrived</t>
  </si>
  <si>
    <t>ah, rah wsalt ltartib tmanya</t>
  </si>
  <si>
    <t>أه, راه وسالت لتارتيب تمانيا</t>
  </si>
  <si>
    <t>You remember the recipe, don't you?</t>
  </si>
  <si>
    <t>kat39al 3la lwaSfa, yak?</t>
  </si>
  <si>
    <t>كاتعقال علا لواصفا, ياك?</t>
  </si>
  <si>
    <t>I'm not sure I remember it</t>
  </si>
  <si>
    <t>mamt2akdach bila 3a9la 3liha</t>
  </si>
  <si>
    <t>مامتأكداش بيلا عاقلا عليها</t>
  </si>
  <si>
    <t>You will need to refresh my memory</t>
  </si>
  <si>
    <t>ghadi ta7taj tfakarni</t>
  </si>
  <si>
    <t>غادي تاحتاج تفاكارني</t>
  </si>
  <si>
    <t>It's very simple</t>
  </si>
  <si>
    <t>rah sa8la bzaf</t>
  </si>
  <si>
    <t>راه ساهلا بزاف</t>
  </si>
  <si>
    <t>Take a melon</t>
  </si>
  <si>
    <t>khod mnouna</t>
  </si>
  <si>
    <t>خود منونا</t>
  </si>
  <si>
    <t>cut it in two</t>
  </si>
  <si>
    <t>9TTa3ha 3la jouj</t>
  </si>
  <si>
    <t>قطّاعها علا جوج</t>
  </si>
  <si>
    <t>remove the seeds</t>
  </si>
  <si>
    <t>7iyyed zrri3a</t>
  </si>
  <si>
    <t>حييّد زرّيعا</t>
  </si>
  <si>
    <t>get a spoon</t>
  </si>
  <si>
    <t>jib m3il9a</t>
  </si>
  <si>
    <t>جيب معيلقا</t>
  </si>
  <si>
    <t>Put the flesh in the blender</t>
  </si>
  <si>
    <t>dir lob f lkhlaT</t>
  </si>
  <si>
    <t>دير لوب ف لخلاط</t>
  </si>
  <si>
    <t>Then what do you put in the blender?</t>
  </si>
  <si>
    <t>o mn b3d achno kadir flkhallaT?</t>
  </si>
  <si>
    <t>أُ من بعد أشنو كادير فلخالّاط?</t>
  </si>
  <si>
    <t>I put in some lemon juice and a little water</t>
  </si>
  <si>
    <t>kandir chwya dyal 3aSir limon o chwiya dyal lma</t>
  </si>
  <si>
    <t>كاندير شويا ديال عاصير ليمون أُ شوييا ديال لما</t>
  </si>
  <si>
    <t>wach hadchi li kayn</t>
  </si>
  <si>
    <t>واش هادشي لي كاين</t>
  </si>
  <si>
    <t>More mint leaves</t>
  </si>
  <si>
    <t>lmazid mn lwra9 dyal na3na3</t>
  </si>
  <si>
    <t>لمازيد من لوراق ديال ناعناع</t>
  </si>
  <si>
    <t>I forgot about the mint leaves.</t>
  </si>
  <si>
    <t>nsit lwra9 dyal na3na3</t>
  </si>
  <si>
    <t>نسيت لوراق ديال ناعناع</t>
  </si>
  <si>
    <t>I need to be careful not to add too many though</t>
  </si>
  <si>
    <t>khasni nrad lbal bach manzidch bzaf</t>
  </si>
  <si>
    <t>خاسني نراد لبال باش مانزيدش بزاف</t>
  </si>
  <si>
    <t>All you have to do is train</t>
  </si>
  <si>
    <t>lhaja lwa7ida li khasak hia tadrib</t>
  </si>
  <si>
    <t>لحاجة لواحيدا لي خاساك هيا تادريب</t>
  </si>
  <si>
    <t>What do you say?</t>
  </si>
  <si>
    <t>ach katgol?</t>
  </si>
  <si>
    <t>أش كاتڭول?</t>
  </si>
  <si>
    <t>That looks perfect</t>
  </si>
  <si>
    <t>hadchi kayban mitali</t>
  </si>
  <si>
    <t>هادشي كايبان ميتالي</t>
  </si>
  <si>
    <t>Should I garnish it with anything else?</t>
  </si>
  <si>
    <t>wach khas tzayanha bchi 7aja khra?</t>
  </si>
  <si>
    <t>واش خاس تزايانها بشي حاجا خرا?</t>
  </si>
  <si>
    <t>No, no, it's no use</t>
  </si>
  <si>
    <t>la, la, makaynch lach</t>
  </si>
  <si>
    <t>لا, لا, ماكاينش لاش</t>
  </si>
  <si>
    <t>It's good like this, light, fresh!</t>
  </si>
  <si>
    <t>rah zwin b7al hakka, khfif, o Tayab</t>
  </si>
  <si>
    <t>راه زوين بحال هاكّا, خفيف, أُ طاياب</t>
  </si>
  <si>
    <t>Send it to the gym</t>
  </si>
  <si>
    <t>siftha l la salle</t>
  </si>
  <si>
    <t>سيفتها ل لا سالّ</t>
  </si>
  <si>
    <t>Next order</t>
  </si>
  <si>
    <t>Talab ttani</t>
  </si>
  <si>
    <t>طالاب التاني</t>
  </si>
  <si>
    <t>That's easy!</t>
  </si>
  <si>
    <t>hada sa8l</t>
  </si>
  <si>
    <t>هادا ساهل</t>
  </si>
  <si>
    <t>Do you want me to let you do it?</t>
  </si>
  <si>
    <t>wach bghiti nkhalik dirha?</t>
  </si>
  <si>
    <t>واش بغيتي نخاليك ديرها?</t>
  </si>
  <si>
    <t>I can do that easily</t>
  </si>
  <si>
    <t>na9dar n7ayad hadchi bzarba</t>
  </si>
  <si>
    <t>ناقدار نحاياد هادشي بزاربا</t>
  </si>
  <si>
    <t>I didn't quite understand that question</t>
  </si>
  <si>
    <t>mafhamch had so2al mzyan</t>
  </si>
  <si>
    <t>مافهامش هاد سوأل مزيان</t>
  </si>
  <si>
    <t>What do you mean by toppings?</t>
  </si>
  <si>
    <t>ach kat9sad b toppings</t>
  </si>
  <si>
    <t>أش كاتقساد ب توپّينڭس</t>
  </si>
  <si>
    <t>Presentation is important, isn't it?</t>
  </si>
  <si>
    <t>l3ard mohim, kayna?</t>
  </si>
  <si>
    <t>لعارد موهيم, كاينا?</t>
  </si>
  <si>
    <t>Yeah, that's a great idea</t>
  </si>
  <si>
    <t>ah, fikra zwina</t>
  </si>
  <si>
    <t>أه, فيكرا زوينا</t>
  </si>
  <si>
    <t>Do it and send it to the gym</t>
  </si>
  <si>
    <t>dirha o siftha l la salle</t>
  </si>
  <si>
    <t>ديرها أُ سيفتها ل لا سالّ</t>
  </si>
  <si>
    <t>I'm afraid that's the end of my shift now</t>
  </si>
  <si>
    <t>khayf tkon hadi hiya nihaya dyal nobti daba</t>
  </si>
  <si>
    <t>خايف تكون هادي هييا نيهايا ديال نوبتي دابا</t>
  </si>
  <si>
    <t>I've learned a lot from you this evening</t>
  </si>
  <si>
    <t>ta3almt mnk bzaf had l3chiya</t>
  </si>
  <si>
    <t>تاعالمت منك بزاف هاد لعشييا</t>
  </si>
  <si>
    <t>Welcome back, and see you tomorrow!</t>
  </si>
  <si>
    <t>marhaba brjo3 dyalk, nchofk ghda</t>
  </si>
  <si>
    <t>مارهابا برجوع ديالك, نشوفك غدا</t>
  </si>
  <si>
    <t>Hi, I'm having coffee with an orange juice, please.</t>
  </si>
  <si>
    <t>ahlan bghit l9ahwa m3a 3asir limon 3afak</t>
  </si>
  <si>
    <t>أهلان بغيت لقاهوا معا عاسير ليمون عافاك</t>
  </si>
  <si>
    <t>would you like milk with your coffee and ice in your orange juice?</t>
  </si>
  <si>
    <t>wach bghiti l7lib m3a l9ahwa o talj m3a limon?</t>
  </si>
  <si>
    <t>واش بغيتي لحليب معا لقاهوا أُ تالج معا ليمون?</t>
  </si>
  <si>
    <t>No thanks, no milk in my coffee and no ice in the orange juice.</t>
  </si>
  <si>
    <t>la chokran, la 7lib fl9ahwa la talj fl3aSir</t>
  </si>
  <si>
    <t>لا شوكران, لا حليب فلقاهوا لا تالج فلعاصير</t>
  </si>
  <si>
    <t>Here you are</t>
  </si>
  <si>
    <t>hanta</t>
  </si>
  <si>
    <t>هانتا</t>
  </si>
  <si>
    <t>Would you like to order any food?</t>
  </si>
  <si>
    <t>wach bghiti Tlab chi makla?</t>
  </si>
  <si>
    <t>واش بغيتي طلاب شي ماكلا?</t>
  </si>
  <si>
    <t>Our special dish today is chicken</t>
  </si>
  <si>
    <t>Taba9 dyalna lmomayaz lioma howa djaj</t>
  </si>
  <si>
    <t>طاباق ديالنا لموماياز ليوما هووا دجاج</t>
  </si>
  <si>
    <t>No, thank you</t>
  </si>
  <si>
    <t>la chokran</t>
  </si>
  <si>
    <t>لا شوكران</t>
  </si>
  <si>
    <t>Just coffee</t>
  </si>
  <si>
    <t>ghir l9ahwa</t>
  </si>
  <si>
    <t>غير لقاهوا</t>
  </si>
  <si>
    <t>Chicken pie?</t>
  </si>
  <si>
    <t>faTira dyal djaj</t>
  </si>
  <si>
    <t>فاطيرا ديال دجاج</t>
  </si>
  <si>
    <t>It's very original</t>
  </si>
  <si>
    <t>rah aSli bzaf</t>
  </si>
  <si>
    <t>راه أصلي بزاف</t>
  </si>
  <si>
    <t>You can always change your mind!</t>
  </si>
  <si>
    <t>dima ta9dar tbadal ra2yak</t>
  </si>
  <si>
    <t>ديما تاقدار تبادال راإياك</t>
  </si>
  <si>
    <t>Is that your dog that's just wandered in over there?</t>
  </si>
  <si>
    <t>wach hada kalbak likaydor tma?</t>
  </si>
  <si>
    <t>واش هادا كالباك ليكايدور تما?</t>
  </si>
  <si>
    <t>It seems to be looking for someone</t>
  </si>
  <si>
    <t>ban liya kay9alab 3la chi 7ad</t>
  </si>
  <si>
    <t>بان لييا كايقالاب علا شي حاد</t>
  </si>
  <si>
    <t>Cream chicken?</t>
  </si>
  <si>
    <t>djaj blkrima?</t>
  </si>
  <si>
    <t>دجاج بلكريما?</t>
  </si>
  <si>
    <t>Amazing!</t>
  </si>
  <si>
    <t>modhich</t>
  </si>
  <si>
    <t>مودهيش</t>
  </si>
  <si>
    <t>If it is yours, I'm afraid we don't allow dogs in our bar for hygiene reasons</t>
  </si>
  <si>
    <t>ila kan dyalk, rah makansma7och blklab 7na f l7ana l2asbab dyal naDafa</t>
  </si>
  <si>
    <t>إلا كان ديالك, راه ماكانسماحوش بلكلاب حنا ف لحانا لأسباب ديال ناضافا</t>
  </si>
  <si>
    <t>Sorry, but the dog in question is not mine!</t>
  </si>
  <si>
    <t>sma7 liya, walakin dak lkalb machi dyali</t>
  </si>
  <si>
    <t>سماح لييا, والاكين داك لكالب ماشي ديالي</t>
  </si>
  <si>
    <t>Hhmmmn, hold on while I put it outside</t>
  </si>
  <si>
    <t>hmmm, tsana 7ta nkharjo brra</t>
  </si>
  <si>
    <t>همّم, تسانا حتا نخارجو برّا</t>
  </si>
  <si>
    <t>Poor thing, it's raining too and looks hungry</t>
  </si>
  <si>
    <t>maskin, rah kati7 chta o ban liya ji3an</t>
  </si>
  <si>
    <t>ماسكين, راه كاتيح شتا أُ بان لييا جيعان</t>
  </si>
  <si>
    <t>I don't mind having a dog with us</t>
  </si>
  <si>
    <t>machi mochkil ykon m3ana kalb</t>
  </si>
  <si>
    <t>ماشي موشكيل يكون معانا كالب</t>
  </si>
  <si>
    <t>He's probably better off with us than outside</t>
  </si>
  <si>
    <t>imkan 7san ykon m3ana 3la bra</t>
  </si>
  <si>
    <t>إمكان حسان يكون معانا علا برا</t>
  </si>
  <si>
    <t>Are you enjoying your coffee?</t>
  </si>
  <si>
    <t>wach katmata3 b9ahwtak?</t>
  </si>
  <si>
    <t>واش كاتماتاع بقاهوتاك?</t>
  </si>
  <si>
    <t>You think your dog will like chicken pie?</t>
  </si>
  <si>
    <t>wach kadan kalbak ghadi yabghi faTira dyal djaj?</t>
  </si>
  <si>
    <t>واش كادان كالباك غادي يابغي فاطيرا ديال دجاج?</t>
  </si>
  <si>
    <t>mamt2akadch</t>
  </si>
  <si>
    <t>مامتأكادش</t>
  </si>
  <si>
    <t>Your coffee's not bad</t>
  </si>
  <si>
    <t>98iwtk makhaybach</t>
  </si>
  <si>
    <t>قهيوتك ماخايباش</t>
  </si>
  <si>
    <t>I also asked for an orange juice</t>
  </si>
  <si>
    <t>kifma tlabt 3aSir limon</t>
  </si>
  <si>
    <t>كيفما تلابت عاصير ليمون</t>
  </si>
  <si>
    <t>Oh yes, sorry I forgot.</t>
  </si>
  <si>
    <t>oh ah, sma7 liya nsit</t>
  </si>
  <si>
    <t>أُه أه, سماح لييا نسيت</t>
  </si>
  <si>
    <t>Here's your bill, it comes to 15 dhs</t>
  </si>
  <si>
    <t>hahiya fatora dyalk, waslat 15 dhs</t>
  </si>
  <si>
    <t>هاهييا فاتورا ديالك, واسلات 15 دهس</t>
  </si>
  <si>
    <t>Hey, it's my birthday</t>
  </si>
  <si>
    <t>ahya, rah 3id miladi</t>
  </si>
  <si>
    <t>أهيا, راه عيد ميلادي</t>
  </si>
  <si>
    <t>Don't you want to help me set something up?</t>
  </si>
  <si>
    <t>mabghitich t3awni n9ad chi 7aja?</t>
  </si>
  <si>
    <t>مابغيتيش تعاوني نقاد شي حاجا?</t>
  </si>
  <si>
    <t>I said I would, didn't I?</t>
  </si>
  <si>
    <t>galt bila ghadi ndir, kayna?</t>
  </si>
  <si>
    <t>ڭالت بيلا غادي ندير, كاينا?</t>
  </si>
  <si>
    <t>So here I am</t>
  </si>
  <si>
    <t>ewa hani</t>
  </si>
  <si>
    <t>إوا هاني</t>
  </si>
  <si>
    <t>What do you want me to do?</t>
  </si>
  <si>
    <t>ach bghitini ndir?</t>
  </si>
  <si>
    <t>أش بغيتيني ندير?</t>
  </si>
  <si>
    <t>I was thinking about doing this next Saturday</t>
  </si>
  <si>
    <t>kant kanfakar ndirha nhar sabt jay</t>
  </si>
  <si>
    <t>كانت كانفاكار نديرها نهار سابت جاي</t>
  </si>
  <si>
    <t>Maybe a restaurant?</t>
  </si>
  <si>
    <t>imkn maT3am?</t>
  </si>
  <si>
    <t>إمكن ماطعام?</t>
  </si>
  <si>
    <t>Oh</t>
  </si>
  <si>
    <t>oh</t>
  </si>
  <si>
    <t>أُه</t>
  </si>
  <si>
    <t>I thought it was today</t>
  </si>
  <si>
    <t>kan ys7ab liya lyoum</t>
  </si>
  <si>
    <t>كان يسحاب لييا ليوم</t>
  </si>
  <si>
    <t>I'm busy Saturday</t>
  </si>
  <si>
    <t>an machghol sabt</t>
  </si>
  <si>
    <t>أن ماشغول سابت</t>
  </si>
  <si>
    <t>That's a problem</t>
  </si>
  <si>
    <t>hadi mochkila</t>
  </si>
  <si>
    <t>هادي موشكيلا</t>
  </si>
  <si>
    <t>hada mochkil</t>
  </si>
  <si>
    <t>هادا موشكيل</t>
  </si>
  <si>
    <t>Oh, man.</t>
  </si>
  <si>
    <t>awdiii</t>
  </si>
  <si>
    <t>أوديّي</t>
  </si>
  <si>
    <t>My birthday is today, but I thought there'd be more people on the weekends</t>
  </si>
  <si>
    <t>3id miladi lyoum, walakin kanDn ghdi ykon bzaf dyal bnadam f 3oTla dyal nihaya osbo3</t>
  </si>
  <si>
    <t>عيد ميلادي ليوم, والاكين كانضن غدي يكون بزاف ديال بنادام ف عوطلا ديال نيهايا أُسبوع</t>
  </si>
  <si>
    <t>Can we reschedule for Sunday?</t>
  </si>
  <si>
    <t>wach n9adro n3awdo n7addo maw3id nhar l7ad?</t>
  </si>
  <si>
    <t>واش نقادرو نعاودو نحادّو ماوعيد نهار لحاد?</t>
  </si>
  <si>
    <t>Well as we've not scheduled the party yet we don't have to reschedule it</t>
  </si>
  <si>
    <t>ewa mlli mazal mazggina l7afla maghadich ikhssna n3awdo nzggiw</t>
  </si>
  <si>
    <t>إوا ملّي مازال مازڭّينا لحافلا ماغاديش إخسّنا نعاودو نزڭّيو</t>
  </si>
  <si>
    <t>We can just invite people on the Sunday</t>
  </si>
  <si>
    <t>n9adro ghir n3ardo 3la nas nhar l7ad</t>
  </si>
  <si>
    <t>نقادرو غير نعاردو علا ناس نهار لحاد</t>
  </si>
  <si>
    <t>Do you have a favourite restaurant?</t>
  </si>
  <si>
    <t>wach 3andak chi maT3am mofaDal?</t>
  </si>
  <si>
    <t>واش عانداك شي ماطعام موفاضال?</t>
  </si>
  <si>
    <t>Oh and are you paying for everything?</t>
  </si>
  <si>
    <t>oh wach katkhals kolchi?</t>
  </si>
  <si>
    <t>أُه واش كاتخالس كولشي?</t>
  </si>
  <si>
    <t>Do you know a good one?</t>
  </si>
  <si>
    <t>wach kat3raf chi fikra mazyana?</t>
  </si>
  <si>
    <t>واش كاتعراف شي فيكرا مازيانا?</t>
  </si>
  <si>
    <t>It's not too expensive in general</t>
  </si>
  <si>
    <t>rah maghalyach bzaf 3adatan</t>
  </si>
  <si>
    <t>راه ماغالياش بزاف عاداتان</t>
  </si>
  <si>
    <t>There's that new Italian place</t>
  </si>
  <si>
    <t>kayn dak lblasa talyaniya jdida</t>
  </si>
  <si>
    <t>كاين داك لبلاسا تاليانييا جديدا</t>
  </si>
  <si>
    <t>I'm not clear about who's paying</t>
  </si>
  <si>
    <t>ma3raftch chkon ghadi ykhalas</t>
  </si>
  <si>
    <t>ماعرافتش شكون غادي يخالاس</t>
  </si>
  <si>
    <t>Do you want your guests to pay for their own meal or will you pay for everything?</t>
  </si>
  <si>
    <t>wach bghiti Doyof dyalk ykhalso maklthom wla ghadi tkhalas nta kolchi?</t>
  </si>
  <si>
    <t>واش بغيتي ضويوف ديالك يخالسو ماكلتهوم ولا غادي تخالاس نتا كولشي?</t>
  </si>
  <si>
    <t>If it's not too expensive</t>
  </si>
  <si>
    <t>ila makantch ghalya</t>
  </si>
  <si>
    <t>إلا ماكانتش غاليا</t>
  </si>
  <si>
    <t>But I don't like Italians too much</t>
  </si>
  <si>
    <t>walakin makanbghich talyaniyin bzaf</t>
  </si>
  <si>
    <t>والاكين ماكانبغيش تاليانييين بزاف</t>
  </si>
  <si>
    <t>That sounds like a good plan</t>
  </si>
  <si>
    <t>katban liya khoTa mzyana</t>
  </si>
  <si>
    <t>كاتبان لييا خوطا مزيانا</t>
  </si>
  <si>
    <t>So a cheap French place</t>
  </si>
  <si>
    <t>idan blasa faranciya rkhisa</t>
  </si>
  <si>
    <t>إدان بلاسا فارانسييا رخيسا</t>
  </si>
  <si>
    <t>You know an Indonesian restaurant?</t>
  </si>
  <si>
    <t>wach kat3raf chi maT3am indonisi?</t>
  </si>
  <si>
    <t>واش كاتعراف شي ماطعام إندونيسي?</t>
  </si>
  <si>
    <t>What do you mean by the Thai?</t>
  </si>
  <si>
    <t>ach kat9sad b Thai?</t>
  </si>
  <si>
    <t>أش كاتقساد ب طهاي?</t>
  </si>
  <si>
    <t>We could invite our yoga group and the Glee Club</t>
  </si>
  <si>
    <t>n9adro n3ayto 3la lmajmo3a dyal yoga dyalna o Glee club</t>
  </si>
  <si>
    <t>نقادرو نعايتو علا لماجموعا ديال يوڭا ديالنا أُ ڭلي كلوب</t>
  </si>
  <si>
    <t>A Thai restaurant</t>
  </si>
  <si>
    <t>maT3am taylandi</t>
  </si>
  <si>
    <t>ماطعام تايلاندي</t>
  </si>
  <si>
    <t>I know a couple of Thai restaurants but they're not cheap</t>
  </si>
  <si>
    <t>kan3raf chi maTa3im taylandiyin walakin markhasch</t>
  </si>
  <si>
    <t>كانعراف شي ماطاعيم تايلاندييين والاكين مارخاسش</t>
  </si>
  <si>
    <t>Don't you know anywhere?</t>
  </si>
  <si>
    <t>wach makat3raf 7ta blasa?</t>
  </si>
  <si>
    <t>واش ماكاتعراف حتا بلاسا?</t>
  </si>
  <si>
    <t>I think there's one in the old harbor</t>
  </si>
  <si>
    <t>kandan kayna wa7da f lmarfa2 l9dim</t>
  </si>
  <si>
    <t>كاندان كاينا واحدا ف لمارفاء لقديم</t>
  </si>
  <si>
    <t>I'll look into it</t>
  </si>
  <si>
    <t>ghadi nTell 3liha</t>
  </si>
  <si>
    <t>غادي نطلّ عليها</t>
  </si>
  <si>
    <t>Yes I'll do that</t>
  </si>
  <si>
    <t>ah ghadi ndirha</t>
  </si>
  <si>
    <t>أه غادي نديرها</t>
  </si>
  <si>
    <t>Can I invite them all?</t>
  </si>
  <si>
    <t>wach na9dar n3rad 3lihom kamlin?</t>
  </si>
  <si>
    <t>واش ناقدار نعراد عليهوم كاملين?</t>
  </si>
  <si>
    <t>There's over thirty people in the yoga class</t>
  </si>
  <si>
    <t>kayn ktar mn tlatin chakhs f faSl yoga</t>
  </si>
  <si>
    <t>كاين كتار من تلاتين شاخس ف فاصل يوڭا</t>
  </si>
  <si>
    <t>Oh, no!</t>
  </si>
  <si>
    <t>oh la</t>
  </si>
  <si>
    <t>أُه لا</t>
  </si>
  <si>
    <t>Tuesday's band</t>
  </si>
  <si>
    <t>lfar9a dyal tlat</t>
  </si>
  <si>
    <t>لفارقا ديال تلات</t>
  </si>
  <si>
    <t>You know, it's only 8 on Tuesday</t>
  </si>
  <si>
    <t>kif kat3raf, hir 8 safi nhar tlat</t>
  </si>
  <si>
    <t>كيف كاتعراف, هير 8 سافي نهار تلات</t>
  </si>
  <si>
    <t>The rest of us don't know them so well</t>
  </si>
  <si>
    <t>lba9iy mnna makay3arfohomch mzyan</t>
  </si>
  <si>
    <t>لباقيي منّا ماكايعارفوهومش مزيان</t>
  </si>
  <si>
    <t>I take care of the restaurant and you invite the friends</t>
  </si>
  <si>
    <t>ana ntkllf blmaT3am o t3ayat 3la S7ab</t>
  </si>
  <si>
    <t>أنا نتكلّف بلماطعام أُ تعايات علا صحاب</t>
  </si>
  <si>
    <t>and we'll talk about it tomorrow?</t>
  </si>
  <si>
    <t>o ghadi nhadro 3lih ghda?</t>
  </si>
  <si>
    <t>أُ غادي نهادرو عليه غدا?</t>
  </si>
  <si>
    <t>Oh them!</t>
  </si>
  <si>
    <t>oh homa!</t>
  </si>
  <si>
    <t>أُه هوما!</t>
  </si>
  <si>
    <t>Glad I asked</t>
  </si>
  <si>
    <t>far7an 7it sawalt</t>
  </si>
  <si>
    <t>فارحان حيت ساوالت</t>
  </si>
  <si>
    <t>Yes I'll get in touch with them for you</t>
  </si>
  <si>
    <t>ah, ghadi natwasal m3ahom 3la 9ablak</t>
  </si>
  <si>
    <t>أه, غادي ناتواسال معاهوم علا قابلاك</t>
  </si>
  <si>
    <t>You could use my flat</t>
  </si>
  <si>
    <t>ta9dar tsta3mal cho99a dyali</t>
  </si>
  <si>
    <t>تاقدار تستاعمال شوقّا ديالي</t>
  </si>
  <si>
    <t>That's a great idea!</t>
  </si>
  <si>
    <t>hadi fikra ra2i3a</t>
  </si>
  <si>
    <t>هادي فيكرا راإعا</t>
  </si>
  <si>
    <t>You wouldn't mind?</t>
  </si>
  <si>
    <t>maghadich tbrzT?</t>
  </si>
  <si>
    <t>ماغاديش تبرزط?</t>
  </si>
  <si>
    <t>And Gerard might come along</t>
  </si>
  <si>
    <t>ya9dar yji 7ta Gerard</t>
  </si>
  <si>
    <t>ياقدار يجي حتا ڭرارد</t>
  </si>
  <si>
    <t>You never know</t>
  </si>
  <si>
    <t>ma3amrak ta3raf</t>
  </si>
  <si>
    <t>ماعامراك تاعراف</t>
  </si>
  <si>
    <t>If you know what I mean</t>
  </si>
  <si>
    <t>ila 3rafti ach bghit na9sad</t>
  </si>
  <si>
    <t>إلا عرافتي أش بغيت ناقساد</t>
  </si>
  <si>
    <t>Great, let's do it this way!</t>
  </si>
  <si>
    <t>3aDim, khlina ndiroha bhad Tari9a</t>
  </si>
  <si>
    <t>عاضيم, خلينا نديروها بهاد طاريقا</t>
  </si>
  <si>
    <t>And we can cook together in the morning!</t>
  </si>
  <si>
    <t>o n9adro nTaybo lmakla bjoj fsbah</t>
  </si>
  <si>
    <t>أُ نقادرو نطايبو لماكلا بجوج فسباه</t>
  </si>
  <si>
    <t>I can't wait!</t>
  </si>
  <si>
    <t>ma9adarch ntsana</t>
  </si>
  <si>
    <t>ماقادارش نتسانا</t>
  </si>
  <si>
    <t>Can I talk to you tomorrow to complete the organization?</t>
  </si>
  <si>
    <t>wach na9dar nahdar m3ak ghda bach nkamlo tanDim</t>
  </si>
  <si>
    <t>واش ناقدار ناهدار معاك غدا باش نكاملو تانضيم</t>
  </si>
  <si>
    <t>Cook?</t>
  </si>
  <si>
    <t>Tyab?</t>
  </si>
  <si>
    <t>طياب?</t>
  </si>
  <si>
    <t>That might be a problem</t>
  </si>
  <si>
    <t>hadchi i9dr ikhl9 mochkil</t>
  </si>
  <si>
    <t>هادشي إقدر إخلق موشكيل</t>
  </si>
  <si>
    <t>But I haven't got time to tell you why</t>
  </si>
  <si>
    <t>walakin ma3ndich lwa9t bach ngolik 3lach</t>
  </si>
  <si>
    <t>والاكين ماعنديش لواقت باش نڭوليك علاش</t>
  </si>
  <si>
    <t>How about ordering Thai food from that restaurant?</t>
  </si>
  <si>
    <t>ach ban lik f Talab lmakla taylandiya mn had lmaT3am?</t>
  </si>
  <si>
    <t>أش بان ليك ف طالاب لماكلا تايلاندييا من هاد لماطعام?</t>
  </si>
  <si>
    <t>I have to go!</t>
  </si>
  <si>
    <t>khasni namchi</t>
  </si>
  <si>
    <t>خاسني نامشي</t>
  </si>
  <si>
    <t>Let's speak tomorrow</t>
  </si>
  <si>
    <t>nhadro ghda</t>
  </si>
  <si>
    <t>نهادرو غدا</t>
  </si>
  <si>
    <t>We'll find a solution</t>
  </si>
  <si>
    <t>ghadi nal9aw 7al</t>
  </si>
  <si>
    <t>غادي نالقاو حال</t>
  </si>
  <si>
    <t>See you tomorrow!</t>
  </si>
  <si>
    <t>nchofak ghda</t>
  </si>
  <si>
    <t>نشوفاك غدا</t>
  </si>
  <si>
    <t>Have I ever seen you around that pond?</t>
  </si>
  <si>
    <t>wach fayt chaftak 7da dik lbirka?</t>
  </si>
  <si>
    <t>واش فايت شافتاك حدا ديك لبيركا?</t>
  </si>
  <si>
    <t>Wasn't it yesterday?</t>
  </si>
  <si>
    <t>makantch lbar7?</t>
  </si>
  <si>
    <t>ماكانتش لبارح?</t>
  </si>
  <si>
    <t>i tend to keep to myself</t>
  </si>
  <si>
    <t>kanbghi n7tafaD brasi</t>
  </si>
  <si>
    <t>كانبغي نحتافاض براسي</t>
  </si>
  <si>
    <t>I do come here every day so you probably did see me</t>
  </si>
  <si>
    <t>ana kanji hna kol nhar dakchi 3lach t9dr tkon chaftini</t>
  </si>
  <si>
    <t>أنا كانجي هنا كول نهار داكشي علاش تقدر تكون شافتيني</t>
  </si>
  <si>
    <t>I like to come to this park, too</t>
  </si>
  <si>
    <t>3ziz 3lia nji lhad l7adi9a, tahia</t>
  </si>
  <si>
    <t>عزيز عليا نجي لهاد لحاديقا, تاهيا</t>
  </si>
  <si>
    <t>I think the place is really quiet</t>
  </si>
  <si>
    <t>kanDn had lmkan hadi2 bzaf</t>
  </si>
  <si>
    <t>كانضن هاد لمكان هاديء بزاف</t>
  </si>
  <si>
    <t>I just wish they hadn't put in the playground over on the other side</t>
  </si>
  <si>
    <t>kantmana kon madaroch lmal3ab fjiha lokhra</t>
  </si>
  <si>
    <t>كانتمانا كون ماداروش لمالعاب فجيها لوخرا</t>
  </si>
  <si>
    <t>the children are so noisy, I'm afraid they are going to scare away the ducklings</t>
  </si>
  <si>
    <t>drari kaydiro sda3 bzaf, o kankhaf ykhal3o lfrakh dyal lbaT</t>
  </si>
  <si>
    <t>دراري كايديرو سداع بزاف, أُ كانخاف يخالعو لفراخ ديال لباط</t>
  </si>
  <si>
    <t>I think they're planning a soccer game today between the city's different neighborhoods</t>
  </si>
  <si>
    <t>kanDn kaykhaTo lmobarat fkora l9adam bin a7ya2 dyal lmdina</t>
  </si>
  <si>
    <t>كانضن كايخاطو لموبارات فكورا لقادام بين أحياء ديال لمدينا</t>
  </si>
  <si>
    <t>what?!</t>
  </si>
  <si>
    <t>kifach?</t>
  </si>
  <si>
    <t>كيفاش?</t>
  </si>
  <si>
    <t>that's ludicrous!</t>
  </si>
  <si>
    <t>hadchi sakhif</t>
  </si>
  <si>
    <t>هادشي ساخيف</t>
  </si>
  <si>
    <t>there are stadiums for that sort of shenanigans</t>
  </si>
  <si>
    <t>kaynin mala3ib lhad naw3 dyal lkhoda3</t>
  </si>
  <si>
    <t>كاينين مالاعيب لهاد ناوع ديال لخوداع</t>
  </si>
  <si>
    <t>I believe the new municipal team wants to promote exchange</t>
  </si>
  <si>
    <t>kanDn lfari9 lbaladi jdid bgha t3ziz tabadol</t>
  </si>
  <si>
    <t>كانضن لفاريق لبالادي جديد بغا تعزيز تابادول</t>
  </si>
  <si>
    <t>exchange programmes with foreign students</t>
  </si>
  <si>
    <t>baramij tabadol m3a Tolab?</t>
  </si>
  <si>
    <t>باراميج تابادول معا طولاب?</t>
  </si>
  <si>
    <t>what kind of exchange do you mean?</t>
  </si>
  <si>
    <t>achmn naw3 dyal tabadol kat9sad?</t>
  </si>
  <si>
    <t>أشمن ناوع ديال تابادول كاتقساد?</t>
  </si>
  <si>
    <t>Not even close</t>
  </si>
  <si>
    <t>machi 7ta 9riba</t>
  </si>
  <si>
    <t>ماشي حتا قريبا</t>
  </si>
  <si>
    <t>Just the children of the different neighborhoods</t>
  </si>
  <si>
    <t>ghir drari dyal a7ya2 lmakhtalfa</t>
  </si>
  <si>
    <t>غير دراري ديال أحياء لماختالفا</t>
  </si>
  <si>
    <t>well that's nice</t>
  </si>
  <si>
    <t>wakha hadchi zwin</t>
  </si>
  <si>
    <t>واخا هادشي زوين</t>
  </si>
  <si>
    <t>I just hope they don't make too much of a ruckus</t>
  </si>
  <si>
    <t>kantmana ghir maydiroch bzaf dyal sda3</t>
  </si>
  <si>
    <t>كانتمانا غير مايديروش بزاف ديال سداع</t>
  </si>
  <si>
    <t>There you go</t>
  </si>
  <si>
    <t>It's true that security issues have gone up</t>
  </si>
  <si>
    <t>bsah lmachakil l2amniya rtaf3at</t>
  </si>
  <si>
    <t>بساه لماشاكيل لأمنييا رتافعات</t>
  </si>
  <si>
    <t>i hope it works</t>
  </si>
  <si>
    <t>kantmana yakhdam</t>
  </si>
  <si>
    <t>كانتمانا ياخدام</t>
  </si>
  <si>
    <t>That's right</t>
  </si>
  <si>
    <t>bsah</t>
  </si>
  <si>
    <t>بساه</t>
  </si>
  <si>
    <t>We're all forced to live together</t>
  </si>
  <si>
    <t>7na kamlin bzzez 3lina n3icho m3a ba3diyatna</t>
  </si>
  <si>
    <t>حنا كاملين بزّز علينا نعيشو معا باعديياتنا</t>
  </si>
  <si>
    <t>as they say, if you don't like living here, then go live elsewhere</t>
  </si>
  <si>
    <t>kif kaygolo, ila kanti makatbghich t3ich 8na, sir 3ich f blasa khra</t>
  </si>
  <si>
    <t>كيف كايڭولو, إلا كانتي ماكاتبغيش تعيش هنا, سير عيش ف بلاسا خرا</t>
  </si>
  <si>
    <t>When we were born here, it's hard to go to another country</t>
  </si>
  <si>
    <t>mnin twladna hna, S3ib nmchiw lblad khra</t>
  </si>
  <si>
    <t>منين تولادنا هنا, صعيب نمشيو لبلاد خرا</t>
  </si>
  <si>
    <t>We're losing all its landmarks</t>
  </si>
  <si>
    <t>kankhasro ga3 lma3alim dyalha</t>
  </si>
  <si>
    <t>كانخاسرو ڭاع لماعاليم ديالها</t>
  </si>
  <si>
    <t>landmarks, like the pond and the park?</t>
  </si>
  <si>
    <t>ma3alim b7al lbirka o lmontazah?</t>
  </si>
  <si>
    <t>ماعاليم بحال لبيركا أُ لمونتازاه?</t>
  </si>
  <si>
    <t>For example</t>
  </si>
  <si>
    <t>Or his doctor's choice</t>
  </si>
  <si>
    <t>wla lkhiyar dyal Tbib dyalo</t>
  </si>
  <si>
    <t>ولا لخييار ديال طبيب ديالو</t>
  </si>
  <si>
    <t>It's not easy to find a new doctor that works when you change town</t>
  </si>
  <si>
    <t>machi sahl tal9a Tbib jdid kaykhdam mnin katghayer lmdina</t>
  </si>
  <si>
    <t>ماشي ساهل تالقا طبيب جديد كايخدام منين كاتغاير لمدينا</t>
  </si>
  <si>
    <t>Or just find a supermarket that sells products I'm used to</t>
  </si>
  <si>
    <t>wla ghir tl9a super marche kaybi3 lmonatajat liwllft</t>
  </si>
  <si>
    <t>ولا غير تلقا سوپر مارش كايبيع لموناتاجات ليولّفت</t>
  </si>
  <si>
    <t>Do you want an outdoor party as the weather is so good?</t>
  </si>
  <si>
    <t>wach bghiti 7afla 3la berra 7it Ta9s zwin bzaf</t>
  </si>
  <si>
    <t>واش بغيتي حافلا علا برّا حيت طاقس زوين بزاف</t>
  </si>
  <si>
    <t>ah Tab3an</t>
  </si>
  <si>
    <t>أه طابعان</t>
  </si>
  <si>
    <t>I think we should go to the park next, we can have a barbecue.</t>
  </si>
  <si>
    <t>kanDn khasna nmchiw l7adi9a moraha, n9adro ndiro chwa</t>
  </si>
  <si>
    <t>كانضن خاسنا نمشيو لحاديقا موراها, نقادرو نديرو شوا</t>
  </si>
  <si>
    <t>Barbecue or something more sophisticated?</t>
  </si>
  <si>
    <t>chwa wla chi 7aja 7san</t>
  </si>
  <si>
    <t>شوا ولا شي حاجا حسان</t>
  </si>
  <si>
    <t>Oh, no, we're between us!</t>
  </si>
  <si>
    <t>oh la binatna</t>
  </si>
  <si>
    <t>أُه لا بيناتنا</t>
  </si>
  <si>
    <t>I'm not planning on inviting the Queen of England!</t>
  </si>
  <si>
    <t>makankhTaTch n3rad 3la malika dyal inglatira</t>
  </si>
  <si>
    <t>ماكانخطاطش نعراد علا ماليكا ديال إنڭلاتيرا</t>
  </si>
  <si>
    <t>Or the new royal couple, haha!</t>
  </si>
  <si>
    <t>wla l2azwaj lmalakiyan jdad, haha</t>
  </si>
  <si>
    <t>ولا لأزواج لمالاكييان جداد, هاها</t>
  </si>
  <si>
    <t>I'll wear a very smart dress so it will feel as if I'm at something royal</t>
  </si>
  <si>
    <t>ghadi nlbas fostan ani9 7ta nwali n7as b7ala f7afla malakiya</t>
  </si>
  <si>
    <t>غادي نلباس فوستان أنيق حتا نوالي نحاس بحالا فحافلا مالاكييا</t>
  </si>
  <si>
    <t>Mind you, I'm very happy to be celebrating with you</t>
  </si>
  <si>
    <t>dir fbalk, ana far7an bzaf n7tafal m3ak</t>
  </si>
  <si>
    <t>دير فبالك, أنا فارحان بزاف نحتافال معاك</t>
  </si>
  <si>
    <t>Yes, it'll be fun!</t>
  </si>
  <si>
    <t>ah, ghadi ykon momti3</t>
  </si>
  <si>
    <t>أه, غادي يكون مومتيع</t>
  </si>
  <si>
    <t>You gave me an idea</t>
  </si>
  <si>
    <t>3titini fikra</t>
  </si>
  <si>
    <t>عتيتيني فيكرا</t>
  </si>
  <si>
    <t>Let's make a royal barbecue!</t>
  </si>
  <si>
    <t>yalah ndiro 7afl chiwa2 malaki</t>
  </si>
  <si>
    <t>يالاه نديرو حافل شيواء مالاكي</t>
  </si>
  <si>
    <t>The wedding was stunning, wasn't it?</t>
  </si>
  <si>
    <t>kan l7afl dyal zwaj modhil awlla</t>
  </si>
  <si>
    <t>كان لحافل ديال زواج مودهيل أولّا</t>
  </si>
  <si>
    <t>We will have fun too</t>
  </si>
  <si>
    <t>ghadi ntmat3o 7ta 7na</t>
  </si>
  <si>
    <t>غادي نتماتعو حتا حنا</t>
  </si>
  <si>
    <t>Shall I organise the barbecue meat and fish?</t>
  </si>
  <si>
    <t>wach ndir chwa dyal l7am o l7ot</t>
  </si>
  <si>
    <t>واش ندير شوا ديال لحام أُ لحوت</t>
  </si>
  <si>
    <t>Then we could ask friends to bring salads and wine</t>
  </si>
  <si>
    <t>o n9adro nTalbo mn s7ab yjibo chlaDa o nabid</t>
  </si>
  <si>
    <t>أُ نقادرو نطالبو من سحاب يجيبو شلاضا أُ نابيد</t>
  </si>
  <si>
    <t>Yes, why not!</t>
  </si>
  <si>
    <t>ah 3lach la</t>
  </si>
  <si>
    <t>أه علاش لا</t>
  </si>
  <si>
    <t>I'm gonna make cake for dessert</t>
  </si>
  <si>
    <t>ghadi n9ad l7alwa</t>
  </si>
  <si>
    <t>غادي نقاد لحالوا</t>
  </si>
  <si>
    <t>Chocolate?</t>
  </si>
  <si>
    <t>choklat?</t>
  </si>
  <si>
    <t>شوكلات?</t>
  </si>
  <si>
    <t>Yes, a chocolate cake, and another apple I think.</t>
  </si>
  <si>
    <t>ah, 7alwa dyal choklat, o tfa7a khra 3la makanDn</t>
  </si>
  <si>
    <t>أه, حالوا ديال شوكلات, أُ تفاحا خرا علا ماكانضن</t>
  </si>
  <si>
    <t>What did you get?</t>
  </si>
  <si>
    <t>achno khditi?</t>
  </si>
  <si>
    <t>أشنو خديتي?</t>
  </si>
  <si>
    <t>Very French but much better than our traditional fruit cake</t>
  </si>
  <si>
    <t>franciya bzaf walakin 7san bzaf mn l7alwa lfakiha ta9lidiya</t>
  </si>
  <si>
    <t>فرانسييا بزاف والاكين حسان بزاف من لحالوا لفاكيها تاقليدييا</t>
  </si>
  <si>
    <t>Luck!</t>
  </si>
  <si>
    <t>zhar</t>
  </si>
  <si>
    <t>زهار</t>
  </si>
  <si>
    <t>You think I should do that?</t>
  </si>
  <si>
    <t>wach kadan khasni ndir dakchi?</t>
  </si>
  <si>
    <t>واش كادان خاسني ندير داكشي?</t>
  </si>
  <si>
    <t>Are you going to wear a princess crown?</t>
  </si>
  <si>
    <t>wach ghadi talbas taj dyal amira?</t>
  </si>
  <si>
    <t>واش غادي تالباس تاج ديال أميرا?</t>
  </si>
  <si>
    <t>Sorry I don't understand what you mean</t>
  </si>
  <si>
    <t>sma7 liya mafhamtch ach kat3ni</t>
  </si>
  <si>
    <t>سماح لييا مافهامتش أش كاتعني</t>
  </si>
  <si>
    <t>Yeah, I think I'm gonna wear a nice solid gold tiara, with a lot of diamonds!</t>
  </si>
  <si>
    <t>ah, kanDn ghadi nlbas taj mn dhab lkhaliS, m3a bzaf dyal almas</t>
  </si>
  <si>
    <t>أه, كانضن غادي نلباس تاج من دهاب لخاليص, معا بزاف ديال ألماس</t>
  </si>
  <si>
    <t>It's gonna be really beautiful</t>
  </si>
  <si>
    <t>ghadi tkon zwina bzaf</t>
  </si>
  <si>
    <t>غادي تكون زوينا بزاف</t>
  </si>
  <si>
    <t>I was talking about dessert, but I think I'm gonna make it easier for you</t>
  </si>
  <si>
    <t>kant kanhdar 3la l7alwa, walakin kanDn bila ghadi nkhali l2amr sahl lik</t>
  </si>
  <si>
    <t>كانت كانهدار علا لحالوا, والاكين كانضن بيلا غادي نخالي لأمر ساهل ليك</t>
  </si>
  <si>
    <t>Good lord, I hope there won't be any strange people in the park</t>
  </si>
  <si>
    <t>yarbi kantmana maykon 7ta 7ad ghrib f l7adi9a</t>
  </si>
  <si>
    <t>ياربي كانتمانا مايكون حتا حاد غريب ف لحاديقا</t>
  </si>
  <si>
    <t>About the meat and fish, I'm also going to take a few things for vegetarians</t>
  </si>
  <si>
    <t>dakchi likayt3ala9 blo7om o l7ot, ghadi nakhod chwiya dyal l7wayj khrin l nabatiyin</t>
  </si>
  <si>
    <t>داكشي ليكايتعالاق بلوحوم أُ لحوت, غادي ناخود شوييا ديال لحوايج خرين ل ناباتييين</t>
  </si>
  <si>
    <t>You never know!</t>
  </si>
  <si>
    <t>mat3raf!</t>
  </si>
  <si>
    <t>ماتعراف!</t>
  </si>
  <si>
    <t>We might be mugged!</t>
  </si>
  <si>
    <t>y9adro ysar9ona</t>
  </si>
  <si>
    <t>يقادرو يسارقونا</t>
  </si>
  <si>
    <t>Yes, that's for sure!</t>
  </si>
  <si>
    <t>ah, hadchi mo2akad</t>
  </si>
  <si>
    <t>أه, هادشي موأكاد</t>
  </si>
  <si>
    <t>Perhaps you could bring a sword, as a true knight of the Crown!</t>
  </si>
  <si>
    <t>n9adro njibo sif, b7al faris 7a9i9i ltaj</t>
  </si>
  <si>
    <t>نقادرو نجيبو سيف, بحال فاريس حاقيقي لتاج</t>
  </si>
  <si>
    <t>Sorry so slow but I'm on my phone</t>
  </si>
  <si>
    <t>sma7 liya m3atal walakin ana f tilifon</t>
  </si>
  <si>
    <t>سماح لييا معاتال والاكين أنا ف تيليفون</t>
  </si>
  <si>
    <t>Come on, let's do it this way!</t>
  </si>
  <si>
    <t>aji, khlina ndiroha bhad Tari9a</t>
  </si>
  <si>
    <t>أجي, خلينا نديروها بهاد طاريقا</t>
  </si>
  <si>
    <t>Thank you so much for your help</t>
  </si>
  <si>
    <t>chokran 3la lmosa3ada dyalk</t>
  </si>
  <si>
    <t>شوكران علا لموساعادا ديالك</t>
  </si>
  <si>
    <t>this weekend then!</t>
  </si>
  <si>
    <t>fnihaya dyal simana idan</t>
  </si>
  <si>
    <t>فنيهايا ديال سيمانا إدان</t>
  </si>
  <si>
    <t>So what made your day so bad today?</t>
  </si>
  <si>
    <t>achno khla nharak khayb bzaf lyoum?</t>
  </si>
  <si>
    <t>أشنو خلا نهاراك خايب بزاف ليوم?</t>
  </si>
  <si>
    <t>Did you have time to take lunch?</t>
  </si>
  <si>
    <t>wach kan 3andak lwa9t bach takol lghda?</t>
  </si>
  <si>
    <t>واش كان عانداك لواقت باش تاكول لغدا?</t>
  </si>
  <si>
    <t>The day had begun</t>
  </si>
  <si>
    <t>nnhar bda</t>
  </si>
  <si>
    <t>النهار بدا</t>
  </si>
  <si>
    <t>Yes, I was able to have lunch</t>
  </si>
  <si>
    <t>ah, rah 9drt nakol lghda</t>
  </si>
  <si>
    <t>أه, راه قدرت ناكول لغدا</t>
  </si>
  <si>
    <t>In the garage</t>
  </si>
  <si>
    <t>f lgarage</t>
  </si>
  <si>
    <t>ف لڭاراڭ</t>
  </si>
  <si>
    <t>This morning my car broke down</t>
  </si>
  <si>
    <t>had sbah khasrat liya syara dyali</t>
  </si>
  <si>
    <t>هاد سباه خاسرات لييا سيارا ديالي</t>
  </si>
  <si>
    <t>had sbah khasrat liya tomobilti</t>
  </si>
  <si>
    <t>هاد سباه خاسرات لييا توموبيلتي</t>
  </si>
  <si>
    <t>Between two dates</t>
  </si>
  <si>
    <t>bin joj mawa3id</t>
  </si>
  <si>
    <t>بين جوج ماواعيد</t>
  </si>
  <si>
    <t>Oh no poor you</t>
  </si>
  <si>
    <t>oh la, mskin</t>
  </si>
  <si>
    <t>أُه لا, مسكين</t>
  </si>
  <si>
    <t>I hope you didn't get wet</t>
  </si>
  <si>
    <t>kantmana matkonch fzgti</t>
  </si>
  <si>
    <t>كانتمانا ماتكونش فزڭتي</t>
  </si>
  <si>
    <t>As you're now home, I'm assuming that you managed to get the car fixed?</t>
  </si>
  <si>
    <t>mnin nta fdar daba, kanftaraD bila 9aditi tomobil?</t>
  </si>
  <si>
    <t>منين نتا فدار دابا, كانفتاراض بيلا قاديتي توموبيل?</t>
  </si>
  <si>
    <t>No, I had to walk home</t>
  </si>
  <si>
    <t>la, kan khasni ntmcha ldar</t>
  </si>
  <si>
    <t>لا, كان خاسني نتمشا لدار</t>
  </si>
  <si>
    <t>A real nightmare</t>
  </si>
  <si>
    <t>kabos 7a9i9i</t>
  </si>
  <si>
    <t>كابوس حاقيقي</t>
  </si>
  <si>
    <t>How much is it going to cost to get the car fixed?</t>
  </si>
  <si>
    <t>ch7al khs tlflous bach tsayab sayara?</t>
  </si>
  <si>
    <t>شحال خس تلفلوس باش تساياب سايارا?</t>
  </si>
  <si>
    <t>Not very expensive, but you have to order the spare</t>
  </si>
  <si>
    <t>machi ghalya bzaf walakin khasak tlab l9ita3 dyal lghiyar</t>
  </si>
  <si>
    <t>ماشي غاليا بزاف والاكين خاساك تلاب لقيتاع ديال لغييار</t>
  </si>
  <si>
    <t>About 200 dhs</t>
  </si>
  <si>
    <t>ta9riban 200 dhs</t>
  </si>
  <si>
    <t>تاقريبان 200 دهس</t>
  </si>
  <si>
    <t>Have you got 200 dhs?</t>
  </si>
  <si>
    <t>wach 3ndak 200 dhs</t>
  </si>
  <si>
    <t>واش عنداك 200 دهس</t>
  </si>
  <si>
    <t>We could use the holiday money we've put by?</t>
  </si>
  <si>
    <t>wach n9adro nakhdo lflos dyal l3oTla li7tina</t>
  </si>
  <si>
    <t>واش نقادرو ناخدو لفلوس ديال لعوطلا ليحتينا</t>
  </si>
  <si>
    <t>If only that</t>
  </si>
  <si>
    <t>kon ghir kan ghir hadchi</t>
  </si>
  <si>
    <t>كون غير كان غير هادشي</t>
  </si>
  <si>
    <t>Running to catch the bus, I twisted my ankle</t>
  </si>
  <si>
    <t>jrit bach nchad l7afila, lwit ka7il dyali</t>
  </si>
  <si>
    <t>جريت باش نشاد لحافيلا, لويت كاحيل ديالي</t>
  </si>
  <si>
    <t>I thought it was looking a bit swollen</t>
  </si>
  <si>
    <t>kanDn katban manfokha chwiya</t>
  </si>
  <si>
    <t>كانضن كاتبان مانفوخا شوييا</t>
  </si>
  <si>
    <t>You need to get some ice on it</t>
  </si>
  <si>
    <t>at7taj chwiya dyal talj 3liha</t>
  </si>
  <si>
    <t>أتحتاج شوييا ديال تالج عليها</t>
  </si>
  <si>
    <t>I wanted to call a cab</t>
  </si>
  <si>
    <t>knt bghit n3ayat 3la taxi</t>
  </si>
  <si>
    <t>كنت بغيت نعايات علا تاشي</t>
  </si>
  <si>
    <t>And when he saw that I was soaking wet, he wouldn't let me in.</t>
  </si>
  <si>
    <t>omli chaf bli kant sard, makhlanich ndkhal.</t>
  </si>
  <si>
    <t>أُملي شاف بلي كانت سارد, ماخلانيش ندخال.</t>
  </si>
  <si>
    <t>Then it pissed me off</t>
  </si>
  <si>
    <t>otmma tla3 lia dam</t>
  </si>
  <si>
    <t>أُتمّا تلاع ليا دام</t>
  </si>
  <si>
    <t>How terrible</t>
  </si>
  <si>
    <t>ch7al khayba</t>
  </si>
  <si>
    <t>شحال خايبا</t>
  </si>
  <si>
    <t>I'm sorry you've had such a bad day</t>
  </si>
  <si>
    <t>sma7lia 7it dwzti b7al had nhar lkhayb</t>
  </si>
  <si>
    <t>سماحليا حيت دوزتي بحال هاد نهار لخايب</t>
  </si>
  <si>
    <t>I started screaming at him</t>
  </si>
  <si>
    <t>bdit kanghowet 3lih</t>
  </si>
  <si>
    <t>بديت كانغووت عليه</t>
  </si>
  <si>
    <t>What did he say then?</t>
  </si>
  <si>
    <t>achno gal ba3d dakchi?</t>
  </si>
  <si>
    <t>أشنو ڭال باعد داكشي?</t>
  </si>
  <si>
    <t>So it was better</t>
  </si>
  <si>
    <t>dakchi 3lach kan 7san</t>
  </si>
  <si>
    <t>داكشي علاش كان حسان</t>
  </si>
  <si>
    <t>Insults</t>
  </si>
  <si>
    <t>ssbban</t>
  </si>
  <si>
    <t>السبّان</t>
  </si>
  <si>
    <t>Tomorrow I can drive you to work</t>
  </si>
  <si>
    <t>ghda imkan liya nsog bik lkhdma</t>
  </si>
  <si>
    <t>غدا إمكان لييا نسوڭ بيك لخدما</t>
  </si>
  <si>
    <t>what are you talking about?!</t>
  </si>
  <si>
    <t>3layach kadwi?!</t>
  </si>
  <si>
    <t>علاياش كادوي?!</t>
  </si>
  <si>
    <t>I'm head chef!</t>
  </si>
  <si>
    <t>ana ra2is dyal tabakhin!</t>
  </si>
  <si>
    <t>أنا راإس ديال تاباخين!</t>
  </si>
  <si>
    <t>You were meant to get the ingredients</t>
  </si>
  <si>
    <t>kan khasak takhad lmokawinat</t>
  </si>
  <si>
    <t>كان خاساك تاخاد لموكاوينات</t>
  </si>
  <si>
    <t>please don't tell me you forgot to go shopping</t>
  </si>
  <si>
    <t>3afak matgolch lia bli nsiti mamchiti t9dda</t>
  </si>
  <si>
    <t>عافاك ماتڭولش ليا بلي نسيتي مامشيتي تقدّا</t>
  </si>
  <si>
    <t>what are we going to serve our customers?</t>
  </si>
  <si>
    <t>achno 7na ghadin n9ddmo lklyan dyalna?</t>
  </si>
  <si>
    <t>أشنو حنا غادين نقدّمو لكليان ديالنا?</t>
  </si>
  <si>
    <t>our hungry, hungry customers!</t>
  </si>
  <si>
    <t>lklyan dyalna ji3anin, ji3anin!</t>
  </si>
  <si>
    <t>لكليان ديالنا جيعانين, جيعانين!</t>
  </si>
  <si>
    <t>But you told me you'd go to the market this morning!</t>
  </si>
  <si>
    <t>walakin glti lia bli atmchi lso9 had sba7!</t>
  </si>
  <si>
    <t>والاكين ڭلتي ليا بلي أتمشي لسوق هاد سباح!</t>
  </si>
  <si>
    <t>Don't we have the ingredients?</t>
  </si>
  <si>
    <t>wach ma3ndnach lmokawinat?</t>
  </si>
  <si>
    <t>واش ماعندناش لموكاوينات?</t>
  </si>
  <si>
    <t>anyway, we are clearly in a massive pickle here</t>
  </si>
  <si>
    <t>lmohim, bayna wach 7na fm29zak kbir 8na</t>
  </si>
  <si>
    <t>لموهيم, باينا واش حنا فمءقزاك كبير هنا</t>
  </si>
  <si>
    <t>I guess we'll just have to use leftovers from yesterday</t>
  </si>
  <si>
    <t>kanDn aykhasna nkhadmo ghir b lmakla lib9at mn lbar7</t>
  </si>
  <si>
    <t>كانضن أيخاسنا نخادمو غير ب لماكلا ليبقات من لبارح</t>
  </si>
  <si>
    <t>I hope they don't notice anything wrong</t>
  </si>
  <si>
    <t>n2amlo mayla7doch 7ta chi khata2</t>
  </si>
  <si>
    <t>نأملو مايلاحدوش حتا شي خاتاء</t>
  </si>
  <si>
    <t>We got five hours till tonight's dinner</t>
  </si>
  <si>
    <t>3ndna khamsa dyal sway3 7ta l3cha dyal lila</t>
  </si>
  <si>
    <t>عندنا خامسا ديال سوايع حتا لعشا ديال ليلا</t>
  </si>
  <si>
    <t>I can go to the super market and see what they got</t>
  </si>
  <si>
    <t>n9dd nmchiw lso9 nchof ach 3ndhom tmma</t>
  </si>
  <si>
    <t>نقدّ نمشيو لسوق نشوف أش عندهوم تمّا</t>
  </si>
  <si>
    <t>I'm sorry, I misunderstood.</t>
  </si>
  <si>
    <t>sm7lia, fhamt ghalat</t>
  </si>
  <si>
    <t>سمحليا, فهامت غالات</t>
  </si>
  <si>
    <t>well you better hurry then because we have prep to do</t>
  </si>
  <si>
    <t>mn l2a7san tzrab 7it rah 3ndna mandiro mazal</t>
  </si>
  <si>
    <t>من لأحسان تزراب حيت راه عندنا مانديرو مازال</t>
  </si>
  <si>
    <t>and bully beef takes more than five hours</t>
  </si>
  <si>
    <t>o l7am lbagri khsso ktar mn khamsa dyal sway3</t>
  </si>
  <si>
    <t>أُ لحام لباڭري خسّو كتار من خامسا ديال سوايع</t>
  </si>
  <si>
    <t>I'm off and I'll be back with what I find!</t>
  </si>
  <si>
    <t>ana ghadi kharj oghadi nrja3 bdakchi lil9it!</t>
  </si>
  <si>
    <t>أنا غادي خارج أُغادي نرجاع بداكشي ليلقيت!</t>
  </si>
  <si>
    <t>honestly, sometimes i wonder where you kids get your training nowadays</t>
  </si>
  <si>
    <t>bsar7a, chi marat kantsa2l mnin kayakhdo drari sghar tadrib fhad lwa9t</t>
  </si>
  <si>
    <t>بسارحا, شي مارات كانتساءل منين كاياخدو دراري سغار تادريب فهاد لواقت</t>
  </si>
  <si>
    <t>tsnnaw</t>
  </si>
  <si>
    <t>تسنّاو</t>
  </si>
  <si>
    <t>before you go</t>
  </si>
  <si>
    <t>9bl matmchiw</t>
  </si>
  <si>
    <t>قبل ماتمشيو</t>
  </si>
  <si>
    <t>here is a list of everything we need for tonight's service</t>
  </si>
  <si>
    <t>hadi l9a2ima tga3 dakchi lighadi n7tajo had lila</t>
  </si>
  <si>
    <t>هادي لقاإما تڭاع داكشي ليغادي نحتاجو هاد ليلا</t>
  </si>
  <si>
    <t>I'm back!</t>
  </si>
  <si>
    <t>ana rja3t!</t>
  </si>
  <si>
    <t>أنا رجاعت!</t>
  </si>
  <si>
    <t>hani jit!</t>
  </si>
  <si>
    <t>هاني جيت!</t>
  </si>
  <si>
    <t>It's a shame, by the way</t>
  </si>
  <si>
    <t>blmonasaba, rah chou8a</t>
  </si>
  <si>
    <t>بلموناسابا, راه شوها</t>
  </si>
  <si>
    <t>You know</t>
  </si>
  <si>
    <t>rak 3arf</t>
  </si>
  <si>
    <t>راك عارف</t>
  </si>
  <si>
    <t>an excellent way to improve work relationships is to organise an informal gathering</t>
  </si>
  <si>
    <t>mn Toro9 lmomtaza bach n7asno 3ala9at lkhadma hoa tanDim li9a2 machi rasmi</t>
  </si>
  <si>
    <t>من طوروق لمومتازا باش نحاسنو عالاقات لخادما هوا تانضيم ليقاء ماشي راسمي</t>
  </si>
  <si>
    <t>For example, if one of the team-members has something to celebrate</t>
  </si>
  <si>
    <t>matalan ila kan 3nd chi 7ad mn lfr9a chi 7aja kay7tafal biha</t>
  </si>
  <si>
    <t>ماتالان إلا كان عند شي حاد من لفرقا شي حاجا كايحتافال بيها</t>
  </si>
  <si>
    <t>birth of a child, marriage, whatever</t>
  </si>
  <si>
    <t>zyada, zwaj, ayy haja</t>
  </si>
  <si>
    <t>زيادا, زواج, أيّ حاجة</t>
  </si>
  <si>
    <t>you could suggest a little drinks party at lunchtime</t>
  </si>
  <si>
    <t>t9dar ta9tar7 7aflat machrobat sghira fwa9t lghda</t>
  </si>
  <si>
    <t>تقدار تاقتارح حافلات ماشروبات سغيرا فواقت لغدا</t>
  </si>
  <si>
    <t>I agree, but it would be more than that to organize</t>
  </si>
  <si>
    <t>mttaf9, walakin tanDim ghadi ykon ktar mn haka</t>
  </si>
  <si>
    <t>متّافق, والاكين تانضيم غادي يكون كتار من هاكا</t>
  </si>
  <si>
    <t>I'm just an employee among others in this department</t>
  </si>
  <si>
    <t>ana ghir mowaDaf mn bin wa7din khrin fhad l9ism</t>
  </si>
  <si>
    <t>أنا غير موواضاف من بين واحدين خرين فهاد لقيسم</t>
  </si>
  <si>
    <t>How many are you?</t>
  </si>
  <si>
    <t>ch7al l3adad dyalkom?</t>
  </si>
  <si>
    <t>شحال لعاداد ديالكوم?</t>
  </si>
  <si>
    <t>I don't have anything to celebrate</t>
  </si>
  <si>
    <t>ma3ndich 7ta 7aja n7tafal biha</t>
  </si>
  <si>
    <t>ماعنديش حتا حاجا نحتافال بيها</t>
  </si>
  <si>
    <t>I'll talk to the colleagues, maybe one of them will have something to celebrate soon.</t>
  </si>
  <si>
    <t>ghadi nhdar m3a s7abi tlkhdma, ya9dar ykon 3nd chi wa7ad chi 7aja ya7tafal biha</t>
  </si>
  <si>
    <t>غادي نهدار معا سحابي تلخدما, ياقدار يكون عند شي واحاد شي حاجا ياحتافال بيها</t>
  </si>
  <si>
    <t>Ah yes, that is a lot of people</t>
  </si>
  <si>
    <t>ah, bnadm bzaf</t>
  </si>
  <si>
    <t>أه, بنادم بزاف</t>
  </si>
  <si>
    <t>And everybody is stressed by this manager?</t>
  </si>
  <si>
    <t>o kolchi mstressi m3a had lmodir?</t>
  </si>
  <si>
    <t>أُ كولشي مسترسّي معا هاد لمودير?</t>
  </si>
  <si>
    <t>I would say yes</t>
  </si>
  <si>
    <t>n9dr ngol ah</t>
  </si>
  <si>
    <t>نقدر نڭول أه</t>
  </si>
  <si>
    <t>Are there any other managers on her level who are more accessible?</t>
  </si>
  <si>
    <t>wach kaynin chi modirin khrin flmostawa dyalha n9adro noSlo lihom</t>
  </si>
  <si>
    <t>واش كاينين شي موديرين خرين فلموستاوا ديالها نقادرو نوصلو ليهوم</t>
  </si>
  <si>
    <t>people you can talk to easily?</t>
  </si>
  <si>
    <t>chi nas ta9dar t8dar m3ahom bso8ola?</t>
  </si>
  <si>
    <t>شي ناس تاقدار تهدار معاهوم بسوهولا?</t>
  </si>
  <si>
    <t>The other managers of his level, we don't know much about them</t>
  </si>
  <si>
    <t>lmodirin lkhrin flmosatawa dyalo, makan3rfoch 3lihom bzaf</t>
  </si>
  <si>
    <t>لموديرين لخرين فلموساتاوا ديالو, ماكانعرفوش عليهوم بزاف</t>
  </si>
  <si>
    <t>They're managers of the other departments</t>
  </si>
  <si>
    <t>rahom modirin dyal l a9sam lokhra</t>
  </si>
  <si>
    <t>راهوم موديرين ديال ل أقسام لوخرا</t>
  </si>
  <si>
    <t>But I'm going to try to set up your suggestion: Find a good reason for organizer</t>
  </si>
  <si>
    <t>walakin ghadi nwajad i9tira7 dyalk, nal9a sabab wajih lmonDim</t>
  </si>
  <si>
    <t>والاكين غادي نواجاد إقتيراح ديالك, نالقا ساباب واجيه لمونضيم</t>
  </si>
  <si>
    <t>But I'm going to try to set up your suggestion</t>
  </si>
  <si>
    <t>walakin ghadi n7awal ndir l9tira7 dyalk</t>
  </si>
  <si>
    <t>والاكين غادي نحاوال ندير لقتيراح ديالك</t>
  </si>
  <si>
    <t>Find a good reason for a party between colleagues, set it up, and invite him!</t>
  </si>
  <si>
    <t>9llb 3la sbab wajih lchi zrda bin zomala2, blani8a, o 3yaT 3lih</t>
  </si>
  <si>
    <t>قلّب علا سباب واجيه لشي زردا بين زومالاء, بلانيها, أُ عياط عليه</t>
  </si>
  <si>
    <t>I do think that could be a solution</t>
  </si>
  <si>
    <t>kanDn hada ya9dar ykon 7al</t>
  </si>
  <si>
    <t>كانضن هادا ياقدار يكون حال</t>
  </si>
  <si>
    <t>or at least a step in the right direction</t>
  </si>
  <si>
    <t>wla 3l a9al khoTwa fl itijah s7i7</t>
  </si>
  <si>
    <t>ولا عل أقال خوطوا فل إتيجاه سحيح</t>
  </si>
  <si>
    <t>Meanwhile, you personally, do clearly not have a problem with your brain</t>
  </si>
  <si>
    <t>fnfs lwa9t, nta chakhSiyan, kayban ma3ndakch mochkila f3a9lak</t>
  </si>
  <si>
    <t>فنفس لواقت, نتا شاخصييان, كايبان ماعنداكش موشكيلا فعاقلاك</t>
  </si>
  <si>
    <t>as you say</t>
  </si>
  <si>
    <t>kimma katgol</t>
  </si>
  <si>
    <t>كيمّا كاتڭول</t>
  </si>
  <si>
    <t>Basically you are under stress</t>
  </si>
  <si>
    <t>nta fl asas ta7t DaghT</t>
  </si>
  <si>
    <t>نتا فل أساس تاحت ضاغط</t>
  </si>
  <si>
    <t>which happens to many people these days</t>
  </si>
  <si>
    <t>o hadchi kayw9a3 lbzaf dyal nas had lyamat</t>
  </si>
  <si>
    <t>أُ هادشي كايوقاع لبزاف ديال ناس هاد ليامات</t>
  </si>
  <si>
    <t>As you suggested, a few days' break could help you recover untroubled sleep</t>
  </si>
  <si>
    <t>kif 9tara7ti, ta9dar ra7a lchi yamat t3awnak t9ad n3ask</t>
  </si>
  <si>
    <t>كيف قتاراحتي, تاقدار راحا لشي يامات تعاوناك تقاد نعاسك</t>
  </si>
  <si>
    <t>I'll try to put a few days off</t>
  </si>
  <si>
    <t>ghadi n7awal nakhod chi yamat 3oTla</t>
  </si>
  <si>
    <t>غادي نحاوال ناخود شي يامات عوطلا</t>
  </si>
  <si>
    <t>respect a few well-known rules for easy sleep such as no computer or smartphone just before going to bed, nor television.</t>
  </si>
  <si>
    <t>7tarm l9awa3id dyal n3as b7al maykonch 7dak PC wla tilifon 9bal matmchi tn3s, 7tta tlfaza</t>
  </si>
  <si>
    <t>حتارم لقاواعيد ديال نعاس بحال مايكونش حداك پك ولا تيليفون قبال ماتمشي تنعس, حتّا تلفازا</t>
  </si>
  <si>
    <t>sorry - just before going to bed</t>
  </si>
  <si>
    <t>sma7 liya - 9bal manmchi n3es</t>
  </si>
  <si>
    <t>سماح لييا - قبال مانمشي نعس</t>
  </si>
  <si>
    <t>And chamomile tea before bed!</t>
  </si>
  <si>
    <t>o atay dyal babonj 9bal n3as</t>
  </si>
  <si>
    <t>أُ أتاي ديال بابونج قبال نعاس</t>
  </si>
  <si>
    <t>Sometimes we laugh at the grandmothers who drink chamomile, but I'll tell you one thing, I like it!</t>
  </si>
  <si>
    <t>b3d lmrat kanda7ko 3la ljddat likaychrbo lbabonj, walakin ghadi ngolik wa7ad l7aja, kay3jabni</t>
  </si>
  <si>
    <t>بعد لمرات كانداحكو علا لجدّات ليكايشربو لبابونج, والاكين غادي نڭوليك واحاد لحاجا, كايعجابني</t>
  </si>
  <si>
    <t>I was going to suggest that too!</t>
  </si>
  <si>
    <t>kant ghadi na9tara7 hadchi ta ana</t>
  </si>
  <si>
    <t>كانت غادي ناقتاراح هادشي تا أنا</t>
  </si>
  <si>
    <t>Now, I think I've got everything we need to solve this problem!</t>
  </si>
  <si>
    <t>daba kanDn 3ndna kolchi dakchi lli kan7tajo bach n7alo had lmochkila</t>
  </si>
  <si>
    <t>دابا كانضن عندنا كولشي داكشي اللي كانحتاجو باش نحالو هاد لموشكيلا</t>
  </si>
  <si>
    <t>I am sure we will not need to meet again for a long time, if ever, but please do not hesitate to come back to me if your problems persist</t>
  </si>
  <si>
    <t>ana mat2akad maghdich na7tajo ijtima3 mrra khra lmodda Twila, ila kant, walakin 3afak matraddadch tarja3 ila b9at 3ndak had lmachakil</t>
  </si>
  <si>
    <t>أنا ماتأكاد ماغديش ناحتاجو إجتيماع مرّا خرا لمودّا طويلا, إلا كانت, والاكين عافاك ماترادّادش تارجاع إلا بقات عنداك هاد لماشاكيل</t>
  </si>
  <si>
    <t>I'm glad I could help.</t>
  </si>
  <si>
    <t>ana far7an 9drt n3awn</t>
  </si>
  <si>
    <t>أنا فارحان قدرت نعاون</t>
  </si>
  <si>
    <t>Noted, thank you again.</t>
  </si>
  <si>
    <t>9yydtha, chokran lik mra khra</t>
  </si>
  <si>
    <t>قيّدتها, شوكران ليك مرا خرا</t>
  </si>
  <si>
    <t>Enjoy the rest of the day, Doctor.</t>
  </si>
  <si>
    <t>stamta3 b nhar doctor</t>
  </si>
  <si>
    <t>ستامتاع ب نهار دوكتور</t>
  </si>
  <si>
    <t>Unless you have anything else you would like to mention, I wish you a pleasant continuation</t>
  </si>
  <si>
    <t>ila makanch 3andak chi 7aja khra tgolha t8lla frask</t>
  </si>
  <si>
    <t>إلا ماكانش عانداك شي حاجا خرا تڭولها تهلّا فراسك</t>
  </si>
  <si>
    <t>I hope you are making the most of the bank holidays this week to change your ideas</t>
  </si>
  <si>
    <t>kantmana tastafad l a9Sa 7ad mn l3ota had simana bach tbadal afkark</t>
  </si>
  <si>
    <t>كانتمانا تاستافاد ل أقصا حاد من لعوتا هاد سيمانا باش تبادال أفكارك</t>
  </si>
  <si>
    <t>go for walks in the sunshine!</t>
  </si>
  <si>
    <t>sir tnazah ta7t chamch</t>
  </si>
  <si>
    <t>سير تنازاه تاحت شامش</t>
  </si>
  <si>
    <t>See you.</t>
  </si>
  <si>
    <t>nchofouk</t>
  </si>
  <si>
    <t>نشوفوك</t>
  </si>
  <si>
    <t>You too, Arthur.</t>
  </si>
  <si>
    <t>7ta nta Arthur</t>
  </si>
  <si>
    <t>حتا نتا أرتهور</t>
  </si>
  <si>
    <t>m3a salama</t>
  </si>
  <si>
    <t>معا سالاما</t>
  </si>
  <si>
    <t>cut those potatoes into proper English chips, now</t>
  </si>
  <si>
    <t>9ta3 dok lbTaTa lra9a2i9 injliziya monasiba</t>
  </si>
  <si>
    <t>قتاع دوك لبطاطا لراقاإق إنجليزييا موناسيبا</t>
  </si>
  <si>
    <t>not those horrible french fries!</t>
  </si>
  <si>
    <t>machi dik lbTaTa lma9liya lkhayba</t>
  </si>
  <si>
    <t>ماشي ديك لبطاطا لماقلييا لخايبا</t>
  </si>
  <si>
    <t>Okay, Chief!</t>
  </si>
  <si>
    <t>wakha a chef</t>
  </si>
  <si>
    <t>واخا أ شف</t>
  </si>
  <si>
    <t>How about a cube or a long one?</t>
  </si>
  <si>
    <t>ach ban lik f mok33ab wla chi wahd Twil?</t>
  </si>
  <si>
    <t>أش بان ليك ف موكعّاب ولا شي واهد طويل?</t>
  </si>
  <si>
    <t>Do you want beets with them, too?</t>
  </si>
  <si>
    <t>wach bghiti lbarba m3ahom tahia</t>
  </si>
  <si>
    <t>واش بغيتي لباربا معاهوم تاهيا</t>
  </si>
  <si>
    <t>for goodness sake, I said don't you understand anything</t>
  </si>
  <si>
    <t>hal3ar, nglizia, gltlik wach makatfhm walo</t>
  </si>
  <si>
    <t>هالعار, نڭليزيا, ڭلتليك واش ماكاتفهم والو</t>
  </si>
  <si>
    <t>no, what are beets?</t>
  </si>
  <si>
    <t>la, achnahia lbarba?</t>
  </si>
  <si>
    <t>لا, أشناهيا لباربا?</t>
  </si>
  <si>
    <t>Maybe with some basil then?</t>
  </si>
  <si>
    <t>imkn m3a chwiya dyal ri7an idan?</t>
  </si>
  <si>
    <t>إمكن معا شوييا ديال ريحان إدان?</t>
  </si>
  <si>
    <t>we are not preparing an italian meal</t>
  </si>
  <si>
    <t>7na rah makanwjdoch wajba talyaniya</t>
  </si>
  <si>
    <t>حنا راه ماكانوجدوش واجبا تاليانييا</t>
  </si>
  <si>
    <t>this will be a proper English meal</t>
  </si>
  <si>
    <t>ghadi tkon hadi wajba injliziya monasiba</t>
  </si>
  <si>
    <t>غادي تكون هادي واجبا إنجليزييا موناسيبا</t>
  </si>
  <si>
    <t>Maybe some more cheese?</t>
  </si>
  <si>
    <t>ya9dar m3a chwiya dyal frmaj?</t>
  </si>
  <si>
    <t>ياقدار معا شوييا ديال فرماج?</t>
  </si>
  <si>
    <t>Okay for the English meal.</t>
  </si>
  <si>
    <t>wakha 3la lwajba t nngliz</t>
  </si>
  <si>
    <t>واخا علا لواجبا ت النڭليز</t>
  </si>
  <si>
    <t>How big for the French fries?</t>
  </si>
  <si>
    <t>achnahowa l7ajm dyal baTaTa ma9liya</t>
  </si>
  <si>
    <t>أشناهووا لحاجم ديال باطاطا ماقلييا</t>
  </si>
  <si>
    <t>although in England they do grow beetroots</t>
  </si>
  <si>
    <t>wakha fnngliz kayzar3o jdar dyal lbarba</t>
  </si>
  <si>
    <t>واخا فنّڭليز كايزارعو جدار ديال لباربا</t>
  </si>
  <si>
    <t>if that is what you mean</t>
  </si>
  <si>
    <t>ila kan hadchi likat9sad</t>
  </si>
  <si>
    <t>إلا كان هادشي ليكاتقساد</t>
  </si>
  <si>
    <t>they would traditionally be boiled and served with vinegar</t>
  </si>
  <si>
    <t>f tta9alid kayghliwh o kay7TToh m3a lkhal</t>
  </si>
  <si>
    <t>ف التاقاليد كايغليوه أُ كايحطّوه معا لخال</t>
  </si>
  <si>
    <t>I'll just cut a couple and show you</t>
  </si>
  <si>
    <t>ghadi n9ata3 joj o nwrrik</t>
  </si>
  <si>
    <t>غادي نقاتاع جوج أُ نورّيك</t>
  </si>
  <si>
    <t>Yes, we can add olive oil with beets.</t>
  </si>
  <si>
    <t>ah n9adro nzido zit ziton m3a lbarba</t>
  </si>
  <si>
    <t>أه نقادرو نزيدو زيت زيتون معا لباربا</t>
  </si>
  <si>
    <t>they're getting married, I think.</t>
  </si>
  <si>
    <t>kanDn tzawjo</t>
  </si>
  <si>
    <t>كانضن تزاوجو</t>
  </si>
  <si>
    <t>no I don't</t>
  </si>
  <si>
    <t>wkha hadchi zwin</t>
  </si>
  <si>
    <t>وخا هادشي زوين</t>
  </si>
  <si>
    <t>I need to see to do the right thing.</t>
  </si>
  <si>
    <t>ma7taj ndir l7aja S7i7a</t>
  </si>
  <si>
    <t>ماحتاج ندير لحاجا صحيحا</t>
  </si>
  <si>
    <t>just get on and don't talk so much</t>
  </si>
  <si>
    <t>ghir kamal o mathdarch bzaf</t>
  </si>
  <si>
    <t>غير كامال أُ ماتهدارش بزاف</t>
  </si>
  <si>
    <t>please could you just sear the beef in a pan and put it on to slow roast</t>
  </si>
  <si>
    <t>3afak, wach t9dar t7amar l7am lbgar flma9la o t7aTo f it7mmr bchwia</t>
  </si>
  <si>
    <t>عافاك, واش تقدار تحامار لحام لبڭار فلماقلا أُ تحاطو ف إتحمّر بشويا</t>
  </si>
  <si>
    <t>How hot is the roast?</t>
  </si>
  <si>
    <t>ch7al skhon chwa?</t>
  </si>
  <si>
    <t>شحال سخون شوا?</t>
  </si>
  <si>
    <t>Just sear it until its brown and caramelized then put in a casserole with carrots, celery, some seasoning and cover with stock</t>
  </si>
  <si>
    <t>khasak ghir t7amrha 7ta twali 9ahwiya o t7aTha f tajin bkhizo o lkrafas o chwiya dyal l3aTriya o tghatiha blmar9a</t>
  </si>
  <si>
    <t>خاساك غير تحامرها حتا توالي قاهوييا أُ تحاطها ف تاجين بخيزو أُ لكرافاس أُ شوييا ديال لعاطرييا أُ تغاتيها بلمارقا</t>
  </si>
  <si>
    <t>Now tell me, how long have you been an apprentice chef?</t>
  </si>
  <si>
    <t>daba goliya ch7al o nta Tayab mobtadi2?</t>
  </si>
  <si>
    <t>دابا ڭولييا شحال أُ نتا طاياب موبتاديء?</t>
  </si>
  <si>
    <t>It's been ten years.</t>
  </si>
  <si>
    <t>dazt 3chr snin</t>
  </si>
  <si>
    <t>دازت عشر سنين</t>
  </si>
  <si>
    <t>Okay for the planning.</t>
  </si>
  <si>
    <t>mttaf9 3la takhTiT</t>
  </si>
  <si>
    <t>متّافق علا تاخطيط</t>
  </si>
  <si>
    <t>Can I add some celery, too?</t>
  </si>
  <si>
    <t>wach na9dar nzid chwiya dyal krafs ta howa</t>
  </si>
  <si>
    <t>واش ناقدار نزيد شوييا ديال كرافس تا هووا</t>
  </si>
  <si>
    <t>And how long have you been in charge?</t>
  </si>
  <si>
    <t>o ch7al dyal lwa9t knti mas2ol?</t>
  </si>
  <si>
    <t>أُ شحال ديال لواقت كنتي ماسأل?</t>
  </si>
  <si>
    <t>Oh, yeah</t>
  </si>
  <si>
    <t>oh, ah</t>
  </si>
  <si>
    <t>أُه, أه</t>
  </si>
  <si>
    <t>I suggest you listen more and talk less, I have to go now</t>
  </si>
  <si>
    <t>kan9tara7 tsma3 bzaf o thdar chwiya, khasni namchi daba</t>
  </si>
  <si>
    <t>كانقتاراح تسماع بزاف أُ تهدار شوييا, خاسني نامشي دابا</t>
  </si>
  <si>
    <t>Ma'am, are we going to be in control soon?</t>
  </si>
  <si>
    <t>ostada wach ghadi ikon mti7an 9rib?</t>
  </si>
  <si>
    <t>أُستادا واش غادي إكون متيحان قريب?</t>
  </si>
  <si>
    <t>What would you like to be in control of?</t>
  </si>
  <si>
    <t>achno bghiti t7akam fih</t>
  </si>
  <si>
    <t>أشنو بغيتي تحاكام فيه</t>
  </si>
  <si>
    <t>A control on the last chapter.</t>
  </si>
  <si>
    <t>mti7an f lfaSl lakhar</t>
  </si>
  <si>
    <t>متيحان ف لفاصل لاخار</t>
  </si>
  <si>
    <t>I'd like to know how much time I have left to study</t>
  </si>
  <si>
    <t>bghit na3raf ch7al dyal lwa9t ba9i liya bach n9ra</t>
  </si>
  <si>
    <t>بغيت ناعراف شحال ديال لواقت باقي لييا باش نقرا</t>
  </si>
  <si>
    <t>We will have an exam, if that is what you mean, next week on Thursday</t>
  </si>
  <si>
    <t>ghadi ykon 3andna mti7an, ila kan hadchi likat9sad, simana jaya nhar lkhmis</t>
  </si>
  <si>
    <t>غادي يكون عاندنا متيحان, إلا كان هادشي ليكاتقساد, سيمانا جايا نهار لخميس</t>
  </si>
  <si>
    <t>We will cover all the material up to next Tuesday, so start studying soon!</t>
  </si>
  <si>
    <t>ghadi nghaTiw ga3 lmawad tal nhar tlat jay, dakchi 3lach bda l9araya bakri</t>
  </si>
  <si>
    <t>غادي نغاطيو ڭاع لماواد تال نهار تلات جاي, داكشي علاش بدا لقارايا باكري</t>
  </si>
  <si>
    <t>But I will only answer emails during working hours</t>
  </si>
  <si>
    <t>walakin ghadi njawab 3la les emails ghir fsa3at dyal lkhadma</t>
  </si>
  <si>
    <t>والاكين غادي نجاواب علا لس إمايلس غير فساعات ديال لخادما</t>
  </si>
  <si>
    <t>so please don't send them late on Wednesday evening</t>
  </si>
  <si>
    <t>dakchi 3lach 3afak matsifthomch fwa9t m3atal nhar larba3</t>
  </si>
  <si>
    <t>داكشي علاش عافاك ماتسيفتهومش فواقت معاتال نهار لارباع</t>
  </si>
  <si>
    <t>Thank you, ma'am.</t>
  </si>
  <si>
    <t>chokran a lalla</t>
  </si>
  <si>
    <t>شوكران أ لالّا</t>
  </si>
  <si>
    <t>is that gonna do it?</t>
  </si>
  <si>
    <t>wach hadchi ghadi i9Di lgharaD?</t>
  </si>
  <si>
    <t>واش هادشي غادي إقضي لغاراض?</t>
  </si>
  <si>
    <t>and how is YOUR book going to help me calm down?!</t>
  </si>
  <si>
    <t>kifach ghadi y3awni ktabk bach nt8dden?</t>
  </si>
  <si>
    <t>كيفاش غادي يعاوني كتابك باش نتهدّن?</t>
  </si>
  <si>
    <t>It's not you, I'm the one who's scared of flying, okay?</t>
  </si>
  <si>
    <t>machi nta, ana likankhaf Tayaran, wakha?</t>
  </si>
  <si>
    <t>ماشي نتا, أنا ليكانخاف طاياران, واخا?</t>
  </si>
  <si>
    <t>And I'm talking about essential oils.</t>
  </si>
  <si>
    <t>o ana kan8dar 3la zoyot asasiya</t>
  </si>
  <si>
    <t>أُ أنا كانهدار علا زويوت أساسييا</t>
  </si>
  <si>
    <t>brilliant!</t>
  </si>
  <si>
    <t>mota2alli9</t>
  </si>
  <si>
    <t>موتاألّيق</t>
  </si>
  <si>
    <t>we're both scared of flying</t>
  </si>
  <si>
    <t>bjojna khayfin ma Tayaran</t>
  </si>
  <si>
    <t>بجوجنا خايفين ما طاياران</t>
  </si>
  <si>
    <t>well this is going to be a whole barrel of laughs, isn't it!</t>
  </si>
  <si>
    <t>awdi, ghadi ykon hada barmil t Da7k, kayna?</t>
  </si>
  <si>
    <t>أودي, غادي يكون هادا بارميل ت ضاحك, كاينا?</t>
  </si>
  <si>
    <t>and since when have essential oils helped anyone?!</t>
  </si>
  <si>
    <t>mnimta kant zoyot l2asasiya kat3awan chi 7ad?</t>
  </si>
  <si>
    <t>منيمتا كانت زويوت لأساسييا كاتعاوان شي حاد?</t>
  </si>
  <si>
    <t>typical hippy!</t>
  </si>
  <si>
    <t>hippy namodaji</t>
  </si>
  <si>
    <t>هيپّي ناموداجي</t>
  </si>
  <si>
    <t>A barrel of laughs...</t>
  </si>
  <si>
    <t>barmil mn da7k ...</t>
  </si>
  <si>
    <t>بارميل من داحك ...</t>
  </si>
  <si>
    <t>a whole lot of fun!</t>
  </si>
  <si>
    <t>bzaf dyal nnachaT</t>
  </si>
  <si>
    <t>بزاف ديال الناشاط</t>
  </si>
  <si>
    <t>it stinks all over the plane</t>
  </si>
  <si>
    <t>kat3Ti mno ri7a khayba f ga3 Tayara</t>
  </si>
  <si>
    <t>كاتعطي منو ريحا خايبا ف ڭاع طايارا</t>
  </si>
  <si>
    <t>how did you get that through security?</t>
  </si>
  <si>
    <t>kifach dwztiha mn lbolis</t>
  </si>
  <si>
    <t>كيفاش دوزتيها من لبوليس</t>
  </si>
  <si>
    <t>Like, keep your arms inside?</t>
  </si>
  <si>
    <t>z3ma, tkhali yadik ldakhal?</t>
  </si>
  <si>
    <t>زعما, تخالي ياديك لداخال?</t>
  </si>
  <si>
    <t>well if we're in an accident you won't have any arms left</t>
  </si>
  <si>
    <t>wakha, ila w93at lina ksida maghadich yb9aw lik liddin</t>
  </si>
  <si>
    <t>واخا, إلا وقعات لينا كسيدا ماغاديش يبقاو ليك ليدّين</t>
  </si>
  <si>
    <t>you won't even have a head!</t>
  </si>
  <si>
    <t>maghadich ykon 3andak 7ta ras</t>
  </si>
  <si>
    <t>ماغاديش يكون عانداك حتا راس</t>
  </si>
  <si>
    <t>why did I let you convince me to take this plane</t>
  </si>
  <si>
    <t>3lach khalitk t9na3ni bach nakhdo had Tayara</t>
  </si>
  <si>
    <t>علاش خاليتك تقناعني باش ناخدو هاد طايارا</t>
  </si>
  <si>
    <t>We have to go to your mother-in-law.</t>
  </si>
  <si>
    <t>khasna nmchiw 3and nsibtak</t>
  </si>
  <si>
    <t>خاسنا نمشيو عاند نسيبتاك</t>
  </si>
  <si>
    <t>so it's all her fault then!</t>
  </si>
  <si>
    <t>idan rah kolchi lkhata2 dyalha</t>
  </si>
  <si>
    <t>إدان راه كولشي لخاتاء ديالها</t>
  </si>
  <si>
    <t>I knew it!</t>
  </si>
  <si>
    <t>knt 3arf</t>
  </si>
  <si>
    <t>كنت عارف</t>
  </si>
  <si>
    <t>I'm going to be sick!</t>
  </si>
  <si>
    <t>ghadi namrad</t>
  </si>
  <si>
    <t>غادي نامراد</t>
  </si>
  <si>
    <t>And the pilot, he's not suicidal, I hope.</t>
  </si>
  <si>
    <t>o l pilot, machi nti7ari, kantmana</t>
  </si>
  <si>
    <t>أُ ل پيلوت, ماشي نتيحاري, كانتمانا</t>
  </si>
  <si>
    <t>I don't want to see the Alps too close.</t>
  </si>
  <si>
    <t>mabghitch nchof jibal dyal Alps 9riba bzaf</t>
  </si>
  <si>
    <t>مابغيتش نشوف جيبال ديال ألپس قريبا بزاف</t>
  </si>
  <si>
    <t>hand me the paper bag.</t>
  </si>
  <si>
    <t>3tini sac lwara9i</t>
  </si>
  <si>
    <t>عتيني ساك لواراقي</t>
  </si>
  <si>
    <t>i think i'm going to leave!</t>
  </si>
  <si>
    <t>kanDn ghadi nmchi</t>
  </si>
  <si>
    <t>كانضن غادي نمشي</t>
  </si>
  <si>
    <t>why did you have to mention the pilot!</t>
  </si>
  <si>
    <t>3lach jbadto l pilot</t>
  </si>
  <si>
    <t>علاش جبادتو ل پيلوت</t>
  </si>
  <si>
    <t>For the plane moving like that?</t>
  </si>
  <si>
    <t>lTayata kat7arak haka</t>
  </si>
  <si>
    <t>لطاياتا كاتحاراك هاكا</t>
  </si>
  <si>
    <t>the hotels don't seem very comfortable.</t>
  </si>
  <si>
    <t>loTilat makaybanoch mori7in bzaf.</t>
  </si>
  <si>
    <t>لوطيلات ماكايبانوش موريحين بزاف.</t>
  </si>
  <si>
    <t>Where are you from?</t>
  </si>
  <si>
    <t>mnin nta?</t>
  </si>
  <si>
    <t>منين نتا?</t>
  </si>
  <si>
    <t>mnin nti?</t>
  </si>
  <si>
    <t>منين نتي?</t>
  </si>
  <si>
    <t>mnin ntoma?</t>
  </si>
  <si>
    <t>منين نتوما?</t>
  </si>
  <si>
    <t>I am from the U.S.</t>
  </si>
  <si>
    <t>ana mn mirikan.</t>
  </si>
  <si>
    <t>أنا من ميريكان.</t>
  </si>
  <si>
    <t>We are from the U.S.</t>
  </si>
  <si>
    <t>7na mn mirikan.</t>
  </si>
  <si>
    <t>حنا من ميريكان.</t>
  </si>
  <si>
    <t>I am American</t>
  </si>
  <si>
    <t>ana mirikani</t>
  </si>
  <si>
    <t>أنا ميريكاني</t>
  </si>
  <si>
    <t>ana mirikanya</t>
  </si>
  <si>
    <t>أنا ميريكانيا</t>
  </si>
  <si>
    <t>I am from Morocco.</t>
  </si>
  <si>
    <t>ana mn lmghrib.</t>
  </si>
  <si>
    <t>أنا من لمغريب.</t>
  </si>
  <si>
    <t>I am Moroccan</t>
  </si>
  <si>
    <t>ana mghribi</t>
  </si>
  <si>
    <t>أنا مغريبي</t>
  </si>
  <si>
    <t>ana mghribya</t>
  </si>
  <si>
    <t>أنا مغريبيا</t>
  </si>
  <si>
    <t>Are you angry?</t>
  </si>
  <si>
    <t>wach nta Tal3 lik demm?</t>
  </si>
  <si>
    <t>واش نتا طالع ليك دمّ?</t>
  </si>
  <si>
    <t>wach nti Tal3 lik demm?</t>
  </si>
  <si>
    <t>واش نتي طالع ليك دمّ?</t>
  </si>
  <si>
    <t>Are you from the U.S.?</t>
  </si>
  <si>
    <t>wach nta mn mirikan?</t>
  </si>
  <si>
    <t>واش نتا من ميريكان?</t>
  </si>
  <si>
    <t>wach nti mn mirikan?</t>
  </si>
  <si>
    <t>واش نتي من ميريكان?</t>
  </si>
  <si>
    <t>wach ntoma mn mirikan?</t>
  </si>
  <si>
    <t>واش نتوما من ميريكان?</t>
  </si>
  <si>
    <t>Where are you from in the U.S.?</t>
  </si>
  <si>
    <t>mnin nta f mirikan?</t>
  </si>
  <si>
    <t>منين نتا ف ميريكان?</t>
  </si>
  <si>
    <t>mnin nti f mirikan?</t>
  </si>
  <si>
    <t>منين نتي ف ميريكان?</t>
  </si>
  <si>
    <t>mnin ntoma f mirikan?</t>
  </si>
  <si>
    <t>منين نتوما ف ميريكان?</t>
  </si>
  <si>
    <t>And you?</t>
  </si>
  <si>
    <t>o nta?</t>
  </si>
  <si>
    <t>أُ نتا?</t>
  </si>
  <si>
    <t>o nti?</t>
  </si>
  <si>
    <t>أُ نتي?</t>
  </si>
  <si>
    <t>o ntoma?</t>
  </si>
  <si>
    <t>أُ نتوما?</t>
  </si>
  <si>
    <t>your city is wonderful</t>
  </si>
  <si>
    <t>lmdina dyalkom ghzala</t>
  </si>
  <si>
    <t>لمدينا ديالكوم غزالا</t>
  </si>
  <si>
    <t>sm7 li</t>
  </si>
  <si>
    <t>sm7i li</t>
  </si>
  <si>
    <t>سمحي لي</t>
  </si>
  <si>
    <t>I am not happy</t>
  </si>
  <si>
    <t>ana machi fr7an</t>
  </si>
  <si>
    <t>أنا ماشي فرحان</t>
  </si>
  <si>
    <t>she is engaged</t>
  </si>
  <si>
    <t>hia mkhtToba</t>
  </si>
  <si>
    <t>هيا مختطوبا</t>
  </si>
  <si>
    <t>he's married</t>
  </si>
  <si>
    <t>hoa mzowwej</t>
  </si>
  <si>
    <t>هوا مزووّج</t>
  </si>
  <si>
    <t>she's married</t>
  </si>
  <si>
    <t>hia mzowwja</t>
  </si>
  <si>
    <t>هيا مزووّجا</t>
  </si>
  <si>
    <t>No, not yet</t>
  </si>
  <si>
    <t>lla, mazal</t>
  </si>
  <si>
    <t>اللا, مازال</t>
  </si>
  <si>
    <t>lla, ba9i</t>
  </si>
  <si>
    <t>اللا, باقي</t>
  </si>
  <si>
    <t>Are you a tourist?</t>
  </si>
  <si>
    <t>wach nta tourist?</t>
  </si>
  <si>
    <t>واش نتا توريست?</t>
  </si>
  <si>
    <t>wach nti tourist?</t>
  </si>
  <si>
    <t>واش نتي توريست?</t>
  </si>
  <si>
    <t>I've been waiting for you for two hours</t>
  </si>
  <si>
    <t>hadi sa3tayn o ana kantsnnak</t>
  </si>
  <si>
    <t>هادي ساعتاين أُ أنا كانتسنّاك</t>
  </si>
  <si>
    <t>He's been asleep for a long time</t>
  </si>
  <si>
    <t>hadi modda o hoa na3s</t>
  </si>
  <si>
    <t>هادي مودّا أُ هوا ناعس</t>
  </si>
  <si>
    <t>He's been in Morocco for three years</t>
  </si>
  <si>
    <t>hadi tlt snin o hoa f lmghrib</t>
  </si>
  <si>
    <t>هادي تلت سنين أُ هوا ف لمغريب</t>
  </si>
  <si>
    <t>Whose book is this?</t>
  </si>
  <si>
    <t>dyalmmn had lktab?</t>
  </si>
  <si>
    <t>ديالمّن هاد لكتاب?</t>
  </si>
  <si>
    <t>This is Loubna's book.</t>
  </si>
  <si>
    <t>had lktab dyal Loubna.</t>
  </si>
  <si>
    <t>هاد لكتاب ديال لوبنا.</t>
  </si>
  <si>
    <t>Is this Hicham's book?</t>
  </si>
  <si>
    <t>wach had lktab dyal Hicham?</t>
  </si>
  <si>
    <t>واش هاد لكتاب ديال هيشام?</t>
  </si>
  <si>
    <t>No, it's not his</t>
  </si>
  <si>
    <t>lla, machi dyalo</t>
  </si>
  <si>
    <t>اللا, ماشي ديالو</t>
  </si>
  <si>
    <t>Whose house is this?</t>
  </si>
  <si>
    <t>dyalmn had ddar?</t>
  </si>
  <si>
    <t>ديالمن هاد الدار?</t>
  </si>
  <si>
    <t>This house is Malika's</t>
  </si>
  <si>
    <t>had ddar dyal Malika</t>
  </si>
  <si>
    <t>هاد الدار ديال ماليكا</t>
  </si>
  <si>
    <t>Is this house Malika's?</t>
  </si>
  <si>
    <t>wach had ddar dyal Malika?</t>
  </si>
  <si>
    <t>واش هاد الدار ديال ماليكا?</t>
  </si>
  <si>
    <t>Yes, it's hers.</t>
  </si>
  <si>
    <t>ah, dyalha</t>
  </si>
  <si>
    <t>أه, ديالها</t>
  </si>
  <si>
    <t>I don't eat meat</t>
  </si>
  <si>
    <t>makanakolch ll7em</t>
  </si>
  <si>
    <t>ماكاناكولش اللحم</t>
  </si>
  <si>
    <t>I drink tea and coffee without sugar</t>
  </si>
  <si>
    <t>kanchreb atay o l98wa bla skkar</t>
  </si>
  <si>
    <t>كانشرب أتاي أُ لقهوا بلا سكّار</t>
  </si>
  <si>
    <t>I eat everything.</t>
  </si>
  <si>
    <t>kanakol kolchi.</t>
  </si>
  <si>
    <t>كاناكول كولشي.</t>
  </si>
  <si>
    <t>I eat vegetables only</t>
  </si>
  <si>
    <t>kanakol ghir lkhoDra</t>
  </si>
  <si>
    <t>كاناكول غير لخوضرا</t>
  </si>
  <si>
    <t>I don't feel like eating</t>
  </si>
  <si>
    <t>mafiyach mayakol</t>
  </si>
  <si>
    <t>مافيياش ماياكول</t>
  </si>
  <si>
    <t>I want just a cup of tea</t>
  </si>
  <si>
    <t>bghir ghir chi kas dyal atay</t>
  </si>
  <si>
    <t>بغير غير شي كاس ديال أتاي</t>
  </si>
  <si>
    <t>I don't want to have breakfast</t>
  </si>
  <si>
    <t>mabghitch nfTr</t>
  </si>
  <si>
    <t>مابغيتش نفطر</t>
  </si>
  <si>
    <t>The food is delicious</t>
  </si>
  <si>
    <t>lmakla bnina</t>
  </si>
  <si>
    <t>لماكلا بنينا</t>
  </si>
  <si>
    <t>I'm full.</t>
  </si>
  <si>
    <t>chb3t.</t>
  </si>
  <si>
    <t>شبعت.</t>
  </si>
  <si>
    <t>I want to learn how to cook</t>
  </si>
  <si>
    <t>bghit nt3llem nTyyeb</t>
  </si>
  <si>
    <t>بغيت نتعلّم نطيّب</t>
  </si>
  <si>
    <t>May God replenish</t>
  </si>
  <si>
    <t>Lah ikhlef</t>
  </si>
  <si>
    <t>الله إخلف</t>
  </si>
  <si>
    <t>bSSe77a</t>
  </si>
  <si>
    <t>بصّحّا</t>
  </si>
  <si>
    <t>May God grant you health too</t>
  </si>
  <si>
    <t>Lah i3Tik S77a</t>
  </si>
  <si>
    <t>الله إعطيك صحّا</t>
  </si>
  <si>
    <t>bla jmil</t>
  </si>
  <si>
    <t>ana 3yyan</t>
  </si>
  <si>
    <t>أنا عيّان</t>
  </si>
  <si>
    <t>ana mskhskh</t>
  </si>
  <si>
    <t>أنا مسخسخ</t>
  </si>
  <si>
    <t>ana 3yyana</t>
  </si>
  <si>
    <t>أنا عيّانا</t>
  </si>
  <si>
    <t>ana mskhskha</t>
  </si>
  <si>
    <t>أنا مسخسخا</t>
  </si>
  <si>
    <t>I want to read a little bit</t>
  </si>
  <si>
    <t>bghit n9ra chwia</t>
  </si>
  <si>
    <t>بغيت نقرا شويا</t>
  </si>
  <si>
    <t>I want to go to bed</t>
  </si>
  <si>
    <t>bghit nmchi nn3es</t>
  </si>
  <si>
    <t>بغيت نمشي النعس</t>
  </si>
  <si>
    <t>Where am I going to sleep?</t>
  </si>
  <si>
    <t>fin ghadi n3es?</t>
  </si>
  <si>
    <t>فين غادي نعس?</t>
  </si>
  <si>
    <t>I want to go to bed early</t>
  </si>
  <si>
    <t>bghit nmchi n3es bkri</t>
  </si>
  <si>
    <t>بغيت نمشي نعس بكري</t>
  </si>
  <si>
    <t>I want to get up early</t>
  </si>
  <si>
    <t>bghit nfi9 bkri</t>
  </si>
  <si>
    <t>بغيت نفيق بكري</t>
  </si>
  <si>
    <t>I want a blanket</t>
  </si>
  <si>
    <t>bghit chi manTa</t>
  </si>
  <si>
    <t>بغيت شي مانطا</t>
  </si>
  <si>
    <t>This is a chair</t>
  </si>
  <si>
    <t>hada korsi</t>
  </si>
  <si>
    <t>هادا كورسي</t>
  </si>
  <si>
    <t>This is a table</t>
  </si>
  <si>
    <t>hadi Tbla</t>
  </si>
  <si>
    <t>هادي طبلا</t>
  </si>
  <si>
    <t>This is Abdallah</t>
  </si>
  <si>
    <t>hada Abdallah</t>
  </si>
  <si>
    <t>هادا أبدالّاه</t>
  </si>
  <si>
    <t>This is Aicha</t>
  </si>
  <si>
    <t>hadi Aicha</t>
  </si>
  <si>
    <t>هادي أيشا</t>
  </si>
  <si>
    <t>What's this?</t>
  </si>
  <si>
    <t>chno hada?</t>
  </si>
  <si>
    <t>شنو هادا?</t>
  </si>
  <si>
    <t>ach hada?</t>
  </si>
  <si>
    <t>أش هادا?</t>
  </si>
  <si>
    <t>chkon hada?</t>
  </si>
  <si>
    <t>شكون هادا?</t>
  </si>
  <si>
    <t>chkon hadi?</t>
  </si>
  <si>
    <t>What is that?</t>
  </si>
  <si>
    <t>chno hadak?</t>
  </si>
  <si>
    <t>شنو هاداك?</t>
  </si>
  <si>
    <t>chno hadik?</t>
  </si>
  <si>
    <t>شنو هاديك?</t>
  </si>
  <si>
    <t>Who is that?</t>
  </si>
  <si>
    <t>chkon hadak?</t>
  </si>
  <si>
    <t>شكون هاداك?</t>
  </si>
  <si>
    <t>chkon hadik?</t>
  </si>
  <si>
    <t>شكون هاديك?</t>
  </si>
  <si>
    <t>this man</t>
  </si>
  <si>
    <t>had rrajl</t>
  </si>
  <si>
    <t>هاد الراجل</t>
  </si>
  <si>
    <t>this woman</t>
  </si>
  <si>
    <t>had lmra</t>
  </si>
  <si>
    <t>هاد لمرا</t>
  </si>
  <si>
    <t>these men</t>
  </si>
  <si>
    <t>had rrjal</t>
  </si>
  <si>
    <t>هاد الرجال</t>
  </si>
  <si>
    <t>these women</t>
  </si>
  <si>
    <t>had l3yalat</t>
  </si>
  <si>
    <t>هاد لعيالات</t>
  </si>
  <si>
    <t>This city is big</t>
  </si>
  <si>
    <t>had lmdina kbira</t>
  </si>
  <si>
    <t>هاد لمدينا كبيرا</t>
  </si>
  <si>
    <t>That house is big</t>
  </si>
  <si>
    <t>had ddar kbira</t>
  </si>
  <si>
    <t>هاد الدار كبيرا</t>
  </si>
  <si>
    <t>I want that</t>
  </si>
  <si>
    <t>bghit hadak</t>
  </si>
  <si>
    <t>بغيت هاداك</t>
  </si>
  <si>
    <t>That's what I want</t>
  </si>
  <si>
    <t>dakchi li bghit</t>
  </si>
  <si>
    <t>داكشي لي بغيت</t>
  </si>
  <si>
    <t>I want to wash my hands with soap</t>
  </si>
  <si>
    <t>bghit nghsl ydia b Sabon</t>
  </si>
  <si>
    <t>بغيت نغسل يديا ب صابون</t>
  </si>
  <si>
    <t>I want to brush my teeth</t>
  </si>
  <si>
    <t>bghit nghsl snani</t>
  </si>
  <si>
    <t>بغيت نغسل سناني</t>
  </si>
  <si>
    <t>I want hot water, please</t>
  </si>
  <si>
    <t>bghit lma sskhoun, 3afak</t>
  </si>
  <si>
    <t>بغيت لما السخون, عافاك</t>
  </si>
  <si>
    <t>I want to take a shower</t>
  </si>
  <si>
    <t>bghit ndowwech</t>
  </si>
  <si>
    <t>بغيت ندووّش</t>
  </si>
  <si>
    <t>I want to go to the hammam</t>
  </si>
  <si>
    <t>bghit nmchi l7mmam</t>
  </si>
  <si>
    <t>بغيت نمشي لحمّام</t>
  </si>
  <si>
    <t>I want to change my clothes</t>
  </si>
  <si>
    <t>bghit nbddel 7wayji</t>
  </si>
  <si>
    <t>بغيت نبدّل حوايجي</t>
  </si>
  <si>
    <t>ana mriD</t>
  </si>
  <si>
    <t>أنا مريض</t>
  </si>
  <si>
    <t>ana mriDa</t>
  </si>
  <si>
    <t>أنا مريضا</t>
  </si>
  <si>
    <t>I want to rest a bit</t>
  </si>
  <si>
    <t>bghit nrta7 chwia</t>
  </si>
  <si>
    <t>بغيت نرتاح شويا</t>
  </si>
  <si>
    <t>Do you feel better?</t>
  </si>
  <si>
    <t>briti chwia?</t>
  </si>
  <si>
    <t>بريتي شويا?</t>
  </si>
  <si>
    <t>I want to go to Ifran</t>
  </si>
  <si>
    <t>bghit nmchi l Ifran</t>
  </si>
  <si>
    <t>بغيت نمشي ل إفران</t>
  </si>
  <si>
    <t>Take me home please</t>
  </si>
  <si>
    <t>ddini l ddar laykhllik</t>
  </si>
  <si>
    <t>الديني ل الدار لايخلّيك</t>
  </si>
  <si>
    <t>Stop here please</t>
  </si>
  <si>
    <t>w9f 8na 3afak</t>
  </si>
  <si>
    <t>وقف هنا عافاك</t>
  </si>
  <si>
    <t>Is the meter on?</t>
  </si>
  <si>
    <t>wach l contour khddam?</t>
  </si>
  <si>
    <t>واش ل كونتور خدّام?</t>
  </si>
  <si>
    <t>Turn on the meter, please.</t>
  </si>
  <si>
    <t>khddem l contour, 3afak.</t>
  </si>
  <si>
    <t>خدّم ل كونتور, عافاك.</t>
  </si>
  <si>
    <t>It's not a problem.</t>
  </si>
  <si>
    <t>machi mochkil.</t>
  </si>
  <si>
    <t>ماشي موشكيل.</t>
  </si>
  <si>
    <t>There is no problem</t>
  </si>
  <si>
    <t>makayn mochkil</t>
  </si>
  <si>
    <t>ماكاين موشكيل</t>
  </si>
  <si>
    <t>There is no problem.</t>
  </si>
  <si>
    <t>makayn tta mochkil.</t>
  </si>
  <si>
    <t>ماكاين التا موشكيل.</t>
  </si>
  <si>
    <t>mbrouk</t>
  </si>
  <si>
    <t>mbark ou ms3oud</t>
  </si>
  <si>
    <t>مبارك و مسعود</t>
  </si>
  <si>
    <t>May God grant you grace</t>
  </si>
  <si>
    <t>allah ibark fik</t>
  </si>
  <si>
    <t>الله إبارك فيك</t>
  </si>
  <si>
    <t>mafhmtch</t>
  </si>
  <si>
    <t>مافهمتش</t>
  </si>
  <si>
    <t>ma3rftch</t>
  </si>
  <si>
    <t>Slowly please</t>
  </si>
  <si>
    <t>bchwia 3afak</t>
  </si>
  <si>
    <t>بشويا عافاك</t>
  </si>
  <si>
    <t>Repeat please</t>
  </si>
  <si>
    <t>3awd 3afak</t>
  </si>
  <si>
    <t>عاود عافاك</t>
  </si>
  <si>
    <t>3awdi 3afak</t>
  </si>
  <si>
    <t>عاودي عافاك</t>
  </si>
  <si>
    <t>What did you say?</t>
  </si>
  <si>
    <t>chno glti?</t>
  </si>
  <si>
    <t>شنو ڭلتي?</t>
  </si>
  <si>
    <t>Give me that thing please</t>
  </si>
  <si>
    <t>3Tini dik l3iba 3afak</t>
  </si>
  <si>
    <t>عطيني ديك لعيبا عافاك</t>
  </si>
  <si>
    <t>Where is the toilet?</t>
  </si>
  <si>
    <t>fin toilet?</t>
  </si>
  <si>
    <t>فين تولت?</t>
  </si>
  <si>
    <t>fin bit lma?</t>
  </si>
  <si>
    <t>فين بيت لما?</t>
  </si>
  <si>
    <t>I want to do laundry</t>
  </si>
  <si>
    <t>bghit nSbben</t>
  </si>
  <si>
    <t>بغيت نصبّن</t>
  </si>
  <si>
    <t>Where can I do laundry?</t>
  </si>
  <si>
    <t>fin imken nSbben 7wayji?</t>
  </si>
  <si>
    <t>فين إمكن نصبّن حوايجي?</t>
  </si>
  <si>
    <t>Can I help you?</t>
  </si>
  <si>
    <t>wach n3awnk?</t>
  </si>
  <si>
    <t>واش نعاونك?</t>
  </si>
  <si>
    <t>Eight books</t>
  </si>
  <si>
    <t>tmnya tlktouba</t>
  </si>
  <si>
    <t>تمنيا تلكتوبا</t>
  </si>
  <si>
    <t>tmnya t lktouba</t>
  </si>
  <si>
    <t>تمنيا ت لكتوبا</t>
  </si>
  <si>
    <t>Five dirhams</t>
  </si>
  <si>
    <t>khmsa t drahem</t>
  </si>
  <si>
    <t>خمسا ت دراهم</t>
  </si>
  <si>
    <t>khmsa tdrahem</t>
  </si>
  <si>
    <t>خمسا تدراهم</t>
  </si>
  <si>
    <t>one book</t>
  </si>
  <si>
    <t>ktab wa7d</t>
  </si>
  <si>
    <t>كتاب واحد</t>
  </si>
  <si>
    <t>one girl</t>
  </si>
  <si>
    <t>bnt w7da</t>
  </si>
  <si>
    <t>بنت وحدا</t>
  </si>
  <si>
    <t>ch7al fssa3a?</t>
  </si>
  <si>
    <t>شحال فسّاعا?</t>
  </si>
  <si>
    <t>ch7al hadi f ssa3a</t>
  </si>
  <si>
    <t>شحال هادي ف الساعا</t>
  </si>
  <si>
    <t>It is exactly one o'clock</t>
  </si>
  <si>
    <t>hadi lou7da wa9fa</t>
  </si>
  <si>
    <t>هادي لوحدا واقفا</t>
  </si>
  <si>
    <t>hadi lwe7da nichan</t>
  </si>
  <si>
    <t>هادي لوحدا نيشان</t>
  </si>
  <si>
    <t>It is five minutes past two</t>
  </si>
  <si>
    <t>hadi jjouj o9sem</t>
  </si>
  <si>
    <t>هادي الجوج أُقسم</t>
  </si>
  <si>
    <t>It is ten minutes past three</t>
  </si>
  <si>
    <t>hadi ttlata o9smayn</t>
  </si>
  <si>
    <t>هادي التلاتا أُقسماين</t>
  </si>
  <si>
    <t>It is a quarter past four</t>
  </si>
  <si>
    <t>hadi rrb3a o rb3</t>
  </si>
  <si>
    <t>هادي الربعا أُ ربع</t>
  </si>
  <si>
    <t>It is twenty minutes past five</t>
  </si>
  <si>
    <t>hadi lkhmsa o tolot</t>
  </si>
  <si>
    <t>هادي لخمسا أُ تولوت</t>
  </si>
  <si>
    <t>It is twenty-five minutes past six</t>
  </si>
  <si>
    <t>hadi sstta o khmsa o3chrin</t>
  </si>
  <si>
    <t>هادي الستّا أُ خمسا أُعشرين</t>
  </si>
  <si>
    <t>hadi sstta o khms 9sam</t>
  </si>
  <si>
    <t>هادي الستّا أُ خمس قسام</t>
  </si>
  <si>
    <t>It is seven thirty</t>
  </si>
  <si>
    <t>hadi ssb3a o ness</t>
  </si>
  <si>
    <t>هادي السبعا أُ نسّ</t>
  </si>
  <si>
    <t>It is eight thirty-five</t>
  </si>
  <si>
    <t>hadi ttmnya o khmsa o tlatin</t>
  </si>
  <si>
    <t>هادي التمنيا أُ خمسا أُ تلاتين</t>
  </si>
  <si>
    <t>hadi ttmnya o sb3 9sam</t>
  </si>
  <si>
    <t>هادي التمنيا أُ سبع قسام</t>
  </si>
  <si>
    <t>It is twenty minutes to nine</t>
  </si>
  <si>
    <t>hadi tts3oud 9ll tolot</t>
  </si>
  <si>
    <t>هادي التسعود قلّ تولوت</t>
  </si>
  <si>
    <t>It is a quarter to ten</t>
  </si>
  <si>
    <t>hadi l3chra llarob</t>
  </si>
  <si>
    <t>هادي لعشرا اللاروب</t>
  </si>
  <si>
    <t>It is ten minutes to eleven</t>
  </si>
  <si>
    <t>hadi l7Dach 9ll 9smayn</t>
  </si>
  <si>
    <t>هادي لحضاش قلّ قسماين</t>
  </si>
  <si>
    <t>It is five minutes to twelve</t>
  </si>
  <si>
    <t>hadi TTnach 9ll 9sm</t>
  </si>
  <si>
    <t>هادي الطناش قلّ قسم</t>
  </si>
  <si>
    <t>Give me milk please</t>
  </si>
  <si>
    <t>3Tini l7lib 3afak</t>
  </si>
  <si>
    <t>عطيني لحليب عافاك</t>
  </si>
  <si>
    <t>please, do you have milk?</t>
  </si>
  <si>
    <t>3afak wach 3ndk l7lib?</t>
  </si>
  <si>
    <t>عافاك واش عندك لحليب?</t>
  </si>
  <si>
    <t>What do you want ma'am?</t>
  </si>
  <si>
    <t>chno bghiti a lalla</t>
  </si>
  <si>
    <t>شنو بغيتي أ لالّا</t>
  </si>
  <si>
    <t>What do you want sir?</t>
  </si>
  <si>
    <t>chno bghiti a sidi?</t>
  </si>
  <si>
    <t>شنو بغيتي أ سيدي?</t>
  </si>
  <si>
    <t>bch7al?</t>
  </si>
  <si>
    <t>بشحال?</t>
  </si>
  <si>
    <t>Do you have change?</t>
  </si>
  <si>
    <t>wach 3ndk SSrf?</t>
  </si>
  <si>
    <t>واش عندك الصرف?</t>
  </si>
  <si>
    <t>Do you have change for 200 dhs?</t>
  </si>
  <si>
    <t>wach 3ndk SSrf dyal 200 dhs?</t>
  </si>
  <si>
    <t>واش عندك الصرف ديال 200 دهس?</t>
  </si>
  <si>
    <t>I want tea</t>
  </si>
  <si>
    <t>bghit atay</t>
  </si>
  <si>
    <t>بغيت أتاي</t>
  </si>
  <si>
    <t>Do you want coffee with sugar?</t>
  </si>
  <si>
    <t>wach bghiti 98wa bskkar?</t>
  </si>
  <si>
    <t>واش بغيتي قهوا بسكّار?</t>
  </si>
  <si>
    <t>Ali wants a glass of water</t>
  </si>
  <si>
    <t>Ali bgha kas tlma</t>
  </si>
  <si>
    <t>ألي بغا كاس تلما</t>
  </si>
  <si>
    <t>Driss and Fatima don't want soda</t>
  </si>
  <si>
    <t>Driss o Fatima mabghawch lmonaDa</t>
  </si>
  <si>
    <t>ضريسّ أُ فاتيما مابغاوش لموناضا</t>
  </si>
  <si>
    <t>Driss is at home</t>
  </si>
  <si>
    <t>Driss kayn f ddar</t>
  </si>
  <si>
    <t>ضريسّ كاين ف الدار</t>
  </si>
  <si>
    <t>Is there water in the bottle?</t>
  </si>
  <si>
    <t>wach kayn lma fl9r3a?</t>
  </si>
  <si>
    <t>واش كاين لما فلقرعا?</t>
  </si>
  <si>
    <t>Tom is not at the café</t>
  </si>
  <si>
    <t>makaynch Tom fl98wa</t>
  </si>
  <si>
    <t>ماكاينش طوم فلقهوا</t>
  </si>
  <si>
    <t>There is food in the fridge</t>
  </si>
  <si>
    <t>kayna lmakla ftllaja</t>
  </si>
  <si>
    <t>كاينا لماكلا فتلّاجا</t>
  </si>
  <si>
    <t>There are many books on the table</t>
  </si>
  <si>
    <t>kaynin bzzaf dlktouba fog Tbla</t>
  </si>
  <si>
    <t>كاينين بزّاف دلكتوبا فوڭ طبلا</t>
  </si>
  <si>
    <t>How is Mohamed related to you?</t>
  </si>
  <si>
    <t>ach kayjik Mohamed?</t>
  </si>
  <si>
    <t>أش كايجيك موهامد?</t>
  </si>
  <si>
    <t>How is Amina related to you?</t>
  </si>
  <si>
    <t>ach katjik Amina?</t>
  </si>
  <si>
    <t>أش كاتجيك أمينا?</t>
  </si>
  <si>
    <t>My mom doesn't work</t>
  </si>
  <si>
    <t>mmi makhddamach</t>
  </si>
  <si>
    <t>المي ماخدّاماش</t>
  </si>
  <si>
    <t>lwalida makhddamach</t>
  </si>
  <si>
    <t>لواليدا ماخدّاماش</t>
  </si>
  <si>
    <t>My mom and dad are divorced</t>
  </si>
  <si>
    <t>mmi o bba mTll9in</t>
  </si>
  <si>
    <t>المي أُ البا مطلّقين</t>
  </si>
  <si>
    <t>lwalida o lwalid mTll9in</t>
  </si>
  <si>
    <t>لواليدا أُ لواليد مطلّقين</t>
  </si>
  <si>
    <t>I have two twin siblings</t>
  </si>
  <si>
    <t>3ndi jouj khout twam</t>
  </si>
  <si>
    <t>عندي جوج خوت توام</t>
  </si>
  <si>
    <t>How many siblings do you have?</t>
  </si>
  <si>
    <t>ch7al 3ndk dyal lkhout?</t>
  </si>
  <si>
    <t>شحال عندك ديال لخوت?</t>
  </si>
  <si>
    <t>How many sisters do you have?</t>
  </si>
  <si>
    <t>ch7al mn kht 3ndk?</t>
  </si>
  <si>
    <t>شحال من خت عندك?</t>
  </si>
  <si>
    <t>What's your father's name?</t>
  </si>
  <si>
    <t>chno smit bbak?</t>
  </si>
  <si>
    <t>شنو سميت الباك?</t>
  </si>
  <si>
    <t>How old is your brother?</t>
  </si>
  <si>
    <t>ch7al f3mer khouk?</t>
  </si>
  <si>
    <t>شحال فعمر خوك?</t>
  </si>
  <si>
    <t>I have a younger brother</t>
  </si>
  <si>
    <t>3ndi khouya Sghr mnni</t>
  </si>
  <si>
    <t>عندي خويا صغر منّي</t>
  </si>
  <si>
    <t>My cousin and I are the same age</t>
  </si>
  <si>
    <t>ana o wld 3mmi 9dd 9dd</t>
  </si>
  <si>
    <t>أنا أُ ولد عمّي قدّ قدّ</t>
  </si>
  <si>
    <t>My older sister is a teacher</t>
  </si>
  <si>
    <t>khti lkbira ostada</t>
  </si>
  <si>
    <t>ختي لكبيرا أُستادا</t>
  </si>
  <si>
    <t>My younger brother goes to school</t>
  </si>
  <si>
    <t>khouya SSghir kay9ra</t>
  </si>
  <si>
    <t>خويا الصغير كايقرا</t>
  </si>
  <si>
    <t>No, I don't have a house in the US</t>
  </si>
  <si>
    <t>la, ma3ndich dar f lmirikan</t>
  </si>
  <si>
    <t>لا, ماعنديش دار ف لميريكان</t>
  </si>
  <si>
    <t>Do you have a house in Morocco?</t>
  </si>
  <si>
    <t>wach 3ndk dar flmghrib?</t>
  </si>
  <si>
    <t>واش عندك دار فلمغريب?</t>
  </si>
  <si>
    <t>Moha and Fatima have two daughters and a son</t>
  </si>
  <si>
    <t>Moha o Fatima 3ndhom joj bnat o drri</t>
  </si>
  <si>
    <t>موها أُ فاتيما عندهوم جوج بنات أُ درّي</t>
  </si>
  <si>
    <t>We have a good teacher</t>
  </si>
  <si>
    <t>3ndna ostad mzyan</t>
  </si>
  <si>
    <t>عندنا أُستاد مزيان</t>
  </si>
  <si>
    <t>Where is Loubna please?</t>
  </si>
  <si>
    <t>finahia Loubna 3afak?</t>
  </si>
  <si>
    <t>فيناهيا لوبنا عافاك?</t>
  </si>
  <si>
    <t>Is there a mosque close?</t>
  </si>
  <si>
    <t>wach kayn chi jam3 9rib?</t>
  </si>
  <si>
    <t>واش كاين شي جامع قريب?</t>
  </si>
  <si>
    <t>Go straight</t>
  </si>
  <si>
    <t>sir nichan</t>
  </si>
  <si>
    <t>سير نيشان</t>
  </si>
  <si>
    <t>Turn right</t>
  </si>
  <si>
    <t>dour 3llimen</t>
  </si>
  <si>
    <t>دور علّيمن</t>
  </si>
  <si>
    <t>dor 3la limn</t>
  </si>
  <si>
    <t>دور علا ليمن</t>
  </si>
  <si>
    <t>dor 3l limn</t>
  </si>
  <si>
    <t>دور عل ليمن</t>
  </si>
  <si>
    <t>Turn left</t>
  </si>
  <si>
    <t>dor 3l lisr</t>
  </si>
  <si>
    <t>دور عل ليسر</t>
  </si>
  <si>
    <t>Go ahead a bit</t>
  </si>
  <si>
    <t>sir chwia l9ddam</t>
  </si>
  <si>
    <t>سير شويا لقدّام</t>
  </si>
  <si>
    <t>Pass the first street</t>
  </si>
  <si>
    <t>fot zzn9a lwla</t>
  </si>
  <si>
    <t>فوت الزنقا لولا</t>
  </si>
  <si>
    <t>The 2nd street</t>
  </si>
  <si>
    <t>zzn9a ttania</t>
  </si>
  <si>
    <t>الزنقا التانيا</t>
  </si>
  <si>
    <t>Yesterday, I drank tea without sugar.</t>
  </si>
  <si>
    <t>lbar7, chrbt atay bla skkar.</t>
  </si>
  <si>
    <t>لبارح, شربت أتاي بلا سكّار.</t>
  </si>
  <si>
    <t>Last week, Said wrote a letter to his friend.</t>
  </si>
  <si>
    <t>ssimana lli fat, Said ktb risala l Sa7bo?</t>
  </si>
  <si>
    <t>السيمانا اللي فات, صايد كتب ريسالا ل صاحبو?</t>
  </si>
  <si>
    <t>Last year, we traveled to New York.</t>
  </si>
  <si>
    <t>l3am lli fat, safrna l New York.</t>
  </si>
  <si>
    <t>لعام اللي فات, سافرنا ل نو يورك.</t>
  </si>
  <si>
    <t>This morning I got up at 7:00</t>
  </si>
  <si>
    <t>had Sba7 f9t m3a ssb3a</t>
  </si>
  <si>
    <t>هاد صباح فقت معا السبعا</t>
  </si>
  <si>
    <t>What did you do yesterday?</t>
  </si>
  <si>
    <t>ach drti lbar7</t>
  </si>
  <si>
    <t>أش درتي لبارح</t>
  </si>
  <si>
    <t>I knew nothing</t>
  </si>
  <si>
    <t>ma3rft walo</t>
  </si>
  <si>
    <t>ماعرفت والو</t>
  </si>
  <si>
    <t>I ate nothing</t>
  </si>
  <si>
    <t>maklit tta haja</t>
  </si>
  <si>
    <t>ماكليت التا حاجة</t>
  </si>
  <si>
    <t>No one came</t>
  </si>
  <si>
    <t>tta wa7d maja</t>
  </si>
  <si>
    <t>التا واحد ماجا</t>
  </si>
  <si>
    <t>He saw no one</t>
  </si>
  <si>
    <t>machaf tta 7edd</t>
  </si>
  <si>
    <t>ماشاف التا حدّ</t>
  </si>
  <si>
    <t>Have you ever gone to France?</t>
  </si>
  <si>
    <t>3mmrk mchiti l fransa?</t>
  </si>
  <si>
    <t>عمّرك مشيتي ل فرانسا?</t>
  </si>
  <si>
    <t>Have they ever eaten couscous?</t>
  </si>
  <si>
    <t>wach 3mmrhom klaw skso?</t>
  </si>
  <si>
    <t>واش عمّرهوم كلاو سكسو?</t>
  </si>
  <si>
    <t>Have you ever drunk mint tea in America?</t>
  </si>
  <si>
    <t>wach 3mmrk chrbti atay b n3na3 f mirikan?</t>
  </si>
  <si>
    <t>واش عمّرك شربتي أتاي ب نعناع ف ميريكان?</t>
  </si>
  <si>
    <t>I've never eaten hamburger</t>
  </si>
  <si>
    <t>3mmrni klit hamburger</t>
  </si>
  <si>
    <t>عمّرني كليت هامبورڭر</t>
  </si>
  <si>
    <t>She has never been abroad</t>
  </si>
  <si>
    <t>ma3mmerha safrat 3la brra</t>
  </si>
  <si>
    <t>ماعمّرها سافرات علا برّا</t>
  </si>
  <si>
    <t>He has never spoken Arabic</t>
  </si>
  <si>
    <t>ma3mmro dwa bl3rbia</t>
  </si>
  <si>
    <t>ماعمّرو دوا بلعربيا</t>
  </si>
  <si>
    <t>Omar gave a book to Mohamed</t>
  </si>
  <si>
    <t>Omar 3Ta ktab l Mohamed</t>
  </si>
  <si>
    <t>أُمار عطا كتاب ل موهامد</t>
  </si>
  <si>
    <t>Omar gave it to Mohamed</t>
  </si>
  <si>
    <t>Omar 3Tah l Mohamed</t>
  </si>
  <si>
    <t>أُمار عطاه ل موهامد</t>
  </si>
  <si>
    <t>Did you write the letter to Hassan?</t>
  </si>
  <si>
    <t>Wach ktbti bra l Hassan?</t>
  </si>
  <si>
    <t>واش كتبتي برا ل هاسّان?</t>
  </si>
  <si>
    <t>Yes, I wrote it to Hassan</t>
  </si>
  <si>
    <t>iyeh, ktbtha l Hassan</t>
  </si>
  <si>
    <t>إيه, كتبتها ل هاسّان</t>
  </si>
  <si>
    <t>Why did you leave us with him?</t>
  </si>
  <si>
    <t>3lach khllitina m3ah?</t>
  </si>
  <si>
    <t>علاش خلّيتينا معاه?</t>
  </si>
  <si>
    <t>She saw me at the movie theater</t>
  </si>
  <si>
    <t>chaftni f cinema</t>
  </si>
  <si>
    <t>شافتني ف سينما</t>
  </si>
  <si>
    <t>You saw me</t>
  </si>
  <si>
    <t>chftini</t>
  </si>
  <si>
    <t>شفتيني</t>
  </si>
  <si>
    <t>You didn't see me</t>
  </si>
  <si>
    <t>machftinich</t>
  </si>
  <si>
    <t>ماشفتينيش</t>
  </si>
  <si>
    <t>Did you see Hakima and Karim?</t>
  </si>
  <si>
    <t>wach chfti Hakima o Karim?</t>
  </si>
  <si>
    <t>واش شفتي هاكيما أُ كاريم?</t>
  </si>
  <si>
    <t>No, I didn't see them</t>
  </si>
  <si>
    <t>la, machfthomch</t>
  </si>
  <si>
    <t>لا, ماشفتهومش</t>
  </si>
  <si>
    <t>I found a salmon and beef cheeks</t>
  </si>
  <si>
    <t>rah l9it salamon o l7am lbagri</t>
  </si>
  <si>
    <t>راه لقيت سالامون أُ لحام لباڭري</t>
  </si>
  <si>
    <t>that was fast</t>
  </si>
  <si>
    <t>hadchi daz bzarba</t>
  </si>
  <si>
    <t>هادشي داز بزاربا</t>
  </si>
  <si>
    <t>i guess it will have to do</t>
  </si>
  <si>
    <t>kanDn bli aykhaso idir dakchi</t>
  </si>
  <si>
    <t>كانضن بلي أيخاسو إدير داكشي</t>
  </si>
  <si>
    <t>I ran</t>
  </si>
  <si>
    <t>rah jrit</t>
  </si>
  <si>
    <t>راه جريت</t>
  </si>
  <si>
    <t>right, get to work</t>
  </si>
  <si>
    <t>bsa7, sir tkhdam</t>
  </si>
  <si>
    <t>بساح, سير تخدام</t>
  </si>
  <si>
    <t>this food won't cook itself</t>
  </si>
  <si>
    <t>had lmakla maghadich iTyab rasso braso</t>
  </si>
  <si>
    <t>هاد لماكلا ماغاديش إطياب راسّو براسو</t>
  </si>
  <si>
    <t>Yeah, we're gonna make it!</t>
  </si>
  <si>
    <t>ayeh ghadi ndiro dakchi</t>
  </si>
  <si>
    <t>أيه غادي نديرو داكشي</t>
  </si>
  <si>
    <t>your enthusiasm sickens me</t>
  </si>
  <si>
    <t>l7amas dyalk kaymaradni</t>
  </si>
  <si>
    <t>لحاماس ديالك كايمارادني</t>
  </si>
  <si>
    <t>I'll ask him!</t>
  </si>
  <si>
    <t>ghadi nsawlo!</t>
  </si>
  <si>
    <t>غادي نساولو!</t>
  </si>
  <si>
    <t>Great, thank you</t>
  </si>
  <si>
    <t>mzyan chokran lik</t>
  </si>
  <si>
    <t>مزيان شوكران ليك</t>
  </si>
  <si>
    <t>I know!</t>
  </si>
  <si>
    <t>ana 3arf!</t>
  </si>
  <si>
    <t>أنا عارف!</t>
  </si>
  <si>
    <t>that's the fifth time this month!</t>
  </si>
  <si>
    <t>hadi hya lmra lkhamsa had chhar!</t>
  </si>
  <si>
    <t>هادي هيا لمرا لخامسا هاد شهار!</t>
  </si>
  <si>
    <t>I wonder why hasn't it been properly fixed yet</t>
  </si>
  <si>
    <t>kantsa2l 3lach ma9adohch bchkal mazyan 7ta ldaba</t>
  </si>
  <si>
    <t>كانتساءل علاش ماقادوهش بشكال مازيان حتا لدابا</t>
  </si>
  <si>
    <t>I'm paying a fortune for the maintenance of these machines!</t>
  </si>
  <si>
    <t>ana kankhalas tarwa bach nsla7 had l2alat!</t>
  </si>
  <si>
    <t>أنا كانخالاس تاروا باش نسلاح هاد لألات!</t>
  </si>
  <si>
    <t>I'm surrounded by incompetents</t>
  </si>
  <si>
    <t>ana dayrin bya ghir limachi akfa2</t>
  </si>
  <si>
    <t>أنا دايرين بيا غير ليماشي أكفاء</t>
  </si>
  <si>
    <t>I mean, I'm not saying that for you</t>
  </si>
  <si>
    <t>kan9sad, ana makangolch hadchi lik</t>
  </si>
  <si>
    <t>كانقساد, أنا ماكانڭولش هادشي ليك</t>
  </si>
  <si>
    <t>Hey, be polite!</t>
  </si>
  <si>
    <t>blati, kon mrabi!</t>
  </si>
  <si>
    <t>بلاتي, كون مرابي!</t>
  </si>
  <si>
    <t>If you continue this tone, it will go wrong for you</t>
  </si>
  <si>
    <t>ila kmalti had ritm, ghadi ikon khyab bnsbalik</t>
  </si>
  <si>
    <t>إلا كمالتي هاد ريتم, غادي إكون خياب بنسباليك</t>
  </si>
  <si>
    <t>I'm so scared</t>
  </si>
  <si>
    <t>ana khayf bzaf</t>
  </si>
  <si>
    <t>أنا خايف بزاف</t>
  </si>
  <si>
    <t>I'm quivering in my boots</t>
  </si>
  <si>
    <t>ana kantra3ad fSbbat dyali</t>
  </si>
  <si>
    <t>أنا كانتراعاد فصبّات ديالي</t>
  </si>
  <si>
    <t>actually, you know what?</t>
  </si>
  <si>
    <t>flwa9i3, 3rafti chno?</t>
  </si>
  <si>
    <t>فلواقيع, عرافتي شنو?</t>
  </si>
  <si>
    <t>i don't care</t>
  </si>
  <si>
    <t>makanhtamch</t>
  </si>
  <si>
    <t>ماكانهتامش</t>
  </si>
  <si>
    <t>machghlich</t>
  </si>
  <si>
    <t>ماشغليش</t>
  </si>
  <si>
    <t>Like Halloween</t>
  </si>
  <si>
    <t>b7al halloween</t>
  </si>
  <si>
    <t>بحال هالّووين</t>
  </si>
  <si>
    <t>Oh wow?</t>
  </si>
  <si>
    <t>Oh, wow?</t>
  </si>
  <si>
    <t>أُه, ووو?</t>
  </si>
  <si>
    <t>I won't eat the berries</t>
  </si>
  <si>
    <t>maghadich nakol tout</t>
  </si>
  <si>
    <t>ماغاديش ناكول توت</t>
  </si>
  <si>
    <t>I've got some marshmallows in my bag</t>
  </si>
  <si>
    <t>3andi chwiya dyal 7alwa khatmia fchkara dyali</t>
  </si>
  <si>
    <t>عاندي شوييا ديال حالوا خاتميا فشكارا ديالي</t>
  </si>
  <si>
    <t>I am a bit sick actually</t>
  </si>
  <si>
    <t>ana chwiya mriD flwa9i3</t>
  </si>
  <si>
    <t>أنا شوييا مريض فلواقيع</t>
  </si>
  <si>
    <t>I should have brought a jumper with me</t>
  </si>
  <si>
    <t>kan khasni njib m3aya trico</t>
  </si>
  <si>
    <t>كان خاسني نجيب معايا تريكو</t>
  </si>
  <si>
    <t>I won't let that happen chef</t>
  </si>
  <si>
    <t>maghadich nkhli hadchi iw9a3 a chef</t>
  </si>
  <si>
    <t>ماغاديش نخلي هادشي إوقاع أ شف</t>
  </si>
  <si>
    <t>You get the sauce, now</t>
  </si>
  <si>
    <t>khditi sos, daba</t>
  </si>
  <si>
    <t>خديتي سوس, دابا</t>
  </si>
  <si>
    <t>I hope you know how to do that on your own</t>
  </si>
  <si>
    <t>kantmana t3raf dir dakchi brassak</t>
  </si>
  <si>
    <t>كانتمانا تعراف دير داكشي براسّاك</t>
  </si>
  <si>
    <t>Sauce is ready</t>
  </si>
  <si>
    <t>salsa jahiza</t>
  </si>
  <si>
    <t>سالسا جاهيزا</t>
  </si>
  <si>
    <t>la sauce wajda</t>
  </si>
  <si>
    <t>لا سوس واجدا</t>
  </si>
  <si>
    <t>Serving now chef</t>
  </si>
  <si>
    <t>an9ddmo daba a chef</t>
  </si>
  <si>
    <t>أنقدّمو دابا أ شف</t>
  </si>
  <si>
    <t>They have special dietary requirements</t>
  </si>
  <si>
    <t>3ndhom motatallabat ghida2ia khasa</t>
  </si>
  <si>
    <t>عندهوم موتاتالّابات غيداإا خاسا</t>
  </si>
  <si>
    <t>No milk chef</t>
  </si>
  <si>
    <t>bla 7lib a chef</t>
  </si>
  <si>
    <t>بلا حليب أ شف</t>
  </si>
  <si>
    <t>You should have told me earlier</t>
  </si>
  <si>
    <t>kan khsak tgolha lia 9bal</t>
  </si>
  <si>
    <t>كان خساك تڭولها ليا قبال</t>
  </si>
  <si>
    <t>Have you got anything on you?</t>
  </si>
  <si>
    <t>wach 3ndak chi 7aja</t>
  </si>
  <si>
    <t>واش عنداك شي حاجا</t>
  </si>
  <si>
    <t>Do you think it would eat little pieces of tobacco?</t>
  </si>
  <si>
    <t>wach kadan bli ghadi iyakl 9iT3a Sghira mn ttibgh</t>
  </si>
  <si>
    <t>واش كادان بلي غادي إياكل قيطعا صغيرا من التيبغ</t>
  </si>
  <si>
    <t>Erm, probably not</t>
  </si>
  <si>
    <t>Erm, mo7al</t>
  </si>
  <si>
    <t>إرم, موحال</t>
  </si>
  <si>
    <t>What's that got to do with it?</t>
  </si>
  <si>
    <t>achno w9a3 bach diro 3la dakchi?</t>
  </si>
  <si>
    <t>أشنو وقاع باش ديرو علا داكشي?</t>
  </si>
  <si>
    <t>Tobacco too?</t>
  </si>
  <si>
    <t>lgarro tahwa?</t>
  </si>
  <si>
    <t>لڭارّو تاهوا?</t>
  </si>
  <si>
    <t>It's your pet!</t>
  </si>
  <si>
    <t>howa l7ayawan dyalk!</t>
  </si>
  <si>
    <t>هووا لحاياوان ديالك!</t>
  </si>
  <si>
    <t>Well, he is in my golf club!</t>
  </si>
  <si>
    <t>wakha hwa f nadi lgolf dyali!</t>
  </si>
  <si>
    <t>واخا هوا ف نادي لڭولف ديالي!</t>
  </si>
  <si>
    <t>He plays golf with you?</t>
  </si>
  <si>
    <t>wach kayl3ab lgolf m3ak</t>
  </si>
  <si>
    <t>واش كايلعاب لڭولف معاك</t>
  </si>
  <si>
    <t>You know him personally, so you favor him</t>
  </si>
  <si>
    <t>nta kt3arfo chakhsyan, dakchi 3la katfadlo</t>
  </si>
  <si>
    <t>نتا كتعارفو شاخسيان, داكشي علا كاتفادلو</t>
  </si>
  <si>
    <t>There must be other teachers who don't play golf</t>
  </si>
  <si>
    <t>aykhas ikono 2asatida khrin makayl3boch lgolf</t>
  </si>
  <si>
    <t>أيخاس إكونو أساتيدا خرين ماكايلعبوش لڭولف</t>
  </si>
  <si>
    <t>I can't imagine Mrs Noha playing golf</t>
  </si>
  <si>
    <t>makan9darch ntkhayal lla Noha katl3ab lgolf</t>
  </si>
  <si>
    <t>ماكانقدارش نتخايال اللا نوها كاتلعاب لڭولف</t>
  </si>
  <si>
    <t>we've been dating for nearly a year now</t>
  </si>
  <si>
    <t>knna msa7bin chi 3am hadi daba</t>
  </si>
  <si>
    <t>كنّا مساحبين شي عام هادي دابا</t>
  </si>
  <si>
    <t>Martin introduced us</t>
  </si>
  <si>
    <t>Martin hoa lli la9ana</t>
  </si>
  <si>
    <t>مارتين هوا اللي لاقانا</t>
  </si>
  <si>
    <t>Can I quote you on that?</t>
  </si>
  <si>
    <t>wach imkan lia n9tabas hadchi mnnek?</t>
  </si>
  <si>
    <t>واش إمكان ليا نقتاباس هادشي منّك?</t>
  </si>
  <si>
    <t>The point of view may be historic or sociological</t>
  </si>
  <si>
    <t>wijha naDar ta9dar tkon tarikhiya wla ijtima3iya</t>
  </si>
  <si>
    <t>ويجها ناضار تاقدار تكون تاريخييا ولا إجتيماعييا</t>
  </si>
  <si>
    <t>What were the political repercussions or societals?</t>
  </si>
  <si>
    <t>achnahiya tada3iyat syasiya wla ijtima3iya?</t>
  </si>
  <si>
    <t>أشناهييا تاداعييات سياسييا ولا إجتيماعييا?</t>
  </si>
  <si>
    <t>Or how is that perceived now?</t>
  </si>
  <si>
    <t>ola kifach kaytchaf dakchi daba?</t>
  </si>
  <si>
    <t>أُلا كيفاش كايتشاف داكشي دابا?</t>
  </si>
  <si>
    <t>How many words is a short essay?</t>
  </si>
  <si>
    <t>ch7al dyal lkalmat howa ma9al sghir?</t>
  </si>
  <si>
    <t>شحال ديال لكالمات هووا ماقال سغير?</t>
  </si>
  <si>
    <t>2,000 words</t>
  </si>
  <si>
    <t>2000 kalma</t>
  </si>
  <si>
    <t>2000 كالما</t>
  </si>
  <si>
    <t>But you must respect that new deadline</t>
  </si>
  <si>
    <t>walakin khasak ta7tarm lmaw3id niha2i jdid</t>
  </si>
  <si>
    <t>والاكين خاساك تاحتارم لماوعيد نيهاإ جديد</t>
  </si>
  <si>
    <t>And your essay must be the best you've ever written</t>
  </si>
  <si>
    <t>o khasak ykon ma9alat dyalk a7san maktabti</t>
  </si>
  <si>
    <t>أُ خاساك يكون ماقالات ديالك أحسان ماكتابتي</t>
  </si>
  <si>
    <t>It will be, I promise</t>
  </si>
  <si>
    <t>ghadi ykon, kanwa3dak</t>
  </si>
  <si>
    <t>غادي يكون, كانواعداك</t>
  </si>
  <si>
    <t>chokran lik</t>
  </si>
  <si>
    <t>شوكران ليك</t>
  </si>
  <si>
    <t>Let's get organising</t>
  </si>
  <si>
    <t>khlina ntnaDDmo</t>
  </si>
  <si>
    <t>خلينا نتناضّمو</t>
  </si>
  <si>
    <t>I did a lot of running in high school</t>
  </si>
  <si>
    <t>rah knt kanjri bzaf flmadrasa</t>
  </si>
  <si>
    <t>راه كنت كانجري بزاف فلمادراسا</t>
  </si>
  <si>
    <t>I certainly hope you're not going to be cooking the beef and salmon together</t>
  </si>
  <si>
    <t>ana kantmnna mn 9lbi maTyabch l7am lbagri o salamon bjoj</t>
  </si>
  <si>
    <t>أنا كانتمنّا من قلبي ماطيابش لحام لباڭري أُ سالامون بجوج</t>
  </si>
  <si>
    <t>That would be weird you think it could be good?</t>
  </si>
  <si>
    <t>ghadi ikon dakchi fchi chkal wach kadan ghadi ikon mazyan?</t>
  </si>
  <si>
    <t>غادي إكون داكشي فشي شكال واش كادان غادي إكون مازيان?</t>
  </si>
  <si>
    <t>what in the lord's name is that?</t>
  </si>
  <si>
    <t>achno billah 3lik hadchi?</t>
  </si>
  <si>
    <t>أشنو بيلّاه عليك هادشي?</t>
  </si>
  <si>
    <t>that's true!</t>
  </si>
  <si>
    <t>hadchi S7i7!</t>
  </si>
  <si>
    <t>هادشي صحيح!</t>
  </si>
  <si>
    <t>It would go faster and it's still chic!</t>
  </si>
  <si>
    <t>ghadi tmchi bzarba otb9a ani9a!</t>
  </si>
  <si>
    <t>غادي تمشي بزاربا أُتبقا أنيقا!</t>
  </si>
  <si>
    <t>Hi, planning this party will be fun</t>
  </si>
  <si>
    <t>marhba, takhTiT lhad l7afla ghadi ikon momti3</t>
  </si>
  <si>
    <t>مارهبا, تاخطيط لهاد لحافلا غادي إكون مومتيع</t>
  </si>
  <si>
    <t>What kind of party do you think it should be?</t>
  </si>
  <si>
    <t>achmn no3 dyal l7afla likhs8a tkon?</t>
  </si>
  <si>
    <t>أشمن نوع ديال لحافلا ليخسها تكون?</t>
  </si>
  <si>
    <t>It's for your birthday</t>
  </si>
  <si>
    <t>rah l3id milad dyalk</t>
  </si>
  <si>
    <t>راه لعيد ميلاد ديالك</t>
  </si>
  <si>
    <t>sorry, I meant theme</t>
  </si>
  <si>
    <t>Sma7lia 9sadt mawdo3</t>
  </si>
  <si>
    <t>صماحليا قسادت ماودوع</t>
  </si>
  <si>
    <t>1980's theme would be good</t>
  </si>
  <si>
    <t>mawdo3 tamaninat ghadi ikon mazyan</t>
  </si>
  <si>
    <t>ماودوع تامانينات غادي إكون مازيان</t>
  </si>
  <si>
    <t>We could get everyone to dress up in 1980's clothes</t>
  </si>
  <si>
    <t>imkan lina nkhaliw kolchi ilbas lbas dyal tmaninat</t>
  </si>
  <si>
    <t>إمكان لينا نخاليو كولشي إلباس لباس ديال تمانينات</t>
  </si>
  <si>
    <t>Oh yeah, the '80s, that's a great idea!</t>
  </si>
  <si>
    <t>oh ah, tmaninat, hadi fikra mzyana!</t>
  </si>
  <si>
    <t>أُه أه, تمانينات, هادي فيكرا مزيانا!</t>
  </si>
  <si>
    <t>I should still have tapes somewhere</t>
  </si>
  <si>
    <t>i9dro ikono 3ndi achriTa fchi blasa</t>
  </si>
  <si>
    <t>إقدرو إكونو عندي أشريطا فشي بلاسا</t>
  </si>
  <si>
    <t>Have you heard of Spotify?</t>
  </si>
  <si>
    <t>wach sm3ti b Spotify?</t>
  </si>
  <si>
    <t>واش سمعتي ب صپوتيفي?</t>
  </si>
  <si>
    <t>It's an online music app</t>
  </si>
  <si>
    <t>hia tatbi9 dyal mosi9a</t>
  </si>
  <si>
    <t>هيا تاتبيق ديال موسيقا</t>
  </si>
  <si>
    <t>It's not stupid</t>
  </si>
  <si>
    <t>hadchi machi ghabiy</t>
  </si>
  <si>
    <t>هادشي ماشي غابيي</t>
  </si>
  <si>
    <t>and of course a cake!</t>
  </si>
  <si>
    <t>obTTab3 kika!</t>
  </si>
  <si>
    <t>أُبطّابع كيكا!</t>
  </si>
  <si>
    <t>It's essential!</t>
  </si>
  <si>
    <t>hadchi darori!</t>
  </si>
  <si>
    <t>هادشي داروري!</t>
  </si>
  <si>
    <t>I can make one if you want</t>
  </si>
  <si>
    <t>imkan lia n9ad w7da ila bghiti</t>
  </si>
  <si>
    <t>إمكان ليا نقاد وحدا إلا بغيتي</t>
  </si>
  <si>
    <t>I love baking</t>
  </si>
  <si>
    <t>ana 3ziz 3lia nTyyeb lkhobz</t>
  </si>
  <si>
    <t>أنا عزيز عليا نطيّب لخوبز</t>
  </si>
  <si>
    <t>By the way, we're gonna have to dance!</t>
  </si>
  <si>
    <t>blmonasaba, aykhsna nchT7o!</t>
  </si>
  <si>
    <t>بلموناسابا, أيخسنا نشطحو!</t>
  </si>
  <si>
    <t>That's a good plan!</t>
  </si>
  <si>
    <t>hadi khoTTa mzyana!</t>
  </si>
  <si>
    <t>هادي خوطّا مزيانا!</t>
  </si>
  <si>
    <t>Oh, no, it's happening again!</t>
  </si>
  <si>
    <t>Oh, la hadchi kayw9a3 mra khra!</t>
  </si>
  <si>
    <t>أُه, لا هادشي كايوقاع مرا خرا!</t>
  </si>
  <si>
    <t>do you think we should call for help?</t>
  </si>
  <si>
    <t>wach kadan bli khasna ntlbo lmosa3ada?</t>
  </si>
  <si>
    <t>واش كادان بلي خاسنا نتلبو لموساعادا?</t>
  </si>
  <si>
    <t>or will someone notice soon enough?</t>
  </si>
  <si>
    <t>ola chi wa7d ghadi ila7D 9ariban?</t>
  </si>
  <si>
    <t>أُلا شي واحد غادي إلاحض قاريبان?</t>
  </si>
  <si>
    <t>Did you know who you're talking to?</t>
  </si>
  <si>
    <t>wach kat3ref m3amn katdwi?</t>
  </si>
  <si>
    <t>واش كاتعرف معامن كاتدوي?</t>
  </si>
  <si>
    <t>wach 3arf m3amn kat8Dar?</t>
  </si>
  <si>
    <t>واش عارف معامن كاتهضار?</t>
  </si>
  <si>
    <t>you're exactly right</t>
  </si>
  <si>
    <t>nta 3ndak Sa7</t>
  </si>
  <si>
    <t>نتا عنداك صاح</t>
  </si>
  <si>
    <t>Of course people will notice you're missing</t>
  </si>
  <si>
    <t>Tab3an ghadi ila7Do nas bli rak makaynch</t>
  </si>
  <si>
    <t>طابعان غادي إلاحضو ناس بلي راك ماكاينش</t>
  </si>
  <si>
    <t>5 seconds without being shouted at</t>
  </si>
  <si>
    <t>5 tawani bla mytghawat 3lihom</t>
  </si>
  <si>
    <t>5 تاواني بلا ميتغاوات عليهوم</t>
  </si>
  <si>
    <t>I've been waiting years for the perfect opportunity to tell you that</t>
  </si>
  <si>
    <t>knt kantsna ch7al mn 3am lforSa lmitalia bach ngolik hadchi</t>
  </si>
  <si>
    <t>كنت كانتسنا شحال من عام لفورصا لميتاليا باش نڭوليك هادشي</t>
  </si>
  <si>
    <t>this is how I feel about working here</t>
  </si>
  <si>
    <t>hadchi bach kan7as w ana khddam 8na</t>
  </si>
  <si>
    <t>هادشي باش كانحاس و أنا خدّام هنا</t>
  </si>
  <si>
    <t>and working for you, in particular</t>
  </si>
  <si>
    <t>olkhdma 3ndak 3la wjah lkhosos</t>
  </si>
  <si>
    <t>أُلخدما عنداك علا وجاه لخوسوس</t>
  </si>
  <si>
    <t>Go on, develop</t>
  </si>
  <si>
    <t>yalah, zid fsser</t>
  </si>
  <si>
    <t>يالاه, زيد فسّر</t>
  </si>
  <si>
    <t>if you just trusted all of us to do our jobs we would be so much more effective</t>
  </si>
  <si>
    <t>ila knti kati9 bina kamlin annana ndiro lkhdma dyalna ghadi nkono 7san 3amalian</t>
  </si>
  <si>
    <t>إلا كنتي كاتيق بينا كاملين أنّانا نديرو لخدما ديالنا غادي نكونو حسان عاماليان</t>
  </si>
  <si>
    <t>I won't do anything of the sort</t>
  </si>
  <si>
    <t>maghadich ndir chi 7aja b7al hadchi</t>
  </si>
  <si>
    <t>ماغاديش ندير شي حاجا بحال هادشي</t>
  </si>
  <si>
    <t>don't forget, I know everything that this company has been doing for the past 10 years</t>
  </si>
  <si>
    <t>matnsawch, rani 3arf ga3 dakchi likant kadiro had charika had 3chr snin lidazo</t>
  </si>
  <si>
    <t>ماتنساوش, راني عارف ڭاع داكشي ليكانت كاديرو هاد شاريكا هاد عشر سنين ليدازو</t>
  </si>
  <si>
    <t>tax evasion</t>
  </si>
  <si>
    <t>ta8rrob daribi</t>
  </si>
  <si>
    <t>تاهرّوب داريبي</t>
  </si>
  <si>
    <t>Do you think those berries are edible?</t>
  </si>
  <si>
    <t>wach kadan bli had tout kaytkal?</t>
  </si>
  <si>
    <t>واش كادان بلي هاد توت كايتكال?</t>
  </si>
  <si>
    <t>This is really exciting being lost like this!</t>
  </si>
  <si>
    <t>hadchi motir bach tkhsar b7al hakka!</t>
  </si>
  <si>
    <t>هادشي موتير باش تخسار بحال هاكّا!</t>
  </si>
  <si>
    <t>We know, but we keep going</t>
  </si>
  <si>
    <t>ah 7na 3arfin, walakin kankamlo</t>
  </si>
  <si>
    <t>أه حنا عارفين, والاكين كانكاملو</t>
  </si>
  <si>
    <t>It's a bit stupid</t>
  </si>
  <si>
    <t>rah ghaby wa7d chwiya</t>
  </si>
  <si>
    <t>راه غابي واحد شوييا</t>
  </si>
  <si>
    <t>Damn, I blew up the steaks</t>
  </si>
  <si>
    <t>tfo, khssert l7am</t>
  </si>
  <si>
    <t>تفو, خسّرت لحام</t>
  </si>
  <si>
    <t>You have to put more cream in it</t>
  </si>
  <si>
    <t>khasak tdir bzaf dyal lcream fih</t>
  </si>
  <si>
    <t>خاساك تدير بزاف ديال لكرام فيه</t>
  </si>
  <si>
    <t>Great idea, I'll change the menu</t>
  </si>
  <si>
    <t>fikra wa3ra, ghadi nbadal l9a2ima</t>
  </si>
  <si>
    <t>فيكرا واعرا, غادي نبادال لقاإما</t>
  </si>
  <si>
    <t>The desserts are in the refrigerator</t>
  </si>
  <si>
    <t>ddissir ra8oa ftllaja</t>
  </si>
  <si>
    <t>الديسّير راهوا فتلّاجا</t>
  </si>
  <si>
    <t>Hey, let's go and play volleyball?</t>
  </si>
  <si>
    <t>a8yawina, yallaho nmchiw onl3bo lvolley?</t>
  </si>
  <si>
    <t>أهياوينا, يالّاهو نمشيو أُنلعبو لڤولّي?</t>
  </si>
  <si>
    <t>I'd like to hang out in the sun just a little longer</t>
  </si>
  <si>
    <t>bghit nb9a fchams mazal chwiya</t>
  </si>
  <si>
    <t>بغيت نبقا فشامس مازال شوييا</t>
  </si>
  <si>
    <t>Well, I don't have too much energy right now</t>
  </si>
  <si>
    <t>wakha, ma3ndich bzaf dyal TTa9a daba</t>
  </si>
  <si>
    <t>واخا, ماعنديش بزاف ديال الطاقا دابا</t>
  </si>
  <si>
    <t>This morning, the day before yesterday!</t>
  </si>
  <si>
    <t>had sba7, wllbar7!</t>
  </si>
  <si>
    <t>هاد سباح, ولّبارح!</t>
  </si>
  <si>
    <t>It's okay, it's just that I don't want to do anything</t>
  </si>
  <si>
    <t>machi mochkil, likayn 8owa hir mabghit ndir ta7aja</t>
  </si>
  <si>
    <t>ماشي موشكيل, ليكاين هووا هير مابغيت ندير تاحاجا</t>
  </si>
  <si>
    <t>What about the time when we were playing cards</t>
  </si>
  <si>
    <t>ewa olwa9t li kana kanl3bo fih lkarta</t>
  </si>
  <si>
    <t>إوا أُلواقت لي كانا كانلعبو فيه لكارتا</t>
  </si>
  <si>
    <t>Okay, I'm going to the bar to get a drink</t>
  </si>
  <si>
    <t>wakha, ana ghadi lbar bach nakhad machrob</t>
  </si>
  <si>
    <t>واخا, أنا غادي لبار باش ناخاد ماشروب</t>
  </si>
  <si>
    <t>wach bghiti chi wa7da?</t>
  </si>
  <si>
    <t>واش بغيتي شي واحدا?</t>
  </si>
  <si>
    <t>Oh, yeah, that's what I'm talking about</t>
  </si>
  <si>
    <t>oh, ah, hadchi likandwi 3lih</t>
  </si>
  <si>
    <t>أُه, أه, هادشي ليكاندوي عليه</t>
  </si>
  <si>
    <t>Oh, I get it</t>
  </si>
  <si>
    <t>oh, fhamt</t>
  </si>
  <si>
    <t>أُه, فهامت</t>
  </si>
  <si>
    <t>I'll take my nap then</t>
  </si>
  <si>
    <t>ghadi ndir l9ayloula dyali mn ba3d</t>
  </si>
  <si>
    <t>غادي ندير لقايلولا ديالي من باعد</t>
  </si>
  <si>
    <t>Your liver, I'm sorry</t>
  </si>
  <si>
    <t>kabda dyalk, sm7lia</t>
  </si>
  <si>
    <t>كابدا ديالك, سمحليا</t>
  </si>
  <si>
    <t>It tastes better with double cream</t>
  </si>
  <si>
    <t>aykon lmada9 dyalha 7san m3a lcrema lmdoubla</t>
  </si>
  <si>
    <t>أيكون لماداق ديالها حسان معا لكرما لمدوبلا</t>
  </si>
  <si>
    <t>No better</t>
  </si>
  <si>
    <t>machi 7san</t>
  </si>
  <si>
    <t>ماشي حسان</t>
  </si>
  <si>
    <t>Construction delays, what's that all about?</t>
  </si>
  <si>
    <t>ta2khirat flbni, ach hadchi?</t>
  </si>
  <si>
    <t>تاءخيرات فلبني, أش هادشي?</t>
  </si>
  <si>
    <t>There is lots to organise though</t>
  </si>
  <si>
    <t>kayn bzaf dyal tandim wakha hakak</t>
  </si>
  <si>
    <t>كاين بزاف ديال تانديم واخا هاكاك</t>
  </si>
  <si>
    <t>Could you come over from 15 hours to help me set it up!</t>
  </si>
  <si>
    <t>wach imkan lik tji mn 15h bach t3awni ngaddo!</t>
  </si>
  <si>
    <t>واش إمكان ليك تجي من 1خه باش تعاوني نڭادّو!</t>
  </si>
  <si>
    <t>I presume you mean lanes</t>
  </si>
  <si>
    <t>kandan kat9sad lmamarat</t>
  </si>
  <si>
    <t>كاندان كاتقساد لمامارات</t>
  </si>
  <si>
    <t>We're saved!</t>
  </si>
  <si>
    <t>7na bi2aman!</t>
  </si>
  <si>
    <t>حنا بيأمان!</t>
  </si>
  <si>
    <t>Well done for getting us back</t>
  </si>
  <si>
    <t>mzyan mlli rjj3tina</t>
  </si>
  <si>
    <t>مزيان ملّي رجّعتينا</t>
  </si>
  <si>
    <t>Good morning Mr Hatim, how are you feeling this morning?</t>
  </si>
  <si>
    <t>Sba7 alkhir ssi Hatim, kidayr had sba7?</t>
  </si>
  <si>
    <t>صباح ألخير السي هاتيم, كيداير هاد سباح?</t>
  </si>
  <si>
    <t>I ate three frogs and two snails</t>
  </si>
  <si>
    <t>kalit 3 dyal dafadi3 ojouj brbbouchat</t>
  </si>
  <si>
    <t>كاليت 3 ديال دافاديع أُجوج بربّوشات</t>
  </si>
  <si>
    <t>Was that for breakfast?</t>
  </si>
  <si>
    <t>hadchi flftour?</t>
  </si>
  <si>
    <t>هادشي فلفتور?</t>
  </si>
  <si>
    <t>And on your side?</t>
  </si>
  <si>
    <t>o mn ji8tek?</t>
  </si>
  <si>
    <t>أُ من جيهتك?</t>
  </si>
  <si>
    <t>Very well, thank you</t>
  </si>
  <si>
    <t>bikhiir choukran lik</t>
  </si>
  <si>
    <t>بيخيّر شوكران ليك</t>
  </si>
  <si>
    <t>I feel like I'm seeing double</t>
  </si>
  <si>
    <t>kan7ass b7la kanchof jouj</t>
  </si>
  <si>
    <t>كانحاسّ بحلا كانشوف جوج</t>
  </si>
  <si>
    <t>When I see green, I see red too</t>
  </si>
  <si>
    <t>mli kanchof loun 7mar,kanchof lkhdar 7ta howa</t>
  </si>
  <si>
    <t>ملي كانشوف لون حمار,كانشوف لخدار حتا هووا</t>
  </si>
  <si>
    <t>Do you see green and red together all the time?</t>
  </si>
  <si>
    <t>wach katchof l7mar olkhdar bjouj dima?</t>
  </si>
  <si>
    <t>واش كاتشوف لحمار أُلخدار بجوج ديما?</t>
  </si>
  <si>
    <t>Or just at certain times?</t>
  </si>
  <si>
    <t>ola ghi ba3d almrat?</t>
  </si>
  <si>
    <t>أُلا غي باعد ألمرات?</t>
  </si>
  <si>
    <t>If so, when?</t>
  </si>
  <si>
    <t>o ila kan hakak, imta?</t>
  </si>
  <si>
    <t>أُ إلا كان هاكاك, إمتا?</t>
  </si>
  <si>
    <t>On one piece of bread</t>
  </si>
  <si>
    <t>3la Trf wa7d mn lkhobz</t>
  </si>
  <si>
    <t>علا طرف واحد من لخوبز</t>
  </si>
  <si>
    <t>You really think it's possible to get three?</t>
  </si>
  <si>
    <t>wach kadan bli momkin tchdd tlata?</t>
  </si>
  <si>
    <t>واش كادان بلي مومكين تشدّ تلاتا?</t>
  </si>
  <si>
    <t>They'd need to be very close together</t>
  </si>
  <si>
    <t>aykhas ikono 9rab bzaf mn b3adiyat8om</t>
  </si>
  <si>
    <t>أيخاس إكونو قراب بزاف من بعاديياتهوم</t>
  </si>
  <si>
    <t>And that may be very difficult to realize</t>
  </si>
  <si>
    <t>o hadchi i9dar ikon S3ib bzaf tgaddo</t>
  </si>
  <si>
    <t>أُ هادشي إقدار إكون صعيب بزاف تڭادّو</t>
  </si>
  <si>
    <t>Sit here</t>
  </si>
  <si>
    <t>glas 8na</t>
  </si>
  <si>
    <t>ڭلاس هنا</t>
  </si>
  <si>
    <t>ryye7 8na</t>
  </si>
  <si>
    <t>ريّح هنا</t>
  </si>
  <si>
    <t>g3od 8na</t>
  </si>
  <si>
    <t>ڭعود هنا</t>
  </si>
  <si>
    <t>I am hopeful that you can help me</t>
  </si>
  <si>
    <t>kan2ml t9dar t3awni</t>
  </si>
  <si>
    <t>كانءمل تقدار تعاوني</t>
  </si>
  <si>
    <t>I have been feeling very sad lately</t>
  </si>
  <si>
    <t>kant kan7as b7ozn kbir had tawakhir</t>
  </si>
  <si>
    <t>كانت كانحاس بحوزن كبير هاد تاواخير</t>
  </si>
  <si>
    <t>In parallel, we cut down half the pills</t>
  </si>
  <si>
    <t>fnfs lw9t, 9ta3na nos dyal l7bob</t>
  </si>
  <si>
    <t>فنفس لوقت, قتاعنا نوس ديال لحبوب</t>
  </si>
  <si>
    <t>It's been a long time since we've had to hit the road</t>
  </si>
  <si>
    <t>moudda hadi mlli Drbna Tri9</t>
  </si>
  <si>
    <t>مودّا هادي ملّي ضربنا طريق</t>
  </si>
  <si>
    <t>I feel like we're lost</t>
  </si>
  <si>
    <t>kan7as b7al ila toDDerna</t>
  </si>
  <si>
    <t>كانحاس بحال إلا توضّرنا</t>
  </si>
  <si>
    <t>Wait, I'll look in my bag</t>
  </si>
  <si>
    <t>tsana, ghadi n9lab fl7a9iba dyali</t>
  </si>
  <si>
    <t>تسانا, غادي نقلاب فلحاقيبا ديالي</t>
  </si>
  <si>
    <t>Well, I can't find the map</t>
  </si>
  <si>
    <t>wakha, mal9itch lkhariTa</t>
  </si>
  <si>
    <t>واخا, مالقيتش لخاريطا</t>
  </si>
  <si>
    <t>But there's still chocolate, you want some?</t>
  </si>
  <si>
    <t>walakin mazal kayn choclat, bghiti chwiya?</t>
  </si>
  <si>
    <t>والاكين مازال كاين شوكلات, بغيتي شوييا?</t>
  </si>
  <si>
    <t>I'm not sure what we can do without the map</t>
  </si>
  <si>
    <t>mamt2kadch achno imkan lina ndiro bla khariTa</t>
  </si>
  <si>
    <t>مامتءكادش أشنو إمكان لينا نديرو بلا خاريطا</t>
  </si>
  <si>
    <t>Maybe find a river</t>
  </si>
  <si>
    <t>imkan tl9a lwad</t>
  </si>
  <si>
    <t>إمكان تلقا لواد</t>
  </si>
  <si>
    <t>It's stupid to be lost when we have a good map!</t>
  </si>
  <si>
    <t>mn lghaba2 twaDar mnin tkon 3andak khariTa mazyana</t>
  </si>
  <si>
    <t>من لغاباء تواضار منين تكون عانداك خاريطا مازيانا</t>
  </si>
  <si>
    <t>Why did you give it to Loubna earlier?</t>
  </si>
  <si>
    <t>3lach 3titiha l Loubna gbila</t>
  </si>
  <si>
    <t>علاش عتيتيها ل لوبنا ڭبيلا</t>
  </si>
  <si>
    <t>You know full well why!</t>
  </si>
  <si>
    <t>rak 3arf mzyan 3lach!</t>
  </si>
  <si>
    <t>راك عارف مزيان علاش!</t>
  </si>
  <si>
    <t>It was the only way to get them to give us back our food</t>
  </si>
  <si>
    <t>kant Tari9a lwa7ida bach yrado lina lmakla dyalna</t>
  </si>
  <si>
    <t>كانت طاريقا لواحيدا باش يرادو لينا لماكلا ديالنا</t>
  </si>
  <si>
    <t>A fork?</t>
  </si>
  <si>
    <t>forchiTa?</t>
  </si>
  <si>
    <t>فورشيطا?</t>
  </si>
  <si>
    <t>No, I haven't opened it yet</t>
  </si>
  <si>
    <t>la, mazal ma7llit8a</t>
  </si>
  <si>
    <t>لا, مازال ماحلّيتها</t>
  </si>
  <si>
    <t>Let me have a look</t>
  </si>
  <si>
    <t>bllati nDrb Tlila</t>
  </si>
  <si>
    <t>بلّاتي نضرب طليلا</t>
  </si>
  <si>
    <t>khllini nDrb Tlila</t>
  </si>
  <si>
    <t>خلّيني نضرب طليلا</t>
  </si>
  <si>
    <t>bllati nchouf</t>
  </si>
  <si>
    <t>You mean that smell's coming from your present?</t>
  </si>
  <si>
    <t>kat9sad dik ri7a jaya mn lkaDo dyalk</t>
  </si>
  <si>
    <t>كاتقساد ديك ريحا جايا من لكاضو ديالك</t>
  </si>
  <si>
    <t>kif Sbe7ti?</t>
  </si>
  <si>
    <t>كيف صبحتي?</t>
  </si>
  <si>
    <t>Did you have your breakfast?</t>
  </si>
  <si>
    <t>wach fTerti?</t>
  </si>
  <si>
    <t>واش فطرتي?</t>
  </si>
  <si>
    <t>Are you hungry?</t>
  </si>
  <si>
    <t>wach fik jjou3?</t>
  </si>
  <si>
    <t>واش فيك الجوع?</t>
  </si>
  <si>
    <t>what do you want to have for breakfast?</t>
  </si>
  <si>
    <t>chno bghiti takol fel fTour?</t>
  </si>
  <si>
    <t>شنو بغيتي تاكول فل فطور?</t>
  </si>
  <si>
    <t>Do you drink tea?</t>
  </si>
  <si>
    <t>wach katchreb atay?</t>
  </si>
  <si>
    <t>واش كاتشرب أتاي?</t>
  </si>
  <si>
    <t>do you drink tea without sugar?</t>
  </si>
  <si>
    <t>wach katchreb atay bla ssekkar?</t>
  </si>
  <si>
    <t>واش كاتشرب أتاي بلا السكّار?</t>
  </si>
  <si>
    <t>do you want some coffee?</t>
  </si>
  <si>
    <t>wach bghiti l9e8wa?</t>
  </si>
  <si>
    <t>واش بغيتي لقهوا?</t>
  </si>
  <si>
    <t>I am hungry</t>
  </si>
  <si>
    <t>fiyya jjou3</t>
  </si>
  <si>
    <t>فييّا الجوع</t>
  </si>
  <si>
    <t>is there anything to eat?</t>
  </si>
  <si>
    <t>wach kayn ma yttekla?</t>
  </si>
  <si>
    <t>واش كاين ما يتّكلا?</t>
  </si>
  <si>
    <t>this is delicious</t>
  </si>
  <si>
    <t>hadchi bnin</t>
  </si>
  <si>
    <t>هادشي بنين</t>
  </si>
  <si>
    <t>it is salty</t>
  </si>
  <si>
    <t>hadchi mal7</t>
  </si>
  <si>
    <t>هادشي مالح</t>
  </si>
  <si>
    <t>it is very sweet</t>
  </si>
  <si>
    <t>hadchi 7lo bzzaf</t>
  </si>
  <si>
    <t>هادشي حلو بزّاف</t>
  </si>
  <si>
    <t>I am not hungry now</t>
  </si>
  <si>
    <t>mafiyyach jjou3 daba</t>
  </si>
  <si>
    <t>مافييّاش الجوع دابا</t>
  </si>
  <si>
    <t>is there any bread left?</t>
  </si>
  <si>
    <t>wach ba9i lkhobz</t>
  </si>
  <si>
    <t>واش باقي لخوبز</t>
  </si>
  <si>
    <t>where would you like to have breakfast?</t>
  </si>
  <si>
    <t>fin bghiti tfTer?</t>
  </si>
  <si>
    <t>فين بغيتي تفطر?</t>
  </si>
  <si>
    <t>I don't drink tea</t>
  </si>
  <si>
    <t>makanchrebch atay</t>
  </si>
  <si>
    <t>ماكانشربش أتاي</t>
  </si>
  <si>
    <t>I will go to the café</t>
  </si>
  <si>
    <t>ghanmchi lel 9e8wa</t>
  </si>
  <si>
    <t>غانمشي لل قهوا</t>
  </si>
  <si>
    <t>When did you have your breakfast?</t>
  </si>
  <si>
    <t>m3ach fterTi?</t>
  </si>
  <si>
    <t>معاش فترطي?</t>
  </si>
  <si>
    <t>When did you have your lunch?</t>
  </si>
  <si>
    <t>m3ach tghedditi?</t>
  </si>
  <si>
    <t>معاش تغدّيتي?</t>
  </si>
  <si>
    <t>When did you have your dinner?</t>
  </si>
  <si>
    <t>m3ach t3echiti?</t>
  </si>
  <si>
    <t>معاش تعشيتي?</t>
  </si>
  <si>
    <t>What did you eat for lunch?</t>
  </si>
  <si>
    <t>bach tghedditi?</t>
  </si>
  <si>
    <t>باش تغدّيتي?</t>
  </si>
  <si>
    <t>What did you eat for dinner?</t>
  </si>
  <si>
    <t>bach t3echiti?</t>
  </si>
  <si>
    <t>باش تعشيتي?</t>
  </si>
  <si>
    <t>what did you have for breakfast?</t>
  </si>
  <si>
    <t>bach fTerti?</t>
  </si>
  <si>
    <t>باش فطرتي?</t>
  </si>
  <si>
    <t>I was born in Agadir</t>
  </si>
  <si>
    <t>ana twledt f agadir</t>
  </si>
  <si>
    <t>أنا تولدت ف أڭادير</t>
  </si>
  <si>
    <t>where did you go?</t>
  </si>
  <si>
    <t>fin mchiti?</t>
  </si>
  <si>
    <t>فين مشيتي?</t>
  </si>
  <si>
    <t>I went to the market</t>
  </si>
  <si>
    <t>mchit l ssou9</t>
  </si>
  <si>
    <t>مشيت ل السوق</t>
  </si>
  <si>
    <t>whose house is this?</t>
  </si>
  <si>
    <t>dial men had ddar?</t>
  </si>
  <si>
    <t>ديال من هاد الدار?</t>
  </si>
  <si>
    <t>where do you study?</t>
  </si>
  <si>
    <t>fin kat9ra?</t>
  </si>
  <si>
    <t>فين كاتقرا?</t>
  </si>
  <si>
    <t>I study at the university</t>
  </si>
  <si>
    <t>kan9ra fel kolliya</t>
  </si>
  <si>
    <t>كانقرا فل كولّييا</t>
  </si>
  <si>
    <t>do you need help?</t>
  </si>
  <si>
    <t>wach me7taj li y3awnek?</t>
  </si>
  <si>
    <t>واش محتاج لي يعاونك?</t>
  </si>
  <si>
    <t>when do you sleep?</t>
  </si>
  <si>
    <t>m3ach katn3es?</t>
  </si>
  <si>
    <t>معاش كاتنعس?</t>
  </si>
  <si>
    <t>What's your brother's name?</t>
  </si>
  <si>
    <t>chno smit khouk?</t>
  </si>
  <si>
    <t>شنو سميت خوك?</t>
  </si>
  <si>
    <t>What's your sister's name?</t>
  </si>
  <si>
    <t>chno smit khtek?</t>
  </si>
  <si>
    <t>شنو سميت ختك?</t>
  </si>
  <si>
    <t>Where is the school?</t>
  </si>
  <si>
    <t>fin jat lmedrassa?</t>
  </si>
  <si>
    <t>فين جات لمدراسّا?</t>
  </si>
  <si>
    <t>Where is the hospital?</t>
  </si>
  <si>
    <t>fin ja SSbiTar?</t>
  </si>
  <si>
    <t>فين جا الصبيطار?</t>
  </si>
  <si>
    <t>Where is this hotel?</t>
  </si>
  <si>
    <t>fin ja 8ad loTel?</t>
  </si>
  <si>
    <t>فين جا هاد لوطل?</t>
  </si>
  <si>
    <t>Didn't you go?</t>
  </si>
  <si>
    <t>wach mamchitich?</t>
  </si>
  <si>
    <t>واش مامشيتيش?</t>
  </si>
  <si>
    <t>Are you still late?</t>
  </si>
  <si>
    <t>wach mazal m3eTTel?</t>
  </si>
  <si>
    <t>واش مازال معطّل?</t>
  </si>
  <si>
    <t>is everything okay?</t>
  </si>
  <si>
    <t>wach ddenya 8anya?</t>
  </si>
  <si>
    <t>واش الدنيا هانيا?</t>
  </si>
  <si>
    <t>Why didn't you come yesterday?</t>
  </si>
  <si>
    <t>3lach majitich lbar7?</t>
  </si>
  <si>
    <t>علاش ماجيتيش لبارح?</t>
  </si>
  <si>
    <t>What do you have tomorrow?</t>
  </si>
  <si>
    <t>chno 3ndek gheDDa?</t>
  </si>
  <si>
    <t>شنو عندك غضّا?</t>
  </si>
  <si>
    <t>I didn't get your words</t>
  </si>
  <si>
    <t>maf8emtekch mezian</t>
  </si>
  <si>
    <t>مافهمتكش مزيان</t>
  </si>
  <si>
    <t>What didn't you understand?</t>
  </si>
  <si>
    <t>chno li maf8emtich?</t>
  </si>
  <si>
    <t>شنو لي مافهمتيش?</t>
  </si>
  <si>
    <t>This road is empty</t>
  </si>
  <si>
    <t>had TTri9 khawya</t>
  </si>
  <si>
    <t>هاد الطريق خاويا</t>
  </si>
  <si>
    <t>This road is long</t>
  </si>
  <si>
    <t>had TTri9 Twila</t>
  </si>
  <si>
    <t>هاد الطريق طويلا</t>
  </si>
  <si>
    <t>My phone turns off</t>
  </si>
  <si>
    <t>tfa lia tilifoun</t>
  </si>
  <si>
    <t>تفا ليا تيليفون</t>
  </si>
  <si>
    <t>I am not going with you</t>
  </si>
  <si>
    <t>maghanmchich m3ak</t>
  </si>
  <si>
    <t>ماغانمشيش معاك</t>
  </si>
  <si>
    <t>I am not feeling well</t>
  </si>
  <si>
    <t>makan7esch brasi mezian</t>
  </si>
  <si>
    <t>ماكانحسش براسي مزيان</t>
  </si>
  <si>
    <t>The job is hard</t>
  </si>
  <si>
    <t>lkhedma S3iba</t>
  </si>
  <si>
    <t>لخدما صعيبا</t>
  </si>
  <si>
    <t>I have a lot of job to do today</t>
  </si>
  <si>
    <t>3ndi lkhedma ktira lyoum</t>
  </si>
  <si>
    <t>عندي لخدما كتيرا ليوم</t>
  </si>
  <si>
    <t>I don't have class today</t>
  </si>
  <si>
    <t>ma9arich lyoum</t>
  </si>
  <si>
    <t>ماقاريش ليوم</t>
  </si>
  <si>
    <t>The teacher didn't come today</t>
  </si>
  <si>
    <t>l ostad majach lyoum</t>
  </si>
  <si>
    <t>ل أُستاد ماجاش ليوم</t>
  </si>
  <si>
    <t>do you want me to bring you something?</t>
  </si>
  <si>
    <t>wach njib lik m3aya chi 7aja?</t>
  </si>
  <si>
    <t>واش نجيب ليك معايا شي حاجا?</t>
  </si>
  <si>
    <t>My sister is getting married</t>
  </si>
  <si>
    <t>khti ghatzewej</t>
  </si>
  <si>
    <t>ختي غاتزوج</t>
  </si>
  <si>
    <t>Those are my nephews</t>
  </si>
  <si>
    <t>hado wlad khti</t>
  </si>
  <si>
    <t>هادو ولاد ختي</t>
  </si>
  <si>
    <t>Where have you been?</t>
  </si>
  <si>
    <t>fin ghberti?</t>
  </si>
  <si>
    <t>فين غبرتي?</t>
  </si>
  <si>
    <t>Why don't you answer the phone?</t>
  </si>
  <si>
    <t>3lach makatjawbch 3la TTilifoun?</t>
  </si>
  <si>
    <t>علاش ماكاتجاوبش علا الطيليفون?</t>
  </si>
  <si>
    <t>I don't eat rice</t>
  </si>
  <si>
    <t>makanakolch rrouz</t>
  </si>
  <si>
    <t>ماكاناكولش الروز</t>
  </si>
  <si>
    <t>I am on a diet</t>
  </si>
  <si>
    <t>dayra rrijim</t>
  </si>
  <si>
    <t>دايرا الريجيم</t>
  </si>
  <si>
    <t>This shirt is beautiful</t>
  </si>
  <si>
    <t>had l9amija zwina</t>
  </si>
  <si>
    <t>هاد لقاميجا زوينا</t>
  </si>
  <si>
    <t>This dress suits you</t>
  </si>
  <si>
    <t>jat m3ak had lkeswa</t>
  </si>
  <si>
    <t>جات معاك هاد لكسوا</t>
  </si>
  <si>
    <t>This Jellaba is large</t>
  </si>
  <si>
    <t>had jjellaba jatk was3a</t>
  </si>
  <si>
    <t>هاد الجلّابا جاتك واسعا</t>
  </si>
  <si>
    <t>This Jellaba is tight</t>
  </si>
  <si>
    <t>had jjellaba jatk mDey9a</t>
  </si>
  <si>
    <t>هاد الجلّابا جاتك مضيقا</t>
  </si>
  <si>
    <t>Where did you buy this outfit?</t>
  </si>
  <si>
    <t>fin chriti had llebsa?</t>
  </si>
  <si>
    <t>فين شريتي هاد اللبسا?</t>
  </si>
  <si>
    <t>How much did you buy this outfit?</t>
  </si>
  <si>
    <t>bech7al chriti had llebsa</t>
  </si>
  <si>
    <t>بشحال شريتي هاد اللبسا</t>
  </si>
  <si>
    <t>did you travel?</t>
  </si>
  <si>
    <t>wach saferti mazal?</t>
  </si>
  <si>
    <t>واش سافرتي مازال?</t>
  </si>
  <si>
    <t>Why didn't you travel?</t>
  </si>
  <si>
    <t>3lach masafrtich?</t>
  </si>
  <si>
    <t>علاش ماسافرتيش?</t>
  </si>
  <si>
    <t>I don't have money</t>
  </si>
  <si>
    <t>ma3endich lflous</t>
  </si>
  <si>
    <t>ماعنديش لفلوس</t>
  </si>
  <si>
    <t>I don't have time</t>
  </si>
  <si>
    <t>ma3endich lwe9t</t>
  </si>
  <si>
    <t>ماعنديش لوقت</t>
  </si>
  <si>
    <t>My mother is sick</t>
  </si>
  <si>
    <t>mama mriDa</t>
  </si>
  <si>
    <t>ماما مريضا</t>
  </si>
  <si>
    <t>My father is sick</t>
  </si>
  <si>
    <t>baba mriD</t>
  </si>
  <si>
    <t>بابا مريض</t>
  </si>
  <si>
    <t>My brother is sick</t>
  </si>
  <si>
    <t>khoya mriD</t>
  </si>
  <si>
    <t>خويا مريض</t>
  </si>
  <si>
    <t>My sister is sick</t>
  </si>
  <si>
    <t>khti mriDa</t>
  </si>
  <si>
    <t>ختي مريضا</t>
  </si>
  <si>
    <t>My grandmother is sick</t>
  </si>
  <si>
    <t>jedda mriDa</t>
  </si>
  <si>
    <t>جدّا مريضا</t>
  </si>
  <si>
    <t>My grandfather is sick</t>
  </si>
  <si>
    <t>jeddi mriD</t>
  </si>
  <si>
    <t>جدّي مريض</t>
  </si>
  <si>
    <t>My grandfather passed away</t>
  </si>
  <si>
    <t>jeddi mat</t>
  </si>
  <si>
    <t>جدّي مات</t>
  </si>
  <si>
    <t>My grandmother passed away</t>
  </si>
  <si>
    <t>jedda matet</t>
  </si>
  <si>
    <t>جدّا ماتت</t>
  </si>
  <si>
    <t>I miss my grandmother</t>
  </si>
  <si>
    <t>twe77echt jedda</t>
  </si>
  <si>
    <t>توحّشت جدّا</t>
  </si>
  <si>
    <t>I miss my grandfather</t>
  </si>
  <si>
    <t>twe77echt jeddi</t>
  </si>
  <si>
    <t>توحّشت جدّي</t>
  </si>
  <si>
    <t>This is hard</t>
  </si>
  <si>
    <t>hadchi S3ib</t>
  </si>
  <si>
    <t>هادشي صعيب</t>
  </si>
  <si>
    <t>the laptop doesn't work anymore</t>
  </si>
  <si>
    <t>l pissi khser lia</t>
  </si>
  <si>
    <t>ل پيسّي خسر ليا</t>
  </si>
  <si>
    <t>When will you finish your studies?</t>
  </si>
  <si>
    <t>imta ghatsali l9raya?</t>
  </si>
  <si>
    <t>إمتا غاتسالي لقرايا?</t>
  </si>
  <si>
    <t>When will you finish the work?</t>
  </si>
  <si>
    <t>imta ghatsali lkhedma?</t>
  </si>
  <si>
    <t>إمتا غاتسالي لخدما?</t>
  </si>
  <si>
    <t>I am pregnant</t>
  </si>
  <si>
    <t>ana 7amla</t>
  </si>
  <si>
    <t>أنا حاملا</t>
  </si>
  <si>
    <t>I will give birth soon</t>
  </si>
  <si>
    <t>9rib ghanwled</t>
  </si>
  <si>
    <t>قريب غانولد</t>
  </si>
  <si>
    <t>I don't have boys</t>
  </si>
  <si>
    <t>ma3ndich lwlad</t>
  </si>
  <si>
    <t>ماعنديش لولاد</t>
  </si>
  <si>
    <t>I don't have girls</t>
  </si>
  <si>
    <t>ma3ndich lbnat</t>
  </si>
  <si>
    <t>ماعنديش لبنات</t>
  </si>
  <si>
    <t>This is my son</t>
  </si>
  <si>
    <t>hada weldi</t>
  </si>
  <si>
    <t>هادا ولدي</t>
  </si>
  <si>
    <t>This is my daughter</t>
  </si>
  <si>
    <t>hadi bnti</t>
  </si>
  <si>
    <t>هادي بنتي</t>
  </si>
  <si>
    <t>This is my brother</t>
  </si>
  <si>
    <t>hada khoya</t>
  </si>
  <si>
    <t>هادا خويا</t>
  </si>
  <si>
    <t>This is my sister</t>
  </si>
  <si>
    <t>hadi khti</t>
  </si>
  <si>
    <t>هادي ختي</t>
  </si>
  <si>
    <t>This is my girlfriend</t>
  </si>
  <si>
    <t>hadi Sa7bti</t>
  </si>
  <si>
    <t>هادي صاحبتي</t>
  </si>
  <si>
    <t>This is my boyfriend</t>
  </si>
  <si>
    <t>hada Sa7bi</t>
  </si>
  <si>
    <t>هادا صاحبي</t>
  </si>
  <si>
    <t>Where are you traveling?</t>
  </si>
  <si>
    <t>fin ghatsafer?</t>
  </si>
  <si>
    <t>فين غاتسافر?</t>
  </si>
  <si>
    <t>Which country do you like?</t>
  </si>
  <si>
    <t>ina dawla kat3ejbek?</t>
  </si>
  <si>
    <t>إنا داولا كاتعجبك?</t>
  </si>
  <si>
    <t>I am traveling to France</t>
  </si>
  <si>
    <t>ghansafer l fransa</t>
  </si>
  <si>
    <t>غانسافر ل فرانسا</t>
  </si>
  <si>
    <t>I am traveling to Turkey</t>
  </si>
  <si>
    <t>ghansafer l torkya</t>
  </si>
  <si>
    <t>غانسافر ل توركيا</t>
  </si>
  <si>
    <t>I like Italy</t>
  </si>
  <si>
    <t>kat3jebni TTalyan</t>
  </si>
  <si>
    <t>كاتعجبني الطاليان</t>
  </si>
  <si>
    <t>Morocco is beautiful</t>
  </si>
  <si>
    <t>lmeghrib zwin</t>
  </si>
  <si>
    <t>لمغريب زوين</t>
  </si>
  <si>
    <t>I want to buy olive oil</t>
  </si>
  <si>
    <t>bghit nchri zit l3od</t>
  </si>
  <si>
    <t>بغيت نشري زيت لعود</t>
  </si>
  <si>
    <t>I want to buy argan oil</t>
  </si>
  <si>
    <t>bghit nchri zit argan</t>
  </si>
  <si>
    <t>بغيت نشري زيت أرڭان</t>
  </si>
  <si>
    <t>I am going to shop right now</t>
  </si>
  <si>
    <t>ghanmchi nt9edda daba</t>
  </si>
  <si>
    <t>غانمشي نتقدّا دابا</t>
  </si>
  <si>
    <t>Vegetables are expensive</t>
  </si>
  <si>
    <t>lkhoDra ghaliya</t>
  </si>
  <si>
    <t>لخوضرا غالييا</t>
  </si>
  <si>
    <t>Vegetables are cheap</t>
  </si>
  <si>
    <t>lkhoDra rkhiSa</t>
  </si>
  <si>
    <t>لخوضرا رخيصا</t>
  </si>
  <si>
    <t>I am cleaning the house</t>
  </si>
  <si>
    <t>ghankhemmel ddar</t>
  </si>
  <si>
    <t>غانخمّل الدار</t>
  </si>
  <si>
    <t>I am cleaning my room</t>
  </si>
  <si>
    <t>ghankhemmel biti</t>
  </si>
  <si>
    <t>غانخمّل بيتي</t>
  </si>
  <si>
    <t>Bring me a cup of water</t>
  </si>
  <si>
    <t>jib lia 3afak kas dial lma</t>
  </si>
  <si>
    <t>جيب ليا عافاك كاس ديال لما</t>
  </si>
  <si>
    <t>I want a Tajine</t>
  </si>
  <si>
    <t>tche88it chi Tajin</t>
  </si>
  <si>
    <t>تشهّيت شي طاجين</t>
  </si>
  <si>
    <t>Tomorrow I am going to see the doctor</t>
  </si>
  <si>
    <t>ghanmchi ghedda ndewez 3nd TTbib</t>
  </si>
  <si>
    <t>غانمشي غدّا ندوز عند الطبيب</t>
  </si>
  <si>
    <t>my eyesight has decreased</t>
  </si>
  <si>
    <t>n9eS lia chchouf</t>
  </si>
  <si>
    <t>نقص ليا الشوف</t>
  </si>
  <si>
    <t>I don't see well</t>
  </si>
  <si>
    <t>makanchoufch mezian</t>
  </si>
  <si>
    <t>ماكانشوفش مزيان</t>
  </si>
  <si>
    <t>I didn't hear what you said</t>
  </si>
  <si>
    <t>masme3tekch chno gelti</t>
  </si>
  <si>
    <t>ماسمعتكش شنو ڭلتي</t>
  </si>
  <si>
    <t>I don't hear very well</t>
  </si>
  <si>
    <t>makansme3ch mezian</t>
  </si>
  <si>
    <t>ماكانسمعش مزيان</t>
  </si>
  <si>
    <t>When will you get married?</t>
  </si>
  <si>
    <t>imta ghatzewwej?</t>
  </si>
  <si>
    <t>إمتا غاتزوّج?</t>
  </si>
  <si>
    <t>imta ghatzewwji?</t>
  </si>
  <si>
    <t>إمتا غاتزوّجي?</t>
  </si>
  <si>
    <t>We are invited by some people</t>
  </si>
  <si>
    <t>3arDin 3lina chi nas</t>
  </si>
  <si>
    <t>عارضين علينا شي ناس</t>
  </si>
  <si>
    <t>I am invited this night</t>
  </si>
  <si>
    <t>ana me3rouDa 8ad lila</t>
  </si>
  <si>
    <t>أنا معروضا هاد ليلا</t>
  </si>
  <si>
    <t>Life is hard</t>
  </si>
  <si>
    <t>lwe9t S3iba</t>
  </si>
  <si>
    <t>لوقت صعيبا</t>
  </si>
  <si>
    <t>i woke up early</t>
  </si>
  <si>
    <t>fe9t bekri</t>
  </si>
  <si>
    <t>فقت بكري</t>
  </si>
  <si>
    <t>I woke up late</t>
  </si>
  <si>
    <t>fe9t m3eTTel</t>
  </si>
  <si>
    <t>فقت معطّل</t>
  </si>
  <si>
    <t>I don't wake up early</t>
  </si>
  <si>
    <t>makanfi9ch bekri</t>
  </si>
  <si>
    <t>ماكانفيقش بكري</t>
  </si>
  <si>
    <t>I like to stay up at night</t>
  </si>
  <si>
    <t>kay3jebni ns8er bllil</t>
  </si>
  <si>
    <t>كايعجبني نسهر بلّيل</t>
  </si>
  <si>
    <t>I have a headache</t>
  </si>
  <si>
    <t>kayDerni raSi</t>
  </si>
  <si>
    <t>كايضرني راصي</t>
  </si>
  <si>
    <t>I love soda</t>
  </si>
  <si>
    <t>3ziza 3liyya lmonaDa</t>
  </si>
  <si>
    <t>عزيزا علييّا لموناضا</t>
  </si>
  <si>
    <t>did you feel scared?</t>
  </si>
  <si>
    <t>wach khefti?</t>
  </si>
  <si>
    <t>واش خفتي?</t>
  </si>
  <si>
    <t>When is the wedding</t>
  </si>
  <si>
    <t>imta kayn l3ers?</t>
  </si>
  <si>
    <t>إمتا كاين لعرس?</t>
  </si>
  <si>
    <t>He talks too much</t>
  </si>
  <si>
    <t>fi8 l8eDra bezzaf</t>
  </si>
  <si>
    <t>فيه لهضرا بزّاف</t>
  </si>
  <si>
    <t>He speaks fast</t>
  </si>
  <si>
    <t>kay8Der bzzerba</t>
  </si>
  <si>
    <t>كايهضر بزّربا</t>
  </si>
  <si>
    <t>He speaks slow</t>
  </si>
  <si>
    <t>kay8Der bchchwiyya</t>
  </si>
  <si>
    <t>كايهضر بشّوييّا</t>
  </si>
  <si>
    <t>what did the doctor say to you?</t>
  </si>
  <si>
    <t>chno gallik TTbib?</t>
  </si>
  <si>
    <t>شنو ڭالّيك الطبيب?</t>
  </si>
  <si>
    <t>Aren't you tired?</t>
  </si>
  <si>
    <t>wach ma3eyyitich?</t>
  </si>
  <si>
    <t>واش ماعيّيتيش?</t>
  </si>
  <si>
    <t>what color do you like?</t>
  </si>
  <si>
    <t>ina loun kay3ejbek?</t>
  </si>
  <si>
    <t>إنا لون كايعجبك?</t>
  </si>
  <si>
    <t>which school did you study at?</t>
  </si>
  <si>
    <t>f ina medrasa 9riti?</t>
  </si>
  <si>
    <t>ف إنا مدراسا قريتي?</t>
  </si>
  <si>
    <t>I like black</t>
  </si>
  <si>
    <t>kay3jebni lk7el</t>
  </si>
  <si>
    <t>كايعجبني لكحل</t>
  </si>
  <si>
    <t>I don't like black</t>
  </si>
  <si>
    <t>makay3jebnich lk7el</t>
  </si>
  <si>
    <t>ماكايعجبنيش لكحل</t>
  </si>
  <si>
    <t>do you like black color?</t>
  </si>
  <si>
    <t>wach kay3ejbek lk7el?</t>
  </si>
  <si>
    <t>واش كايعجبك لكحل?</t>
  </si>
  <si>
    <t>I don't know what to say</t>
  </si>
  <si>
    <t>ma3reftch chno ngoul</t>
  </si>
  <si>
    <t>ماعرفتش شنو نڭول</t>
  </si>
  <si>
    <t>I don't have luck</t>
  </si>
  <si>
    <t>ma3ndich zz8er</t>
  </si>
  <si>
    <t>ماعنديش الزهر</t>
  </si>
  <si>
    <t>I am allergic to</t>
  </si>
  <si>
    <t>3endi 7asasiyya</t>
  </si>
  <si>
    <t>عندي حاساسييّا</t>
  </si>
  <si>
    <t>I don't eat fish</t>
  </si>
  <si>
    <t>makannakolch l7out</t>
  </si>
  <si>
    <t>ماكانّاكولش لحوت</t>
  </si>
  <si>
    <t>makannakolch rrouz</t>
  </si>
  <si>
    <t>ماكانّاكولش الروز</t>
  </si>
  <si>
    <t>I don't drink milk</t>
  </si>
  <si>
    <t>makanchrebch l7lib</t>
  </si>
  <si>
    <t>ماكانشربش لحليب</t>
  </si>
  <si>
    <t>this milk has expired</t>
  </si>
  <si>
    <t>had l7lib khaser</t>
  </si>
  <si>
    <t>هاد لحليب خاسر</t>
  </si>
  <si>
    <t>where did you come from?</t>
  </si>
  <si>
    <t>mnin jiti?</t>
  </si>
  <si>
    <t>منين جيتي?</t>
  </si>
  <si>
    <t>I have a toothache</t>
  </si>
  <si>
    <t>katDerni DDerSa</t>
  </si>
  <si>
    <t>كاتضرني الضرصا</t>
  </si>
  <si>
    <t>we will have guests</t>
  </si>
  <si>
    <t>ghayjiw 3ndna DDiyaf</t>
  </si>
  <si>
    <t>غايجيو عندنا الضيياف</t>
  </si>
  <si>
    <t>Are you crazy?</t>
  </si>
  <si>
    <t>wach 7ma9iti?</t>
  </si>
  <si>
    <t>واش حماقيتي?</t>
  </si>
  <si>
    <t>you made me angry</t>
  </si>
  <si>
    <t>3SSebtini</t>
  </si>
  <si>
    <t>عصّبتيني</t>
  </si>
  <si>
    <t>sir f7alek</t>
  </si>
  <si>
    <t>come here</t>
  </si>
  <si>
    <t>aji l8na</t>
  </si>
  <si>
    <t>أجي لهنا</t>
  </si>
  <si>
    <t>just keep quiet</t>
  </si>
  <si>
    <t>safi ghir sket</t>
  </si>
  <si>
    <t>سافي غير سكت</t>
  </si>
  <si>
    <t>don't make me angry</t>
  </si>
  <si>
    <t>mat3eSSebnich</t>
  </si>
  <si>
    <t>ماتعصّبنيش</t>
  </si>
  <si>
    <t>don't be angry</t>
  </si>
  <si>
    <t>bla mat3eSSeb raSk</t>
  </si>
  <si>
    <t>بلا ماتعصّب راصك</t>
  </si>
  <si>
    <t>I didn't like what you said</t>
  </si>
  <si>
    <t>ma3jebatnich l8Dra li gelti</t>
  </si>
  <si>
    <t>ماعجباتنيش لهضرا لي ڭلتي</t>
  </si>
  <si>
    <t>you must apologize</t>
  </si>
  <si>
    <t>khaSSek t3tader</t>
  </si>
  <si>
    <t>خاصّك تعتادر</t>
  </si>
  <si>
    <t>what did you see?</t>
  </si>
  <si>
    <t>chno chefti?</t>
  </si>
  <si>
    <t>شنو شفتي?</t>
  </si>
  <si>
    <t>what did you hear?</t>
  </si>
  <si>
    <t>chno sme3ti?</t>
  </si>
  <si>
    <t>شنو سمعتي?</t>
  </si>
  <si>
    <t>what did they tell you?</t>
  </si>
  <si>
    <t>chno galo lik?</t>
  </si>
  <si>
    <t>شنو ڭالو ليك?</t>
  </si>
  <si>
    <t>aren't you ashamed?</t>
  </si>
  <si>
    <t>wach ma7chemtich?</t>
  </si>
  <si>
    <t>واش ماحشمتيش?</t>
  </si>
  <si>
    <t>it is not my business</t>
  </si>
  <si>
    <t>mach Sou9i</t>
  </si>
  <si>
    <t>ماش صوقي</t>
  </si>
  <si>
    <t>it is none of your business</t>
  </si>
  <si>
    <t>machi Sou9ek</t>
  </si>
  <si>
    <t>ماشي صوقك</t>
  </si>
  <si>
    <t>that's what I think of</t>
  </si>
  <si>
    <t>dakchi li ban liyya</t>
  </si>
  <si>
    <t>داكشي لي بان لييّا</t>
  </si>
  <si>
    <t>I am still thinking</t>
  </si>
  <si>
    <t>mazal kanfekker</t>
  </si>
  <si>
    <t>مازال كانفكّر</t>
  </si>
  <si>
    <t>I have a cat</t>
  </si>
  <si>
    <t>3ndi mechcha</t>
  </si>
  <si>
    <t>عندي مشّا</t>
  </si>
  <si>
    <t>3ndi 9eTTa</t>
  </si>
  <si>
    <t>عندي قطّا</t>
  </si>
  <si>
    <t>I have a dog</t>
  </si>
  <si>
    <t>3ndi kelb</t>
  </si>
  <si>
    <t>عندي كلب</t>
  </si>
  <si>
    <t>I am scared of cats</t>
  </si>
  <si>
    <t>kankhaf mn lmchach</t>
  </si>
  <si>
    <t>كانخاف من لمشاش</t>
  </si>
  <si>
    <t>I am scared of dogs</t>
  </si>
  <si>
    <t>kankhaf mn lklab</t>
  </si>
  <si>
    <t>كانخاف من لكلاب</t>
  </si>
  <si>
    <t>this dog is friendly</t>
  </si>
  <si>
    <t>had lkelb Driyef</t>
  </si>
  <si>
    <t>هاد لكلب ضرييف</t>
  </si>
  <si>
    <t>I have no idea</t>
  </si>
  <si>
    <t>ana mafrasi walo</t>
  </si>
  <si>
    <t>أنا مافراسي والو</t>
  </si>
  <si>
    <t>I dyed my hair</t>
  </si>
  <si>
    <t>sbeght cha3ri</t>
  </si>
  <si>
    <t>سبغت شاعري</t>
  </si>
  <si>
    <t>I will bake a cake</t>
  </si>
  <si>
    <t>ghanSawb kika</t>
  </si>
  <si>
    <t>غانصاوب كيكا</t>
  </si>
  <si>
    <t>I will take a taxi</t>
  </si>
  <si>
    <t>ghanched Taksi</t>
  </si>
  <si>
    <t>غانشد طاكسي</t>
  </si>
  <si>
    <t>I will take a bus</t>
  </si>
  <si>
    <t>ghanrkeb TTobiS</t>
  </si>
  <si>
    <t>غانركب الطوبيص</t>
  </si>
  <si>
    <t>the bus didn't come</t>
  </si>
  <si>
    <t>majach TTobiS</t>
  </si>
  <si>
    <t>ماجاش الطوبيص</t>
  </si>
  <si>
    <t>when does the bus arrive?</t>
  </si>
  <si>
    <t>imta kayji TTobiS?</t>
  </si>
  <si>
    <t>إمتا كايجي الطوبيص?</t>
  </si>
  <si>
    <t>where do you live?</t>
  </si>
  <si>
    <t>fin katsken?</t>
  </si>
  <si>
    <t>فين كاتسكن?</t>
  </si>
  <si>
    <t>are you going to move out?</t>
  </si>
  <si>
    <t>wach ghatr7el?</t>
  </si>
  <si>
    <t>واش غاترحل?</t>
  </si>
  <si>
    <t>I am charging my phone</t>
  </si>
  <si>
    <t>kancharji Tilifouni</t>
  </si>
  <si>
    <t>كانشارجي طيليفوني</t>
  </si>
  <si>
    <t>I am a philosophy teacher</t>
  </si>
  <si>
    <t>ana ostad dial lfalsafa</t>
  </si>
  <si>
    <t>أنا أُستاد ديال لفالسافا</t>
  </si>
  <si>
    <t>I teach Arabic</t>
  </si>
  <si>
    <t>ana kan9arri l3arbiyya</t>
  </si>
  <si>
    <t>أنا كانقارّي لعاربييّا</t>
  </si>
  <si>
    <t>I am a maths teacher</t>
  </si>
  <si>
    <t>ana ostad dial rriyaDiyyat</t>
  </si>
  <si>
    <t>أنا أُستاد ديال الريياضييّات</t>
  </si>
  <si>
    <t>I am a university teacher</t>
  </si>
  <si>
    <t>ana ostad jami3i</t>
  </si>
  <si>
    <t>أنا أُستاد جاميعي</t>
  </si>
  <si>
    <t>I am not working now</t>
  </si>
  <si>
    <t>ana makhddamch daba</t>
  </si>
  <si>
    <t>أنا ماخدّامش دابا</t>
  </si>
  <si>
    <t>it's okay</t>
  </si>
  <si>
    <t>ddeniya hanya</t>
  </si>
  <si>
    <t>الدنييا هانيا</t>
  </si>
  <si>
    <t>I will stay late tonight</t>
  </si>
  <si>
    <t>ghans8er 8ad llila</t>
  </si>
  <si>
    <t>غانسهر هاد الليلا</t>
  </si>
  <si>
    <t>I bought new clothes</t>
  </si>
  <si>
    <t>chrit 7wayj jdad</t>
  </si>
  <si>
    <t>شريت حوايج جداد</t>
  </si>
  <si>
    <t>I don't have a driving licence</t>
  </si>
  <si>
    <t>ma3ndich lppirmi</t>
  </si>
  <si>
    <t>ماعنديش لپّيرمي</t>
  </si>
  <si>
    <t>I don't know how to drive</t>
  </si>
  <si>
    <t>makan3refch nSog</t>
  </si>
  <si>
    <t>ماكانعرفش نصوڭ</t>
  </si>
  <si>
    <t>your car is beautiful</t>
  </si>
  <si>
    <t>zwina Tomobiltk</t>
  </si>
  <si>
    <t>زوينا طوموبيلتك</t>
  </si>
  <si>
    <t>How much did you buy this car?</t>
  </si>
  <si>
    <t>bch7al chriti 8ad TTomobil?</t>
  </si>
  <si>
    <t>بشحال شريتي هاد الطوموبيل?</t>
  </si>
  <si>
    <t>it is so expensive</t>
  </si>
  <si>
    <t>ghali bzzaf</t>
  </si>
  <si>
    <t>غالي بزّاف</t>
  </si>
  <si>
    <t>it is so cheap</t>
  </si>
  <si>
    <t>rkhiS bzzaf</t>
  </si>
  <si>
    <t>رخيص بزّاف</t>
  </si>
  <si>
    <t>I am eating now</t>
  </si>
  <si>
    <t>ana kannakol daba</t>
  </si>
  <si>
    <t>أنا كانّاكول دابا</t>
  </si>
  <si>
    <t>wait till I finish</t>
  </si>
  <si>
    <t>tsenna 7tta nsali</t>
  </si>
  <si>
    <t>تسنّا حتّا نسالي</t>
  </si>
  <si>
    <t>Ramadan is close</t>
  </si>
  <si>
    <t>remDan 9rib</t>
  </si>
  <si>
    <t>رمضان قريب</t>
  </si>
  <si>
    <t>will you fast?</t>
  </si>
  <si>
    <t>wach ghatSoum?</t>
  </si>
  <si>
    <t>واش غاتصوم?</t>
  </si>
  <si>
    <t>What do you do in Ramadan?</t>
  </si>
  <si>
    <t>chno kaddir f remDan?</t>
  </si>
  <si>
    <t>شنو كادّير ف رمضان?</t>
  </si>
  <si>
    <t>I feel scared</t>
  </si>
  <si>
    <t>kan7ess blkhouf</t>
  </si>
  <si>
    <t>كانحسّ بلخوف</t>
  </si>
  <si>
    <t>I feel hot</t>
  </si>
  <si>
    <t>kan7ess besse8D</t>
  </si>
  <si>
    <t>كانحسّ بسّهض</t>
  </si>
  <si>
    <t>what is the temperature today?</t>
  </si>
  <si>
    <t>ch7al fl7arara lyoum?</t>
  </si>
  <si>
    <t>شحال فلحارارا ليوم?</t>
  </si>
  <si>
    <t>it is cold</t>
  </si>
  <si>
    <t>ljow bared</t>
  </si>
  <si>
    <t>لجوو بارد</t>
  </si>
  <si>
    <t>it is hot</t>
  </si>
  <si>
    <t>ljow skhoun</t>
  </si>
  <si>
    <t>لجوو سخون</t>
  </si>
  <si>
    <t>it is very sunny</t>
  </si>
  <si>
    <t>chchems 7arra</t>
  </si>
  <si>
    <t>الشمس حارّا</t>
  </si>
  <si>
    <t>it is raining a lot</t>
  </si>
  <si>
    <t>chchta mje8da</t>
  </si>
  <si>
    <t>الشتا مجهدا</t>
  </si>
  <si>
    <t>I don't have the mood</t>
  </si>
  <si>
    <t>ma3ndich lgana</t>
  </si>
  <si>
    <t>ماعنديش لڭانا</t>
  </si>
  <si>
    <t>the tea is hot</t>
  </si>
  <si>
    <t>atay skhoun</t>
  </si>
  <si>
    <t>أتاي سخون</t>
  </si>
  <si>
    <t>the tea is cold</t>
  </si>
  <si>
    <t>atay bared</t>
  </si>
  <si>
    <t>أتاي بارد</t>
  </si>
  <si>
    <t>come to eat</t>
  </si>
  <si>
    <t>aji ttakol</t>
  </si>
  <si>
    <t>أجي التاكول</t>
  </si>
  <si>
    <t>mer7ba bik</t>
  </si>
  <si>
    <t>مرحبا بيك</t>
  </si>
  <si>
    <t>did you watch the news?</t>
  </si>
  <si>
    <t>wach chefti l2akhbar?</t>
  </si>
  <si>
    <t>واش شفتي لأخبار?</t>
  </si>
  <si>
    <t>may God bless his soul</t>
  </si>
  <si>
    <t>allah yre7mo</t>
  </si>
  <si>
    <t>الله يرحمو</t>
  </si>
  <si>
    <t>give me my money</t>
  </si>
  <si>
    <t>3Tini flosi</t>
  </si>
  <si>
    <t>عطيني فلوسي</t>
  </si>
  <si>
    <t>take the money</t>
  </si>
  <si>
    <t>8ak lflous</t>
  </si>
  <si>
    <t>هاك لفلوس</t>
  </si>
  <si>
    <t>how much do you want?</t>
  </si>
  <si>
    <t>ch7al bghiti?</t>
  </si>
  <si>
    <t>شحال بغيتي?</t>
  </si>
  <si>
    <t>how much is this?</t>
  </si>
  <si>
    <t>bch7al hadchi?</t>
  </si>
  <si>
    <t>بشحال هادشي?</t>
  </si>
  <si>
    <t>I have a secret</t>
  </si>
  <si>
    <t>3ndi wa7d ssir</t>
  </si>
  <si>
    <t>عندي واحد السير</t>
  </si>
  <si>
    <t>don't tell anyone about this</t>
  </si>
  <si>
    <t>matgolch 8adchi l7tta wa7ed</t>
  </si>
  <si>
    <t>ماتڭولش هادشي لحتّا واحد</t>
  </si>
  <si>
    <t>okay, I promise you</t>
  </si>
  <si>
    <t>safi kanwa3dek</t>
  </si>
  <si>
    <t>سافي كانواعدك</t>
  </si>
  <si>
    <t>you are a liar</t>
  </si>
  <si>
    <t>nta keddab</t>
  </si>
  <si>
    <t>نتا كدّاب</t>
  </si>
  <si>
    <t>why do you lie?</t>
  </si>
  <si>
    <t>3lach katkdeb?</t>
  </si>
  <si>
    <t>علاش كاتكدب?</t>
  </si>
  <si>
    <t>I got a hair cut</t>
  </si>
  <si>
    <t>9eTTe3t cha3ri</t>
  </si>
  <si>
    <t>قطّعت شاعري</t>
  </si>
  <si>
    <t>I still didn't get paid</t>
  </si>
  <si>
    <t>mazal matkhelleStch</t>
  </si>
  <si>
    <t>مازال ماتخلّصتش</t>
  </si>
  <si>
    <t>when will you get paid?</t>
  </si>
  <si>
    <t>imta ghattkhelleS?</t>
  </si>
  <si>
    <t>إمتا غاتّخلّص?</t>
  </si>
  <si>
    <t>n8ar ttnin</t>
  </si>
  <si>
    <t>نهار التنين</t>
  </si>
  <si>
    <t>n8ar ttlat</t>
  </si>
  <si>
    <t>n8ar larbe3</t>
  </si>
  <si>
    <t>نهار لاربع</t>
  </si>
  <si>
    <t>n8ar lkhmis</t>
  </si>
  <si>
    <t>نهار لخميس</t>
  </si>
  <si>
    <t>n8ar jjem3a</t>
  </si>
  <si>
    <t>نهار الجمعا</t>
  </si>
  <si>
    <t>n8ar ssebt</t>
  </si>
  <si>
    <t>n8ar l7edd</t>
  </si>
  <si>
    <t>نهار لحدّ</t>
  </si>
  <si>
    <t>everyday</t>
  </si>
  <si>
    <t>kolla n8ar</t>
  </si>
  <si>
    <t>كولّا نهار</t>
  </si>
  <si>
    <t>every week</t>
  </si>
  <si>
    <t>kolla Simana</t>
  </si>
  <si>
    <t>كولّا صيمانا</t>
  </si>
  <si>
    <t>every month</t>
  </si>
  <si>
    <t>kolla ch8ar</t>
  </si>
  <si>
    <t>كولّا شهار</t>
  </si>
  <si>
    <t>every year</t>
  </si>
  <si>
    <t>kolla 3am</t>
  </si>
  <si>
    <t>كولّا عام</t>
  </si>
  <si>
    <t>every afternoon</t>
  </si>
  <si>
    <t>kolla 3chiyya</t>
  </si>
  <si>
    <t>كولّا عشييّا</t>
  </si>
  <si>
    <t>every morning</t>
  </si>
  <si>
    <t>kolla Sba7</t>
  </si>
  <si>
    <t>كولّا صباح</t>
  </si>
  <si>
    <t>every evening</t>
  </si>
  <si>
    <t>kolla lila</t>
  </si>
  <si>
    <t>كولّا ليلا</t>
  </si>
  <si>
    <t>every Monday</t>
  </si>
  <si>
    <t>kolla tnin</t>
  </si>
  <si>
    <t>كولّا تنين</t>
  </si>
  <si>
    <t>every Tuesday</t>
  </si>
  <si>
    <t>kolla tlat</t>
  </si>
  <si>
    <t>كولّا تلات</t>
  </si>
  <si>
    <t>every Wednesday</t>
  </si>
  <si>
    <t>kolla larbe3</t>
  </si>
  <si>
    <t>كولّا لاربع</t>
  </si>
  <si>
    <t>every Thursday</t>
  </si>
  <si>
    <t>kolla khmis</t>
  </si>
  <si>
    <t>كولّا خميس</t>
  </si>
  <si>
    <t>every Friday</t>
  </si>
  <si>
    <t>kolla jem3a</t>
  </si>
  <si>
    <t>كولّا جمعا</t>
  </si>
  <si>
    <t>every Saturday</t>
  </si>
  <si>
    <t>kolla sebt</t>
  </si>
  <si>
    <t>كولّا سبت</t>
  </si>
  <si>
    <t>every Sunday</t>
  </si>
  <si>
    <t>kolla 7edd</t>
  </si>
  <si>
    <t>كولّا حدّ</t>
  </si>
  <si>
    <t>every Monday and Tuesday</t>
  </si>
  <si>
    <t>kolla tnin w tlat</t>
  </si>
  <si>
    <t>كولّا تنين و تلات</t>
  </si>
  <si>
    <t>there is a difference</t>
  </si>
  <si>
    <t>kayn lfar9</t>
  </si>
  <si>
    <t>كاين لفارق</t>
  </si>
  <si>
    <t>there is no difference</t>
  </si>
  <si>
    <t>makaynch lfar9</t>
  </si>
  <si>
    <t>ماكاينش لفارق</t>
  </si>
  <si>
    <t>you are handsome</t>
  </si>
  <si>
    <t>nta zwin</t>
  </si>
  <si>
    <t>نتا زوين</t>
  </si>
  <si>
    <t>you are beautiful</t>
  </si>
  <si>
    <t>nti zwina</t>
  </si>
  <si>
    <t>نتي زوينا</t>
  </si>
  <si>
    <t>he is arrogant</t>
  </si>
  <si>
    <t>3ajbo raSo bzzaf</t>
  </si>
  <si>
    <t>عاجبو راصو بزّاف</t>
  </si>
  <si>
    <t>modesty is great</t>
  </si>
  <si>
    <t>ttawaDo3 mezian</t>
  </si>
  <si>
    <t>التاواضوع مزيان</t>
  </si>
  <si>
    <t>I am very modest</t>
  </si>
  <si>
    <t>ana metwaDe3 bezzaf</t>
  </si>
  <si>
    <t>أنا متواضع بزّاف</t>
  </si>
  <si>
    <t>I am arrogant</t>
  </si>
  <si>
    <t>ana metkabbar</t>
  </si>
  <si>
    <t>أنا متكابّار</t>
  </si>
  <si>
    <t>he is patient</t>
  </si>
  <si>
    <t>howwa Sebbar</t>
  </si>
  <si>
    <t>هووّا صبّار</t>
  </si>
  <si>
    <t>he is not patient</t>
  </si>
  <si>
    <t>howwa ma3endouch SSber</t>
  </si>
  <si>
    <t>هووّا ماعندوش الصبر</t>
  </si>
  <si>
    <t>patience is great</t>
  </si>
  <si>
    <t>sSber mezian</t>
  </si>
  <si>
    <t>سصبر مزيان</t>
  </si>
  <si>
    <t>the national team is playing right now</t>
  </si>
  <si>
    <t>lmontakhab la3eb daba</t>
  </si>
  <si>
    <t>لمونتاخاب لاعب دابا</t>
  </si>
  <si>
    <t>the national team won</t>
  </si>
  <si>
    <t>lmontakhab rbe7</t>
  </si>
  <si>
    <t>لمونتاخاب ربح</t>
  </si>
  <si>
    <t>don't buy it</t>
  </si>
  <si>
    <t>matchri8ch</t>
  </si>
  <si>
    <t>ماتشريهش</t>
  </si>
  <si>
    <t>don't eat it</t>
  </si>
  <si>
    <t>mattaklouch</t>
  </si>
  <si>
    <t>ماتّاكلوش</t>
  </si>
  <si>
    <t>don't drink it</t>
  </si>
  <si>
    <t>matcharbouch</t>
  </si>
  <si>
    <t>ماتشاربوش</t>
  </si>
  <si>
    <t>don't sleep too much</t>
  </si>
  <si>
    <t>matn3esch bezzaf</t>
  </si>
  <si>
    <t>ماتنعسش بزّاف</t>
  </si>
  <si>
    <t>sleeping for a long time isn't good</t>
  </si>
  <si>
    <t>nn3as bezzaf khayb</t>
  </si>
  <si>
    <t>النعاس بزّاف خايب</t>
  </si>
  <si>
    <t>do something</t>
  </si>
  <si>
    <t>dir chi 7aja</t>
  </si>
  <si>
    <t>دير شي حاجا</t>
  </si>
  <si>
    <t>don't do anything</t>
  </si>
  <si>
    <t>maddir walo</t>
  </si>
  <si>
    <t>مادّير والو</t>
  </si>
  <si>
    <t>I didn't do anything</t>
  </si>
  <si>
    <t>madert walo</t>
  </si>
  <si>
    <t>مادرت والو</t>
  </si>
  <si>
    <t>this is strange</t>
  </si>
  <si>
    <t>8adchi fchkel</t>
  </si>
  <si>
    <t>هادشي فشكل</t>
  </si>
  <si>
    <t>take off your shoes</t>
  </si>
  <si>
    <t>7eyyed Sbbatk</t>
  </si>
  <si>
    <t>حيّد صبّاتك</t>
  </si>
  <si>
    <t>you can enter with your shoes</t>
  </si>
  <si>
    <t>te9der tdkhol bSbbatek</t>
  </si>
  <si>
    <t>تقدر تدخول بصبّاتك</t>
  </si>
  <si>
    <t>I forget to drink water</t>
  </si>
  <si>
    <t>kannsa nchreb lma</t>
  </si>
  <si>
    <t>كانّسا نشرب لما</t>
  </si>
  <si>
    <t>you must drink a lot of water</t>
  </si>
  <si>
    <t>khaSSek tchreb lma bezzaf</t>
  </si>
  <si>
    <t>خاصّك تشرب لما بزّاف</t>
  </si>
  <si>
    <t>you must eat well</t>
  </si>
  <si>
    <t>khaSSek ttakol mezian</t>
  </si>
  <si>
    <t>خاصّك التاكول مزيان</t>
  </si>
  <si>
    <t>your eyes are beautiful</t>
  </si>
  <si>
    <t>3inik zwinin</t>
  </si>
  <si>
    <t>عينيك زوينين</t>
  </si>
  <si>
    <t>your hair is beautiful</t>
  </si>
  <si>
    <t>che3rek zwin</t>
  </si>
  <si>
    <t>شعرك زوين</t>
  </si>
  <si>
    <t>you look younger</t>
  </si>
  <si>
    <t>katban Sghir</t>
  </si>
  <si>
    <t>كاتبان صغير</t>
  </si>
  <si>
    <t>you look older</t>
  </si>
  <si>
    <t>katban kbir</t>
  </si>
  <si>
    <t>كاتبان كبير</t>
  </si>
  <si>
    <t>do I look older?</t>
  </si>
  <si>
    <t>wach kanban kbir?</t>
  </si>
  <si>
    <t>واش كانبان كبير?</t>
  </si>
  <si>
    <t>he is older than me</t>
  </si>
  <si>
    <t>howwa kbir 3liyya</t>
  </si>
  <si>
    <t>هووّا كبير علييّا</t>
  </si>
  <si>
    <t>he is younger than me</t>
  </si>
  <si>
    <t>howwa Sghir 3liyya</t>
  </si>
  <si>
    <t>هووّا صغير علييّا</t>
  </si>
  <si>
    <t>the WI-FI isn't working</t>
  </si>
  <si>
    <t>lwifi khaser</t>
  </si>
  <si>
    <t>لويفي خاسر</t>
  </si>
  <si>
    <t>I forgot to pay the WI-FI monthly fees</t>
  </si>
  <si>
    <t>nsit makhelleStch lwifi</t>
  </si>
  <si>
    <t>نسيت ماخلّصتش لويفي</t>
  </si>
  <si>
    <t>the WI-FI is slow</t>
  </si>
  <si>
    <t>lwifi t9il</t>
  </si>
  <si>
    <t>لويفي تقيل</t>
  </si>
  <si>
    <t>I have an aerophobia</t>
  </si>
  <si>
    <t>kankhaf mn TTiyyara</t>
  </si>
  <si>
    <t>كانخاف من الطييّارا</t>
  </si>
  <si>
    <t>I missed my flight</t>
  </si>
  <si>
    <t>mchat 3liyya TTiyyara</t>
  </si>
  <si>
    <t>مشات علييّا الطييّارا</t>
  </si>
  <si>
    <t>how much do you pay for the WI-FI?</t>
  </si>
  <si>
    <t>bech7al katkhelleS lwifi?</t>
  </si>
  <si>
    <t>بشحال كاتخلّص لويفي?</t>
  </si>
  <si>
    <t>How much did you book the flight for?</t>
  </si>
  <si>
    <t>bche7al 9eTTe3ti TTiyyara?</t>
  </si>
  <si>
    <t>بشحال قطّعتي الطييّارا?</t>
  </si>
  <si>
    <t>When did you book the flight?</t>
  </si>
  <si>
    <t>imta 9eTTe3ti TTiyyara?</t>
  </si>
  <si>
    <t>إمتا قطّعتي الطييّارا?</t>
  </si>
  <si>
    <t>did you rent a car?</t>
  </si>
  <si>
    <t>wach kriti Tomobil?</t>
  </si>
  <si>
    <t>واش كريتي طوموبيل?</t>
  </si>
  <si>
    <t>did you rent a house?</t>
  </si>
  <si>
    <t>wach kriti dar?</t>
  </si>
  <si>
    <t>واش كريتي دار?</t>
  </si>
  <si>
    <t>Did you buy an apartment?</t>
  </si>
  <si>
    <t>wach chriti PParTma?</t>
  </si>
  <si>
    <t>واش شريتي الپارطما?</t>
  </si>
  <si>
    <t>How much did you buy your house for?</t>
  </si>
  <si>
    <t>bch7al chriti darek?</t>
  </si>
  <si>
    <t>بشحال شريتي دارك?</t>
  </si>
  <si>
    <t>this house is cheap</t>
  </si>
  <si>
    <t>8ad ddar rkhiSa</t>
  </si>
  <si>
    <t>هاد الدار رخيصا</t>
  </si>
  <si>
    <t>this house is expensive</t>
  </si>
  <si>
    <t>8ad ddar ghaliya</t>
  </si>
  <si>
    <t>هاد الدار غالييا</t>
  </si>
  <si>
    <t>I want to buy a house</t>
  </si>
  <si>
    <t>bghit nechri dar</t>
  </si>
  <si>
    <t>بغيت نشري دار</t>
  </si>
  <si>
    <t>I want to buy an apartment</t>
  </si>
  <si>
    <t>bghit nechri PParTma</t>
  </si>
  <si>
    <t>بغيت نشري الپارطما</t>
  </si>
  <si>
    <t>this house is big</t>
  </si>
  <si>
    <t>8ad ddar kbira</t>
  </si>
  <si>
    <t>this house is small</t>
  </si>
  <si>
    <t>8ad ddar Sghira</t>
  </si>
  <si>
    <t>هاد الدار صغيرا</t>
  </si>
  <si>
    <t>what's wrong with your eyes?</t>
  </si>
  <si>
    <t>malek f 3inik?</t>
  </si>
  <si>
    <t>مالك ف عينيك?</t>
  </si>
  <si>
    <t>does something hurt you?</t>
  </si>
  <si>
    <t>wach katDerrek chi 7aja?</t>
  </si>
  <si>
    <t>واش كاتضرّك شي حاجا?</t>
  </si>
  <si>
    <t>I'm fine</t>
  </si>
  <si>
    <t>makatderrni 7tta 7aja</t>
  </si>
  <si>
    <t>ماكاتدرّني حتّا حاجا</t>
  </si>
  <si>
    <t>I feel excited</t>
  </si>
  <si>
    <t>t7emmest bezzaf</t>
  </si>
  <si>
    <t>تحمّست بزّاف</t>
  </si>
  <si>
    <t>I'm pregnant</t>
  </si>
  <si>
    <t>my son is naughty</t>
  </si>
  <si>
    <t>weldi fi8 SSda3</t>
  </si>
  <si>
    <t>ولدي فيه الصداع</t>
  </si>
  <si>
    <t>my son is sick</t>
  </si>
  <si>
    <t>weldi mriD</t>
  </si>
  <si>
    <t>ولدي مريض</t>
  </si>
  <si>
    <t>I'll drive my son to the school</t>
  </si>
  <si>
    <t>ghanweSSel weldi lelmedrasa</t>
  </si>
  <si>
    <t>غانوصّل ولدي للمدراسا</t>
  </si>
  <si>
    <t>this is impossible</t>
  </si>
  <si>
    <t>hadchi maymkench</t>
  </si>
  <si>
    <t>هادشي مايمكنش</t>
  </si>
  <si>
    <t>I can't believe</t>
  </si>
  <si>
    <t>ma9aderch nSedde9</t>
  </si>
  <si>
    <t>ماقادرش نصدّق</t>
  </si>
  <si>
    <t>my heart hurts me</t>
  </si>
  <si>
    <t>darni 9elbi</t>
  </si>
  <si>
    <t>دارني قلبي</t>
  </si>
  <si>
    <t>you are priceless</t>
  </si>
  <si>
    <t>9imtek kbira</t>
  </si>
  <si>
    <t>قيمتك كبيرا</t>
  </si>
  <si>
    <t>I don't want to lose you</t>
  </si>
  <si>
    <t>mabghitch nkhesrek</t>
  </si>
  <si>
    <t>مابغيتش نخسرك</t>
  </si>
  <si>
    <t>I'm doing the dishes</t>
  </si>
  <si>
    <t>kanghsel lmma3en</t>
  </si>
  <si>
    <t>كانغسل لمّاعن</t>
  </si>
  <si>
    <t>I'm washing the clothes</t>
  </si>
  <si>
    <t>kanSebben l7wayj</t>
  </si>
  <si>
    <t>كانصبّن لحوايج</t>
  </si>
  <si>
    <t>I'm ironing the clothes</t>
  </si>
  <si>
    <t>kan7edded l7wayj</t>
  </si>
  <si>
    <t>كانحدّد لحوايج</t>
  </si>
  <si>
    <t>the clothes are dirty</t>
  </si>
  <si>
    <t>l7wayj mmoskhin</t>
  </si>
  <si>
    <t>لحوايج الموسخين</t>
  </si>
  <si>
    <t>no tea left</t>
  </si>
  <si>
    <t>mab9ach atay</t>
  </si>
  <si>
    <t>مابقاش أتاي</t>
  </si>
  <si>
    <t>your house is far from me</t>
  </si>
  <si>
    <t>darek b3ida 3liyya</t>
  </si>
  <si>
    <t>دارك بعيدا علييّا</t>
  </si>
  <si>
    <t>tell me everything</t>
  </si>
  <si>
    <t>3awed liyya kolchi</t>
  </si>
  <si>
    <t>عاود لييّا كولشي</t>
  </si>
  <si>
    <t>tell me the truth</t>
  </si>
  <si>
    <t>gol liyya l7a9i9a</t>
  </si>
  <si>
    <t>ڭول لييّا لحاقيقا</t>
  </si>
  <si>
    <t>do you have hot bread?</t>
  </si>
  <si>
    <t>wach 3ndek lkhobz skhoun?</t>
  </si>
  <si>
    <t>واش عندك لخوبز سخون?</t>
  </si>
  <si>
    <t>I want cool water</t>
  </si>
  <si>
    <t>bghit ma bard</t>
  </si>
  <si>
    <t>بغيت ما بارد</t>
  </si>
  <si>
    <t>I'm doing my homework</t>
  </si>
  <si>
    <t>kandir ttamarin diali</t>
  </si>
  <si>
    <t>كاندير التامارين ديالي</t>
  </si>
  <si>
    <t>I'll go by train</t>
  </si>
  <si>
    <t>ghanmchi f ttran</t>
  </si>
  <si>
    <t>غانمشي ف التران</t>
  </si>
  <si>
    <t>I had an accident</t>
  </si>
  <si>
    <t>dert ksida</t>
  </si>
  <si>
    <t>درت كسيدا</t>
  </si>
  <si>
    <t>I swear to God</t>
  </si>
  <si>
    <t>kan7lef lik</t>
  </si>
  <si>
    <t>كانحلف ليك</t>
  </si>
  <si>
    <t>I like this skirt</t>
  </si>
  <si>
    <t>3jbatni had SSaya</t>
  </si>
  <si>
    <t>عجباتني هاد الصايا</t>
  </si>
  <si>
    <t>this skirt is short</t>
  </si>
  <si>
    <t>had SSaya 9Sira</t>
  </si>
  <si>
    <t>هاد الصايا قصيرا</t>
  </si>
  <si>
    <t>he is tall</t>
  </si>
  <si>
    <t>howwa Twil</t>
  </si>
  <si>
    <t>هووّا طويل</t>
  </si>
  <si>
    <t>he is taller than me</t>
  </si>
  <si>
    <t>howwa tTwil 3liyya</t>
  </si>
  <si>
    <t>هووّا تطويل علييّا</t>
  </si>
  <si>
    <t>he is short</t>
  </si>
  <si>
    <t>howwa 9Sir</t>
  </si>
  <si>
    <t>هووّا قصير</t>
  </si>
  <si>
    <t>he is shorter than me</t>
  </si>
  <si>
    <t>howwa 9Sir 3liyya</t>
  </si>
  <si>
    <t>هووّا قصير علييّا</t>
  </si>
  <si>
    <t>I bought carrots</t>
  </si>
  <si>
    <t>chrit khizzo</t>
  </si>
  <si>
    <t>شريت خيزّو</t>
  </si>
  <si>
    <t>this pen is mine</t>
  </si>
  <si>
    <t>had sstilo diali</t>
  </si>
  <si>
    <t>هاد الستيلو ديالي</t>
  </si>
  <si>
    <t>I went to the bank</t>
  </si>
  <si>
    <t>mchit lbenka</t>
  </si>
  <si>
    <t>مشيت لبنكا</t>
  </si>
  <si>
    <t>I opened a bank account</t>
  </si>
  <si>
    <t>fte7t kont flbenka</t>
  </si>
  <si>
    <t>فتحت كونت فلبنكا</t>
  </si>
  <si>
    <t>the bank is closed</t>
  </si>
  <si>
    <t>lbenka sadda</t>
  </si>
  <si>
    <t>لبنكا سادّا</t>
  </si>
  <si>
    <t>I will visit my friend</t>
  </si>
  <si>
    <t>ghanmchi 3end sa7bi</t>
  </si>
  <si>
    <t>غانمشي عند ساحبي</t>
  </si>
  <si>
    <t>I succeeded</t>
  </si>
  <si>
    <t>ana nje7t</t>
  </si>
  <si>
    <t>أنا نجحت</t>
  </si>
  <si>
    <t>I graduated</t>
  </si>
  <si>
    <t>ana tkherrejt</t>
  </si>
  <si>
    <t>أنا تخرّجت</t>
  </si>
  <si>
    <t>I didn't score well</t>
  </si>
  <si>
    <t>majebtch no9Ta meziana</t>
  </si>
  <si>
    <t>ماجبتش نوقطا مزيانا</t>
  </si>
  <si>
    <t>I scored well</t>
  </si>
  <si>
    <t>jebt no9Ta meziana</t>
  </si>
  <si>
    <t>جبت نوقطا مزيانا</t>
  </si>
  <si>
    <t>I speak three languages</t>
  </si>
  <si>
    <t>kan8Der tlata dial lloghat</t>
  </si>
  <si>
    <t>كانهضر تلاتا ديال اللوغات</t>
  </si>
  <si>
    <t>I don't speak Arabic</t>
  </si>
  <si>
    <t>makan8Derch bl3arbiyya</t>
  </si>
  <si>
    <t>ماكانهضرش بلعاربييّا</t>
  </si>
  <si>
    <t>the day is long</t>
  </si>
  <si>
    <t>nn8ar Twil</t>
  </si>
  <si>
    <t>النهار طويل</t>
  </si>
  <si>
    <t>the night is long</t>
  </si>
  <si>
    <t>llil twil</t>
  </si>
  <si>
    <t>الليل تويل</t>
  </si>
  <si>
    <t>why are you shouting?</t>
  </si>
  <si>
    <t>3lach katghewwet?</t>
  </si>
  <si>
    <t>علاش كاتغوّت?</t>
  </si>
  <si>
    <t>raise your voice</t>
  </si>
  <si>
    <t>rfe3 Soutek</t>
  </si>
  <si>
    <t>رفع صوتك</t>
  </si>
  <si>
    <t>raise your hands</t>
  </si>
  <si>
    <t>8ezz yddik</t>
  </si>
  <si>
    <t>هزّ يدّيك</t>
  </si>
  <si>
    <t>close your eyes</t>
  </si>
  <si>
    <t>sedd 3inik</t>
  </si>
  <si>
    <t>سدّ عينيك</t>
  </si>
  <si>
    <t>open your eyes</t>
  </si>
  <si>
    <t>7ell 3inik</t>
  </si>
  <si>
    <t>حلّ عينيك</t>
  </si>
  <si>
    <t>if only you were with us</t>
  </si>
  <si>
    <t>kon ghir knti m3ana</t>
  </si>
  <si>
    <t>كون غير كنتي معانا</t>
  </si>
  <si>
    <t>turn off the light</t>
  </si>
  <si>
    <t>tfi DDo</t>
  </si>
  <si>
    <t>تفي الضو</t>
  </si>
  <si>
    <t>turn on the light</t>
  </si>
  <si>
    <t>ch3el DDo</t>
  </si>
  <si>
    <t>شعل الضو</t>
  </si>
  <si>
    <t>open the door</t>
  </si>
  <si>
    <t>7el lbab</t>
  </si>
  <si>
    <t>حل لباب</t>
  </si>
  <si>
    <t>close the door</t>
  </si>
  <si>
    <t>sedd lbab</t>
  </si>
  <si>
    <t>سدّ لباب</t>
  </si>
  <si>
    <t>I fell down the stairs</t>
  </si>
  <si>
    <t>te7t fddrouj</t>
  </si>
  <si>
    <t>تحت فدّروج</t>
  </si>
  <si>
    <t>I'm going upstairs</t>
  </si>
  <si>
    <t>ana tale3 fddrouj</t>
  </si>
  <si>
    <t>أنا تالع فدّروج</t>
  </si>
  <si>
    <t>I'm going downstairs</t>
  </si>
  <si>
    <t>ana 8abet fddrouj</t>
  </si>
  <si>
    <t>أنا هابت فدّروج</t>
  </si>
  <si>
    <t>I'm in my bedroom</t>
  </si>
  <si>
    <t>ana fbiti</t>
  </si>
  <si>
    <t>أنا فبيتي</t>
  </si>
  <si>
    <t>I bought a shirt</t>
  </si>
  <si>
    <t>chrit 9amija</t>
  </si>
  <si>
    <t>شريت قاميجا</t>
  </si>
  <si>
    <t>I didn't like this color</t>
  </si>
  <si>
    <t>ma3jebnich had lloun</t>
  </si>
  <si>
    <t>ماعجبنيش هاد اللون</t>
  </si>
  <si>
    <t>I didn't find my size</t>
  </si>
  <si>
    <t>mal9itch 9yasi</t>
  </si>
  <si>
    <t>مالقيتش قياسي</t>
  </si>
  <si>
    <t>he eats too much</t>
  </si>
  <si>
    <t>kayyakol bezzaf</t>
  </si>
  <si>
    <t>كايّاكول بزّاف</t>
  </si>
  <si>
    <t>I forgot what you told me</t>
  </si>
  <si>
    <t>nsit chno gelti liyya</t>
  </si>
  <si>
    <t>نسيت شنو ڭلتي لييّا</t>
  </si>
  <si>
    <t>today is my birthday</t>
  </si>
  <si>
    <t>lyoum 3id miladi</t>
  </si>
  <si>
    <t>ليوم عيد ميلادي</t>
  </si>
  <si>
    <t>I'm at the airport</t>
  </si>
  <si>
    <t>ana flmaTar</t>
  </si>
  <si>
    <t>أنا فلماطار</t>
  </si>
  <si>
    <t>I'm in the gym</t>
  </si>
  <si>
    <t>ana f laSal</t>
  </si>
  <si>
    <t>أنا ف لاصال</t>
  </si>
  <si>
    <t>I go for a walk every morning</t>
  </si>
  <si>
    <t>kantmechcha kol Sba7</t>
  </si>
  <si>
    <t>كانتمشّا كول صباح</t>
  </si>
  <si>
    <t>this blanket is warm</t>
  </si>
  <si>
    <t>8ad leghTa skhoun</t>
  </si>
  <si>
    <t>هاد لغطا سخون</t>
  </si>
  <si>
    <t>I want cheese</t>
  </si>
  <si>
    <t>bghit jjben</t>
  </si>
  <si>
    <t>بغيت الجبن</t>
  </si>
  <si>
    <t>this pillow isn't comfortable</t>
  </si>
  <si>
    <t>8ad lmkhedda machi mori7a</t>
  </si>
  <si>
    <t>هاد لمخدّا ماشي موريحا</t>
  </si>
  <si>
    <t>where will you sleep?</t>
  </si>
  <si>
    <t>fin ghatn3es?</t>
  </si>
  <si>
    <t>فين غاتنعس?</t>
  </si>
  <si>
    <t>do you smoke?</t>
  </si>
  <si>
    <t>wach katkmi?</t>
  </si>
  <si>
    <t>واش كاتكمي?</t>
  </si>
  <si>
    <t>smoking isn't good for health</t>
  </si>
  <si>
    <t>lgarro mamezyanch lsse77a</t>
  </si>
  <si>
    <t>لڭارّو مامزيانش لسّحّا</t>
  </si>
  <si>
    <t>I'm going to the mosque</t>
  </si>
  <si>
    <t>ghanmchi ljjame3</t>
  </si>
  <si>
    <t>غانمشي لجّامع</t>
  </si>
  <si>
    <t>ghanmchi lelmasjid</t>
  </si>
  <si>
    <t>غانمشي للماسجيد</t>
  </si>
  <si>
    <t>I will go to pray</t>
  </si>
  <si>
    <t>ghanmchi nSelli</t>
  </si>
  <si>
    <t>غانمشي نصلّي</t>
  </si>
  <si>
    <t>I forgot to pray</t>
  </si>
  <si>
    <t>nsit maSellitch</t>
  </si>
  <si>
    <t>نسيت ماصلّيتش</t>
  </si>
  <si>
    <t>education is important</t>
  </si>
  <si>
    <t>tta3lim Darori</t>
  </si>
  <si>
    <t>التاعليم ضاروري</t>
  </si>
  <si>
    <t>I didn't finish my studies</t>
  </si>
  <si>
    <t>makmmeltch 9rayti</t>
  </si>
  <si>
    <t>ماكمّلتش قرايتي</t>
  </si>
  <si>
    <t>if you were in my place</t>
  </si>
  <si>
    <t>kon kenti fblaSti</t>
  </si>
  <si>
    <t>كون كنتي فبلاصتي</t>
  </si>
  <si>
    <t>I envy you</t>
  </si>
  <si>
    <t>kan7esdek</t>
  </si>
  <si>
    <t>كانحسدك</t>
  </si>
  <si>
    <t>you are lucky</t>
  </si>
  <si>
    <t>3endek zz8er</t>
  </si>
  <si>
    <t>عندك الزهر</t>
  </si>
  <si>
    <t>I'm not lucky</t>
  </si>
  <si>
    <t>this is nonsense</t>
  </si>
  <si>
    <t>8adchi tkharbi9</t>
  </si>
  <si>
    <t>هادشي تخاربيق</t>
  </si>
  <si>
    <t>did you eat fruits?</t>
  </si>
  <si>
    <t>wach kliti ddissir?</t>
  </si>
  <si>
    <t>واش كليتي الديسّير?</t>
  </si>
  <si>
    <t>vegetables are good for health</t>
  </si>
  <si>
    <t>lkhoDra mofida lSSe77a</t>
  </si>
  <si>
    <t>لخوضرا موفيدا لصّحّا</t>
  </si>
  <si>
    <t>I didn't drink coffee today</t>
  </si>
  <si>
    <t>machrebtch l9e8wa lyoum</t>
  </si>
  <si>
    <t>ماشربتش لقهوا ليوم</t>
  </si>
  <si>
    <t>what are you looking for?</t>
  </si>
  <si>
    <t>3layach kat9elleb?</t>
  </si>
  <si>
    <t>علاياش كاتقلّب?</t>
  </si>
  <si>
    <t>I'm not looking for anything</t>
  </si>
  <si>
    <t>makan9elleb 3la walo</t>
  </si>
  <si>
    <t>ماكانقلّب علا والو</t>
  </si>
  <si>
    <t>I had an argument with him</t>
  </si>
  <si>
    <t>tkhaSemt ma8</t>
  </si>
  <si>
    <t>تخاصمت ماه</t>
  </si>
  <si>
    <t>I don't talk with him anymore</t>
  </si>
  <si>
    <t>mab9itch kan8Der m3a8</t>
  </si>
  <si>
    <t>مابقيتش كانهضر معاه</t>
  </si>
  <si>
    <t>I haven't eaten anything since morning</t>
  </si>
  <si>
    <t>maklitch walo mn Sba7</t>
  </si>
  <si>
    <t>ماكليتش والو من صباح</t>
  </si>
  <si>
    <t>this is a good news</t>
  </si>
  <si>
    <t>8adi khbar zwina</t>
  </si>
  <si>
    <t>هادي خبار زوينا</t>
  </si>
  <si>
    <t>you made me happy</t>
  </si>
  <si>
    <t>fre7tini</t>
  </si>
  <si>
    <t>فرحتيني</t>
  </si>
  <si>
    <t>have you read this book?</t>
  </si>
  <si>
    <t>wach 9riti 8ad lktab?</t>
  </si>
  <si>
    <t>واش قريتي هاد لكتاب?</t>
  </si>
  <si>
    <t>I didn't read this book</t>
  </si>
  <si>
    <t>ma9ritch 8ad lktab</t>
  </si>
  <si>
    <t>ماقريتش هاد لكتاب</t>
  </si>
  <si>
    <t>this movie is boring</t>
  </si>
  <si>
    <t>8ad lfilm momill</t>
  </si>
  <si>
    <t>هاد لفيلم موميلّ</t>
  </si>
  <si>
    <t>I didn't like this movie</t>
  </si>
  <si>
    <t>ma3jebnich 8ad lfilm</t>
  </si>
  <si>
    <t>ماعجبنيش هاد لفيلم</t>
  </si>
  <si>
    <t>What's the name of your son?</t>
  </si>
  <si>
    <t>chno smit weldek?</t>
  </si>
  <si>
    <t>شنو سميت ولدك?</t>
  </si>
  <si>
    <t>What's the name of your daughter?</t>
  </si>
  <si>
    <t>chno smit bentk?</t>
  </si>
  <si>
    <t>شنو سميت بنتك?</t>
  </si>
  <si>
    <t>how long have you been married?</t>
  </si>
  <si>
    <t>ch7al mn 3am wenta mzewwej?</t>
  </si>
  <si>
    <t>شحال من عام ونتا مزوّج?</t>
  </si>
  <si>
    <t>I don't want to get married</t>
  </si>
  <si>
    <t>mabghitch ntzewwej</t>
  </si>
  <si>
    <t>مابغيتش نتزوّج</t>
  </si>
  <si>
    <t>did you see what I saw?</t>
  </si>
  <si>
    <t>wach chfti dakchi lli chft?</t>
  </si>
  <si>
    <t>واش شفتي داكشي اللي شفت?</t>
  </si>
  <si>
    <t>did you hear what I heard?</t>
  </si>
  <si>
    <t>wach sme3ti dakchi lli sme3t?</t>
  </si>
  <si>
    <t>واش سمعتي داكشي اللي سمعت?</t>
  </si>
  <si>
    <t>you're not a good person</t>
  </si>
  <si>
    <t>nta insan mamzyanch</t>
  </si>
  <si>
    <t>نتا إنسان مامزيانش</t>
  </si>
  <si>
    <t>you're a good person</t>
  </si>
  <si>
    <t>nta insan mezyan</t>
  </si>
  <si>
    <t>نتا إنسان مزيان</t>
  </si>
  <si>
    <t>did you notice anything?</t>
  </si>
  <si>
    <t>wach la7Dti chi 7aja?</t>
  </si>
  <si>
    <t>واش لاحضتي شي حاجا?</t>
  </si>
  <si>
    <t>I didn't notice anything</t>
  </si>
  <si>
    <t>mala7eDt walo?</t>
  </si>
  <si>
    <t>مالاحضت والو?</t>
  </si>
  <si>
    <t>the shop is closed</t>
  </si>
  <si>
    <t>lma7all sadd</t>
  </si>
  <si>
    <t>لماحالّ سادّ</t>
  </si>
  <si>
    <t>the shop is open</t>
  </si>
  <si>
    <t>lma7all 7all</t>
  </si>
  <si>
    <t>لماحالّ حالّ</t>
  </si>
  <si>
    <t>when do you open?</t>
  </si>
  <si>
    <t>m3ayach kat7ell?</t>
  </si>
  <si>
    <t>معاياش كاتحلّ?</t>
  </si>
  <si>
    <t>when do you close?</t>
  </si>
  <si>
    <t>m3ayach katsedd?</t>
  </si>
  <si>
    <t>معاياش كاتسدّ?</t>
  </si>
  <si>
    <t>I lost my wallet</t>
  </si>
  <si>
    <t>twedder liyya lbezTam</t>
  </si>
  <si>
    <t>تودّر لييّا لبزطام</t>
  </si>
  <si>
    <t>where is my wallet?</t>
  </si>
  <si>
    <t>fin howwa bezTami?</t>
  </si>
  <si>
    <t>فين هووّا بزطامي?</t>
  </si>
  <si>
    <t>this medication is good</t>
  </si>
  <si>
    <t>8ad ddwa zwin</t>
  </si>
  <si>
    <t>هاد الدوا زوين</t>
  </si>
  <si>
    <t>I have a backache</t>
  </si>
  <si>
    <t>kayDerrni De8ri</t>
  </si>
  <si>
    <t>كايضرّني ضهري</t>
  </si>
  <si>
    <t>I bought a sandal</t>
  </si>
  <si>
    <t>chrit Sendala</t>
  </si>
  <si>
    <t>شريت صندالا</t>
  </si>
  <si>
    <t>this handsoap is good</t>
  </si>
  <si>
    <t>had SSabona zwina</t>
  </si>
  <si>
    <t>هاد الصابونا زوينا</t>
  </si>
  <si>
    <t>the tap water is off</t>
  </si>
  <si>
    <t>lma me9tou3</t>
  </si>
  <si>
    <t>لما مقتوع</t>
  </si>
  <si>
    <t>the electricity went out</t>
  </si>
  <si>
    <t>dDo me9tou3</t>
  </si>
  <si>
    <t>دضو مقتوع</t>
  </si>
  <si>
    <t>Omelette with eggs and tomatoes</t>
  </si>
  <si>
    <t>lbiD wmaTicha</t>
  </si>
  <si>
    <t>لبيض وماطيشا</t>
  </si>
  <si>
    <t>tomorrow is the Eid</t>
  </si>
  <si>
    <t>ghdda l3id</t>
  </si>
  <si>
    <t>غدّا لعيد</t>
  </si>
  <si>
    <t>I'm putting on some make up</t>
  </si>
  <si>
    <t>kandir lmakyaj</t>
  </si>
  <si>
    <t>كاندير لماكياج</t>
  </si>
  <si>
    <t>don't look at me</t>
  </si>
  <si>
    <t>matchofch fiyya</t>
  </si>
  <si>
    <t>ماتشوفش فييّا</t>
  </si>
  <si>
    <t>why are you looking at me?</t>
  </si>
  <si>
    <t>3lach katchof fiyya?</t>
  </si>
  <si>
    <t>علاش كاتشوف فييّا?</t>
  </si>
  <si>
    <t>chedd SSeff</t>
  </si>
  <si>
    <t>شدّ الصفّ</t>
  </si>
  <si>
    <t>I bought a coat</t>
  </si>
  <si>
    <t>chrit kebbouT</t>
  </si>
  <si>
    <t>شريت كبّوط</t>
  </si>
  <si>
    <t>he took my money</t>
  </si>
  <si>
    <t>khda liyya flousi</t>
  </si>
  <si>
    <t>خدا لييّا فلوسي</t>
  </si>
  <si>
    <t>he is a thief</t>
  </si>
  <si>
    <t>8adak rah cheffar</t>
  </si>
  <si>
    <t>هاداك راه شفّار</t>
  </si>
  <si>
    <t>don't go to that place</t>
  </si>
  <si>
    <t>matmchich ldik lblaSa</t>
  </si>
  <si>
    <t>ماتمشيش لديك لبلاصا</t>
  </si>
  <si>
    <t>bda kayDlam l7al</t>
  </si>
  <si>
    <t>بدا كايضلام لحال</t>
  </si>
  <si>
    <t>I have bad news for you</t>
  </si>
  <si>
    <t>3ndi lik khbar khayba</t>
  </si>
  <si>
    <t>عندي ليك خبار خايبا</t>
  </si>
  <si>
    <t>I'm trying</t>
  </si>
  <si>
    <t>rah kan7awel</t>
  </si>
  <si>
    <t>راه كانحاول</t>
  </si>
  <si>
    <t>do you offer a discount?</t>
  </si>
  <si>
    <t>wach dayrin tekhfiD?</t>
  </si>
  <si>
    <t>واش دايرين تخفيض?</t>
  </si>
  <si>
    <t>go straight ahead</t>
  </si>
  <si>
    <t>turn right</t>
  </si>
  <si>
    <t>dor 3la llimen</t>
  </si>
  <si>
    <t>دور علا الليمن</t>
  </si>
  <si>
    <t>turn left</t>
  </si>
  <si>
    <t>dor 3la lliSer</t>
  </si>
  <si>
    <t>دور علا الليصر</t>
  </si>
  <si>
    <t>it's next to</t>
  </si>
  <si>
    <t>ra8 7da</t>
  </si>
  <si>
    <t>راه حدا</t>
  </si>
  <si>
    <t>cross the road</t>
  </si>
  <si>
    <t>9te3 chchanTi</t>
  </si>
  <si>
    <t>قتع الشانطي</t>
  </si>
  <si>
    <t>another day</t>
  </si>
  <si>
    <t>chi n8ar akhor</t>
  </si>
  <si>
    <t>شي نهار أخور</t>
  </si>
  <si>
    <t>we9t akhor</t>
  </si>
  <si>
    <t>وقت أخور</t>
  </si>
  <si>
    <t>it's not a good idea</t>
  </si>
  <si>
    <t>machi fikra meziana</t>
  </si>
  <si>
    <t>ماشي فيكرا مزيانا</t>
  </si>
  <si>
    <t>it's a good idea</t>
  </si>
  <si>
    <t>fikra meziana</t>
  </si>
  <si>
    <t>I respect you</t>
  </si>
  <si>
    <t>ana kan7tarmek</t>
  </si>
  <si>
    <t>أنا كانحتارمك</t>
  </si>
  <si>
    <t>you inspire me</t>
  </si>
  <si>
    <t>nta kat7effezni</t>
  </si>
  <si>
    <t>نتا كاتحفّزني</t>
  </si>
  <si>
    <t>I miss your laugh</t>
  </si>
  <si>
    <t>twe77echt DDe7ka dialk</t>
  </si>
  <si>
    <t>توحّشت الضحكا ديالك</t>
  </si>
  <si>
    <t>I want a lifetime with you</t>
  </si>
  <si>
    <t>bghit n3ich m3ak 7yati kamla</t>
  </si>
  <si>
    <t>بغيت نعيش معاك حياتي كاملا</t>
  </si>
  <si>
    <t>do you have an appointment?</t>
  </si>
  <si>
    <t>wach 3ndek rondivo?</t>
  </si>
  <si>
    <t>واش عندك رونديڤو?</t>
  </si>
  <si>
    <t>your room is on the second floor</t>
  </si>
  <si>
    <t>lbit dialk kayn f TTeb9a ttanya</t>
  </si>
  <si>
    <t>لبيت ديالك كاين ف الطبقا التانيا</t>
  </si>
  <si>
    <t>thank you for staying with me</t>
  </si>
  <si>
    <t>chokran 7it b9iti m3aya</t>
  </si>
  <si>
    <t>شوكران حيت بقيتي معايا</t>
  </si>
  <si>
    <t>the room is small</t>
  </si>
  <si>
    <t>lbit sghir</t>
  </si>
  <si>
    <t>لبيت سغير</t>
  </si>
  <si>
    <t>the room is big</t>
  </si>
  <si>
    <t>lbit kbir</t>
  </si>
  <si>
    <t>لبيت كبير</t>
  </si>
  <si>
    <t>don't forget</t>
  </si>
  <si>
    <t>3ndak tensa</t>
  </si>
  <si>
    <t>عنداك تنسا</t>
  </si>
  <si>
    <t>I didn't forget</t>
  </si>
  <si>
    <t>mansitch</t>
  </si>
  <si>
    <t>مانسيتش</t>
  </si>
  <si>
    <t>I didn't forget you</t>
  </si>
  <si>
    <t>mansitkch</t>
  </si>
  <si>
    <t>مانسيتكش</t>
  </si>
  <si>
    <t>can I see you now?</t>
  </si>
  <si>
    <t>wach n9der nchofk daba?</t>
  </si>
  <si>
    <t>واش نقدر نشوفك دابا?</t>
  </si>
  <si>
    <t>I want to see you now</t>
  </si>
  <si>
    <t>bghit nchofk daba</t>
  </si>
  <si>
    <t>بغيت نشوفك دابا</t>
  </si>
  <si>
    <t>can I come in?</t>
  </si>
  <si>
    <t>wach n9der ndkhol?</t>
  </si>
  <si>
    <t>واش نقدر ندخول?</t>
  </si>
  <si>
    <t>May I go out?</t>
  </si>
  <si>
    <t>wach n9der nkhroj?</t>
  </si>
  <si>
    <t>واش نقدر نخروج?</t>
  </si>
  <si>
    <t>which book?</t>
  </si>
  <si>
    <t>ina ktab?</t>
  </si>
  <si>
    <t>إنا كتاب?</t>
  </si>
  <si>
    <t>which movie?</t>
  </si>
  <si>
    <t>ina film?</t>
  </si>
  <si>
    <t>إنا فيلم?</t>
  </si>
  <si>
    <t>which city?</t>
  </si>
  <si>
    <t>ina mdina?</t>
  </si>
  <si>
    <t>إنا مدينا?</t>
  </si>
  <si>
    <t>where is the kitchen?</t>
  </si>
  <si>
    <t>fin jat lkozina?</t>
  </si>
  <si>
    <t>فين جات لكوزينا?</t>
  </si>
  <si>
    <t>what are you doing here?</t>
  </si>
  <si>
    <t>chno kaddir 8na?</t>
  </si>
  <si>
    <t>شنو كادّير هنا?</t>
  </si>
  <si>
    <t>everything is going to be fine</t>
  </si>
  <si>
    <t>kolchi ghaydoz mezyan</t>
  </si>
  <si>
    <t>كولشي غايدوز مزيان</t>
  </si>
  <si>
    <t>do you work like this?</t>
  </si>
  <si>
    <t>wach katkhdem b7al 8akka?</t>
  </si>
  <si>
    <t>واش كاتخدم بحال هاكّا?</t>
  </si>
  <si>
    <t>I understand you</t>
  </si>
  <si>
    <t>f8emtk</t>
  </si>
  <si>
    <t>فهمتك</t>
  </si>
  <si>
    <t>it's my fault</t>
  </si>
  <si>
    <t>lghalaT dyali</t>
  </si>
  <si>
    <t>لغالاط ديالي</t>
  </si>
  <si>
    <t>I'm dreaming of you</t>
  </si>
  <si>
    <t>kan7lem bik</t>
  </si>
  <si>
    <t>كانحلم بيك</t>
  </si>
  <si>
    <t>I worship you</t>
  </si>
  <si>
    <t>kan3ebdek</t>
  </si>
  <si>
    <t>كانعبدك</t>
  </si>
  <si>
    <t>I want you</t>
  </si>
  <si>
    <t>bghitk</t>
  </si>
  <si>
    <t>بغيتك</t>
  </si>
  <si>
    <t>who knows?</t>
  </si>
  <si>
    <t>chkon 3ref?</t>
  </si>
  <si>
    <t>شكون عرف?</t>
  </si>
  <si>
    <t>Let me check</t>
  </si>
  <si>
    <t>tsenna nchof</t>
  </si>
  <si>
    <t>تسنّا نشوف</t>
  </si>
  <si>
    <t>take it easy</t>
  </si>
  <si>
    <t>ghir bchchwiyya 3lik</t>
  </si>
  <si>
    <t>غير بشّوييّا عليك</t>
  </si>
  <si>
    <t>I'm done</t>
  </si>
  <si>
    <t>safi salit</t>
  </si>
  <si>
    <t>سافي ساليت</t>
  </si>
  <si>
    <t>why not?</t>
  </si>
  <si>
    <t>3lach lla?</t>
  </si>
  <si>
    <t>علاش اللا?</t>
  </si>
  <si>
    <t>as you like</t>
  </si>
  <si>
    <t>kima 7bbiti</t>
  </si>
  <si>
    <t>كيما حبّيتي</t>
  </si>
  <si>
    <t>how can I help you?</t>
  </si>
  <si>
    <t>fach n9der n3awnek?</t>
  </si>
  <si>
    <t>فاش نقدر نعاونك?</t>
  </si>
  <si>
    <t>how's life?</t>
  </si>
  <si>
    <t>kif rak m3a ddenya?</t>
  </si>
  <si>
    <t>كيف راك معا الدنيا?</t>
  </si>
  <si>
    <t>what are you up to?</t>
  </si>
  <si>
    <t>achno baghi ddir?</t>
  </si>
  <si>
    <t>أشنو باغي الدير?</t>
  </si>
  <si>
    <t>I have many</t>
  </si>
  <si>
    <t>3ndi bezzaf</t>
  </si>
  <si>
    <t>عندي بزّاف</t>
  </si>
  <si>
    <t>I have a few</t>
  </si>
  <si>
    <t>3ndi chwiyya</t>
  </si>
  <si>
    <t>عندي شوييّا</t>
  </si>
  <si>
    <t>you first</t>
  </si>
  <si>
    <t>nta llewwel</t>
  </si>
  <si>
    <t>نتا اللوّل</t>
  </si>
  <si>
    <t>you are crazy</t>
  </si>
  <si>
    <t>nta 7me9</t>
  </si>
  <si>
    <t>نتا حمق</t>
  </si>
  <si>
    <t>trust me</t>
  </si>
  <si>
    <t>ti9 fiyya</t>
  </si>
  <si>
    <t>تيق فييّا</t>
  </si>
  <si>
    <t>do me a favour</t>
  </si>
  <si>
    <t>dir fiyya wa7d lplizir</t>
  </si>
  <si>
    <t>دير فييّا واحد لپليزير</t>
  </si>
  <si>
    <t>is it yours?</t>
  </si>
  <si>
    <t>wach dyalk?</t>
  </si>
  <si>
    <t>واش ديالك?</t>
  </si>
  <si>
    <t>I like both</t>
  </si>
  <si>
    <t>3jboni bjouj</t>
  </si>
  <si>
    <t>عجبوني بجوج</t>
  </si>
  <si>
    <t>I can't eat</t>
  </si>
  <si>
    <t>man9derch nnakol</t>
  </si>
  <si>
    <t>مانقدرش الناكول</t>
  </si>
  <si>
    <t>I can't drink</t>
  </si>
  <si>
    <t>man9derch nchrob</t>
  </si>
  <si>
    <t>مانقدرش نشروب</t>
  </si>
  <si>
    <t>look at him</t>
  </si>
  <si>
    <t>chof ffi8</t>
  </si>
  <si>
    <t>شوف الفيه</t>
  </si>
  <si>
    <t>if you ask me</t>
  </si>
  <si>
    <t>ila swweltini</t>
  </si>
  <si>
    <t>إلا سوّلتيني</t>
  </si>
  <si>
    <t>understand me</t>
  </si>
  <si>
    <t>f8emni</t>
  </si>
  <si>
    <t>فهمني</t>
  </si>
  <si>
    <t>in my opinion</t>
  </si>
  <si>
    <t>f naDari</t>
  </si>
  <si>
    <t>ف ناضاري</t>
  </si>
  <si>
    <t>I think</t>
  </si>
  <si>
    <t>ban liyya</t>
  </si>
  <si>
    <t>بان لييّا</t>
  </si>
  <si>
    <t>mamt2kkedch</t>
  </si>
  <si>
    <t>مامتءكّدش</t>
  </si>
  <si>
    <t>I'm sure</t>
  </si>
  <si>
    <t>ana mt2kked</t>
  </si>
  <si>
    <t>أنا متءكّد</t>
  </si>
  <si>
    <t>I wake up at five a.m.</t>
  </si>
  <si>
    <t>kanfi9 m3a l5emsa dSSba7</t>
  </si>
  <si>
    <t>كانفيق معا لخمسا دصّباح</t>
  </si>
  <si>
    <t>I drink soup</t>
  </si>
  <si>
    <t>kanchreb l7rira</t>
  </si>
  <si>
    <t>كانشرب لحريرا</t>
  </si>
  <si>
    <t>the food is delicious</t>
  </si>
  <si>
    <t>the food isn't delicious</t>
  </si>
  <si>
    <t>lmakla mabninach</t>
  </si>
  <si>
    <t>لماكلا مابنيناش</t>
  </si>
  <si>
    <t>where is the food?</t>
  </si>
  <si>
    <t>fin hiyya lmakla?</t>
  </si>
  <si>
    <t>فين هييّا لماكلا?</t>
  </si>
  <si>
    <t>why do you think like this?</t>
  </si>
  <si>
    <t>3lach katfekker 8akda?</t>
  </si>
  <si>
    <t>علاش كاتفكّر هاكدا?</t>
  </si>
  <si>
    <t>why do you say this?</t>
  </si>
  <si>
    <t>3lach katgol 8ad l8eDra?</t>
  </si>
  <si>
    <t>علاش كاتڭول هاد لهضرا?</t>
  </si>
  <si>
    <t>you should not say this</t>
  </si>
  <si>
    <t>makhaSSekch tgol 8adchi</t>
  </si>
  <si>
    <t>ماخاصّكش تڭول هادشي</t>
  </si>
  <si>
    <t>I don't eat shrimp</t>
  </si>
  <si>
    <t>makannakolch 9imroun</t>
  </si>
  <si>
    <t>ماكانّاكولش قيمرون</t>
  </si>
  <si>
    <t>the beach is empty</t>
  </si>
  <si>
    <t>lb7er khawi</t>
  </si>
  <si>
    <t>لبحر خاوي</t>
  </si>
  <si>
    <t>he is an American</t>
  </si>
  <si>
    <t>8owwa mirikani</t>
  </si>
  <si>
    <t>هووّا ميريكاني</t>
  </si>
  <si>
    <t>he is an Italian</t>
  </si>
  <si>
    <t>8owwa Talyani</t>
  </si>
  <si>
    <t>هووّا طالياني</t>
  </si>
  <si>
    <t>he is old</t>
  </si>
  <si>
    <t>8owwa charf</t>
  </si>
  <si>
    <t>هووّا شارف</t>
  </si>
  <si>
    <t>which day do you want?</t>
  </si>
  <si>
    <t>ina n8ar bghiti?</t>
  </si>
  <si>
    <t>إنا نهار بغيتي?</t>
  </si>
  <si>
    <t>any day you want</t>
  </si>
  <si>
    <t>nn8ar li bghiti</t>
  </si>
  <si>
    <t>النهار لي بغيتي</t>
  </si>
  <si>
    <t>a big spoon</t>
  </si>
  <si>
    <t>m3el9a kbira</t>
  </si>
  <si>
    <t>معلقا كبيرا</t>
  </si>
  <si>
    <t>a small spoon</t>
  </si>
  <si>
    <t>m3el9a sghira</t>
  </si>
  <si>
    <t>معلقا سغيرا</t>
  </si>
  <si>
    <t>a big dish</t>
  </si>
  <si>
    <t>tebSil kbir</t>
  </si>
  <si>
    <t>تبصيل كبير</t>
  </si>
  <si>
    <t>a small dish</t>
  </si>
  <si>
    <t>tebSil sghir</t>
  </si>
  <si>
    <t>تبصيل سغير</t>
  </si>
  <si>
    <t>give me a fork</t>
  </si>
  <si>
    <t>3Tini forchiTa</t>
  </si>
  <si>
    <t>عطيني فورشيطا</t>
  </si>
  <si>
    <t>a beautiful girl</t>
  </si>
  <si>
    <t>bent zwina</t>
  </si>
  <si>
    <t>بنت زوينا</t>
  </si>
  <si>
    <t>a handsome boy</t>
  </si>
  <si>
    <t>derri zwin</t>
  </si>
  <si>
    <t>درّي زوين</t>
  </si>
  <si>
    <t>I wear contact lenses</t>
  </si>
  <si>
    <t>kandir l3adasat</t>
  </si>
  <si>
    <t>كاندير لعاداسات</t>
  </si>
  <si>
    <t>the clock is off</t>
  </si>
  <si>
    <t>lmmagana wa9fa</t>
  </si>
  <si>
    <t>لمّاڭانا واقفا</t>
  </si>
  <si>
    <t>is it you?</t>
  </si>
  <si>
    <t>wach nta 8ada?</t>
  </si>
  <si>
    <t>واش نتا هادا?</t>
  </si>
  <si>
    <t>is it your picture?</t>
  </si>
  <si>
    <t>8adi tSwirtek?</t>
  </si>
  <si>
    <t>هادي تصويرتك?</t>
  </si>
  <si>
    <t>give me to see</t>
  </si>
  <si>
    <t>3Tini nchof</t>
  </si>
  <si>
    <t>عطيني نشوف</t>
  </si>
  <si>
    <t>where is the picture?</t>
  </si>
  <si>
    <t>fin 8iyya ttSwira?</t>
  </si>
  <si>
    <t>فين هييّا التصويرا?</t>
  </si>
  <si>
    <t>I cut the picture</t>
  </si>
  <si>
    <t>9TTe3t ttSwira</t>
  </si>
  <si>
    <t>قطّعت التصويرا</t>
  </si>
  <si>
    <t>what!</t>
  </si>
  <si>
    <t>awili!</t>
  </si>
  <si>
    <t>أويلي!</t>
  </si>
  <si>
    <t>no way</t>
  </si>
  <si>
    <t>maymkench</t>
  </si>
  <si>
    <t>مايمكنش</t>
  </si>
  <si>
    <t>this is dangerous</t>
  </si>
  <si>
    <t>8adchi khaTir</t>
  </si>
  <si>
    <t>هادشي خاطير</t>
  </si>
  <si>
    <t>if only you keep quiet</t>
  </si>
  <si>
    <t>kon ghir tsket chwiyya</t>
  </si>
  <si>
    <t>كون غير تسكت شوييّا</t>
  </si>
  <si>
    <t>why are you not talking?</t>
  </si>
  <si>
    <t>malek makat8Derch?</t>
  </si>
  <si>
    <t>مالك ماكاتهضرش?</t>
  </si>
  <si>
    <t>why are you not laughing?</t>
  </si>
  <si>
    <t>malek makatD7ekch?</t>
  </si>
  <si>
    <t>مالك ماكاتضحكش?</t>
  </si>
  <si>
    <t>where is this?</t>
  </si>
  <si>
    <t>fin 8adchchi?</t>
  </si>
  <si>
    <t>فين هادشّي?</t>
  </si>
  <si>
    <t>when is this?</t>
  </si>
  <si>
    <t>m3ayach 8adchchi?</t>
  </si>
  <si>
    <t>معاياش هادشّي?</t>
  </si>
  <si>
    <t>I'm going crazy</t>
  </si>
  <si>
    <t>ghan7ma9</t>
  </si>
  <si>
    <t>غانحماق</t>
  </si>
  <si>
    <t>we will all die</t>
  </si>
  <si>
    <t>kolna ghanmoto</t>
  </si>
  <si>
    <t>كولنا غانموتو</t>
  </si>
  <si>
    <t>where is this restaurant?</t>
  </si>
  <si>
    <t>fin ja 8ad lmeT3am?</t>
  </si>
  <si>
    <t>فين جا هاد لمطعام?</t>
  </si>
  <si>
    <t>the glass is empty</t>
  </si>
  <si>
    <t>lkas khawi</t>
  </si>
  <si>
    <t>لكاس خاوي</t>
  </si>
  <si>
    <t>my hair is long</t>
  </si>
  <si>
    <t>che3ri Twil</t>
  </si>
  <si>
    <t>شعري طويل</t>
  </si>
  <si>
    <t>I'm looking for my socks</t>
  </si>
  <si>
    <t>kan9elleb 3la t9achri</t>
  </si>
  <si>
    <t>كانقلّب علا تقاشري</t>
  </si>
  <si>
    <t>I didn't find my socks</t>
  </si>
  <si>
    <t>mal9itch t9achri</t>
  </si>
  <si>
    <t>مالقيتش تقاشري</t>
  </si>
  <si>
    <t>did you see my socks?</t>
  </si>
  <si>
    <t>wach chefti t9achri?</t>
  </si>
  <si>
    <t>واش شفتي تقاشري?</t>
  </si>
  <si>
    <t>this T.V is nice</t>
  </si>
  <si>
    <t>8ad ttelfaza zwina</t>
  </si>
  <si>
    <t>هاد التلفازا زوينا</t>
  </si>
  <si>
    <t>I'm learning how to cook</t>
  </si>
  <si>
    <t>kant3ellem nTeyyeb</t>
  </si>
  <si>
    <t>كانتعلّم نطيّب</t>
  </si>
  <si>
    <t>I cook very well</t>
  </si>
  <si>
    <t>kaTeyyeb mezyan</t>
  </si>
  <si>
    <t>كاطيّب مزيان</t>
  </si>
  <si>
    <t>driving is difficult</t>
  </si>
  <si>
    <t>sSogan S3ib</t>
  </si>
  <si>
    <t>سصوڭان صعيب</t>
  </si>
  <si>
    <t>I turned on the stove</t>
  </si>
  <si>
    <t>ch3elt lboTa</t>
  </si>
  <si>
    <t>شعلت لبوطا</t>
  </si>
  <si>
    <t>turn off the stove</t>
  </si>
  <si>
    <t>tfi lboTa</t>
  </si>
  <si>
    <t>تفي لبوطا</t>
  </si>
  <si>
    <t>turn on the stove</t>
  </si>
  <si>
    <t>ch3el lboTa</t>
  </si>
  <si>
    <t>شعل لبوطا</t>
  </si>
  <si>
    <t>my finger hurts</t>
  </si>
  <si>
    <t>kayDerrni Seb3i</t>
  </si>
  <si>
    <t>كايضرّني صبعي</t>
  </si>
  <si>
    <t>I'm not okay</t>
  </si>
  <si>
    <t>ana machi 7ttal l8i8</t>
  </si>
  <si>
    <t>أنا ماشي حتّال لهيه</t>
  </si>
  <si>
    <t>you look good</t>
  </si>
  <si>
    <t>jiti zwin</t>
  </si>
  <si>
    <t>جيتي زوين</t>
  </si>
  <si>
    <t>I like this</t>
  </si>
  <si>
    <t>3jebni 8adchi</t>
  </si>
  <si>
    <t>عجبني هادشي</t>
  </si>
  <si>
    <t>I didn't like this</t>
  </si>
  <si>
    <t>ma3jebnich 8adchi</t>
  </si>
  <si>
    <t>ماعجبنيش هادشي</t>
  </si>
  <si>
    <t>I respect myself</t>
  </si>
  <si>
    <t>kan7tarm rasi</t>
  </si>
  <si>
    <t>كانحتارم راسي</t>
  </si>
  <si>
    <t>I like your work</t>
  </si>
  <si>
    <t>3jbatni khdemtk</t>
  </si>
  <si>
    <t>عجباتني خدمتك</t>
  </si>
  <si>
    <t>a great opportunity</t>
  </si>
  <si>
    <t>forSa mezyana</t>
  </si>
  <si>
    <t>فورصا مزيانا</t>
  </si>
  <si>
    <t>he left me alone</t>
  </si>
  <si>
    <t>mcha wkhellani bbo7di</t>
  </si>
  <si>
    <t>مشا وخلّاني البوحدي</t>
  </si>
  <si>
    <t>he came back again</t>
  </si>
  <si>
    <t>rje3 tani</t>
  </si>
  <si>
    <t>رجع تاني</t>
  </si>
  <si>
    <t>it's not a big deal</t>
  </si>
  <si>
    <t>machi chi 7aja nit</t>
  </si>
  <si>
    <t>ماشي شي حاجا نيت</t>
  </si>
  <si>
    <t>we broke up</t>
  </si>
  <si>
    <t>tfare9na</t>
  </si>
  <si>
    <t>تفارقنا</t>
  </si>
  <si>
    <t>abadan</t>
  </si>
  <si>
    <t>أبادان</t>
  </si>
  <si>
    <t>I burned my hand</t>
  </si>
  <si>
    <t>7re9t yeddi</t>
  </si>
  <si>
    <t>حرقت يدّي</t>
  </si>
  <si>
    <t>I'm sleeping</t>
  </si>
  <si>
    <t>ana na3s</t>
  </si>
  <si>
    <t>أنا ناعس</t>
  </si>
  <si>
    <t>I'm awake</t>
  </si>
  <si>
    <t>ana fay9</t>
  </si>
  <si>
    <t>أنا فايق</t>
  </si>
  <si>
    <t>I work in the evenings</t>
  </si>
  <si>
    <t>kankhdem bllil</t>
  </si>
  <si>
    <t>كانخدم بلّيل</t>
  </si>
  <si>
    <t>I work in the mornings</t>
  </si>
  <si>
    <t>kankhdem benn8ar</t>
  </si>
  <si>
    <t>كانخدم بنّهار</t>
  </si>
  <si>
    <t>I don't work today</t>
  </si>
  <si>
    <t>makankhdemch lyoum</t>
  </si>
  <si>
    <t>ماكانخدمش ليوم</t>
  </si>
  <si>
    <t>what happened between you and him?</t>
  </si>
  <si>
    <t>malek m3a8?</t>
  </si>
  <si>
    <t>مالك معاه?</t>
  </si>
  <si>
    <t>I have a motorbike</t>
  </si>
  <si>
    <t>3ndi moTor</t>
  </si>
  <si>
    <t>عندي موطور</t>
  </si>
  <si>
    <t>I bought a new motorbike</t>
  </si>
  <si>
    <t>chrit moTor jdid</t>
  </si>
  <si>
    <t>شريت موطور جديد</t>
  </si>
  <si>
    <t>put the knife down</t>
  </si>
  <si>
    <t>7eTT lmous</t>
  </si>
  <si>
    <t>حطّ لموس</t>
  </si>
  <si>
    <t>don't play with the knife</t>
  </si>
  <si>
    <t>matl3ebch blmous</t>
  </si>
  <si>
    <t>ماتلعبش بلموس</t>
  </si>
  <si>
    <t>open the window</t>
  </si>
  <si>
    <t>7ell chcherjem</t>
  </si>
  <si>
    <t>حلّ الشرجم</t>
  </si>
  <si>
    <t>close the window</t>
  </si>
  <si>
    <t>sedd chcherjem</t>
  </si>
  <si>
    <t>سدّ الشرجم</t>
  </si>
  <si>
    <t>the window is big</t>
  </si>
  <si>
    <t>chcherjem kbir</t>
  </si>
  <si>
    <t>الشرجم كبير</t>
  </si>
  <si>
    <t>there is no balcony in the house</t>
  </si>
  <si>
    <t>ddar mafi8ach lbalkon</t>
  </si>
  <si>
    <t>الدار مافيهاش لبالكون</t>
  </si>
  <si>
    <t>he smokes in the balcony</t>
  </si>
  <si>
    <t>kaykmi flbalkon</t>
  </si>
  <si>
    <t>كايكمي فلبالكون</t>
  </si>
  <si>
    <t>he smokes a lot</t>
  </si>
  <si>
    <t>kaykmi bezzaf</t>
  </si>
  <si>
    <t>كايكمي بزّاف</t>
  </si>
  <si>
    <t>it's him who starts</t>
  </si>
  <si>
    <t>howwa lli bda</t>
  </si>
  <si>
    <t>هووّا اللي بدا</t>
  </si>
  <si>
    <t>he overthinks</t>
  </si>
  <si>
    <t>kaykhemmem bezzaf</t>
  </si>
  <si>
    <t>كايخمّم بزّاف</t>
  </si>
  <si>
    <t>overthinking</t>
  </si>
  <si>
    <t>ktret ttekhmam</t>
  </si>
  <si>
    <t>كترت التخمام</t>
  </si>
  <si>
    <t>I have a problem</t>
  </si>
  <si>
    <t>3endi mochkil</t>
  </si>
  <si>
    <t>عندي موشكيل</t>
  </si>
  <si>
    <t>a big problem</t>
  </si>
  <si>
    <t>mochkil kbir</t>
  </si>
  <si>
    <t>موشكيل كبير</t>
  </si>
  <si>
    <t>he is in the prison</t>
  </si>
  <si>
    <t>kayn fel7ebs</t>
  </si>
  <si>
    <t>كاين فلحبس</t>
  </si>
  <si>
    <t>the towel is clean</t>
  </si>
  <si>
    <t>lfoTa n9iyya</t>
  </si>
  <si>
    <t>لفوطا نقييّا</t>
  </si>
  <si>
    <t>the towel is dirty</t>
  </si>
  <si>
    <t>lfoTa mmoskha</t>
  </si>
  <si>
    <t>لفوطا الموسخا</t>
  </si>
  <si>
    <t>the food isn't enough</t>
  </si>
  <si>
    <t>lmakla makafyach</t>
  </si>
  <si>
    <t>لماكلا ماكافياش</t>
  </si>
  <si>
    <t>this is not enough</t>
  </si>
  <si>
    <t>8adchchi makafich</t>
  </si>
  <si>
    <t>هادشّي ماكافيش</t>
  </si>
  <si>
    <t>we are so many</t>
  </si>
  <si>
    <t>7na bezzaf</t>
  </si>
  <si>
    <t>حنا بزّاف</t>
  </si>
  <si>
    <t>this is not funny</t>
  </si>
  <si>
    <t>8adchchi makayDe77ekch</t>
  </si>
  <si>
    <t>هادشّي ماكايضحّكش</t>
  </si>
  <si>
    <t>he is always crying</t>
  </si>
  <si>
    <t>dima kaybki</t>
  </si>
  <si>
    <t>ديما كايبكي</t>
  </si>
  <si>
    <t>I'm eating a cake</t>
  </si>
  <si>
    <t>kannakol kika</t>
  </si>
  <si>
    <t>كانّاكول كيكا</t>
  </si>
  <si>
    <t>come to eat with me</t>
  </si>
  <si>
    <t>aji ttakol m3aya</t>
  </si>
  <si>
    <t>أجي التاكول معايا</t>
  </si>
  <si>
    <t>don't eat with me</t>
  </si>
  <si>
    <t>mattakolch m3aya</t>
  </si>
  <si>
    <t>ماتّاكولش معايا</t>
  </si>
  <si>
    <t>don't think about this</t>
  </si>
  <si>
    <t>matfekkerch f8adchi</t>
  </si>
  <si>
    <t>ماتفكّرش فهادشي</t>
  </si>
  <si>
    <t>don't think this way</t>
  </si>
  <si>
    <t>matfekkerch 8akda</t>
  </si>
  <si>
    <t>ماتفكّرش هاكدا</t>
  </si>
  <si>
    <t>overthinking isn't good</t>
  </si>
  <si>
    <t>ktret ttekhmam mamezyanach</t>
  </si>
  <si>
    <t>كترت التخمام مامزياناش</t>
  </si>
  <si>
    <t>it's windy</t>
  </si>
  <si>
    <t>kayn rri7</t>
  </si>
  <si>
    <t>كاين الريح</t>
  </si>
  <si>
    <t>it's snowing</t>
  </si>
  <si>
    <t>kayTi7 ttelj</t>
  </si>
  <si>
    <t>كايطيح التلج</t>
  </si>
  <si>
    <t>I saw a monkey</t>
  </si>
  <si>
    <t>cheft 9erd</t>
  </si>
  <si>
    <t>شفت قرد</t>
  </si>
  <si>
    <t>I went to the zoo</t>
  </si>
  <si>
    <t>mchit l7adi9at l7ayawanat</t>
  </si>
  <si>
    <t>مشيت لحاديقات لحاياوانات</t>
  </si>
  <si>
    <t>Atlas lions</t>
  </si>
  <si>
    <t>ossod l2aTlas</t>
  </si>
  <si>
    <t>أُسّود لأطلاس</t>
  </si>
  <si>
    <t>the fridge isn't working</t>
  </si>
  <si>
    <t>ttellaja khsra</t>
  </si>
  <si>
    <t>التلّاجا خسرا</t>
  </si>
  <si>
    <t>look there</t>
  </si>
  <si>
    <t>chof tmmak</t>
  </si>
  <si>
    <t>شوف تمّاك</t>
  </si>
  <si>
    <t>it's not far</t>
  </si>
  <si>
    <t>machi b3id</t>
  </si>
  <si>
    <t>ماشي بعيد</t>
  </si>
  <si>
    <t>it's not near</t>
  </si>
  <si>
    <t>machi 9rib</t>
  </si>
  <si>
    <t>ماشي قريب</t>
  </si>
  <si>
    <t>he told me everything</t>
  </si>
  <si>
    <t>galliyya kolchi</t>
  </si>
  <si>
    <t>ڭالّييّا كولشي</t>
  </si>
  <si>
    <t>he tells me everything</t>
  </si>
  <si>
    <t>kaygolliyya kolchi</t>
  </si>
  <si>
    <t>كايڭولّييّا كولشي</t>
  </si>
  <si>
    <t>he doesn't tell me anything</t>
  </si>
  <si>
    <t>makaygolliyya walo</t>
  </si>
  <si>
    <t>ماكايڭولّييّا والو</t>
  </si>
  <si>
    <t>the bread is crispy</t>
  </si>
  <si>
    <t>lhobz mgermel</t>
  </si>
  <si>
    <t>لهوبز مڭرمل</t>
  </si>
  <si>
    <t>coffee with milk</t>
  </si>
  <si>
    <t>l9e8wa bel7lib</t>
  </si>
  <si>
    <t>لقهوا بلحليب</t>
  </si>
  <si>
    <t>this milk is sweet</t>
  </si>
  <si>
    <t>8ad l7lib 7lo</t>
  </si>
  <si>
    <t>هاد لحليب حلو</t>
  </si>
  <si>
    <t>did you add sugar?</t>
  </si>
  <si>
    <t>wach derti ssekkar?</t>
  </si>
  <si>
    <t>واش درتي السكّار?</t>
  </si>
  <si>
    <t>I didn't add sugar</t>
  </si>
  <si>
    <t>madertch ssekkar</t>
  </si>
  <si>
    <t>مادرتش السكّار</t>
  </si>
  <si>
    <t>you should have gone</t>
  </si>
  <si>
    <t>kan 3lik tmchi</t>
  </si>
  <si>
    <t>كان عليك تمشي</t>
  </si>
  <si>
    <t>nothing happened</t>
  </si>
  <si>
    <t>maw9e3 walo</t>
  </si>
  <si>
    <t>ماوقع والو</t>
  </si>
  <si>
    <t>this is a catastrophe</t>
  </si>
  <si>
    <t>8adi moSiba</t>
  </si>
  <si>
    <t>هادي موصيبا</t>
  </si>
  <si>
    <t>I encourage you</t>
  </si>
  <si>
    <t>kanchejj3ek</t>
  </si>
  <si>
    <t>كانشجّعك</t>
  </si>
  <si>
    <t>I don't encourage you</t>
  </si>
  <si>
    <t>makanchejj3ekch</t>
  </si>
  <si>
    <t>ماكانشجّعكش</t>
  </si>
  <si>
    <t>I don't do this</t>
  </si>
  <si>
    <t>makandirch 8adchchi</t>
  </si>
  <si>
    <t>ماكانديرش هادشّي</t>
  </si>
  <si>
    <t>I do this</t>
  </si>
  <si>
    <t>kandir 8adchchi</t>
  </si>
  <si>
    <t>كاندير هادشّي</t>
  </si>
  <si>
    <t>like this</t>
  </si>
  <si>
    <t>b7al 8akda</t>
  </si>
  <si>
    <t>بحال هاكدا</t>
  </si>
  <si>
    <t>not like this</t>
  </si>
  <si>
    <t>machi b7al 8akda</t>
  </si>
  <si>
    <t>ماشي بحال هاكدا</t>
  </si>
  <si>
    <t>it's the same</t>
  </si>
  <si>
    <t>b7al b7al</t>
  </si>
  <si>
    <t>he stole my wallet</t>
  </si>
  <si>
    <t>chfer liyya lbezTam</t>
  </si>
  <si>
    <t>شفر لييّا لبزطام</t>
  </si>
  <si>
    <t>I spent a lot of money</t>
  </si>
  <si>
    <t>khsert bezzaf dial lflous</t>
  </si>
  <si>
    <t>خسرت بزّاف ديال لفلوس</t>
  </si>
  <si>
    <t>it costed me a lot of money</t>
  </si>
  <si>
    <t>t9am 3liyya ghali</t>
  </si>
  <si>
    <t>تقام علييّا غالي</t>
  </si>
  <si>
    <t>it didn't cost me a lot of money</t>
  </si>
  <si>
    <t>t9am 3liyya rkhiS</t>
  </si>
  <si>
    <t>تقام علييّا رخيص</t>
  </si>
  <si>
    <t>I always come here</t>
  </si>
  <si>
    <t>dima kanji 8na</t>
  </si>
  <si>
    <t>ديما كانجي هنا</t>
  </si>
  <si>
    <t>I like this place</t>
  </si>
  <si>
    <t>kat3jebni 8ad lblaSa</t>
  </si>
  <si>
    <t>كاتعجبني هاد لبلاصا</t>
  </si>
  <si>
    <t>I don't like this place</t>
  </si>
  <si>
    <t>makat3jebnich 8ad lblaSa</t>
  </si>
  <si>
    <t>ماكاتعجبنيش هاد لبلاصا</t>
  </si>
  <si>
    <t>this place is beautiful</t>
  </si>
  <si>
    <t>8ad lblaSa zwina</t>
  </si>
  <si>
    <t>هاد لبلاصا زوينا</t>
  </si>
  <si>
    <t>bghit nrta7</t>
  </si>
  <si>
    <t>بغيت نرتاح</t>
  </si>
  <si>
    <t>I will take a nap</t>
  </si>
  <si>
    <t>ghandir l9aylola</t>
  </si>
  <si>
    <t>غاندير لقايلولا</t>
  </si>
  <si>
    <t>I had a late lunch</t>
  </si>
  <si>
    <t>tgheddit m3eTTel</t>
  </si>
  <si>
    <t>تغدّيت معطّل</t>
  </si>
  <si>
    <t>I had my lunch early</t>
  </si>
  <si>
    <t>tgheddit bekri</t>
  </si>
  <si>
    <t>تغدّيت بكري</t>
  </si>
  <si>
    <t>I had my lunch quickly</t>
  </si>
  <si>
    <t>tgheddit bezzerba</t>
  </si>
  <si>
    <t>تغدّيت بزّربا</t>
  </si>
  <si>
    <t>he eats slowly</t>
  </si>
  <si>
    <t>kayyakol bechchwiyya</t>
  </si>
  <si>
    <t>كايّاكول بشّوييّا</t>
  </si>
  <si>
    <t>he eats fast</t>
  </si>
  <si>
    <t>kayyakol bezzerba</t>
  </si>
  <si>
    <t>كايّاكول بزّربا</t>
  </si>
  <si>
    <t>help me please</t>
  </si>
  <si>
    <t>don't help me</t>
  </si>
  <si>
    <t>mat3awennich</t>
  </si>
  <si>
    <t>ماتعاونّيش</t>
  </si>
  <si>
    <t>he is talking about me</t>
  </si>
  <si>
    <t>kay8Der 3liyya</t>
  </si>
  <si>
    <t>كايهضر علييّا</t>
  </si>
  <si>
    <t>I'm listening to the radio</t>
  </si>
  <si>
    <t>kansme3 lrradyo</t>
  </si>
  <si>
    <t>كانسمع لرّاديو</t>
  </si>
  <si>
    <t>swear to God</t>
  </si>
  <si>
    <t>7lef blla8</t>
  </si>
  <si>
    <t>حلف بلّاه</t>
  </si>
  <si>
    <t>I plant plants</t>
  </si>
  <si>
    <t>kanzre3 nnabatat</t>
  </si>
  <si>
    <t>كانزرع الناباتات</t>
  </si>
  <si>
    <t>I'll call a taxi</t>
  </si>
  <si>
    <t>ghan3eyyit lTTaksi</t>
  </si>
  <si>
    <t>غانعيّيت لطّاكسي</t>
  </si>
  <si>
    <t>I'm waiting for him to come</t>
  </si>
  <si>
    <t>kantsnna8 yji</t>
  </si>
  <si>
    <t>كانتسنّاه يجي</t>
  </si>
  <si>
    <t>he still didn't come</t>
  </si>
  <si>
    <t>mazal majach</t>
  </si>
  <si>
    <t>مازال ماجاش</t>
  </si>
  <si>
    <t>I'll punish you</t>
  </si>
  <si>
    <t>ghan3a9bek</t>
  </si>
  <si>
    <t>غانعاقبك</t>
  </si>
  <si>
    <t>don't punish me</t>
  </si>
  <si>
    <t>mat3a9bnich</t>
  </si>
  <si>
    <t>ماتعاقبنيش</t>
  </si>
  <si>
    <t>this is a punishment</t>
  </si>
  <si>
    <t>8adi 3o9ouba</t>
  </si>
  <si>
    <t>هادي عوقوبا</t>
  </si>
  <si>
    <t>why do you punish me?</t>
  </si>
  <si>
    <t>3lach kat3a9bni?</t>
  </si>
  <si>
    <t>علاش كاتعاقبني?</t>
  </si>
  <si>
    <t>why do you treat me like this?</t>
  </si>
  <si>
    <t>3lach katt3amel m3aya b7al 8akda?</t>
  </si>
  <si>
    <t>علاش كاتّعامل معايا بحال هاكدا?</t>
  </si>
  <si>
    <t>you have to change the way you treat others</t>
  </si>
  <si>
    <t>khaSSek tbeddel Tri9at lmo3amala dialk?</t>
  </si>
  <si>
    <t>خاصّك تبدّل طريقات لموعامالا ديالك?</t>
  </si>
  <si>
    <t>you are very strict</t>
  </si>
  <si>
    <t>nta 9aSe7 bezzaf</t>
  </si>
  <si>
    <t>نتا قاصح بزّاف</t>
  </si>
  <si>
    <t>you are very sensitive</t>
  </si>
  <si>
    <t>nta 7essas bezzaf</t>
  </si>
  <si>
    <t>نتا حسّاس بزّاف</t>
  </si>
  <si>
    <t>you are very romantic</t>
  </si>
  <si>
    <t>nta romansi bezzaf</t>
  </si>
  <si>
    <t>نتا رومانسي بزّاف</t>
  </si>
  <si>
    <t>I like talking with you</t>
  </si>
  <si>
    <t>3ziz 3liyya n8Der m3ak</t>
  </si>
  <si>
    <t>عزيز علييّا نهضر معاك</t>
  </si>
  <si>
    <t>I like listening to you</t>
  </si>
  <si>
    <t>3ziz 3liyya nsme3 lik</t>
  </si>
  <si>
    <t>عزيز علييّا نسمع ليك</t>
  </si>
  <si>
    <t>I hate listening to him</t>
  </si>
  <si>
    <t>makan7melch nsme3 li8</t>
  </si>
  <si>
    <t>ماكانحملش نسمع ليه</t>
  </si>
  <si>
    <t>I always listen to him</t>
  </si>
  <si>
    <t>dima kansme3 li8</t>
  </si>
  <si>
    <t>ديما كانسمع ليه</t>
  </si>
  <si>
    <t>he always advises me</t>
  </si>
  <si>
    <t>dima kaynSe7ni</t>
  </si>
  <si>
    <t>ديما كاينصحني</t>
  </si>
  <si>
    <t>he always talks to me</t>
  </si>
  <si>
    <t>dima kay8Der m3aya</t>
  </si>
  <si>
    <t>ديما كايهضر معايا</t>
  </si>
  <si>
    <t>he always listens to me</t>
  </si>
  <si>
    <t>dima kaysme3 liyya</t>
  </si>
  <si>
    <t>ديما كايسمع لييّا</t>
  </si>
  <si>
    <t>he doesn't listen to me</t>
  </si>
  <si>
    <t>makaysme3ch liyya</t>
  </si>
  <si>
    <t>ماكايسمعش لييّا</t>
  </si>
  <si>
    <t>he always smiles to others</t>
  </si>
  <si>
    <t>dima kaybtasm lnnas</t>
  </si>
  <si>
    <t>ديما كايبتاسم لنّاس</t>
  </si>
  <si>
    <t>he doesn't smile to others</t>
  </si>
  <si>
    <t>makaybtasemch lnnas</t>
  </si>
  <si>
    <t>ماكايبتاسمش لنّاس</t>
  </si>
  <si>
    <t>I'll be honest with you</t>
  </si>
  <si>
    <t>njik nichan</t>
  </si>
  <si>
    <t>نجيك نيشان</t>
  </si>
  <si>
    <t>you shouldn't have done this</t>
  </si>
  <si>
    <t>makanch khaSSek tdir 8adchchi</t>
  </si>
  <si>
    <t>ماكانش خاصّك تدير هادشّي</t>
  </si>
  <si>
    <t>he plays football very well</t>
  </si>
  <si>
    <t>kayl3eb lkora mezyan</t>
  </si>
  <si>
    <t>كايلعب لكورا مزيان</t>
  </si>
  <si>
    <t>when does the football game start?</t>
  </si>
  <si>
    <t>m3ayach ghaybda lmaTch</t>
  </si>
  <si>
    <t>معاياش غايبدا لماطش</t>
  </si>
  <si>
    <t>I have acne</t>
  </si>
  <si>
    <t>fiyya l7boub f wej8i</t>
  </si>
  <si>
    <t>فييّا لحبوب ف وجهي</t>
  </si>
  <si>
    <t>I'll take care of myself</t>
  </si>
  <si>
    <t>ghant8ella f rasi</t>
  </si>
  <si>
    <t>غانتهلّا ف راسي</t>
  </si>
  <si>
    <t>life is short</t>
  </si>
  <si>
    <t>l7ayat 9Sira</t>
  </si>
  <si>
    <t>لحايات قصيرا</t>
  </si>
  <si>
    <t>I have hope</t>
  </si>
  <si>
    <t>3ndi amal</t>
  </si>
  <si>
    <t>عندي أمال</t>
  </si>
  <si>
    <t>I don't have hope</t>
  </si>
  <si>
    <t>ma3ndich amal</t>
  </si>
  <si>
    <t>ماعنديش أمال</t>
  </si>
  <si>
    <t>he died yesterday</t>
  </si>
  <si>
    <t>mat lbar7</t>
  </si>
  <si>
    <t>مات لبارح</t>
  </si>
  <si>
    <t>his wife is beautiful</t>
  </si>
  <si>
    <t>mrato zwina</t>
  </si>
  <si>
    <t>مراتو زوينا</t>
  </si>
  <si>
    <t>his wife is old</t>
  </si>
  <si>
    <t>mrato charfa</t>
  </si>
  <si>
    <t>مراتو شارفا</t>
  </si>
  <si>
    <t>I'll sing a song</t>
  </si>
  <si>
    <t>ghanghenni oghniyya</t>
  </si>
  <si>
    <t>غانغنّي أُغنييّا</t>
  </si>
  <si>
    <t>can you please sing a song?</t>
  </si>
  <si>
    <t>wach momkin tghenni chi oghniyya?</t>
  </si>
  <si>
    <t>واش مومكين تغنّي شي أُغنييّا?</t>
  </si>
  <si>
    <t>I can't bear anymore</t>
  </si>
  <si>
    <t>mab9itch 9ader nt7emmel mazal</t>
  </si>
  <si>
    <t>مابقيتش قادر نتحمّل مازال</t>
  </si>
  <si>
    <t>I have a lot of debts</t>
  </si>
  <si>
    <t>3ndi lkridi bezzaf</t>
  </si>
  <si>
    <t>عندي لكريدي بزّاف</t>
  </si>
  <si>
    <t>I drink too much tea</t>
  </si>
  <si>
    <t>kanchreb atay bezzaf</t>
  </si>
  <si>
    <t>كانشرب أتاي بزّاف</t>
  </si>
  <si>
    <t>you gained weight</t>
  </si>
  <si>
    <t>ghlaDiti</t>
  </si>
  <si>
    <t>غلاضيتي</t>
  </si>
  <si>
    <t>you lost weight</t>
  </si>
  <si>
    <t>d3afiti</t>
  </si>
  <si>
    <t>دعافيتي</t>
  </si>
  <si>
    <t>I don't eat well anymore</t>
  </si>
  <si>
    <t>mab9itch kannakol mezyan</t>
  </si>
  <si>
    <t>مابقيتش كانّاكول مزيان</t>
  </si>
  <si>
    <t>I don't eat a lot anymore</t>
  </si>
  <si>
    <t>mab9itch kannakol bezzaf</t>
  </si>
  <si>
    <t>مابقيتش كانّاكول بزّاف</t>
  </si>
  <si>
    <t>where is my book?</t>
  </si>
  <si>
    <t>fin howwa ktabi?</t>
  </si>
  <si>
    <t>فين هووّا كتابي?</t>
  </si>
  <si>
    <t>the bookshop is closed</t>
  </si>
  <si>
    <t>lmektaba sadda</t>
  </si>
  <si>
    <t>لمكتابا سادّا</t>
  </si>
  <si>
    <t>the bookshop is open</t>
  </si>
  <si>
    <t>lmektaba 7alla</t>
  </si>
  <si>
    <t>لمكتابا حالّا</t>
  </si>
  <si>
    <t>8adchchi fchkel</t>
  </si>
  <si>
    <t>هادشّي فشكل</t>
  </si>
  <si>
    <t>my father died</t>
  </si>
  <si>
    <t>baba mat</t>
  </si>
  <si>
    <t>بابا مات</t>
  </si>
  <si>
    <t>my father is dead</t>
  </si>
  <si>
    <t>baba metweffa</t>
  </si>
  <si>
    <t>بابا متوفّا</t>
  </si>
  <si>
    <t>my father died when I was a child</t>
  </si>
  <si>
    <t>baba mat fach knt Sghir</t>
  </si>
  <si>
    <t>بابا مات فاش كنت صغير</t>
  </si>
  <si>
    <t>my brother's wedding</t>
  </si>
  <si>
    <t>3ers khoya</t>
  </si>
  <si>
    <t>عرس خويا</t>
  </si>
  <si>
    <t>he has an attractive personality</t>
  </si>
  <si>
    <t>3ndo chekhSiyya jddaba</t>
  </si>
  <si>
    <t>عندو شخصييّا جدّابا</t>
  </si>
  <si>
    <t>I wanted that you and him meet each other</t>
  </si>
  <si>
    <t>knt bghitk ttla9a m3a8</t>
  </si>
  <si>
    <t>كنت بغيتك التلاقا معاه</t>
  </si>
  <si>
    <t>the bed is comfortable</t>
  </si>
  <si>
    <t>nnamousiyya mori7a</t>
  </si>
  <si>
    <t>الناموسييّا موريحا</t>
  </si>
  <si>
    <t>the sofa is big</t>
  </si>
  <si>
    <t>lfotoy kbir</t>
  </si>
  <si>
    <t>لفوتوي كبير</t>
  </si>
  <si>
    <t>the chair is broken</t>
  </si>
  <si>
    <t>lkorsiy m8erres</t>
  </si>
  <si>
    <t>لكورسيي مهرّس</t>
  </si>
  <si>
    <t>the table is round</t>
  </si>
  <si>
    <t>tTebla mdewwra</t>
  </si>
  <si>
    <t>تطبلا مدوّرا</t>
  </si>
  <si>
    <t>the furniture is old</t>
  </si>
  <si>
    <t>lfrach 9dim</t>
  </si>
  <si>
    <t>لفراش قديم</t>
  </si>
  <si>
    <t>the wall is dirty</t>
  </si>
  <si>
    <t>l7iT mmossekh</t>
  </si>
  <si>
    <t>لحيط الموسّخ</t>
  </si>
  <si>
    <t>the lamp is yellow</t>
  </si>
  <si>
    <t>lbola Sefra</t>
  </si>
  <si>
    <t>لبولا صفرا</t>
  </si>
  <si>
    <t>his eyes are black</t>
  </si>
  <si>
    <t>3ini8 ke7lin</t>
  </si>
  <si>
    <t>عينيه كحلين</t>
  </si>
  <si>
    <t>I have dark circles under eyes</t>
  </si>
  <si>
    <t>3endi l8alat ssawda2</t>
  </si>
  <si>
    <t>عندي لحالات الساوداء</t>
  </si>
  <si>
    <t>my skin is sensitive</t>
  </si>
  <si>
    <t>jeldi 7essas</t>
  </si>
  <si>
    <t>جلدي حسّاس</t>
  </si>
  <si>
    <t>I always put on red lipstick</t>
  </si>
  <si>
    <t>kandir l3kar 7mar dima</t>
  </si>
  <si>
    <t>كاندير لعكار حمار ديما</t>
  </si>
  <si>
    <t>my hair is damaged</t>
  </si>
  <si>
    <t>che3ri mt9eSSef</t>
  </si>
  <si>
    <t>شعري متقصّف</t>
  </si>
  <si>
    <t>my teeth are white</t>
  </si>
  <si>
    <t>snani beyDin</t>
  </si>
  <si>
    <t>سناني بيضين</t>
  </si>
  <si>
    <t>my teeth are black</t>
  </si>
  <si>
    <t>snani ke7lin</t>
  </si>
  <si>
    <t>سناني كحلين</t>
  </si>
  <si>
    <t>he is always drunk</t>
  </si>
  <si>
    <t>8owwa dima sekran</t>
  </si>
  <si>
    <t>هووّا ديما سكران</t>
  </si>
  <si>
    <t>he goes to his work drunk</t>
  </si>
  <si>
    <t>kaymchi lelkhedma sekran</t>
  </si>
  <si>
    <t>كايمشي للخدما سكران</t>
  </si>
  <si>
    <t>I feel sorry for him</t>
  </si>
  <si>
    <t>kayb9a fiyya</t>
  </si>
  <si>
    <t>كايبقا فييّا</t>
  </si>
  <si>
    <t>I have many toys</t>
  </si>
  <si>
    <t>3endi bezzaf dial llo3ab</t>
  </si>
  <si>
    <t>عندي بزّاف ديال اللوعاب</t>
  </si>
  <si>
    <t>I don't have toys</t>
  </si>
  <si>
    <t>ma3ndich llo3ab</t>
  </si>
  <si>
    <t>ماعنديش اللوعاب</t>
  </si>
  <si>
    <t>I have two dolls</t>
  </si>
  <si>
    <t>3endi joj monikat</t>
  </si>
  <si>
    <t>عندي جوج مونيكات</t>
  </si>
  <si>
    <t>I cut onions</t>
  </si>
  <si>
    <t>kan9eTTe3 lbeSla</t>
  </si>
  <si>
    <t>كانقطّع لبصلا</t>
  </si>
  <si>
    <t>I'm boiling water</t>
  </si>
  <si>
    <t>kanghelli lma</t>
  </si>
  <si>
    <t>كانغلّي لما</t>
  </si>
  <si>
    <t>the oil is hot</t>
  </si>
  <si>
    <t>zzit skhoun</t>
  </si>
  <si>
    <t>الزيت سخون</t>
  </si>
  <si>
    <t>I don't have ice</t>
  </si>
  <si>
    <t>ma3ndich ttelj</t>
  </si>
  <si>
    <t>ماعنديش التلج</t>
  </si>
  <si>
    <t>l7ot me9li</t>
  </si>
  <si>
    <t>لحوت مقلي</t>
  </si>
  <si>
    <t>minced meat</t>
  </si>
  <si>
    <t>kefta dial ll7em</t>
  </si>
  <si>
    <t>كفتا ديال اللحم</t>
  </si>
  <si>
    <t>fried chicken</t>
  </si>
  <si>
    <t>ddjaj me9li</t>
  </si>
  <si>
    <t>الدجاج مقلي</t>
  </si>
  <si>
    <t>where did you hear this?</t>
  </si>
  <si>
    <t>fin sme3ti 8adchchi?</t>
  </si>
  <si>
    <t>فين سمعتي هادشّي?</t>
  </si>
  <si>
    <t>I don't see well anymore</t>
  </si>
  <si>
    <t>mab9itch kanchof mezyan</t>
  </si>
  <si>
    <t>مابقيتش كانشوف مزيان</t>
  </si>
  <si>
    <t>I can't see</t>
  </si>
  <si>
    <t>ma9adrch nchof</t>
  </si>
  <si>
    <t>ماقادرش نشوف</t>
  </si>
  <si>
    <t>my mother is cooking</t>
  </si>
  <si>
    <t>mama kaTTeyyeb</t>
  </si>
  <si>
    <t>ماما كاطّيّب</t>
  </si>
  <si>
    <t>I've received my salary</t>
  </si>
  <si>
    <t>daz liyya SSalir</t>
  </si>
  <si>
    <t>داز لييّا الصالير</t>
  </si>
  <si>
    <t>they deducted an amount from my salary</t>
  </si>
  <si>
    <t>9et3o liyya mn SSalir</t>
  </si>
  <si>
    <t>قتعو لييّا من الصالير</t>
  </si>
  <si>
    <t>the salary isn't complete</t>
  </si>
  <si>
    <t>sSalir na9eS</t>
  </si>
  <si>
    <t>سصالير ناقص</t>
  </si>
  <si>
    <t>the salary isn't enough</t>
  </si>
  <si>
    <t>sSalir makafich</t>
  </si>
  <si>
    <t>سصالير ماكافيش</t>
  </si>
  <si>
    <t>how much is your salary?</t>
  </si>
  <si>
    <t>ch7al katchedd f SSalir?</t>
  </si>
  <si>
    <t>شحال كاتشدّ ف الصالير?</t>
  </si>
  <si>
    <t>what did you do with your salary?</t>
  </si>
  <si>
    <t>chno derti b SSalir dyalk?</t>
  </si>
  <si>
    <t>شنو درتي ب الصالير ديالك?</t>
  </si>
  <si>
    <t>where did you spend your salary?</t>
  </si>
  <si>
    <t>fin khserti SSalir dyalk?</t>
  </si>
  <si>
    <t>فين خسرتي الصالير ديالك?</t>
  </si>
  <si>
    <t>I work full time</t>
  </si>
  <si>
    <t>kankhdem nn8ar kaml</t>
  </si>
  <si>
    <t>كانخدم النهار كامل</t>
  </si>
  <si>
    <t>I finish my work early</t>
  </si>
  <si>
    <t>kansali lkhedma bkri</t>
  </si>
  <si>
    <t>كانسالي لخدما بكري</t>
  </si>
  <si>
    <t>I finish my work late</t>
  </si>
  <si>
    <t>kansali lkhedma m3eTTel</t>
  </si>
  <si>
    <t>كانسالي لخدما معطّل</t>
  </si>
  <si>
    <t>I met him yesterday</t>
  </si>
  <si>
    <t>tla9ito lbare7</t>
  </si>
  <si>
    <t>تلاقيتو لبارح</t>
  </si>
  <si>
    <t>I'll meet him tomorrow</t>
  </si>
  <si>
    <t>ghantla9a8 ghdda</t>
  </si>
  <si>
    <t>غانتلاقاه غدّا</t>
  </si>
  <si>
    <t>I met him today</t>
  </si>
  <si>
    <t>tla9ito lyoum</t>
  </si>
  <si>
    <t>تلاقيتو ليوم</t>
  </si>
  <si>
    <t>I didn't meet him</t>
  </si>
  <si>
    <t>matla9itch m3a8</t>
  </si>
  <si>
    <t>ماتلاقيتش معاه</t>
  </si>
  <si>
    <t>he asked me to meet him</t>
  </si>
  <si>
    <t>galiyya ntla9a m3a8</t>
  </si>
  <si>
    <t>ڭالييّا نتلاقا معاه</t>
  </si>
  <si>
    <t>he wants me to go with him</t>
  </si>
  <si>
    <t>bghani nmchi m3a8</t>
  </si>
  <si>
    <t>بغاني نمشي معاه</t>
  </si>
  <si>
    <t>he told me to call him</t>
  </si>
  <si>
    <t>galiyya nTTaSel bi8</t>
  </si>
  <si>
    <t>ڭالييّا نطّاصل بيه</t>
  </si>
  <si>
    <t>he told me to visit him</t>
  </si>
  <si>
    <t>galiyya ndoz 3ndo</t>
  </si>
  <si>
    <t>ڭالييّا ندوز عندو</t>
  </si>
  <si>
    <t>his head is big</t>
  </si>
  <si>
    <t>raso kbir</t>
  </si>
  <si>
    <t>راسو كبير</t>
  </si>
  <si>
    <t>his head is small</t>
  </si>
  <si>
    <t>raso Sghir</t>
  </si>
  <si>
    <t>راسو صغير</t>
  </si>
  <si>
    <t>his feet are big</t>
  </si>
  <si>
    <t>rjli8 kbar</t>
  </si>
  <si>
    <t>رجليه كبار</t>
  </si>
  <si>
    <t>his feet are small</t>
  </si>
  <si>
    <t>rjli8 Sghar</t>
  </si>
  <si>
    <t>رجليه صغار</t>
  </si>
  <si>
    <t>he can't walk</t>
  </si>
  <si>
    <t>makay9derch ytmcha</t>
  </si>
  <si>
    <t>ماكايقدرش يتمشا</t>
  </si>
  <si>
    <t>he brought me a gift</t>
  </si>
  <si>
    <t>jab liyya kado</t>
  </si>
  <si>
    <t>جاب لييّا كادو</t>
  </si>
  <si>
    <t>I liked the gift</t>
  </si>
  <si>
    <t>3jebni lkado</t>
  </si>
  <si>
    <t>عجبني لكادو</t>
  </si>
  <si>
    <t>the gift is beautiful</t>
  </si>
  <si>
    <t>lkado zwin</t>
  </si>
  <si>
    <t>لكادو زوين</t>
  </si>
  <si>
    <t>he prepared a surprise for me</t>
  </si>
  <si>
    <t>dar liyya mofaja2a</t>
  </si>
  <si>
    <t>دار لييّا موفاجاأ</t>
  </si>
  <si>
    <t>I didn't like the surprise</t>
  </si>
  <si>
    <t>ma3jbatnich lmofaja2a</t>
  </si>
  <si>
    <t>ماعجباتنيش لموفاجاأ</t>
  </si>
  <si>
    <t>I was born on this same day</t>
  </si>
  <si>
    <t>b7al 8ad lyoum twledt</t>
  </si>
  <si>
    <t>بحال هاد ليوم تولدت</t>
  </si>
  <si>
    <t>you scared me</t>
  </si>
  <si>
    <t>khle3tini</t>
  </si>
  <si>
    <t>خلعتيني</t>
  </si>
  <si>
    <t>you made me cry</t>
  </si>
  <si>
    <t>bkkitini</t>
  </si>
  <si>
    <t>بكّيتيني</t>
  </si>
  <si>
    <t>why did you scare me?</t>
  </si>
  <si>
    <t>3lach khle3tini?</t>
  </si>
  <si>
    <t>علاش خلعتيني?</t>
  </si>
  <si>
    <t>why did you feel scared?</t>
  </si>
  <si>
    <t>3lach tkhle3ti?</t>
  </si>
  <si>
    <t>علاش تخلعتي?</t>
  </si>
  <si>
    <t>I like this song</t>
  </si>
  <si>
    <t>kat3jebni 8ad l2oghniya</t>
  </si>
  <si>
    <t>كاتعجبني هاد لأغنييا</t>
  </si>
  <si>
    <t>I don't like this song</t>
  </si>
  <si>
    <t>makat3jbnich 8ad l2oghniya</t>
  </si>
  <si>
    <t>ماكاتعجبنيش هاد لأغنييا</t>
  </si>
  <si>
    <t>this song is sad</t>
  </si>
  <si>
    <t>8ad l2oghniya 7azina</t>
  </si>
  <si>
    <t>هاد لأغنييا حازينا</t>
  </si>
  <si>
    <t>I'm crazy</t>
  </si>
  <si>
    <t>ana 7me9</t>
  </si>
  <si>
    <t>أنا حمق</t>
  </si>
  <si>
    <t>I'm free now</t>
  </si>
  <si>
    <t>ana msali daba</t>
  </si>
  <si>
    <t>أنا مسالي دابا</t>
  </si>
  <si>
    <t>I'm free</t>
  </si>
  <si>
    <t>ana 7orr</t>
  </si>
  <si>
    <t>أنا حورّ</t>
  </si>
  <si>
    <t>I do what I want</t>
  </si>
  <si>
    <t>ndir lli bghit</t>
  </si>
  <si>
    <t>ندير اللي بغيت</t>
  </si>
  <si>
    <t>it's my life</t>
  </si>
  <si>
    <t>7yati 8adi</t>
  </si>
  <si>
    <t>حياتي هادي</t>
  </si>
  <si>
    <t>it's without any sense</t>
  </si>
  <si>
    <t>ma3ndo me3na</t>
  </si>
  <si>
    <t>ماعندو معنا</t>
  </si>
  <si>
    <t>my life is without any sense</t>
  </si>
  <si>
    <t>7yati ma3nd8a me3na</t>
  </si>
  <si>
    <t>حياتي ماعندها معنا</t>
  </si>
  <si>
    <t>my life is boring</t>
  </si>
  <si>
    <t>7yati momilla</t>
  </si>
  <si>
    <t>حياتي موميلّا</t>
  </si>
  <si>
    <t>I live my life</t>
  </si>
  <si>
    <t>kan3ich 7yati</t>
  </si>
  <si>
    <t>كانعيش حياتي</t>
  </si>
  <si>
    <t>I'm an extrovert person</t>
  </si>
  <si>
    <t>ana chakhS ijtima3i</t>
  </si>
  <si>
    <t>أنا شاخص إجتيماعي</t>
  </si>
  <si>
    <t>I'm an introvert person</t>
  </si>
  <si>
    <t>ana chakhS inTiwa2i</t>
  </si>
  <si>
    <t>أنا شاخص إنطيواإ</t>
  </si>
  <si>
    <t>my son will visit me</t>
  </si>
  <si>
    <t>ghayji 3ndi weldi</t>
  </si>
  <si>
    <t>غايجي عندي ولدي</t>
  </si>
  <si>
    <t>my son didn't visit me</t>
  </si>
  <si>
    <t>weldi majach 3ndi</t>
  </si>
  <si>
    <t>ولدي ماجاش عندي</t>
  </si>
  <si>
    <t>dates with milk</t>
  </si>
  <si>
    <t>ttmer bl7lib</t>
  </si>
  <si>
    <t>التمر بلحليب</t>
  </si>
  <si>
    <t>get away from him</t>
  </si>
  <si>
    <t>khlli8 3lik ftti9ar</t>
  </si>
  <si>
    <t>خلّيه عليك فتّيقار</t>
  </si>
  <si>
    <t>I'm cleaning the ground</t>
  </si>
  <si>
    <t>kanseyye9 ddar</t>
  </si>
  <si>
    <t>كانسيّق الدار</t>
  </si>
  <si>
    <t>the weather is humid</t>
  </si>
  <si>
    <t>kayna rroToba</t>
  </si>
  <si>
    <t>كاينا الروطوبا</t>
  </si>
  <si>
    <t>I want to go to the desert</t>
  </si>
  <si>
    <t>bghit nmchi lSSe7ra</t>
  </si>
  <si>
    <t>بغيت نمشي لصّحرا</t>
  </si>
  <si>
    <t>the sea is big</t>
  </si>
  <si>
    <t>lb7er kbir</t>
  </si>
  <si>
    <t>لبحر كبير</t>
  </si>
  <si>
    <t>why do you always go to the beach</t>
  </si>
  <si>
    <t>3lach katmchi lb7er dima</t>
  </si>
  <si>
    <t>علاش كاتمشي لبحر ديما</t>
  </si>
  <si>
    <t>do you like the beach</t>
  </si>
  <si>
    <t>wach kay3jbek lb7er?</t>
  </si>
  <si>
    <t>واش كايعجبك لبحر?</t>
  </si>
  <si>
    <t>I prefer the beach</t>
  </si>
  <si>
    <t>kanfeDDel lb7er</t>
  </si>
  <si>
    <t>كانفضّل لبحر</t>
  </si>
  <si>
    <t>the sea is dangerous</t>
  </si>
  <si>
    <t>lb7er khaTir</t>
  </si>
  <si>
    <t>لبحر خاطير</t>
  </si>
  <si>
    <t>be careful in the beach</t>
  </si>
  <si>
    <t>red balek flb7er</t>
  </si>
  <si>
    <t>رد بالك فلبحر</t>
  </si>
  <si>
    <t>self reliance is great</t>
  </si>
  <si>
    <t>l2isti9laliya mezyana</t>
  </si>
  <si>
    <t>لإستيقلالييا مزيانا</t>
  </si>
  <si>
    <t>I left a comment for him</t>
  </si>
  <si>
    <t>khllit li8 komonTir</t>
  </si>
  <si>
    <t>خلّيت ليه كومونطير</t>
  </si>
  <si>
    <t>I've never studied IT</t>
  </si>
  <si>
    <t>ma3mmerni 9rit lanformatik</t>
  </si>
  <si>
    <t>ماعمّرني قريت لانفورماتيك</t>
  </si>
  <si>
    <t>I study English</t>
  </si>
  <si>
    <t>kan9ra longli</t>
  </si>
  <si>
    <t>كانقرا لونڭلي</t>
  </si>
  <si>
    <t>I will do like what he did</t>
  </si>
  <si>
    <t>7tta ana ghandir b7alo</t>
  </si>
  <si>
    <t>حتّا أنا غاندير بحالو</t>
  </si>
  <si>
    <t>he is unknown</t>
  </si>
  <si>
    <t>howwa mame3roufch</t>
  </si>
  <si>
    <t>هووّا مامعروفش</t>
  </si>
  <si>
    <t>he is known</t>
  </si>
  <si>
    <t>howwa me3rouf</t>
  </si>
  <si>
    <t>هووّا معروف</t>
  </si>
  <si>
    <t>he is famous</t>
  </si>
  <si>
    <t>howwa mech8our</t>
  </si>
  <si>
    <t>هووّا مشهور</t>
  </si>
  <si>
    <t>I'm in the office</t>
  </si>
  <si>
    <t>ana flbiro</t>
  </si>
  <si>
    <t>أنا فلبيرو</t>
  </si>
  <si>
    <t>from where do I get money?</t>
  </si>
  <si>
    <t>mnin ghanjib lflous?</t>
  </si>
  <si>
    <t>منين غانجيب لفلوس?</t>
  </si>
  <si>
    <t>he didn't want to loan me money</t>
  </si>
  <si>
    <t>mabghach ysllefni</t>
  </si>
  <si>
    <t>مابغاش يسلّفني</t>
  </si>
  <si>
    <t>knock the door</t>
  </si>
  <si>
    <t>de99 flbab</t>
  </si>
  <si>
    <t>دقّ فلباب</t>
  </si>
  <si>
    <t>he was knocking the door</t>
  </si>
  <si>
    <t>kan kayde99 flbab</t>
  </si>
  <si>
    <t>كان كايدقّ فلباب</t>
  </si>
  <si>
    <t>I have a lot of money</t>
  </si>
  <si>
    <t>3ndi bzzaf dyal lflous</t>
  </si>
  <si>
    <t>عندي بزّاف ديال لفلوس</t>
  </si>
  <si>
    <t>we're the same</t>
  </si>
  <si>
    <t>f7ali f7alk</t>
  </si>
  <si>
    <t>فحالي فحالك</t>
  </si>
  <si>
    <t>he gave me a paper</t>
  </si>
  <si>
    <t>3Tani wa7ed lwer9a</t>
  </si>
  <si>
    <t>عطاني واحد لورقا</t>
  </si>
  <si>
    <t>how to start?</t>
  </si>
  <si>
    <t>kifach nbda?</t>
  </si>
  <si>
    <t>كيفاش نبدا?</t>
  </si>
  <si>
    <t>I feel bored</t>
  </si>
  <si>
    <t>jani lmalal</t>
  </si>
  <si>
    <t>جاني لمالال</t>
  </si>
  <si>
    <t>do you feel bored</t>
  </si>
  <si>
    <t>wach jak lmalal?</t>
  </si>
  <si>
    <t>واش جاك لمالال?</t>
  </si>
  <si>
    <t>this is an adventure</t>
  </si>
  <si>
    <t>8adi moghamara</t>
  </si>
  <si>
    <t>هادي موغامارا</t>
  </si>
  <si>
    <t>I like adventures</t>
  </si>
  <si>
    <t>kay3jboni lmoghamarat</t>
  </si>
  <si>
    <t>كايعجبوني لموغامارات</t>
  </si>
  <si>
    <t>don't be a cowardly person</t>
  </si>
  <si>
    <t>matkonch khwwaf</t>
  </si>
  <si>
    <t>ماتكونش خوّاف</t>
  </si>
  <si>
    <t>I like to take challenges</t>
  </si>
  <si>
    <t>3ziz 3liyya tta7addiyat</t>
  </si>
  <si>
    <t>عزيز علييّا التاحادّييات</t>
  </si>
  <si>
    <t>you are a hypocrite</t>
  </si>
  <si>
    <t>nta monafi9</t>
  </si>
  <si>
    <t>نتا مونافيق</t>
  </si>
  <si>
    <t>why are you a hypocrite?</t>
  </si>
  <si>
    <t>3lach nta monafi9?</t>
  </si>
  <si>
    <t>علاش نتا مونافيق?</t>
  </si>
  <si>
    <t>shame on you</t>
  </si>
  <si>
    <t>3ib 3lik</t>
  </si>
  <si>
    <t>عيب عليك</t>
  </si>
  <si>
    <t>spend the day with me</t>
  </si>
  <si>
    <t>dewwz m3aya n8ari</t>
  </si>
  <si>
    <t>دوّز معايا نهاري</t>
  </si>
  <si>
    <t>I like sleeping too much</t>
  </si>
  <si>
    <t>3ziz 3liyya nn3es bzzaf</t>
  </si>
  <si>
    <t>عزيز علييّا النعس بزّاف</t>
  </si>
  <si>
    <t>I get full quickly</t>
  </si>
  <si>
    <t>kanchbe3 deghya</t>
  </si>
  <si>
    <t>كانشبع دغيا</t>
  </si>
  <si>
    <t>I eat spinach</t>
  </si>
  <si>
    <t>kannakol ssabanikh</t>
  </si>
  <si>
    <t>كانّاكول السابانيخ</t>
  </si>
  <si>
    <t>I do it everyday</t>
  </si>
  <si>
    <t>kandiro kolla n8ar</t>
  </si>
  <si>
    <t>كانديرو كولّا نهار</t>
  </si>
  <si>
    <t>it's not my objective</t>
  </si>
  <si>
    <t>machi l8adaf dyali</t>
  </si>
  <si>
    <t>ماشي لهاداف ديالي</t>
  </si>
  <si>
    <t>as you can see</t>
  </si>
  <si>
    <t>kifma katchof</t>
  </si>
  <si>
    <t>كيفما كاتشوف</t>
  </si>
  <si>
    <t>the only thing I did</t>
  </si>
  <si>
    <t>l7aja lwa7ida li dert</t>
  </si>
  <si>
    <t>لحاجا لواحيدا لي درت</t>
  </si>
  <si>
    <t>do it always</t>
  </si>
  <si>
    <t>b9a tdiro dima</t>
  </si>
  <si>
    <t>بقا تديرو ديما</t>
  </si>
  <si>
    <t>first thing</t>
  </si>
  <si>
    <t>awwel 7aja</t>
  </si>
  <si>
    <t>أوّل حاجا</t>
  </si>
  <si>
    <t>I always use it</t>
  </si>
  <si>
    <t>kansta3melo dima</t>
  </si>
  <si>
    <t>كانستاعملو ديما</t>
  </si>
  <si>
    <t>I don't use this</t>
  </si>
  <si>
    <t>makansta3melch 8adchchi</t>
  </si>
  <si>
    <t>ماكانستاعملش هادشّي</t>
  </si>
  <si>
    <t>follow these steps</t>
  </si>
  <si>
    <t>tebbe3 8ad lmara7il</t>
  </si>
  <si>
    <t>تبّع هاد لماراحيل</t>
  </si>
  <si>
    <t>clean this</t>
  </si>
  <si>
    <t>mse7 8adchchi</t>
  </si>
  <si>
    <t>مسح هادشّي</t>
  </si>
  <si>
    <t>I dry my hair</t>
  </si>
  <si>
    <t>kannchchef che3ri</t>
  </si>
  <si>
    <t>كانّشّف شعري</t>
  </si>
  <si>
    <t>I will share with you</t>
  </si>
  <si>
    <t>ghancharek m3ak</t>
  </si>
  <si>
    <t>غانشارك معاك</t>
  </si>
  <si>
    <t>face cleanser</t>
  </si>
  <si>
    <t>ghasoul dyal lwje8</t>
  </si>
  <si>
    <t>غاسول ديال لوجه</t>
  </si>
  <si>
    <t>I will take you with me</t>
  </si>
  <si>
    <t>ghanddik m3aya</t>
  </si>
  <si>
    <t>غاندّيك معايا</t>
  </si>
  <si>
    <t>I try</t>
  </si>
  <si>
    <t>kan7awel</t>
  </si>
  <si>
    <t>كانحاول</t>
  </si>
  <si>
    <t>at the same time</t>
  </si>
  <si>
    <t>fnafs lwe9t</t>
  </si>
  <si>
    <t>فنافس لوقت</t>
  </si>
  <si>
    <t>first thing I do</t>
  </si>
  <si>
    <t>awwel 7aja kandir</t>
  </si>
  <si>
    <t>أوّل حاجا كاندير</t>
  </si>
  <si>
    <t>I will add</t>
  </si>
  <si>
    <t>ghanzid</t>
  </si>
  <si>
    <t>غانزيد</t>
  </si>
  <si>
    <t>I mix well</t>
  </si>
  <si>
    <t>kankhelleT mezyan</t>
  </si>
  <si>
    <t>كانخلّط مزيان</t>
  </si>
  <si>
    <t>the most important thing</t>
  </si>
  <si>
    <t>a8amm 7aja</t>
  </si>
  <si>
    <t>أهامّ حاجا</t>
  </si>
  <si>
    <t>this is the method</t>
  </si>
  <si>
    <t>8adi hiyya TTari9a</t>
  </si>
  <si>
    <t>هادي هييّا الطاريقا</t>
  </si>
  <si>
    <t>the taste is good</t>
  </si>
  <si>
    <t>lmada9 zwin</t>
  </si>
  <si>
    <t>لماداق زوين</t>
  </si>
  <si>
    <t>put that down</t>
  </si>
  <si>
    <t>7eTT dakchi llarD</t>
  </si>
  <si>
    <t>حطّ داكشي اللارض</t>
  </si>
  <si>
    <t>I hope you liked it</t>
  </si>
  <si>
    <t>kantmnna ykon 3jbek</t>
  </si>
  <si>
    <t>كانتمنّا يكون عجبك</t>
  </si>
  <si>
    <t>I'm getting dressed</t>
  </si>
  <si>
    <t>knlbes 7wayji</t>
  </si>
  <si>
    <t>كنلبس حوايجي</t>
  </si>
  <si>
    <t>I had my nails done</t>
  </si>
  <si>
    <t>dert lvirni</t>
  </si>
  <si>
    <t>درت لڤيرني</t>
  </si>
  <si>
    <t>I just went out</t>
  </si>
  <si>
    <t>khrejt daba</t>
  </si>
  <si>
    <t>خرجت دابا</t>
  </si>
  <si>
    <t>I hope you are well</t>
  </si>
  <si>
    <t>kantmnna tkon bikhir</t>
  </si>
  <si>
    <t>كانتمنّا تكون بيخير</t>
  </si>
  <si>
    <t>I didn't expect</t>
  </si>
  <si>
    <t>makntch mtwe99e3</t>
  </si>
  <si>
    <t>ماكنتش متوقّع</t>
  </si>
  <si>
    <t>I'm still asleep</t>
  </si>
  <si>
    <t>ba9i fiyya nn3as</t>
  </si>
  <si>
    <t>باقي فييّا النعاس</t>
  </si>
  <si>
    <t>I'll take pictures</t>
  </si>
  <si>
    <t>ghanttSewwer</t>
  </si>
  <si>
    <t>غانتّصوّر</t>
  </si>
  <si>
    <t>I'm back</t>
  </si>
  <si>
    <t>ana rje3t</t>
  </si>
  <si>
    <t>أنا رجعت</t>
  </si>
  <si>
    <t>I'm going</t>
  </si>
  <si>
    <t>ana mchit</t>
  </si>
  <si>
    <t>أنا مشيت</t>
  </si>
  <si>
    <t>mn be3d</t>
  </si>
  <si>
    <t>every two hours</t>
  </si>
  <si>
    <t>kol sa3tayn</t>
  </si>
  <si>
    <t>كول ساعتاين</t>
  </si>
  <si>
    <t>my order has arrived</t>
  </si>
  <si>
    <t>weSlatni lkomond</t>
  </si>
  <si>
    <t>وصلاتني لكوموند</t>
  </si>
  <si>
    <t>I just had my lunch</t>
  </si>
  <si>
    <t>yallah tgheddit</t>
  </si>
  <si>
    <t>يالّاه تغدّيت</t>
  </si>
  <si>
    <t>as you know</t>
  </si>
  <si>
    <t>kifma kat3ref</t>
  </si>
  <si>
    <t>كيفما كاتعرف</t>
  </si>
  <si>
    <t>I'm invited to dinner</t>
  </si>
  <si>
    <t>me3roud lel3cha</t>
  </si>
  <si>
    <t>معرود للعشا</t>
  </si>
  <si>
    <t>I have an oily skin</t>
  </si>
  <si>
    <t>3ndi lbechra do8niya</t>
  </si>
  <si>
    <t>عندي لبشرا دوهنييا</t>
  </si>
  <si>
    <t>I have a dry skin</t>
  </si>
  <si>
    <t>3ndi lbechra jaffa</t>
  </si>
  <si>
    <t>عندي لبشرا جافّا</t>
  </si>
  <si>
    <t>I have a mixed skin</t>
  </si>
  <si>
    <t>3ndi lbechra mokhtaliTa</t>
  </si>
  <si>
    <t>عندي لبشرا موختاليطا</t>
  </si>
  <si>
    <t>long ago</t>
  </si>
  <si>
    <t>ch7al 8adi</t>
  </si>
  <si>
    <t>شحال هادي</t>
  </si>
  <si>
    <t>the price is convenient</t>
  </si>
  <si>
    <t>8ad ttaman monasib</t>
  </si>
  <si>
    <t>هاد التامان موناسيب</t>
  </si>
  <si>
    <t>I tried it</t>
  </si>
  <si>
    <t>jrrebto</t>
  </si>
  <si>
    <t>جرّبتو</t>
  </si>
  <si>
    <t>it takes time</t>
  </si>
  <si>
    <t>kayyakhod lwe9t</t>
  </si>
  <si>
    <t>كايّاخود لوقت</t>
  </si>
  <si>
    <t>ma3ndich lwe9t</t>
  </si>
  <si>
    <t>you must come</t>
  </si>
  <si>
    <t>darori tji</t>
  </si>
  <si>
    <t>داروري تجي</t>
  </si>
  <si>
    <t>I will open the door</t>
  </si>
  <si>
    <t>ghan7ell lbab</t>
  </si>
  <si>
    <t>غانحلّ لباب</t>
  </si>
  <si>
    <t>the window is closed</t>
  </si>
  <si>
    <t>chcherjem mesdoud</t>
  </si>
  <si>
    <t>الشرجم مسدود</t>
  </si>
  <si>
    <t>I'm not used to</t>
  </si>
  <si>
    <t>mamwellefch</t>
  </si>
  <si>
    <t>مامولّفش</t>
  </si>
  <si>
    <t>without comment</t>
  </si>
  <si>
    <t>bidoun ta3li9</t>
  </si>
  <si>
    <t>بيدون تاعليق</t>
  </si>
  <si>
    <t>never say this</t>
  </si>
  <si>
    <t>3emmrek tgol 8adchi</t>
  </si>
  <si>
    <t>عمّرك تڭول هادشي</t>
  </si>
  <si>
    <t>I will change my clothes</t>
  </si>
  <si>
    <t>ghanbeddel 7wayji</t>
  </si>
  <si>
    <t>غانبدّل حوايجي</t>
  </si>
  <si>
    <t>I want a juice</t>
  </si>
  <si>
    <t>bghit 3aSir</t>
  </si>
  <si>
    <t>بغيت عاصير</t>
  </si>
  <si>
    <t>orange juice</t>
  </si>
  <si>
    <t>3aSir dllimoun</t>
  </si>
  <si>
    <t>عاصير دلّيمون</t>
  </si>
  <si>
    <t>I will go to the forest</t>
  </si>
  <si>
    <t>ghanmchi lelghaba</t>
  </si>
  <si>
    <t>غانمشي للغابا</t>
  </si>
  <si>
    <t>I'm so tired</t>
  </si>
  <si>
    <t>3eyyit bezzaf</t>
  </si>
  <si>
    <t>عيّيت بزّاف</t>
  </si>
  <si>
    <t>I had a good time</t>
  </si>
  <si>
    <t>dwwezt we9t zwin</t>
  </si>
  <si>
    <t>دوّزت وقت زوين</t>
  </si>
  <si>
    <t>I really enjoyed</t>
  </si>
  <si>
    <t>ncheTT mezyan</t>
  </si>
  <si>
    <t>نشطّ مزيان</t>
  </si>
  <si>
    <t>it was really good</t>
  </si>
  <si>
    <t>dakchi daz wa3er</t>
  </si>
  <si>
    <t>داكشي داز واعر</t>
  </si>
  <si>
    <t>I'm clean</t>
  </si>
  <si>
    <t>ana n9i</t>
  </si>
  <si>
    <t>أنا نقي</t>
  </si>
  <si>
    <t>I'm watching a video</t>
  </si>
  <si>
    <t>kantferrej f wa7ed lvidio</t>
  </si>
  <si>
    <t>كانتفرّج ف واحد لڤيديو</t>
  </si>
  <si>
    <t>you still didn't go?</t>
  </si>
  <si>
    <t>wach ba9i mamchitich?</t>
  </si>
  <si>
    <t>واش باقي مامشيتيش?</t>
  </si>
  <si>
    <t>the first step</t>
  </si>
  <si>
    <t>lmar7ala llewla</t>
  </si>
  <si>
    <t>لمارحالا اللولا</t>
  </si>
  <si>
    <t>I sanitize</t>
  </si>
  <si>
    <t>kan3e99em</t>
  </si>
  <si>
    <t>كانعقّم</t>
  </si>
  <si>
    <t>I will take a shower</t>
  </si>
  <si>
    <t>ghandewwech</t>
  </si>
  <si>
    <t>غاندوّش</t>
  </si>
  <si>
    <t>wash your hands</t>
  </si>
  <si>
    <t>ghsel yddik</t>
  </si>
  <si>
    <t>غسل يدّيك</t>
  </si>
  <si>
    <t>this is a problem</t>
  </si>
  <si>
    <t>mochkil 8ada</t>
  </si>
  <si>
    <t>موشكيل هادا</t>
  </si>
  <si>
    <t>the best thing</t>
  </si>
  <si>
    <t>a7san 7aja</t>
  </si>
  <si>
    <t>أحسان حاجا</t>
  </si>
  <si>
    <t>follow me</t>
  </si>
  <si>
    <t>tbe3ni</t>
  </si>
  <si>
    <t>تبعني</t>
  </si>
  <si>
    <t>a normal thing</t>
  </si>
  <si>
    <t>7aja Tabi3iyya</t>
  </si>
  <si>
    <t>حاجا طابيعييّا</t>
  </si>
  <si>
    <t>I explained to you</t>
  </si>
  <si>
    <t>chre7t lik</t>
  </si>
  <si>
    <t>شرحت ليك</t>
  </si>
  <si>
    <t>can you explain to me?</t>
  </si>
  <si>
    <t>wach ymken tchre7 liyya?</t>
  </si>
  <si>
    <t>واش يمكن تشرح لييّا?</t>
  </si>
  <si>
    <t>the normal days</t>
  </si>
  <si>
    <t>l2ayyam l3adiyya</t>
  </si>
  <si>
    <t>لأيّام لعادييّا</t>
  </si>
  <si>
    <t>one hundred per cent</t>
  </si>
  <si>
    <t>mya flmya</t>
  </si>
  <si>
    <t>ميا فلميا</t>
  </si>
  <si>
    <t>I don't use this anymore</t>
  </si>
  <si>
    <t>mab9itch kansta3mlo</t>
  </si>
  <si>
    <t>مابقيتش كانستاعملو</t>
  </si>
  <si>
    <t>he dresses well</t>
  </si>
  <si>
    <t>kaylbes mezyan</t>
  </si>
  <si>
    <t>كايلبس مزيان</t>
  </si>
  <si>
    <t>I got this one</t>
  </si>
  <si>
    <t>khdit 8ada</t>
  </si>
  <si>
    <t>خديت هادا</t>
  </si>
  <si>
    <t>this is it</t>
  </si>
  <si>
    <t>8ada howwa</t>
  </si>
  <si>
    <t>هادا هووّا</t>
  </si>
  <si>
    <t>this is natural</t>
  </si>
  <si>
    <t>8ada Tabi3i</t>
  </si>
  <si>
    <t>هادا طابيعي</t>
  </si>
  <si>
    <t>good scent</t>
  </si>
  <si>
    <t>ri7a zwina</t>
  </si>
  <si>
    <t>ريحا زوينا</t>
  </si>
  <si>
    <t>good perfume</t>
  </si>
  <si>
    <t>pparfan zwin</t>
  </si>
  <si>
    <t>الپارفان زوين</t>
  </si>
  <si>
    <t>my hands are soft</t>
  </si>
  <si>
    <t>yddi reTbin</t>
  </si>
  <si>
    <t>يدّي رطبين</t>
  </si>
  <si>
    <t>my hands are hydrated</t>
  </si>
  <si>
    <t>yddi mreTTbin</t>
  </si>
  <si>
    <t>يدّي مرطّبين</t>
  </si>
  <si>
    <t>my hands are dried</t>
  </si>
  <si>
    <t>yddi jaFFin</t>
  </si>
  <si>
    <t>يدّي جافّين</t>
  </si>
  <si>
    <t>this one as well</t>
  </si>
  <si>
    <t>7tta 8ada</t>
  </si>
  <si>
    <t>حتّا هادا</t>
  </si>
  <si>
    <t>I'll show it to you</t>
  </si>
  <si>
    <t>ghanwrri8 lik</t>
  </si>
  <si>
    <t>غانورّيه ليك</t>
  </si>
  <si>
    <t>I'm depressed</t>
  </si>
  <si>
    <t>ana mekta2b</t>
  </si>
  <si>
    <t>أنا مكتاءب</t>
  </si>
  <si>
    <t>I need money</t>
  </si>
  <si>
    <t>me7taj lflous</t>
  </si>
  <si>
    <t>محتاج لفلوس</t>
  </si>
  <si>
    <t>I will do my hair</t>
  </si>
  <si>
    <t>ghansawb che3ri</t>
  </si>
  <si>
    <t>غانساوب شعري</t>
  </si>
  <si>
    <t>I told you</t>
  </si>
  <si>
    <t>gelt8a lik</t>
  </si>
  <si>
    <t>ڭلتها ليك</t>
  </si>
  <si>
    <t>the first time I try</t>
  </si>
  <si>
    <t>awwel merra ghanjerreb</t>
  </si>
  <si>
    <t>أوّل مرّا غانجرّب</t>
  </si>
  <si>
    <t>the clothes are in the wardrobe</t>
  </si>
  <si>
    <t>l7wayj flmaryo</t>
  </si>
  <si>
    <t>لحوايج فلماريو</t>
  </si>
  <si>
    <t>khaSSni nmchi</t>
  </si>
  <si>
    <t>خاصّني نمشي</t>
  </si>
  <si>
    <t>I broke it</t>
  </si>
  <si>
    <t>8rresto</t>
  </si>
  <si>
    <t>هرّستو</t>
  </si>
  <si>
    <t>both of them</t>
  </si>
  <si>
    <t>bjouj bihom</t>
  </si>
  <si>
    <t>بجوج بيهوم</t>
  </si>
  <si>
    <t>I'm addicted to it</t>
  </si>
  <si>
    <t>ana mebli bi8</t>
  </si>
  <si>
    <t>أنا مبلي بيه</t>
  </si>
  <si>
    <t>you always ask me about it</t>
  </si>
  <si>
    <t>dima katswwelni 3li8</t>
  </si>
  <si>
    <t>ديما كاتسوّلني عليه</t>
  </si>
  <si>
    <t>I can't help you</t>
  </si>
  <si>
    <t>man9derch n3awnk</t>
  </si>
  <si>
    <t>مانقدرش نعاونك</t>
  </si>
  <si>
    <t>I can help you</t>
  </si>
  <si>
    <t>n9der n3awnk</t>
  </si>
  <si>
    <t>نقدر نعاونك</t>
  </si>
  <si>
    <t>I don't have many</t>
  </si>
  <si>
    <t>ma3ndich bezzaf</t>
  </si>
  <si>
    <t>ماعنديش بزّاف</t>
  </si>
  <si>
    <t>we need equality</t>
  </si>
  <si>
    <t>khaSSna lmosawat</t>
  </si>
  <si>
    <t>خاصّنا لموساوات</t>
  </si>
  <si>
    <t>we need justice</t>
  </si>
  <si>
    <t>khaSSna l3adl</t>
  </si>
  <si>
    <t>خاصّنا لعادل</t>
  </si>
  <si>
    <t>look how cute is this</t>
  </si>
  <si>
    <t>chof 8ada ch7al zwin</t>
  </si>
  <si>
    <t>شوف هادا شحال زوين</t>
  </si>
  <si>
    <t>from inside</t>
  </si>
  <si>
    <t>mn ldakhel</t>
  </si>
  <si>
    <t>من لداخل</t>
  </si>
  <si>
    <t>from outside</t>
  </si>
  <si>
    <t>mn berra</t>
  </si>
  <si>
    <t>من برّا</t>
  </si>
  <si>
    <t>it's oily</t>
  </si>
  <si>
    <t>mzeyyit</t>
  </si>
  <si>
    <t>مزيّيت</t>
  </si>
  <si>
    <t>we will talk when you come</t>
  </si>
  <si>
    <t>7tta tji wn8eDro</t>
  </si>
  <si>
    <t>حتّا تجي ونهضرو</t>
  </si>
  <si>
    <t>what are you doing?</t>
  </si>
  <si>
    <t>chno kaddir?</t>
  </si>
  <si>
    <t>شنو كادّير?</t>
  </si>
  <si>
    <t>how to use it?</t>
  </si>
  <si>
    <t>kifach kayttsta3ml?</t>
  </si>
  <si>
    <t>كيفاش كايتّستاعمل?</t>
  </si>
  <si>
    <t>9bel matmchi</t>
  </si>
  <si>
    <t>قبل ماتمشي</t>
  </si>
  <si>
    <t>before you come</t>
  </si>
  <si>
    <t>9bel matji</t>
  </si>
  <si>
    <t>قبل ماتجي</t>
  </si>
  <si>
    <t>before you start</t>
  </si>
  <si>
    <t>9bel matbda</t>
  </si>
  <si>
    <t>قبل ماتبدا</t>
  </si>
  <si>
    <t>once a day</t>
  </si>
  <si>
    <t>merra fnn8ar</t>
  </si>
  <si>
    <t>مرّا فنّهار</t>
  </si>
  <si>
    <t>once in a while</t>
  </si>
  <si>
    <t>merra fch7al</t>
  </si>
  <si>
    <t>مرّا فشحال</t>
  </si>
  <si>
    <t>why do you ask?</t>
  </si>
  <si>
    <t>3lach katswwel?</t>
  </si>
  <si>
    <t>علاش كاتسوّل?</t>
  </si>
  <si>
    <t>I applied a mask to my hair</t>
  </si>
  <si>
    <t>dert mask lche3ri</t>
  </si>
  <si>
    <t>درت ماسك لشعري</t>
  </si>
  <si>
    <t>I liked this shower gel</t>
  </si>
  <si>
    <t>3jebni 8ad lbandouch</t>
  </si>
  <si>
    <t>عجبني هاد لباندوش</t>
  </si>
  <si>
    <t>before you try it</t>
  </si>
  <si>
    <t>9bel matjerrebo</t>
  </si>
  <si>
    <t>قبل ماتجرّبو</t>
  </si>
  <si>
    <t>if I have time</t>
  </si>
  <si>
    <t>ila 3ndi lwe9t</t>
  </si>
  <si>
    <t>إلا عندي لوقت</t>
  </si>
  <si>
    <t>you will see the difference</t>
  </si>
  <si>
    <t>ghatla7D lfar9</t>
  </si>
  <si>
    <t>غاتلاحض لفارق</t>
  </si>
  <si>
    <t>he is almost done</t>
  </si>
  <si>
    <t>howwa 9rreb ysali</t>
  </si>
  <si>
    <t>هووّا قرّب يسالي</t>
  </si>
  <si>
    <t>I will move now to</t>
  </si>
  <si>
    <t>daba ghandoz l</t>
  </si>
  <si>
    <t>دابا غاندوز ل</t>
  </si>
  <si>
    <t>I saw the result</t>
  </si>
  <si>
    <t>cheft nnatija</t>
  </si>
  <si>
    <t>شفت الناتيجا</t>
  </si>
  <si>
    <t>I prefer</t>
  </si>
  <si>
    <t>kanfeddel</t>
  </si>
  <si>
    <t>كانفدّل</t>
  </si>
  <si>
    <t>because of you</t>
  </si>
  <si>
    <t>bsbabek</t>
  </si>
  <si>
    <t>بسبابك</t>
  </si>
  <si>
    <t>for you</t>
  </si>
  <si>
    <t>3la 9blek</t>
  </si>
  <si>
    <t>علا قبلك</t>
  </si>
  <si>
    <t>for your sake</t>
  </si>
  <si>
    <t>3la 9bel mesla7tek</t>
  </si>
  <si>
    <t>علا قبل مسلاحتك</t>
  </si>
  <si>
    <t>I haven't studied this</t>
  </si>
  <si>
    <t>ma9ritch 8adchchi</t>
  </si>
  <si>
    <t>ماقريتش هادشّي</t>
  </si>
  <si>
    <t>the last thing</t>
  </si>
  <si>
    <t>akhir 8aja</t>
  </si>
  <si>
    <t>أخير حاجة</t>
  </si>
  <si>
    <t>one thing that I didn't like</t>
  </si>
  <si>
    <t>wa7ed l7aja ma3jbatnich</t>
  </si>
  <si>
    <t>واحد لحاجا ماعجباتنيش</t>
  </si>
  <si>
    <t>did you know him?</t>
  </si>
  <si>
    <t>wach 3refti8?</t>
  </si>
  <si>
    <t>واش عرفتيه?</t>
  </si>
  <si>
    <t>did you remember him?</t>
  </si>
  <si>
    <t>wach 39elti 3li8?</t>
  </si>
  <si>
    <t>واش عقلتي عليه?</t>
  </si>
  <si>
    <t>I will not show you</t>
  </si>
  <si>
    <t>maghanwerrikch</t>
  </si>
  <si>
    <t>ماغانورّيكش</t>
  </si>
  <si>
    <t>how do you save money?</t>
  </si>
  <si>
    <t>kifach katjme3 lflous?</t>
  </si>
  <si>
    <t>كيفاش كاتجمع لفلوس?</t>
  </si>
  <si>
    <t>did you save any money?</t>
  </si>
  <si>
    <t>wach jme3ti chi flous?</t>
  </si>
  <si>
    <t>واش جمعتي شي فلوس?</t>
  </si>
  <si>
    <t>give me the recipe</t>
  </si>
  <si>
    <t>3Tini lweSfa</t>
  </si>
  <si>
    <t>عطيني لوصفا</t>
  </si>
  <si>
    <t>give me the method</t>
  </si>
  <si>
    <t>3Tini TTari9a</t>
  </si>
  <si>
    <t>عطيني الطاريقا</t>
  </si>
  <si>
    <t>what's the solution?</t>
  </si>
  <si>
    <t>chno 8owwa l7ell?</t>
  </si>
  <si>
    <t>شنو هووّا لحلّ?</t>
  </si>
  <si>
    <t>as I promised you</t>
  </si>
  <si>
    <t>kifma wa3dtek</t>
  </si>
  <si>
    <t>كيفما واعدتك</t>
  </si>
  <si>
    <t>he is very smart</t>
  </si>
  <si>
    <t>howwa dki bezzaf</t>
  </si>
  <si>
    <t>هووّا دكي بزّاف</t>
  </si>
  <si>
    <t>I didn't understand this lesson</t>
  </si>
  <si>
    <t>maf8emtch 8ad dders</t>
  </si>
  <si>
    <t>مافهمتش هاد الدرس</t>
  </si>
  <si>
    <t>we don't have this type</t>
  </si>
  <si>
    <t>makaynch 3ndna 8ad nnou3</t>
  </si>
  <si>
    <t>ماكاينش عندنا هاد النوع</t>
  </si>
  <si>
    <t>it costs one million</t>
  </si>
  <si>
    <t>dayr melyoun</t>
  </si>
  <si>
    <t>داير مليون</t>
  </si>
  <si>
    <t>if you go</t>
  </si>
  <si>
    <t>ila mchiti</t>
  </si>
  <si>
    <t>إلا مشيتي</t>
  </si>
  <si>
    <t>listen to me carefully</t>
  </si>
  <si>
    <t>sme3ni mezyan</t>
  </si>
  <si>
    <t>سمعني مزيان</t>
  </si>
  <si>
    <t>in all domains</t>
  </si>
  <si>
    <t>f ga3 lmajalat</t>
  </si>
  <si>
    <t>ف ڭاع لماجالات</t>
  </si>
  <si>
    <t>search for it</t>
  </si>
  <si>
    <t>9elleb 3li8</t>
  </si>
  <si>
    <t>قلّب عليه</t>
  </si>
  <si>
    <t>I will upload it</t>
  </si>
  <si>
    <t>ghantilicharji8</t>
  </si>
  <si>
    <t>غانتيليشارجيه</t>
  </si>
  <si>
    <t>that's another thing</t>
  </si>
  <si>
    <t>8adik 7aja khra</t>
  </si>
  <si>
    <t>هاديك حاجا خرا</t>
  </si>
  <si>
    <t>be smart</t>
  </si>
  <si>
    <t>kon dki</t>
  </si>
  <si>
    <t>كون دكي</t>
  </si>
  <si>
    <t>you will find it there</t>
  </si>
  <si>
    <t>ghatl9a8 tmmak</t>
  </si>
  <si>
    <t>غاتلقاه تمّاك</t>
  </si>
  <si>
    <t>take your time</t>
  </si>
  <si>
    <t>khod we9tek</t>
  </si>
  <si>
    <t>This is how</t>
  </si>
  <si>
    <t>8a kifach</t>
  </si>
  <si>
    <t>ها كيفاش</t>
  </si>
  <si>
    <t>you don't have to go</t>
  </si>
  <si>
    <t>mat7tajch tmchi</t>
  </si>
  <si>
    <t>ماتحتاجش تمشي</t>
  </si>
  <si>
    <t>you have to wait</t>
  </si>
  <si>
    <t>khassek tsenna</t>
  </si>
  <si>
    <t>خاسّك تسنّا</t>
  </si>
  <si>
    <t>I'm coming now</t>
  </si>
  <si>
    <t>ghanji daba</t>
  </si>
  <si>
    <t>غانجي دابا</t>
  </si>
  <si>
    <t>once you finish</t>
  </si>
  <si>
    <t>mli tkemmel</t>
  </si>
  <si>
    <t>ملي تكمّل</t>
  </si>
  <si>
    <t>he sent me a message</t>
  </si>
  <si>
    <t>sifT liyya miSSaj</t>
  </si>
  <si>
    <t>سيفط لييّا ميصّاج</t>
  </si>
  <si>
    <t>if you don't want</t>
  </si>
  <si>
    <t>ila mabghitich</t>
  </si>
  <si>
    <t>إلا مابغيتيش</t>
  </si>
  <si>
    <t>I don't want</t>
  </si>
  <si>
    <t>mabghitch</t>
  </si>
  <si>
    <t>مابغيتش</t>
  </si>
  <si>
    <t>I don't dye my hair</t>
  </si>
  <si>
    <t>makanSbeghch che3ri</t>
  </si>
  <si>
    <t>ماكانصبغش شعري</t>
  </si>
  <si>
    <t>I don't cook</t>
  </si>
  <si>
    <t>makanTeyyebch</t>
  </si>
  <si>
    <t>ماكانطيّبش</t>
  </si>
  <si>
    <t>I don't exercise</t>
  </si>
  <si>
    <t>makandirch sseppor</t>
  </si>
  <si>
    <t>ماكانديرش السپّور</t>
  </si>
  <si>
    <t>I don't drink alcohol</t>
  </si>
  <si>
    <t>makanchrebch chchrab</t>
  </si>
  <si>
    <t>ماكانشربش الشراب</t>
  </si>
  <si>
    <t>I always forget to drink water</t>
  </si>
  <si>
    <t>dima kannsa nchreb lma</t>
  </si>
  <si>
    <t>ديما كانّسا نشرب لما</t>
  </si>
  <si>
    <t>I decided to go</t>
  </si>
  <si>
    <t>9errert nmchi</t>
  </si>
  <si>
    <t>قرّرت نمشي</t>
  </si>
  <si>
    <t>beautiful feeling</t>
  </si>
  <si>
    <t>i7sas zwin</t>
  </si>
  <si>
    <t>إحساس زوين</t>
  </si>
  <si>
    <t>I've received the message</t>
  </si>
  <si>
    <t>wSelni lmissaj</t>
  </si>
  <si>
    <t>وصلني لميسّاج</t>
  </si>
  <si>
    <t>I live alone</t>
  </si>
  <si>
    <t>kansken bbo7di</t>
  </si>
  <si>
    <t>كانسكن البوحدي</t>
  </si>
  <si>
    <t>a long time</t>
  </si>
  <si>
    <t>modda Twila</t>
  </si>
  <si>
    <t>مودّا طويلا</t>
  </si>
  <si>
    <t>I will see how</t>
  </si>
  <si>
    <t>ghanchof kifach</t>
  </si>
  <si>
    <t>غانشوف كيفاش</t>
  </si>
  <si>
    <t>what did you find?</t>
  </si>
  <si>
    <t>chno l9iti?</t>
  </si>
  <si>
    <t>شنو لقيتي?</t>
  </si>
  <si>
    <t>I didn't find it</t>
  </si>
  <si>
    <t>mal9itoch</t>
  </si>
  <si>
    <t>مالقيتوش</t>
  </si>
  <si>
    <t>I didn't find anything</t>
  </si>
  <si>
    <t>mal9it walo</t>
  </si>
  <si>
    <t>مالقيت والو</t>
  </si>
  <si>
    <t>where is it?</t>
  </si>
  <si>
    <t>fin ja?</t>
  </si>
  <si>
    <t>فين جا?</t>
  </si>
  <si>
    <t>search again</t>
  </si>
  <si>
    <t>9elleb 3awd tani</t>
  </si>
  <si>
    <t>قلّب عاود تاني</t>
  </si>
  <si>
    <t>it's enough</t>
  </si>
  <si>
    <t>safi baraka</t>
  </si>
  <si>
    <t>سافي باراكا</t>
  </si>
  <si>
    <t>I don't know his name</t>
  </si>
  <si>
    <t>ma3reftch smito</t>
  </si>
  <si>
    <t>ماعرفتش سميتو</t>
  </si>
  <si>
    <t>his name is beautiful</t>
  </si>
  <si>
    <t>smito zwina</t>
  </si>
  <si>
    <t>سميتو زوينا</t>
  </si>
  <si>
    <t>I'm still sick</t>
  </si>
  <si>
    <t>ana ba9i mriD</t>
  </si>
  <si>
    <t>أنا باقي مريض</t>
  </si>
  <si>
    <t>are you still sick?</t>
  </si>
  <si>
    <t>wach ba9i mriD?</t>
  </si>
  <si>
    <t>واش باقي مريض?</t>
  </si>
  <si>
    <t>I have something to do</t>
  </si>
  <si>
    <t>3ndi man9Di</t>
  </si>
  <si>
    <t>عندي مانقضي</t>
  </si>
  <si>
    <t>what happened to you?</t>
  </si>
  <si>
    <t>chno w9e3 lik?</t>
  </si>
  <si>
    <t>شنو وقع ليك?</t>
  </si>
  <si>
    <t>many things</t>
  </si>
  <si>
    <t>bezzaf dyal l2omor</t>
  </si>
  <si>
    <t>بزّاف ديال لأمور</t>
  </si>
  <si>
    <t>it was heavy</t>
  </si>
  <si>
    <t>kan t9il</t>
  </si>
  <si>
    <t>كان تقيل</t>
  </si>
  <si>
    <t>it was light</t>
  </si>
  <si>
    <t>kan khfif</t>
  </si>
  <si>
    <t>كان خفيف</t>
  </si>
  <si>
    <t>even if I'm sick</t>
  </si>
  <si>
    <t>wakhkha nkon mriD</t>
  </si>
  <si>
    <t>واخّا نكون مريض</t>
  </si>
  <si>
    <t>I've started feeling tired</t>
  </si>
  <si>
    <t>bdit kan3ya</t>
  </si>
  <si>
    <t>بديت كانعيا</t>
  </si>
  <si>
    <t>maybe it's him</t>
  </si>
  <si>
    <t>wa9ila ra8 8owwa</t>
  </si>
  <si>
    <t>واقيلا راه هووّا</t>
  </si>
  <si>
    <t>it's not him</t>
  </si>
  <si>
    <t>machi 8owwa</t>
  </si>
  <si>
    <t>ماشي هووّا</t>
  </si>
  <si>
    <t>is it him?</t>
  </si>
  <si>
    <t>wach 8owwa?</t>
  </si>
  <si>
    <t>واش هووّا?</t>
  </si>
  <si>
    <t>I was walking</t>
  </si>
  <si>
    <t>knt kantmchcha</t>
  </si>
  <si>
    <t>كنت كانتمشّا</t>
  </si>
  <si>
    <t>it hurts a lot</t>
  </si>
  <si>
    <t>kayDerni bezzaf</t>
  </si>
  <si>
    <t>كايضرني بزّاف</t>
  </si>
  <si>
    <t>Guess</t>
  </si>
  <si>
    <t>9elle3</t>
  </si>
  <si>
    <t>قلّع</t>
  </si>
  <si>
    <t>I wake up tired</t>
  </si>
  <si>
    <t>kanfi9 3iyyan</t>
  </si>
  <si>
    <t>كانفيق عييّان</t>
  </si>
  <si>
    <t>he brought me everything</t>
  </si>
  <si>
    <t>jab liyya kolchi</t>
  </si>
  <si>
    <t>جاب لييّا كولشي</t>
  </si>
  <si>
    <t>the doctor prescribed medications for me</t>
  </si>
  <si>
    <t>khrrej liyya TTbib ddwa</t>
  </si>
  <si>
    <t>خرّج لييّا الطبيب الدوا</t>
  </si>
  <si>
    <t>this medicine is sweet</t>
  </si>
  <si>
    <t>8ad ddwa 7lo</t>
  </si>
  <si>
    <t>هاد الدوا حلو</t>
  </si>
  <si>
    <t>I want to eat lentilles</t>
  </si>
  <si>
    <t>bghit nnakol l3des</t>
  </si>
  <si>
    <t>بغيت الناكول لعدس</t>
  </si>
  <si>
    <t>wear your glasses</t>
  </si>
  <si>
    <t>dir nDaDrek</t>
  </si>
  <si>
    <t>دير نضاضرك</t>
  </si>
  <si>
    <t>the pan is hot</t>
  </si>
  <si>
    <t>lme9la skhouna</t>
  </si>
  <si>
    <t>لمقلا سخونا</t>
  </si>
  <si>
    <t>I write poems</t>
  </si>
  <si>
    <t>kankteb chchi3r</t>
  </si>
  <si>
    <t>كانكتب الشيعر</t>
  </si>
  <si>
    <t>I love reading poems</t>
  </si>
  <si>
    <t>kay3jebni ne9ra chchi3r</t>
  </si>
  <si>
    <t>كايعجبني نقرا الشيعر</t>
  </si>
  <si>
    <t>I'm going to get ready</t>
  </si>
  <si>
    <t>ghanwjjed rasi</t>
  </si>
  <si>
    <t>غانوجّد راسي</t>
  </si>
  <si>
    <t>I do a training</t>
  </si>
  <si>
    <t>kandir SSTaj</t>
  </si>
  <si>
    <t>كاندير الصطاج</t>
  </si>
  <si>
    <t>you are like me</t>
  </si>
  <si>
    <t>nta dayr b7ali</t>
  </si>
  <si>
    <t>نتا داير بحالي</t>
  </si>
  <si>
    <t>pour the water</t>
  </si>
  <si>
    <t>kebb lma</t>
  </si>
  <si>
    <t>كبّ لما</t>
  </si>
  <si>
    <t>the bottle is full</t>
  </si>
  <si>
    <t>l9er3a 3amra</t>
  </si>
  <si>
    <t>لقرعا عامرا</t>
  </si>
  <si>
    <t>the bottle is empty</t>
  </si>
  <si>
    <t>l9er3a khawya</t>
  </si>
  <si>
    <t>لقرعا خاويا</t>
  </si>
  <si>
    <t>it's not important</t>
  </si>
  <si>
    <t>machi Darori</t>
  </si>
  <si>
    <t>ماشي ضاروري</t>
  </si>
  <si>
    <t>which one should I choose?</t>
  </si>
  <si>
    <t>ina wa7d nekhtar?</t>
  </si>
  <si>
    <t>إنا واحد نختار?</t>
  </si>
  <si>
    <t>cut the tomatoes</t>
  </si>
  <si>
    <t>9eTTe3 maTicha</t>
  </si>
  <si>
    <t>قطّع ماطيشا</t>
  </si>
  <si>
    <t>you have to get rid of it</t>
  </si>
  <si>
    <t>khaSSek tfekk menno</t>
  </si>
  <si>
    <t>خاصّك تفكّ منّو</t>
  </si>
  <si>
    <t>no one is perfect</t>
  </si>
  <si>
    <t>7tta wa7ed makamel</t>
  </si>
  <si>
    <t>حتّا واحد ماكامل</t>
  </si>
  <si>
    <t>it's the first time I see you</t>
  </si>
  <si>
    <t>awwel merra nchofek</t>
  </si>
  <si>
    <t>أوّل مرّا نشوفك</t>
  </si>
  <si>
    <t>it's the first time I speak with you</t>
  </si>
  <si>
    <t>awwel merra n8Der m3ak</t>
  </si>
  <si>
    <t>أوّل مرّا نهضر معاك</t>
  </si>
  <si>
    <t>I want to change my life</t>
  </si>
  <si>
    <t>bghit nbeddel 7yati</t>
  </si>
  <si>
    <t>بغيت نبدّل حياتي</t>
  </si>
  <si>
    <t>he studies hard</t>
  </si>
  <si>
    <t>kay9ra mezyan</t>
  </si>
  <si>
    <t>كايقرا مزيان</t>
  </si>
  <si>
    <t>if you have it</t>
  </si>
  <si>
    <t>ila kan 3endk</t>
  </si>
  <si>
    <t>إلا كان عندك</t>
  </si>
  <si>
    <t>I don't eat onions</t>
  </si>
  <si>
    <t>makannakolch lbeSla</t>
  </si>
  <si>
    <t>ماكانّاكولش لبصلا</t>
  </si>
  <si>
    <t>I'm running out of time</t>
  </si>
  <si>
    <t>mab9ach 3ndi lwe9t</t>
  </si>
  <si>
    <t>مابقاش عندي لوقت</t>
  </si>
  <si>
    <t>when I was young</t>
  </si>
  <si>
    <t>mlli knt Sghir</t>
  </si>
  <si>
    <t>ملّي كنت صغير</t>
  </si>
  <si>
    <t>just a little bit</t>
  </si>
  <si>
    <t>ghir chwiyya</t>
  </si>
  <si>
    <t>غير شوييّا</t>
  </si>
  <si>
    <t>I will put it in water</t>
  </si>
  <si>
    <t>ghan7eTTo flma</t>
  </si>
  <si>
    <t>غانحطّو فلما</t>
  </si>
  <si>
    <t>I left the house</t>
  </si>
  <si>
    <t>khrejt mn ddar</t>
  </si>
  <si>
    <t>خرجت من الدار</t>
  </si>
  <si>
    <t>I will live alone</t>
  </si>
  <si>
    <t>ghansken bbo7di</t>
  </si>
  <si>
    <t>غانسكن البوحدي</t>
  </si>
  <si>
    <t>I will do a master degree</t>
  </si>
  <si>
    <t>ghandir master</t>
  </si>
  <si>
    <t>غاندير ماستر</t>
  </si>
  <si>
    <t>I forgot my suitcase</t>
  </si>
  <si>
    <t>nsit lbaliza</t>
  </si>
  <si>
    <t>نسيت لباليزا</t>
  </si>
  <si>
    <t>no space left</t>
  </si>
  <si>
    <t>mab9atch lblaSa</t>
  </si>
  <si>
    <t>مابقاتش لبلاصا</t>
  </si>
  <si>
    <t>open the fridge</t>
  </si>
  <si>
    <t>7ell ttellaja</t>
  </si>
  <si>
    <t>حلّ التلّاجا</t>
  </si>
  <si>
    <t>my friend will go with me</t>
  </si>
  <si>
    <t>ghaymchi m3aya sa7bi</t>
  </si>
  <si>
    <t>غايمشي معايا ساحبي</t>
  </si>
  <si>
    <t>I burned the lunch</t>
  </si>
  <si>
    <t>7re9t leghda</t>
  </si>
  <si>
    <t>حرقت لغدا</t>
  </si>
  <si>
    <t>I will start from now</t>
  </si>
  <si>
    <t>ghanbda mn daba</t>
  </si>
  <si>
    <t>غانبدا من دابا</t>
  </si>
  <si>
    <t>I still have a lot of work to do</t>
  </si>
  <si>
    <t>ba9i 3ndi lkhdma bezzaf</t>
  </si>
  <si>
    <t>باقي عندي لخدما بزّاف</t>
  </si>
  <si>
    <t>I love gold</t>
  </si>
  <si>
    <t>kay3jebni dd8eb</t>
  </si>
  <si>
    <t>كايعجبني الدهب</t>
  </si>
  <si>
    <t>gold is expensive</t>
  </si>
  <si>
    <t>dd8eb ghali</t>
  </si>
  <si>
    <t>الدهب غالي</t>
  </si>
  <si>
    <t>nothing is easy</t>
  </si>
  <si>
    <t>7tta 7aja masa8la</t>
  </si>
  <si>
    <t>حتّا حاجا ماساهلا</t>
  </si>
  <si>
    <t>I don't feel anything</t>
  </si>
  <si>
    <t>makan7ess bwalo</t>
  </si>
  <si>
    <t>ماكانحسّ بوالو</t>
  </si>
  <si>
    <t>fried eggs</t>
  </si>
  <si>
    <t>lbiD me9li</t>
  </si>
  <si>
    <t>لبيض مقلي</t>
  </si>
  <si>
    <t>I like salads</t>
  </si>
  <si>
    <t>3ziza 3liyya chlaDa</t>
  </si>
  <si>
    <t>عزيزا علييّا شلاضا</t>
  </si>
  <si>
    <t>you have to drink a lot of water</t>
  </si>
  <si>
    <t>khaSSek tchreb bzzaf dyal lma</t>
  </si>
  <si>
    <t>خاصّك تشرب بزّاف ديال لما</t>
  </si>
  <si>
    <t>I have to cook</t>
  </si>
  <si>
    <t>kheSSni nTayyib</t>
  </si>
  <si>
    <t>خصّني نطايّيب</t>
  </si>
  <si>
    <t>my husband is late</t>
  </si>
  <si>
    <t>rajli t3eTTel</t>
  </si>
  <si>
    <t>راجلي تعطّل</t>
  </si>
  <si>
    <t>my husband works hard</t>
  </si>
  <si>
    <t>rajli kaykhdem bezzaf</t>
  </si>
  <si>
    <t>راجلي كايخدم بزّاف</t>
  </si>
  <si>
    <t>ma3labalich</t>
  </si>
  <si>
    <t>ماعلاباليش</t>
  </si>
  <si>
    <t>my father is a teacher</t>
  </si>
  <si>
    <t>baba ostad</t>
  </si>
  <si>
    <t>بابا أُستاد</t>
  </si>
  <si>
    <t>my father is an accountant</t>
  </si>
  <si>
    <t>baba konTabli</t>
  </si>
  <si>
    <t>بابا كونطابلي</t>
  </si>
  <si>
    <t>I broke the chair</t>
  </si>
  <si>
    <t>8rrest lkorsiy</t>
  </si>
  <si>
    <t>هرّست لكورسيي</t>
  </si>
  <si>
    <t>I started from the beginning</t>
  </si>
  <si>
    <t>3awedt mn llewel</t>
  </si>
  <si>
    <t>عاودت من اللول</t>
  </si>
  <si>
    <t>clap your hands</t>
  </si>
  <si>
    <t>sffe9</t>
  </si>
  <si>
    <t>سفّق</t>
  </si>
  <si>
    <t>let's have a walk</t>
  </si>
  <si>
    <t>yallah njibo dora</t>
  </si>
  <si>
    <t>يالّاه نجيبو دورا</t>
  </si>
  <si>
    <t>get out of here</t>
  </si>
  <si>
    <t>khrej mn 8na</t>
  </si>
  <si>
    <t>خرج من هنا</t>
  </si>
  <si>
    <t>the rooftop is big</t>
  </si>
  <si>
    <t>sSTa7 kbir</t>
  </si>
  <si>
    <t>سصطاح كبير</t>
  </si>
  <si>
    <t>my cat gave birth</t>
  </si>
  <si>
    <t>l9eTTa dyali weldat</t>
  </si>
  <si>
    <t>لقطّا ديالي ولدات</t>
  </si>
  <si>
    <t>the utensils are new</t>
  </si>
  <si>
    <t>lmma3en jdad</t>
  </si>
  <si>
    <t>لمّاعن جداد</t>
  </si>
  <si>
    <t>this is what I want</t>
  </si>
  <si>
    <t>8adchchi lli bghit</t>
  </si>
  <si>
    <t>هادشّي اللي بغيت</t>
  </si>
  <si>
    <t>this is what I'm looking for</t>
  </si>
  <si>
    <t>8adchchi 3layach kan9elleb</t>
  </si>
  <si>
    <t>هادشّي علاياش كانقلّب</t>
  </si>
  <si>
    <t>this music is bad</t>
  </si>
  <si>
    <t>8ad lmoSi9a 3iyyana</t>
  </si>
  <si>
    <t>هاد لموصيقا عييّانا</t>
  </si>
  <si>
    <t>I don't like music</t>
  </si>
  <si>
    <t>makat3jebnich lmoSi9a</t>
  </si>
  <si>
    <t>ماكاتعجبنيش لموصيقا</t>
  </si>
  <si>
    <t>what kind of music do you like?</t>
  </si>
  <si>
    <t>ina nou3 dyal lmoSi9a kay3ejbek?</t>
  </si>
  <si>
    <t>إنا نوع ديال لموصيقا كايعجبك?</t>
  </si>
  <si>
    <t>do you know this singer?</t>
  </si>
  <si>
    <t>wach kat3ref 8ad lmoghenni?</t>
  </si>
  <si>
    <t>واش كاتعرف هاد لموغنّي?</t>
  </si>
  <si>
    <t>this singer is famous</t>
  </si>
  <si>
    <t>8ad lmoghenni mech8our</t>
  </si>
  <si>
    <t>هاد لموغنّي مشهور</t>
  </si>
  <si>
    <t>I like the piano</t>
  </si>
  <si>
    <t>kay3jebni lppyano</t>
  </si>
  <si>
    <t>كايعجبني لپّيانو</t>
  </si>
  <si>
    <t>I have cramps</t>
  </si>
  <si>
    <t>fiyya lwje3</t>
  </si>
  <si>
    <t>فييّا لوجع</t>
  </si>
  <si>
    <t>the water is clean</t>
  </si>
  <si>
    <t>lma n9i</t>
  </si>
  <si>
    <t>لما نقي</t>
  </si>
  <si>
    <t>I went to the court</t>
  </si>
  <si>
    <t>mchit llme7kama</t>
  </si>
  <si>
    <t>مشيت اللمحكاما</t>
  </si>
  <si>
    <t>I sued him</t>
  </si>
  <si>
    <t>rfe3t 3li8 de3wa</t>
  </si>
  <si>
    <t>رفعت عليه دعوا</t>
  </si>
  <si>
    <t>he is a dangerous criminal</t>
  </si>
  <si>
    <t>howwa mojrim khaTir</t>
  </si>
  <si>
    <t>هووّا موجريم خاطير</t>
  </si>
  <si>
    <t>I'm not a criminal</t>
  </si>
  <si>
    <t>ana machi mojrim</t>
  </si>
  <si>
    <t>أنا ماشي موجريم</t>
  </si>
  <si>
    <t>I was afraid of him</t>
  </si>
  <si>
    <t>kheft menno</t>
  </si>
  <si>
    <t>خفت منّو</t>
  </si>
  <si>
    <t>the road is closed</t>
  </si>
  <si>
    <t>tTri9 mesdouda</t>
  </si>
  <si>
    <t>تطريق مسدودا</t>
  </si>
  <si>
    <t>is there another road?</t>
  </si>
  <si>
    <t>wach kayna chi Tri9 okhra</t>
  </si>
  <si>
    <t>واش كاينا شي طريق أُخرا</t>
  </si>
  <si>
    <t>I bought a new bag</t>
  </si>
  <si>
    <t>chrit Sak jdid</t>
  </si>
  <si>
    <t>شريت صاك جديد</t>
  </si>
  <si>
    <t>gold earrings</t>
  </si>
  <si>
    <t>7ala9at dyal dd8eb</t>
  </si>
  <si>
    <t>حالاقات ديال الدهب</t>
  </si>
  <si>
    <t>fake bag</t>
  </si>
  <si>
    <t>sak mzewwer</t>
  </si>
  <si>
    <t>ساك مزوّر</t>
  </si>
  <si>
    <t>long chain</t>
  </si>
  <si>
    <t>sensla Twila</t>
  </si>
  <si>
    <t>سنسلا طويلا</t>
  </si>
  <si>
    <t>you are annoying</t>
  </si>
  <si>
    <t>nta moberziT</t>
  </si>
  <si>
    <t>نتا موبرزيط</t>
  </si>
  <si>
    <t>you disturbed me</t>
  </si>
  <si>
    <t>berzeTTini</t>
  </si>
  <si>
    <t>برزطّيني</t>
  </si>
  <si>
    <t>don't disturb me</t>
  </si>
  <si>
    <t>matberzTnich</t>
  </si>
  <si>
    <t>ماتبرزطنيش</t>
  </si>
  <si>
    <t>mind your business</t>
  </si>
  <si>
    <t>ddi8a frasek</t>
  </si>
  <si>
    <t>الديها فراسك</t>
  </si>
  <si>
    <t>don't talk about others</t>
  </si>
  <si>
    <t>mt8Derch f3ibad lla8</t>
  </si>
  <si>
    <t>متهضرش فعيباد اللاه</t>
  </si>
  <si>
    <t>it's not good to lie</t>
  </si>
  <si>
    <t>lkdoub khayb</t>
  </si>
  <si>
    <t>لكدوب خايب</t>
  </si>
  <si>
    <t>he didn't want to confess</t>
  </si>
  <si>
    <t>mabghach y3taref</t>
  </si>
  <si>
    <t>مابغاش يعتارف</t>
  </si>
  <si>
    <t>will you sleep now?</t>
  </si>
  <si>
    <t>wach ghatn3es daba?</t>
  </si>
  <si>
    <t>واش غاتنعس دابا?</t>
  </si>
  <si>
    <t>will you sleep here?</t>
  </si>
  <si>
    <t>wach ghatn3es 8na?</t>
  </si>
  <si>
    <t>واش غاتنعس هنا?</t>
  </si>
  <si>
    <t>he has asthma</t>
  </si>
  <si>
    <t>fi8 DDi9a</t>
  </si>
  <si>
    <t>فيه الضيقا</t>
  </si>
  <si>
    <t>he is diabetic</t>
  </si>
  <si>
    <t>mriD bssekkar</t>
  </si>
  <si>
    <t>مريض بسّكّار</t>
  </si>
  <si>
    <t>I don't know how to read</t>
  </si>
  <si>
    <t>makan3refch ne9ra</t>
  </si>
  <si>
    <t>ماكانعرفش نقرا</t>
  </si>
  <si>
    <t>the writer died</t>
  </si>
  <si>
    <t>lkatib mat</t>
  </si>
  <si>
    <t>لكاتيب مات</t>
  </si>
  <si>
    <t>he is rich</t>
  </si>
  <si>
    <t>howwa labas 3li8</t>
  </si>
  <si>
    <t>هووّا لاباس عليه</t>
  </si>
  <si>
    <t>he is poor</t>
  </si>
  <si>
    <t>howwa fa9ir</t>
  </si>
  <si>
    <t>هووّا فاقير</t>
  </si>
  <si>
    <t>he is greedy</t>
  </si>
  <si>
    <t>howwa Tmma3</t>
  </si>
  <si>
    <t>هووّا طمّاع</t>
  </si>
  <si>
    <t>greed is a bad thing</t>
  </si>
  <si>
    <t>tTme3 khayb</t>
  </si>
  <si>
    <t>تطمع خايب</t>
  </si>
  <si>
    <t>I will change my glasses</t>
  </si>
  <si>
    <t>ghanbeddel nDaDri</t>
  </si>
  <si>
    <t>غانبدّل نضاضري</t>
  </si>
  <si>
    <t>this sweater is warm</t>
  </si>
  <si>
    <t>8ad ttrikko skhon</t>
  </si>
  <si>
    <t>هاد التريكّو سخون</t>
  </si>
  <si>
    <t>I'm still cold</t>
  </si>
  <si>
    <t>mazal fiyya lberd</t>
  </si>
  <si>
    <t>مازال فييّا لبرد</t>
  </si>
  <si>
    <t>not always</t>
  </si>
  <si>
    <t>machi dima</t>
  </si>
  <si>
    <t>ماشي ديما</t>
  </si>
  <si>
    <t>it's just an idea</t>
  </si>
  <si>
    <t>ghir fikra wSafi</t>
  </si>
  <si>
    <t>غير فيكرا وصافي</t>
  </si>
  <si>
    <t>it makes me asleep</t>
  </si>
  <si>
    <t>kayjib liyya nn3as</t>
  </si>
  <si>
    <t>كايجيب لييّا النعاس</t>
  </si>
  <si>
    <t>I will immigrate</t>
  </si>
  <si>
    <t>ghan8ajer</t>
  </si>
  <si>
    <t>غانهاجر</t>
  </si>
  <si>
    <t>immigration office</t>
  </si>
  <si>
    <t>mektab l8ijra</t>
  </si>
  <si>
    <t>مكتاب لهيجرا</t>
  </si>
  <si>
    <t>I want to immigrate</t>
  </si>
  <si>
    <t>bghit n8ajer</t>
  </si>
  <si>
    <t>بغيت نهاجر</t>
  </si>
  <si>
    <t>don't be stupid</t>
  </si>
  <si>
    <t>matkonch balid</t>
  </si>
  <si>
    <t>ماتكونش باليد</t>
  </si>
  <si>
    <t>why are you stupid?</t>
  </si>
  <si>
    <t>malk balid?</t>
  </si>
  <si>
    <t>مالك باليد?</t>
  </si>
  <si>
    <t>beauty is a blessing</t>
  </si>
  <si>
    <t>ljamal ni3ma</t>
  </si>
  <si>
    <t>لجامال نيعما</t>
  </si>
  <si>
    <t>health is a blessing</t>
  </si>
  <si>
    <t>sSe77a ni3ma</t>
  </si>
  <si>
    <t>سصحّا نيعما</t>
  </si>
  <si>
    <t>I have a meeting</t>
  </si>
  <si>
    <t>3ndi jtima3</t>
  </si>
  <si>
    <t>عندي جتيماع</t>
  </si>
  <si>
    <t>the meeting has been cancelled</t>
  </si>
  <si>
    <t>l2ijtima3 ttelgha</t>
  </si>
  <si>
    <t>لإجتيماع التلغا</t>
  </si>
  <si>
    <t>When does the meeting take time?</t>
  </si>
  <si>
    <t>m3ayach kayn l2ijtima3?</t>
  </si>
  <si>
    <t>معاياش كاين لإجتيماع?</t>
  </si>
  <si>
    <t>bless you</t>
  </si>
  <si>
    <t>ra7imaka lla8</t>
  </si>
  <si>
    <t>راحيماكا اللاه</t>
  </si>
  <si>
    <t>God is the greatest</t>
  </si>
  <si>
    <t>lla8 kbir</t>
  </si>
  <si>
    <t>اللاه كبير</t>
  </si>
  <si>
    <t>God is with me</t>
  </si>
  <si>
    <t>lla8 m3aya</t>
  </si>
  <si>
    <t>اللاه معايا</t>
  </si>
  <si>
    <t>think about this</t>
  </si>
  <si>
    <t>fkker f8adchi</t>
  </si>
  <si>
    <t>فكّر فهادشي</t>
  </si>
  <si>
    <t>I won at the end</t>
  </si>
  <si>
    <t>rbe7t fl2akhir</t>
  </si>
  <si>
    <t>ربحت فلأخير</t>
  </si>
  <si>
    <t>I will give a speech</t>
  </si>
  <si>
    <t>ghanl9i kalima</t>
  </si>
  <si>
    <t>غانلقي كاليما</t>
  </si>
  <si>
    <t>I'm divorced</t>
  </si>
  <si>
    <t>ana mTelle9</t>
  </si>
  <si>
    <t>أنا مطلّق</t>
  </si>
  <si>
    <t>I want to get divorced</t>
  </si>
  <si>
    <t>bghit nTTelle9</t>
  </si>
  <si>
    <t>بغيت نطّلّق</t>
  </si>
  <si>
    <t>the paper is white</t>
  </si>
  <si>
    <t>lwer9a biDa</t>
  </si>
  <si>
    <t>لورقا بيضا</t>
  </si>
  <si>
    <t>which paper?</t>
  </si>
  <si>
    <t>ina wer9a?</t>
  </si>
  <si>
    <t>إنا ورقا?</t>
  </si>
  <si>
    <t>many papers</t>
  </si>
  <si>
    <t>bezzaf dyal lwra9</t>
  </si>
  <si>
    <t>بزّاف ديال لوراق</t>
  </si>
  <si>
    <t>I didn't like him at the beginning</t>
  </si>
  <si>
    <t>makanch 3ziz 3liyya fllewwel</t>
  </si>
  <si>
    <t>ماكانش عزيز علييّا فلّوّل</t>
  </si>
  <si>
    <t>I have a problem of indigestion</t>
  </si>
  <si>
    <t>3ndi 3osr l8aDm</t>
  </si>
  <si>
    <t>عندي عوسر لهاضم</t>
  </si>
  <si>
    <t>you came in time</t>
  </si>
  <si>
    <t>jiti fwe9tek</t>
  </si>
  <si>
    <t>جيتي فوقتك</t>
  </si>
  <si>
    <t>come another time</t>
  </si>
  <si>
    <t>aji fwe9t akhor</t>
  </si>
  <si>
    <t>أجي فوقت أخور</t>
  </si>
  <si>
    <t>it's prayer time</t>
  </si>
  <si>
    <t>8adi we9t SSlat</t>
  </si>
  <si>
    <t>هادي وقت الصلات</t>
  </si>
  <si>
    <t>he prays on time</t>
  </si>
  <si>
    <t>kaySelli flwe9t</t>
  </si>
  <si>
    <t>كايصلّي فلوقت</t>
  </si>
  <si>
    <t>he prays for me</t>
  </si>
  <si>
    <t>kayd3i m3aya</t>
  </si>
  <si>
    <t>كايدعي معايا</t>
  </si>
  <si>
    <t>pray for me</t>
  </si>
  <si>
    <t>d3i m3aya</t>
  </si>
  <si>
    <t>دعي معايا</t>
  </si>
  <si>
    <t>he always prays</t>
  </si>
  <si>
    <t>howwa dima kaySelli</t>
  </si>
  <si>
    <t>هووّا ديما كايصلّي</t>
  </si>
  <si>
    <t>he always fasts</t>
  </si>
  <si>
    <t>howwa dima kaySoum</t>
  </si>
  <si>
    <t>هووّا ديما كايصوم</t>
  </si>
  <si>
    <t>between us</t>
  </si>
  <si>
    <t>bini wbink</t>
  </si>
  <si>
    <t>بيني وبينك</t>
  </si>
  <si>
    <t>pretend as you didn't see anything</t>
  </si>
  <si>
    <t>dir brasek machfti walo</t>
  </si>
  <si>
    <t>دير براسك ماشفتي والو</t>
  </si>
  <si>
    <t>pretend as you didn't hear anything</t>
  </si>
  <si>
    <t>dir brasek masme3ti walo</t>
  </si>
  <si>
    <t>دير براسك ماسمعتي والو</t>
  </si>
  <si>
    <t>pretend as being stupid</t>
  </si>
  <si>
    <t>dir brasek mkellekh</t>
  </si>
  <si>
    <t>دير براسك مكلّخ</t>
  </si>
  <si>
    <t>don't pretend you are stupid</t>
  </si>
  <si>
    <t>maddirch fi8a mkellekh</t>
  </si>
  <si>
    <t>مادّيرش فيها مكلّخ</t>
  </si>
  <si>
    <t>don't pretend you know me</t>
  </si>
  <si>
    <t>maddirch brasek kat3rfni</t>
  </si>
  <si>
    <t>مادّيرش براسك كاتعرفني</t>
  </si>
  <si>
    <t>don't pretend you are sorry</t>
  </si>
  <si>
    <t>maddirch brasek blli b9a fik l7al</t>
  </si>
  <si>
    <t>مادّيرش براسك بلّي بقا فيك لحال</t>
  </si>
  <si>
    <t>bear your responsibility</t>
  </si>
  <si>
    <t>t7emmel mes2ouliyytek</t>
  </si>
  <si>
    <t>تحمّل مسأولييّتك</t>
  </si>
  <si>
    <t>I bear the responsibility</t>
  </si>
  <si>
    <t>kant7emmel lmes2ouliyya</t>
  </si>
  <si>
    <t>كانتحمّل لمسأولييّا</t>
  </si>
  <si>
    <t>until tomorrow</t>
  </si>
  <si>
    <t>7tal ghdda</t>
  </si>
  <si>
    <t>حتال غدّا</t>
  </si>
  <si>
    <t>use your brain</t>
  </si>
  <si>
    <t>khdeem 3e9lek</t>
  </si>
  <si>
    <t>خديم عقلك</t>
  </si>
  <si>
    <t>I prepare for it</t>
  </si>
  <si>
    <t>kanwejjed li8</t>
  </si>
  <si>
    <t>كانوجّد ليه</t>
  </si>
  <si>
    <t>listen to your heart</t>
  </si>
  <si>
    <t>tSennet l9elbek</t>
  </si>
  <si>
    <t>تصنّت لقلبك</t>
  </si>
  <si>
    <t>I sweat a lot</t>
  </si>
  <si>
    <t>kan3re9 bezzaf</t>
  </si>
  <si>
    <t>كانعرق بزّاف</t>
  </si>
  <si>
    <t>I fry potatoes</t>
  </si>
  <si>
    <t>kan9li bTaTa</t>
  </si>
  <si>
    <t>كانقلي بطاطا</t>
  </si>
  <si>
    <t>you added too much pepper</t>
  </si>
  <si>
    <t>ktterti lbzar</t>
  </si>
  <si>
    <t>كتّرتي لبزار</t>
  </si>
  <si>
    <t>I'm not good at doing anything</t>
  </si>
  <si>
    <t>makan3ref ndir walo</t>
  </si>
  <si>
    <t>ماكانعرف ندير والو</t>
  </si>
  <si>
    <t>my little sister</t>
  </si>
  <si>
    <t>khti SSghira</t>
  </si>
  <si>
    <t>ختي الصغيرا</t>
  </si>
  <si>
    <t>my little brother</t>
  </si>
  <si>
    <t>khoya SSghir</t>
  </si>
  <si>
    <t>خويا الصغير</t>
  </si>
  <si>
    <t>I want to try</t>
  </si>
  <si>
    <t>bghit njerreb</t>
  </si>
  <si>
    <t>بغيت نجرّب</t>
  </si>
  <si>
    <t>I have to try</t>
  </si>
  <si>
    <t>kheSSni njerreb</t>
  </si>
  <si>
    <t>خصّني نجرّب</t>
  </si>
  <si>
    <t>whenever you are going out</t>
  </si>
  <si>
    <t>finma tkon kharej</t>
  </si>
  <si>
    <t>فينما تكون خارج</t>
  </si>
  <si>
    <t>how did you do it?</t>
  </si>
  <si>
    <t>kiderti li8a?</t>
  </si>
  <si>
    <t>كيدرتي ليها?</t>
  </si>
  <si>
    <t>goat's milk</t>
  </si>
  <si>
    <t>7lib lma3ez</t>
  </si>
  <si>
    <t>حليب لماعز</t>
  </si>
  <si>
    <t>he doesn't believe in himself</t>
  </si>
  <si>
    <t>makayti9ch fraso</t>
  </si>
  <si>
    <t>ماكايتيقش فراسو</t>
  </si>
  <si>
    <t>he doesn't have self confidence</t>
  </si>
  <si>
    <t>ma3endouch tti9a fnnafs</t>
  </si>
  <si>
    <t>ماعندوش التيقا فنّافس</t>
  </si>
  <si>
    <t>I went alone to the beach</t>
  </si>
  <si>
    <t>mchit llb7err bo7di</t>
  </si>
  <si>
    <t>مشيت اللبحرّ بوحدي</t>
  </si>
  <si>
    <t>I'm sitting alone</t>
  </si>
  <si>
    <t>gals m3a rasi</t>
  </si>
  <si>
    <t>ڭالس معا راسي</t>
  </si>
  <si>
    <t>I don't care about anyone</t>
  </si>
  <si>
    <t>makantsewwe9ch l7tta wa7ed</t>
  </si>
  <si>
    <t>ماكانتسوّقش لحتّا واحد</t>
  </si>
  <si>
    <t>do you want his phone number?</t>
  </si>
  <si>
    <t>wach bghiti nmerto?</t>
  </si>
  <si>
    <t>واش بغيتي نمرتو?</t>
  </si>
  <si>
    <t>do you have his phone number?</t>
  </si>
  <si>
    <t>wach 3ndek nmerto?</t>
  </si>
  <si>
    <t>واش عندك نمرتو?</t>
  </si>
  <si>
    <t>what are you going to wear?</t>
  </si>
  <si>
    <t>achno ghatlbes?</t>
  </si>
  <si>
    <t>أشنو غاتلبس?</t>
  </si>
  <si>
    <t>everyone has a different way of thinking</t>
  </si>
  <si>
    <t>kol wa7ed kifach kayfekker</t>
  </si>
  <si>
    <t>كول واحد كيفاش كايفكّر</t>
  </si>
  <si>
    <t>I will not finish</t>
  </si>
  <si>
    <t>ana maghankemmelch</t>
  </si>
  <si>
    <t>أنا ماغانكمّلش</t>
  </si>
  <si>
    <t>I'm not this type of people</t>
  </si>
  <si>
    <t>ana machi mn 8ad nnou3 dyal nnas</t>
  </si>
  <si>
    <t>أنا ماشي من هاد النوع ديال الناس</t>
  </si>
  <si>
    <t>he doesn't love me</t>
  </si>
  <si>
    <t>howwa makaybghinich</t>
  </si>
  <si>
    <t>هووّا ماكايبغينيش</t>
  </si>
  <si>
    <t>a simple thing</t>
  </si>
  <si>
    <t>7aja bSiTa</t>
  </si>
  <si>
    <t>حاجا بصيطا</t>
  </si>
  <si>
    <t>he cheated on me</t>
  </si>
  <si>
    <t>khanni</t>
  </si>
  <si>
    <t>خانّي</t>
  </si>
  <si>
    <t>he cheats on me</t>
  </si>
  <si>
    <t>kaykhonni</t>
  </si>
  <si>
    <t>كايخونّي</t>
  </si>
  <si>
    <t>I can't cheat on you</t>
  </si>
  <si>
    <t>man9derch nkhonek</t>
  </si>
  <si>
    <t>مانقدرش نخونك</t>
  </si>
  <si>
    <t>I will never cheat on you</t>
  </si>
  <si>
    <t>ma3emmri nkhonek</t>
  </si>
  <si>
    <t>ماعمّري نخونك</t>
  </si>
  <si>
    <t>he tells everything</t>
  </si>
  <si>
    <t>kay3awed kollchi</t>
  </si>
  <si>
    <t>كايعاود كولّشي</t>
  </si>
  <si>
    <t>even though</t>
  </si>
  <si>
    <t>wakhkha 8akkak</t>
  </si>
  <si>
    <t>واخّا هاكّاك</t>
  </si>
  <si>
    <t>you took too much time</t>
  </si>
  <si>
    <t>twwelti bezzaf</t>
  </si>
  <si>
    <t>توّلتي بزّاف</t>
  </si>
  <si>
    <t>he feels proud about himself</t>
  </si>
  <si>
    <t>kayftakher braso</t>
  </si>
  <si>
    <t>كايفتاخر براسو</t>
  </si>
  <si>
    <t>I'm proud of you</t>
  </si>
  <si>
    <t>ana fakhour bik</t>
  </si>
  <si>
    <t>أنا فاخور بيك</t>
  </si>
  <si>
    <t>toxic relationship</t>
  </si>
  <si>
    <t>3ala9a samma</t>
  </si>
  <si>
    <t>عالاقا سامّا</t>
  </si>
  <si>
    <t>it didn't fit me</t>
  </si>
  <si>
    <t>majach 9eddi</t>
  </si>
  <si>
    <t>ماجاش قدّي</t>
  </si>
  <si>
    <t>it didn't suit me</t>
  </si>
  <si>
    <t>majach m3aya</t>
  </si>
  <si>
    <t>ماجاش معايا</t>
  </si>
  <si>
    <t>it doesn't suit me</t>
  </si>
  <si>
    <t>makayjich m3aya</t>
  </si>
  <si>
    <t>ماكايجيش معايا</t>
  </si>
  <si>
    <t>it's not convenient</t>
  </si>
  <si>
    <t>machi monasib</t>
  </si>
  <si>
    <t>ماشي موناسيب</t>
  </si>
  <si>
    <t>I'm recording an audio</t>
  </si>
  <si>
    <t>kansejjel odyo</t>
  </si>
  <si>
    <t>كانسجّل أُديو</t>
  </si>
  <si>
    <t>write your question</t>
  </si>
  <si>
    <t>kteb so2alek</t>
  </si>
  <si>
    <t>كتب سوألك</t>
  </si>
  <si>
    <t>what is your question?</t>
  </si>
  <si>
    <t>chno howa so2alek?</t>
  </si>
  <si>
    <t>شنو هووا سوألك?</t>
  </si>
  <si>
    <t>what are you trying to do?</t>
  </si>
  <si>
    <t>chno kat7awel ddir?</t>
  </si>
  <si>
    <t>شنو كاتحاول الدير?</t>
  </si>
  <si>
    <t>what are you trying to say?</t>
  </si>
  <si>
    <t>chno bghiti tgol?</t>
  </si>
  <si>
    <t>شنو بغيتي تڭول?</t>
  </si>
  <si>
    <t>I don't have the ability</t>
  </si>
  <si>
    <t>ma3ndich l9odra</t>
  </si>
  <si>
    <t>ماعنديش لقودرا</t>
  </si>
  <si>
    <t>I don't have the courage</t>
  </si>
  <si>
    <t>ma3ndich ljor2a</t>
  </si>
  <si>
    <t>ماعنديش لجورأ</t>
  </si>
  <si>
    <t>without feeling</t>
  </si>
  <si>
    <t>bidoun i7sas</t>
  </si>
  <si>
    <t>بيدون إحساس</t>
  </si>
  <si>
    <t>many problems happened</t>
  </si>
  <si>
    <t>we93o bezzaf dyal machakil</t>
  </si>
  <si>
    <t>وقعو بزّاف ديال ماشاكيل</t>
  </si>
  <si>
    <t>I didn't see you</t>
  </si>
  <si>
    <t>macheftekch</t>
  </si>
  <si>
    <t>ماشفتكش</t>
  </si>
  <si>
    <t>I saw you there</t>
  </si>
  <si>
    <t>cheftek tmmak</t>
  </si>
  <si>
    <t>شفتك تمّاك</t>
  </si>
  <si>
    <t>I haven't seen you again</t>
  </si>
  <si>
    <t>mab9itch cheftek mazal</t>
  </si>
  <si>
    <t>مابقيتش شفتك مازال</t>
  </si>
  <si>
    <t>I haven't seen you since that</t>
  </si>
  <si>
    <t>ma3emmri cheftek mn dak nn8ar</t>
  </si>
  <si>
    <t>ماعمّري شفتك من داك النهار</t>
  </si>
  <si>
    <t>low level</t>
  </si>
  <si>
    <t>mostawa na9eS</t>
  </si>
  <si>
    <t>موستاوا ناقص</t>
  </si>
  <si>
    <t>I'm hanging out with my friends</t>
  </si>
  <si>
    <t>kharj m3a S7abi</t>
  </si>
  <si>
    <t>خارج معا صحابي</t>
  </si>
  <si>
    <t>it's still the beginning</t>
  </si>
  <si>
    <t>yallah8 lbidaya</t>
  </si>
  <si>
    <t>يالّاهه لبيدايا</t>
  </si>
  <si>
    <t>what do you think about him?</t>
  </si>
  <si>
    <t>ach ban lik fi8?</t>
  </si>
  <si>
    <t>أش بان ليك فيه?</t>
  </si>
  <si>
    <t>I'm afraid of darkness</t>
  </si>
  <si>
    <t>kankhaf mn DDlam</t>
  </si>
  <si>
    <t>كانخاف من الضلام</t>
  </si>
  <si>
    <t>Are you afraid of darkness?</t>
  </si>
  <si>
    <t>wach katkhaf mn DDlam?</t>
  </si>
  <si>
    <t>واش كاتخاف من الضلام?</t>
  </si>
  <si>
    <t>give me your address</t>
  </si>
  <si>
    <t>3Tini l3onwan dyalk</t>
  </si>
  <si>
    <t>عطيني لعونوان ديالك</t>
  </si>
  <si>
    <t>send me your phone number</t>
  </si>
  <si>
    <t>sift liyya nmertk</t>
  </si>
  <si>
    <t>سيفت لييّا نمرتك</t>
  </si>
  <si>
    <t>he doesn't deserve this</t>
  </si>
  <si>
    <t>maysta8lch 8adchchi</t>
  </si>
  <si>
    <t>مايستاهلش هادشّي</t>
  </si>
  <si>
    <t>he deserves this</t>
  </si>
  <si>
    <t>ysta8el 8adchchi</t>
  </si>
  <si>
    <t>يستاهل هادشّي</t>
  </si>
  <si>
    <t>he deserves better</t>
  </si>
  <si>
    <t>yste8el ma7sen</t>
  </si>
  <si>
    <t>يستهل ماحسن</t>
  </si>
  <si>
    <t>you are like a brother to me</t>
  </si>
  <si>
    <t>nta b7al khoya</t>
  </si>
  <si>
    <t>نتا بحال خويا</t>
  </si>
  <si>
    <t>peace and love</t>
  </si>
  <si>
    <t>l8odou3 w l7obb</t>
  </si>
  <si>
    <t>لهودوع و لحوبّ</t>
  </si>
  <si>
    <t>it's peaceful here</t>
  </si>
  <si>
    <t>kayn l8odou2 8na</t>
  </si>
  <si>
    <t>كاين لهودوء هنا</t>
  </si>
  <si>
    <t>love is difficult</t>
  </si>
  <si>
    <t>l7obb s3ib</t>
  </si>
  <si>
    <t>لحوبّ سعيب</t>
  </si>
  <si>
    <t>love is beautiful</t>
  </si>
  <si>
    <t>l7obb zwin</t>
  </si>
  <si>
    <t>لحوبّ زوين</t>
  </si>
  <si>
    <t>love is sacred</t>
  </si>
  <si>
    <t>l7obb mo9addas</t>
  </si>
  <si>
    <t>لحوبّ موقادّاس</t>
  </si>
  <si>
    <t>true love doesn't exist anymore</t>
  </si>
  <si>
    <t>l7ob le79i9i mab9ach kayn</t>
  </si>
  <si>
    <t>لحوب لحقيقي مابقاش كاين</t>
  </si>
  <si>
    <t>I don't believe in love</t>
  </si>
  <si>
    <t>makan2amench bl7obb</t>
  </si>
  <si>
    <t>ماكانأمنش بلحوبّ</t>
  </si>
  <si>
    <t>do you love someone?</t>
  </si>
  <si>
    <t>wach katbghi chi wa7ed?</t>
  </si>
  <si>
    <t>واش كاتبغي شي واحد?</t>
  </si>
  <si>
    <t>does he also love you?</t>
  </si>
  <si>
    <t>wach 7tta 8owwa kaybghik?</t>
  </si>
  <si>
    <t>واش حتّا هووّا كايبغيك?</t>
  </si>
  <si>
    <t>why he doesn't love you anymore?</t>
  </si>
  <si>
    <t>3lach mab9ach kaybghik?</t>
  </si>
  <si>
    <t>علاش مابقاش كايبغيك?</t>
  </si>
  <si>
    <t>why you don't love him?</t>
  </si>
  <si>
    <t>3lach makatbghi8ch?</t>
  </si>
  <si>
    <t>علاش ماكاتبغيهش?</t>
  </si>
  <si>
    <t>give him a chance</t>
  </si>
  <si>
    <t>3Ti8 forSa</t>
  </si>
  <si>
    <t>عطيه فورصا</t>
  </si>
  <si>
    <t>you have only one chance</t>
  </si>
  <si>
    <t>3ndek forSa we7da</t>
  </si>
  <si>
    <t>عندك فورصا وحدا</t>
  </si>
  <si>
    <t>this is the last try</t>
  </si>
  <si>
    <t>8adi akhir mo7awala</t>
  </si>
  <si>
    <t>هادي أخير موحاوالا</t>
  </si>
  <si>
    <t>give me a chance please</t>
  </si>
  <si>
    <t>3Tini forSa 3afak</t>
  </si>
  <si>
    <t>عطيني فورصا عافاك</t>
  </si>
  <si>
    <t>the last day of this month</t>
  </si>
  <si>
    <t>akhir n8ar f 8ad chch8er</t>
  </si>
  <si>
    <t>أخير نهار ف هاد الشهر</t>
  </si>
  <si>
    <t>the last day with you</t>
  </si>
  <si>
    <t>akhir n8ar m3ak</t>
  </si>
  <si>
    <t>أخير نهار معاك</t>
  </si>
  <si>
    <t>this is your last day</t>
  </si>
  <si>
    <t>8ada nn8ar llekhkher lik?</t>
  </si>
  <si>
    <t>هادا النهار اللخّر ليك?</t>
  </si>
  <si>
    <t>is this for you?</t>
  </si>
  <si>
    <t>wach 8adchchi lik?</t>
  </si>
  <si>
    <t>واش هادشّي ليك?</t>
  </si>
  <si>
    <t>this is for you</t>
  </si>
  <si>
    <t>8adchchi lik</t>
  </si>
  <si>
    <t>هادشّي ليك</t>
  </si>
  <si>
    <t>first week</t>
  </si>
  <si>
    <t>awwel simana</t>
  </si>
  <si>
    <t>أوّل سيمانا</t>
  </si>
  <si>
    <t>first month</t>
  </si>
  <si>
    <t>awwel ch8er</t>
  </si>
  <si>
    <t>أوّل شهر</t>
  </si>
  <si>
    <t>first year</t>
  </si>
  <si>
    <t>awwel 3am</t>
  </si>
  <si>
    <t>أوّل عام</t>
  </si>
  <si>
    <t>first day</t>
  </si>
  <si>
    <t>awwel n8ar</t>
  </si>
  <si>
    <t>أوّل نهار</t>
  </si>
  <si>
    <t>I'm in the school</t>
  </si>
  <si>
    <t>ana kayn flmedrasa</t>
  </si>
  <si>
    <t>أنا كاين فلمدراسا</t>
  </si>
  <si>
    <t>the school is far from my house</t>
  </si>
  <si>
    <t>lmedrasa b3ida 3la dari</t>
  </si>
  <si>
    <t>لمدراسا بعيدا علا داري</t>
  </si>
  <si>
    <t>this is old</t>
  </si>
  <si>
    <t>8adchi 9dim</t>
  </si>
  <si>
    <t>هادشي قديم</t>
  </si>
  <si>
    <t>this is an old story</t>
  </si>
  <si>
    <t>8adi 9iSSa 9dima</t>
  </si>
  <si>
    <t>هادي قيصّا قديما</t>
  </si>
  <si>
    <t>I will tell you about something</t>
  </si>
  <si>
    <t>ghan3awd lik 3la wa7d l7aja</t>
  </si>
  <si>
    <t>غانعاود ليك علا واحد لحاجا</t>
  </si>
  <si>
    <t>love yourself</t>
  </si>
  <si>
    <t>bghi rasek</t>
  </si>
  <si>
    <t>بغي راسك</t>
  </si>
  <si>
    <t>it's great to help others</t>
  </si>
  <si>
    <t>mezyan t3awen nnas</t>
  </si>
  <si>
    <t>مزيان تعاون الناس</t>
  </si>
  <si>
    <t>I wanted you to help me</t>
  </si>
  <si>
    <t>knt bghitek t3awenni</t>
  </si>
  <si>
    <t>كنت بغيتك تعاونّي</t>
  </si>
  <si>
    <t>you made it worse</t>
  </si>
  <si>
    <t>zedti 9ferti8a</t>
  </si>
  <si>
    <t>زدتي قفرتيها</t>
  </si>
  <si>
    <t>I can't trust him</t>
  </si>
  <si>
    <t>ma9adrch nti9 fi8</t>
  </si>
  <si>
    <t>ماقادرش نتيق فيه</t>
  </si>
  <si>
    <t>he is blind</t>
  </si>
  <si>
    <t>howwa 3ma</t>
  </si>
  <si>
    <t>هووّا عما</t>
  </si>
  <si>
    <t>Are you blind?</t>
  </si>
  <si>
    <t>wach nta 3ma?</t>
  </si>
  <si>
    <t>واش نتا عما?</t>
  </si>
  <si>
    <t>he wrote an article about me</t>
  </si>
  <si>
    <t>kteb 3liyya ma9al</t>
  </si>
  <si>
    <t>كتب علييّا ماقال</t>
  </si>
  <si>
    <t>kif dayer?</t>
  </si>
  <si>
    <t>كيف داير?</t>
  </si>
  <si>
    <t>What is your name?</t>
  </si>
  <si>
    <t>chno smitek?</t>
  </si>
  <si>
    <t>شنو سميتك?</t>
  </si>
  <si>
    <t>Pleasure to meet you</t>
  </si>
  <si>
    <t>tcherrft b ma3riftek</t>
  </si>
  <si>
    <t>تشرّفت ب ماعريفتك</t>
  </si>
  <si>
    <t>ch7al f 3mrek ?</t>
  </si>
  <si>
    <t>شحال ف عمرك ?</t>
  </si>
  <si>
    <t>I'm...old</t>
  </si>
  <si>
    <t>f 3mri...</t>
  </si>
  <si>
    <t>ف عمري...</t>
  </si>
  <si>
    <t>Where do you live?</t>
  </si>
  <si>
    <t>I live in...</t>
  </si>
  <si>
    <t>ana kansken f...</t>
  </si>
  <si>
    <t>أنا كانسكن ف...</t>
  </si>
  <si>
    <t>What's your job?</t>
  </si>
  <si>
    <t>chno khdemtek?</t>
  </si>
  <si>
    <t>شنو خدمتك?</t>
  </si>
  <si>
    <t>What are your hobbies?</t>
  </si>
  <si>
    <t>chno l8iwayat dyalek?</t>
  </si>
  <si>
    <t>شنو لهيوايات ديالك?</t>
  </si>
  <si>
    <t>write slowly</t>
  </si>
  <si>
    <t>kteb bchcwiyya</t>
  </si>
  <si>
    <t>كتب بشكوييّا</t>
  </si>
  <si>
    <t>Like what?</t>
  </si>
  <si>
    <t>b7alach?</t>
  </si>
  <si>
    <t>بحالاش?</t>
  </si>
  <si>
    <t>Welcome to our city!</t>
  </si>
  <si>
    <t>3Tini mital</t>
  </si>
  <si>
    <t>عطيني ميتال</t>
  </si>
  <si>
    <t>I do swimming</t>
  </si>
  <si>
    <t>kandir ssiba7a</t>
  </si>
  <si>
    <t>كاندير السيباحا</t>
  </si>
  <si>
    <t>How many times?</t>
  </si>
  <si>
    <t>ch7al mn merra ?</t>
  </si>
  <si>
    <t>شحال من مرّا ?</t>
  </si>
  <si>
    <t>Every Saturday morning</t>
  </si>
  <si>
    <t>kol sebt f ssba7</t>
  </si>
  <si>
    <t>كول سبت ف السباح</t>
  </si>
  <si>
    <t>I also do some painting</t>
  </si>
  <si>
    <t>kandir 7tta chwiya d rrasm</t>
  </si>
  <si>
    <t>كاندير حتّا شوييا د الراسم</t>
  </si>
  <si>
    <t>I love exercising</t>
  </si>
  <si>
    <t>kay3jbni ndir rriyaDa</t>
  </si>
  <si>
    <t>كايعجبني ندير الريياضا</t>
  </si>
  <si>
    <t>Really?</t>
  </si>
  <si>
    <t>bSSa7?</t>
  </si>
  <si>
    <t>بصّاح?</t>
  </si>
  <si>
    <t>I'm also a dancer</t>
  </si>
  <si>
    <t>kandir 7tta rra9S</t>
  </si>
  <si>
    <t>كاندير حتّا الراقص</t>
  </si>
  <si>
    <t>What kind of dance do you practice?</t>
  </si>
  <si>
    <t>achmn naw3 dyal rra9S kaddir ?</t>
  </si>
  <si>
    <t>أشمن ناوع ديال الراقص كادّير ?</t>
  </si>
  <si>
    <t>I do contemporary dance and hip hop</t>
  </si>
  <si>
    <t>kandir rra9s tta3biri o l8ip 8op</t>
  </si>
  <si>
    <t>كاندير الراقس التاعبيري أُ لهيپ هوپ</t>
  </si>
  <si>
    <t>cha7al 3ndek dyal lkhkhout?</t>
  </si>
  <si>
    <t>شاحال عندك ديال لخّوت?</t>
  </si>
  <si>
    <t>I have one brother and two sisters</t>
  </si>
  <si>
    <t>3ndi khoya o jouj khwatat</t>
  </si>
  <si>
    <t>عندي خويا أُ جوج خواتات</t>
  </si>
  <si>
    <t>What about you?</t>
  </si>
  <si>
    <t>I'm a unique child</t>
  </si>
  <si>
    <t>ana bbou7di</t>
  </si>
  <si>
    <t>أنا البوحدي</t>
  </si>
  <si>
    <t>I don't have siblings</t>
  </si>
  <si>
    <t>ma3ndich khkhouti</t>
  </si>
  <si>
    <t>ماعنديش الخوتي</t>
  </si>
  <si>
    <t>What do you do in your free time?</t>
  </si>
  <si>
    <t>chno kaddir f wa9t l faragh dyalek?</t>
  </si>
  <si>
    <t>شنو كادّير ف واقت ل فاراغ ديالك?</t>
  </si>
  <si>
    <t>I hang out with my friends</t>
  </si>
  <si>
    <t>kankhrej m3a S7abi</t>
  </si>
  <si>
    <t>كانخرج معا صحابي</t>
  </si>
  <si>
    <t>I go to the gym</t>
  </si>
  <si>
    <t>kanmchi l laSal</t>
  </si>
  <si>
    <t>كانمشي ل لاصال</t>
  </si>
  <si>
    <t>I read books</t>
  </si>
  <si>
    <t>kan9ra ktouba</t>
  </si>
  <si>
    <t>كانقرا كتوبا</t>
  </si>
  <si>
    <t>Have you been in a Moroccan hammam before?</t>
  </si>
  <si>
    <t>whach mchiti l 7mmam mghribi mn 9bel?</t>
  </si>
  <si>
    <t>وهاش مشيتي ل حمّام مغريبي من قبل?</t>
  </si>
  <si>
    <t>Yes I went</t>
  </si>
  <si>
    <t>a8 mchit</t>
  </si>
  <si>
    <t>أه مشيت</t>
  </si>
  <si>
    <t>How was the experience?</t>
  </si>
  <si>
    <t>kif kant ttejriba?</t>
  </si>
  <si>
    <t>كيف كانت التجريبا?</t>
  </si>
  <si>
    <t>mabi8ch</t>
  </si>
  <si>
    <t>مابيهش</t>
  </si>
  <si>
    <t>I loved the design</t>
  </si>
  <si>
    <t>3jbni TTaSmim</t>
  </si>
  <si>
    <t>عجبني الطاصميم</t>
  </si>
  <si>
    <t>I enjoyed the massage</t>
  </si>
  <si>
    <t>stamte3t bel maSSaj</t>
  </si>
  <si>
    <t>ستامتعت بل ماصّاج</t>
  </si>
  <si>
    <t>But it was too hot</t>
  </si>
  <si>
    <t>walakin kan skhoun bzzaf</t>
  </si>
  <si>
    <t>والاكين كان سخون بزّاف</t>
  </si>
  <si>
    <t>Hassan is writing a letter</t>
  </si>
  <si>
    <t>7asan kaykteb risala</t>
  </si>
  <si>
    <t>حاسان كايكتب ريسالا</t>
  </si>
  <si>
    <t>I wake up early in the morning</t>
  </si>
  <si>
    <t>kanfi9 fSSba7 bkri</t>
  </si>
  <si>
    <t>كانفيق فصّباح بكري</t>
  </si>
  <si>
    <t>My brother speaks loudly</t>
  </si>
  <si>
    <t>khouya kay8Der b jje8d</t>
  </si>
  <si>
    <t>خويا كايهضر ب الجهد</t>
  </si>
  <si>
    <t>I'm trying to understand</t>
  </si>
  <si>
    <t>ana kan7awel nf8em</t>
  </si>
  <si>
    <t>أنا كانحاول نفهم</t>
  </si>
  <si>
    <t>I bought a new pair of shoes</t>
  </si>
  <si>
    <t>chrit SbbaT jdid</t>
  </si>
  <si>
    <t>شريت صبّاط جديد</t>
  </si>
  <si>
    <t>Do you play basketball?</t>
  </si>
  <si>
    <t>wach katl3eb l baSket?</t>
  </si>
  <si>
    <t>واش كاتلعب ل باصكت?</t>
  </si>
  <si>
    <t>I am a police officer</t>
  </si>
  <si>
    <t>ana boulisi</t>
  </si>
  <si>
    <t>أنا بوليسي</t>
  </si>
  <si>
    <t>My sister is a doctor</t>
  </si>
  <si>
    <t>khti Tbiba</t>
  </si>
  <si>
    <t>ختي طبيبا</t>
  </si>
  <si>
    <t>I'm a chef</t>
  </si>
  <si>
    <t>ana Tbbakh</t>
  </si>
  <si>
    <t>أنا طبّاخ</t>
  </si>
  <si>
    <t>I'm a taxi driver</t>
  </si>
  <si>
    <t>ana chifour dyal Taxi</t>
  </si>
  <si>
    <t>أنا شيفور ديال طاشي</t>
  </si>
  <si>
    <t>He is planning a new trip</t>
  </si>
  <si>
    <t>howwa kaykhTeT l tsafira jdida</t>
  </si>
  <si>
    <t>هووّا كايخطط ل تسافيرا جديدا</t>
  </si>
  <si>
    <t>I'm working hard during exams</t>
  </si>
  <si>
    <t>ana kan9ra b jiddiya we9t l 2imti7anat</t>
  </si>
  <si>
    <t>أنا كانقرا ب جيدّييا وقت ل إمتيحانات</t>
  </si>
  <si>
    <t>He loves to play with dogs</t>
  </si>
  <si>
    <t>kay3jbo yl3b m3a l klab</t>
  </si>
  <si>
    <t>كايعجبو يلعب معا ل كلاب</t>
  </si>
  <si>
    <t>Did he cook dinner?</t>
  </si>
  <si>
    <t>wach Teyeb l 3cha?</t>
  </si>
  <si>
    <t>واش طيب ل عشا?</t>
  </si>
  <si>
    <t>He broke the glass</t>
  </si>
  <si>
    <t>8rres l kas</t>
  </si>
  <si>
    <t>هرّس ل كاس</t>
  </si>
  <si>
    <t>We won the match</t>
  </si>
  <si>
    <t>rbe7na l match</t>
  </si>
  <si>
    <t>ربحنا ل ماتش</t>
  </si>
  <si>
    <t>They talk too much</t>
  </si>
  <si>
    <t>kay8Dro bzzaf</t>
  </si>
  <si>
    <t>كايهضرو بزّاف</t>
  </si>
  <si>
    <t>Does he drink coffee?</t>
  </si>
  <si>
    <t>wach kaychreb l 9e8wa</t>
  </si>
  <si>
    <t>واش كايشرب ل قهوا</t>
  </si>
  <si>
    <t>I sometimes forget my keys</t>
  </si>
  <si>
    <t>ana be3D l merrat kansa swarti</t>
  </si>
  <si>
    <t>أنا بعض ل مرّات كانسا سوارتي</t>
  </si>
  <si>
    <t>He brushes his teeth</t>
  </si>
  <si>
    <t>howwa kay7k snanou</t>
  </si>
  <si>
    <t>هووّا كايحك سنانو</t>
  </si>
  <si>
    <t>I eat chocolate every day</t>
  </si>
  <si>
    <t>kanakoul chchklaT yawmiyyan</t>
  </si>
  <si>
    <t>كاناكول الشكلاط ياومييّان</t>
  </si>
  <si>
    <t>He wants something</t>
  </si>
  <si>
    <t>bgha chi 7aja</t>
  </si>
  <si>
    <t>بغا شي حاجا</t>
  </si>
  <si>
    <t>Does he live in Fes?</t>
  </si>
  <si>
    <t>wach kay3ich f ffas?</t>
  </si>
  <si>
    <t>واش كايعيش ف الفاس?</t>
  </si>
  <si>
    <t>Everything is perfect</t>
  </si>
  <si>
    <t>koulchi howwa 8adak</t>
  </si>
  <si>
    <t>كولشي هووّا هاداك</t>
  </si>
  <si>
    <t>She is a beautiful girl</t>
  </si>
  <si>
    <t>8iyya bent zwina</t>
  </si>
  <si>
    <t>هييّا بنت زوينا</t>
  </si>
  <si>
    <t>We are traveling</t>
  </si>
  <si>
    <t>7na mSafrin</t>
  </si>
  <si>
    <t>حنا مصافرين</t>
  </si>
  <si>
    <t>I will call you later</t>
  </si>
  <si>
    <t>gha n3eyt lik mn be3d</t>
  </si>
  <si>
    <t>غا نعيت ليك من بعد</t>
  </si>
  <si>
    <t>Mouad is watching a movie</t>
  </si>
  <si>
    <t>mou3ad kaytferrj f film</t>
  </si>
  <si>
    <t>موعاد كايتفرّج ف فيلم</t>
  </si>
  <si>
    <t>he drives a bicycle</t>
  </si>
  <si>
    <t>howa kaySoug ppikala</t>
  </si>
  <si>
    <t>هووا كايصوڭ الپيكالا</t>
  </si>
  <si>
    <t>He made me happy today</t>
  </si>
  <si>
    <t>ferre7ni lyouma</t>
  </si>
  <si>
    <t>فرّحني ليوما</t>
  </si>
  <si>
    <t>He is crying for a toy</t>
  </si>
  <si>
    <t>kaybki 3la lou3ba</t>
  </si>
  <si>
    <t>كايبكي علا لوعبا</t>
  </si>
  <si>
    <t>He is not going to his office</t>
  </si>
  <si>
    <t>maghadich ymchi l mkteb dyalo</t>
  </si>
  <si>
    <t>ماغاديش يمشي ل مكتب ديالو</t>
  </si>
  <si>
    <t>He is not feeling well</t>
  </si>
  <si>
    <t>makay7ssch brasou mzyan</t>
  </si>
  <si>
    <t>ماكايحسّش براسو مزيان</t>
  </si>
  <si>
    <t>He is not moving outside the city</t>
  </si>
  <si>
    <t>maghadich yr7el mn l mdina</t>
  </si>
  <si>
    <t>ماغاديش يرحل من ل مدينا</t>
  </si>
  <si>
    <t>He will not come to my birthday party</t>
  </si>
  <si>
    <t>maghadich yji l 7fla dyal 3id miladi</t>
  </si>
  <si>
    <t>ماغاديش يجي ل حفلا ديال عيد ميلادي</t>
  </si>
  <si>
    <t>The coach is not satisfied</t>
  </si>
  <si>
    <t>l mouderrib maraDich</t>
  </si>
  <si>
    <t>ل مودرّيب ماراضيش</t>
  </si>
  <si>
    <t>The player is not wearing his helmet</t>
  </si>
  <si>
    <t>l33ab malabesch l kask</t>
  </si>
  <si>
    <t>لعّاب مالابسش ل كاسك</t>
  </si>
  <si>
    <t>He stood on his tiptoes</t>
  </si>
  <si>
    <t>w9ef 3la sba3 rjli8</t>
  </si>
  <si>
    <t>وقف علا سباع رجليه</t>
  </si>
  <si>
    <t>He opened the door</t>
  </si>
  <si>
    <t>howwa 7ell lbab</t>
  </si>
  <si>
    <t>هووّا حلّ لباب</t>
  </si>
  <si>
    <t>He opens the jar carefully</t>
  </si>
  <si>
    <t>kay7ell l 9er3a bchwiyya</t>
  </si>
  <si>
    <t>كايحلّ ل قرعا بشوييّا</t>
  </si>
  <si>
    <t>He is crying</t>
  </si>
  <si>
    <t>kaybki</t>
  </si>
  <si>
    <t>كايبكي</t>
  </si>
  <si>
    <t>He is smiling</t>
  </si>
  <si>
    <t>kaybtasem</t>
  </si>
  <si>
    <t>كايبتاسم</t>
  </si>
  <si>
    <t>He is laughing</t>
  </si>
  <si>
    <t>kayd7ek</t>
  </si>
  <si>
    <t>كايدحك</t>
  </si>
  <si>
    <t>He is sleeping</t>
  </si>
  <si>
    <t>8owwa na3es</t>
  </si>
  <si>
    <t>هووّا ناعس</t>
  </si>
  <si>
    <t>He opened all the gifts</t>
  </si>
  <si>
    <t>fte7 ga3 l8adaya</t>
  </si>
  <si>
    <t>فتح ڭاع لهادايا</t>
  </si>
  <si>
    <t>He was eating and talking</t>
  </si>
  <si>
    <t>kan kayyakoul o kay8Der</t>
  </si>
  <si>
    <t>كان كايّاكول أُ كايهضر</t>
  </si>
  <si>
    <t>He is waiting for the train</t>
  </si>
  <si>
    <t>kaytsenna ttran</t>
  </si>
  <si>
    <t>كايتسنّا التران</t>
  </si>
  <si>
    <t>The train is late</t>
  </si>
  <si>
    <t>ttran m3eTTel bzzaf</t>
  </si>
  <si>
    <t>التران معطّل بزّاف</t>
  </si>
  <si>
    <t>His dog barks a lot</t>
  </si>
  <si>
    <t>l kelb dyalo kaynbe7 bzzaf</t>
  </si>
  <si>
    <t>ل كلب ديالو كاينبح بزّاف</t>
  </si>
  <si>
    <t>Does he play tennis?</t>
  </si>
  <si>
    <t>wach kayl3eb ttinis</t>
  </si>
  <si>
    <t>واش كايلعب التينيس</t>
  </si>
  <si>
    <t>Does he play football?</t>
  </si>
  <si>
    <t>wach kayl3eb l koura</t>
  </si>
  <si>
    <t>واش كايلعب ل كورا</t>
  </si>
  <si>
    <t>He speaks English at work</t>
  </si>
  <si>
    <t>kay8Der b longli f lkhdma</t>
  </si>
  <si>
    <t>كايهضر ب لونڭلي ف لخدما</t>
  </si>
  <si>
    <t>He has no money for the moment</t>
  </si>
  <si>
    <t>ma3ndouch flous daba</t>
  </si>
  <si>
    <t>ماعندوش فلوس دابا</t>
  </si>
  <si>
    <t>He doesn't listen to me</t>
  </si>
  <si>
    <t>He doesn't talk to me</t>
  </si>
  <si>
    <t>makay8Derch m3ya</t>
  </si>
  <si>
    <t>ماكايهضرش معيا</t>
  </si>
  <si>
    <t>He is sick</t>
  </si>
  <si>
    <t>8owwa mriD</t>
  </si>
  <si>
    <t>هووّا مريض</t>
  </si>
  <si>
    <t>Does he talk a lot?</t>
  </si>
  <si>
    <t>wach kay8Der bzzaf</t>
  </si>
  <si>
    <t>واش كايهضر بزّاف</t>
  </si>
  <si>
    <t>Does he drink tea?</t>
  </si>
  <si>
    <t>wach kaychreb atay</t>
  </si>
  <si>
    <t>واش كايشرب أتاي</t>
  </si>
  <si>
    <t>He has schoolwork to do</t>
  </si>
  <si>
    <t>3ndo ttamarin dyal mdrassa khsso ydir8oum</t>
  </si>
  <si>
    <t>عندو التامارين ديال مدراسّا خسّو يديرهوم</t>
  </si>
  <si>
    <t>The train leaves in 10 minutes</t>
  </si>
  <si>
    <t>ttran ghaymchi mn 8na l 3chra dyal dd9ay9</t>
  </si>
  <si>
    <t>التران غايمشي من هنا ل عشرا ديال الدقايق</t>
  </si>
  <si>
    <t>He takes out the trash</t>
  </si>
  <si>
    <t>kherrej m3a8 zzbel</t>
  </si>
  <si>
    <t>خرّج معاه الزبل</t>
  </si>
  <si>
    <t>He doesn't study on Monday</t>
  </si>
  <si>
    <t>makay9rach n8ar ttnin</t>
  </si>
  <si>
    <t>ماكايقراش نهار التنين</t>
  </si>
  <si>
    <t>He swims every morning</t>
  </si>
  <si>
    <t>kay3oum koul Sba7</t>
  </si>
  <si>
    <t>كايعوم كول صباح</t>
  </si>
  <si>
    <t>The course starts next week</t>
  </si>
  <si>
    <t>l9raya ghadi tbda ssimana jjayya</t>
  </si>
  <si>
    <t>لقرايا غادي تبدا السيمانا الجايّا</t>
  </si>
  <si>
    <t>He doesn't wash the dishes</t>
  </si>
  <si>
    <t>makayghselch l mma3en</t>
  </si>
  <si>
    <t>ماكايغسلش ل الماعن</t>
  </si>
  <si>
    <t>He always forgets his purse</t>
  </si>
  <si>
    <t>dima kaynsa bzTamou</t>
  </si>
  <si>
    <t>ديما كاينسا بزطامو</t>
  </si>
  <si>
    <t>He doesn't have children</t>
  </si>
  <si>
    <t>ma3ndouch ddrari</t>
  </si>
  <si>
    <t>ماعندوش الدراري</t>
  </si>
  <si>
    <t>He won't go to school tomorrow</t>
  </si>
  <si>
    <t>maghadich ymchi l mdraSa ghdda</t>
  </si>
  <si>
    <t>ماغاديش يمشي ل مدراصا غدّا</t>
  </si>
  <si>
    <t>He talks very fast</t>
  </si>
  <si>
    <t>He does the laundry</t>
  </si>
  <si>
    <t>kaySbben</t>
  </si>
  <si>
    <t>كايصبّن</t>
  </si>
  <si>
    <t>He is knocking the door</t>
  </si>
  <si>
    <t>kayde99 f lbab</t>
  </si>
  <si>
    <t>كايدقّ ف لباب</t>
  </si>
  <si>
    <t>Everything is ready for the party</t>
  </si>
  <si>
    <t>koulchi wajed lel7efla</t>
  </si>
  <si>
    <t>كولشي واجد للحفلا</t>
  </si>
  <si>
    <t>No one will come after him</t>
  </si>
  <si>
    <t>7tta wa7ed maghadi yji moura8</t>
  </si>
  <si>
    <t>حتّا واحد ماغادي يجي موراه</t>
  </si>
  <si>
    <t>He went fishing</t>
  </si>
  <si>
    <t>mcha kaySeyyed</t>
  </si>
  <si>
    <t>مشا كايصيّد</t>
  </si>
  <si>
    <t>He is very lazy</t>
  </si>
  <si>
    <t>m3gaz bzzaf</t>
  </si>
  <si>
    <t>معڭاز بزّاف</t>
  </si>
  <si>
    <t>He would like to help you</t>
  </si>
  <si>
    <t>ghadi ybghi y3awnek</t>
  </si>
  <si>
    <t>غادي يبغي يعاونك</t>
  </si>
  <si>
    <t>He will get himself a coffee</t>
  </si>
  <si>
    <t>ghadi yjib lraSo 98wa</t>
  </si>
  <si>
    <t>غادي يجيب لراصو قهوا</t>
  </si>
  <si>
    <t>He doesn't go to the gym</t>
  </si>
  <si>
    <t>makaymchich l laSal</t>
  </si>
  <si>
    <t>ماكايمشيش ل لاصال</t>
  </si>
  <si>
    <t>He is learning English by himself</t>
  </si>
  <si>
    <t>kayt3llem longli bbou7dou</t>
  </si>
  <si>
    <t>كايتعلّم لونڭلي البوحدو</t>
  </si>
  <si>
    <t>He isn't telling the truth</t>
  </si>
  <si>
    <t>makay9oulch l7a9i9a</t>
  </si>
  <si>
    <t>ماكايقولش لحاقيقا</t>
  </si>
  <si>
    <t>He killed him</t>
  </si>
  <si>
    <t>8owwa li 9tlou</t>
  </si>
  <si>
    <t>هووّا لي قتلو</t>
  </si>
  <si>
    <t>He is not an engineer</t>
  </si>
  <si>
    <t>8owwa machi mou8ndis</t>
  </si>
  <si>
    <t>هووّا ماشي موهنديس</t>
  </si>
  <si>
    <t>He likes to paint by himself</t>
  </si>
  <si>
    <t>kay3jbo yrSem bbou7dou</t>
  </si>
  <si>
    <t>كايعجبو يرصم البوحدو</t>
  </si>
  <si>
    <t>He will not come with me</t>
  </si>
  <si>
    <t>maghadich yji m3aya</t>
  </si>
  <si>
    <t>ماغاديش يجي معايا</t>
  </si>
  <si>
    <t>He really need someone</t>
  </si>
  <si>
    <t>8owwa fi3lan m7taj lchi wa7ed</t>
  </si>
  <si>
    <t>هووّا فيعلان محتاج لشي واحد</t>
  </si>
  <si>
    <t>He can speak three languages</t>
  </si>
  <si>
    <t>kay9der y8Der tlata d lloughat</t>
  </si>
  <si>
    <t>كايقدر يهضر تلاتا د اللوغات</t>
  </si>
  <si>
    <t>He can play the piano</t>
  </si>
  <si>
    <t>kay3ref y3zef l ppyano</t>
  </si>
  <si>
    <t>كايعرف يعزف ل الپيانو</t>
  </si>
  <si>
    <t>He is reading a book</t>
  </si>
  <si>
    <t>kay9ra ktab</t>
  </si>
  <si>
    <t>كايقرا كتاب</t>
  </si>
  <si>
    <t>He likes to play soccer</t>
  </si>
  <si>
    <t>kay3jbo yl3b lkora</t>
  </si>
  <si>
    <t>كايعجبو يلعب لكورا</t>
  </si>
  <si>
    <t>He is going to the beach</t>
  </si>
  <si>
    <t>ghadi ymchi l b7er</t>
  </si>
  <si>
    <t>غادي يمشي ل بحر</t>
  </si>
  <si>
    <t>He drinks a glass of water</t>
  </si>
  <si>
    <t>kaychreb kas dyal lma</t>
  </si>
  <si>
    <t>كايشرب كاس ديال لما</t>
  </si>
  <si>
    <t>He likes pizza</t>
  </si>
  <si>
    <t>kat3jbo lppidza</t>
  </si>
  <si>
    <t>كاتعجبو لپّيدزا</t>
  </si>
  <si>
    <t>He is going home</t>
  </si>
  <si>
    <t>ghadi lddar</t>
  </si>
  <si>
    <t>غادي لدّار</t>
  </si>
  <si>
    <t>He is singing a song</t>
  </si>
  <si>
    <t>kayghni oghniyya</t>
  </si>
  <si>
    <t>كايغني أُغنييّا</t>
  </si>
  <si>
    <t>He is writing a letter</t>
  </si>
  <si>
    <t>kaykteb risala</t>
  </si>
  <si>
    <t>كايكتب ريسالا</t>
  </si>
  <si>
    <t>He takes a shower</t>
  </si>
  <si>
    <t>kaydewwech</t>
  </si>
  <si>
    <t>كايدوّش</t>
  </si>
  <si>
    <t>He went shopping</t>
  </si>
  <si>
    <t>mcha yt9dda</t>
  </si>
  <si>
    <t>مشا يتقدّا</t>
  </si>
  <si>
    <t>He is listening to music</t>
  </si>
  <si>
    <t>kaysme3 lmouSi9a</t>
  </si>
  <si>
    <t>كايسمع لموصيقا</t>
  </si>
  <si>
    <t>He is watching TV</t>
  </si>
  <si>
    <t>kaytferej f ttelfaza</t>
  </si>
  <si>
    <t>كايتفرج ف التلفازا</t>
  </si>
  <si>
    <t>He slept well</t>
  </si>
  <si>
    <t>n3es mzyan</t>
  </si>
  <si>
    <t>نعس مزيان</t>
  </si>
  <si>
    <t>He went for a walk</t>
  </si>
  <si>
    <t>khrej ytmchcha</t>
  </si>
  <si>
    <t>خرج يتمشّا</t>
  </si>
  <si>
    <t>He is taking a nap</t>
  </si>
  <si>
    <t>ra8 mtekki chwiyya</t>
  </si>
  <si>
    <t>راه متكّي شوييّا</t>
  </si>
  <si>
    <t>He is having a picnic</t>
  </si>
  <si>
    <t>ra8 dayer lppiknik</t>
  </si>
  <si>
    <t>راه داير لپّيكنيك</t>
  </si>
  <si>
    <t>He is cleaning his room</t>
  </si>
  <si>
    <t>kayn99i bitou</t>
  </si>
  <si>
    <t>كاينقّي بيتو</t>
  </si>
  <si>
    <t>He is calling his friend</t>
  </si>
  <si>
    <t>kay3yyet l Sa7bo</t>
  </si>
  <si>
    <t>كايعيّت ل صاحبو</t>
  </si>
  <si>
    <t>He is eating a sandwich</t>
  </si>
  <si>
    <t>kayyakol sondwitch</t>
  </si>
  <si>
    <t>كايّاكول سوندويتش</t>
  </si>
  <si>
    <t>He is playing cards</t>
  </si>
  <si>
    <t>kayl3b l karTa</t>
  </si>
  <si>
    <t>كايلعب ل كارطا</t>
  </si>
  <si>
    <t>He is running in the park</t>
  </si>
  <si>
    <t>kayjri f jjerDa</t>
  </si>
  <si>
    <t>كايجري ف الجرضا</t>
  </si>
  <si>
    <t>He is watching the sunset</t>
  </si>
  <si>
    <t>kaychouf ghouroub chchams</t>
  </si>
  <si>
    <t>كايشوف غوروب الشامس</t>
  </si>
  <si>
    <t>He takes a Taxi</t>
  </si>
  <si>
    <t>ched Taxi</t>
  </si>
  <si>
    <t>شد طاشي</t>
  </si>
  <si>
    <t>He writes a story</t>
  </si>
  <si>
    <t>kaykteb 9iSSa</t>
  </si>
  <si>
    <t>كايكتب قيصّا</t>
  </si>
  <si>
    <t>He plays with the cat</t>
  </si>
  <si>
    <t>kayl3b m3a l 9TTa</t>
  </si>
  <si>
    <t>كايلعب معا ل قطّا</t>
  </si>
  <si>
    <t>He fixed the car</t>
  </si>
  <si>
    <t>sle7 TTomobil</t>
  </si>
  <si>
    <t>سلح الطوموبيل</t>
  </si>
  <si>
    <t>He went to the museum</t>
  </si>
  <si>
    <t>mcha l met7ef</t>
  </si>
  <si>
    <t>مشا ل متحف</t>
  </si>
  <si>
    <t>He did his homework</t>
  </si>
  <si>
    <t>dar ttamarin dyalo</t>
  </si>
  <si>
    <t>دار التامارين ديالو</t>
  </si>
  <si>
    <t>He went to the doctor</t>
  </si>
  <si>
    <t>mcha 3nd TTbib</t>
  </si>
  <si>
    <t>مشا عند الطبيب</t>
  </si>
  <si>
    <t>He had a barbecue</t>
  </si>
  <si>
    <t>dar chewwaya</t>
  </si>
  <si>
    <t>دار شوّايا</t>
  </si>
  <si>
    <t>He went shopping online</t>
  </si>
  <si>
    <t>kayt9dda mn l internet</t>
  </si>
  <si>
    <t>كايتقدّا من ل إنترنت</t>
  </si>
  <si>
    <t>He called his mom</t>
  </si>
  <si>
    <t>3eyeT lwalida dyalo</t>
  </si>
  <si>
    <t>عيط لواليدا ديالو</t>
  </si>
  <si>
    <t>He had a meeting</t>
  </si>
  <si>
    <t>kan 3ndo jtima3</t>
  </si>
  <si>
    <t>كان عندو جتيماع</t>
  </si>
  <si>
    <t>He went to the zoo</t>
  </si>
  <si>
    <t>mcha l 7adi9at l 7ayawanat</t>
  </si>
  <si>
    <t>مشا ل حاديقات ل حاياوانات</t>
  </si>
  <si>
    <t>He watched a documentary</t>
  </si>
  <si>
    <t>tferrej f brnamaj wata2i9i</t>
  </si>
  <si>
    <t>تفرّج ف برناماج واتاإقي</t>
  </si>
  <si>
    <t>He went to a comedy show</t>
  </si>
  <si>
    <t>mcha ytferrj f sketch</t>
  </si>
  <si>
    <t>مشا يتفرّج ف سكتش</t>
  </si>
  <si>
    <t>He had a conversation with his boss</t>
  </si>
  <si>
    <t>kan kay8Der m3a lmoudir dyalo</t>
  </si>
  <si>
    <t>كان كايهضر معا لمودير ديالو</t>
  </si>
  <si>
    <t>He went to a charity event</t>
  </si>
  <si>
    <t>mcha l3amal khayri</t>
  </si>
  <si>
    <t>مشا لعامال خايري</t>
  </si>
  <si>
    <t>He went to a flea market</t>
  </si>
  <si>
    <t>mcha l marchi dyal lbal</t>
  </si>
  <si>
    <t>مشا ل مارشي ديال لبال</t>
  </si>
  <si>
    <t>I eat cookies</t>
  </si>
  <si>
    <t>kannakol kokiz</t>
  </si>
  <si>
    <t>كانّاكول كوكيز</t>
  </si>
  <si>
    <t>He went to a fashion show</t>
  </si>
  <si>
    <t>mcha ytferrj f 3ard l 2azya2</t>
  </si>
  <si>
    <t>مشا يتفرّج ف عارد ل أزياء</t>
  </si>
  <si>
    <t>He wrote a poetry</t>
  </si>
  <si>
    <t>kteb wa7ed 9aSida chi3riyya</t>
  </si>
  <si>
    <t>كتب واحد قاصيدا شيعرييّا</t>
  </si>
  <si>
    <t>He went to a science museum</t>
  </si>
  <si>
    <t>mcha l mt7ef l 3ouloum</t>
  </si>
  <si>
    <t>مشا ل متحف ل عولوم</t>
  </si>
  <si>
    <t>He watched a cooking show</t>
  </si>
  <si>
    <t>tferrej f brnamaj dyal TTabkh</t>
  </si>
  <si>
    <t>تفرّج ف برناماج ديال الطابخ</t>
  </si>
  <si>
    <t>He went to a spa</t>
  </si>
  <si>
    <t>mcha l 7emmam</t>
  </si>
  <si>
    <t>مشا ل حمّام</t>
  </si>
  <si>
    <t>He went to a knitting club</t>
  </si>
  <si>
    <t>mcha lwa7ed nnadi dyal l7iyaka</t>
  </si>
  <si>
    <t>مشا لواحد النادي ديال لحيياكا</t>
  </si>
  <si>
    <t>He is happy</t>
  </si>
  <si>
    <t>8owwa fer7an</t>
  </si>
  <si>
    <t>هووّا فرحان</t>
  </si>
  <si>
    <t>He is tall</t>
  </si>
  <si>
    <t>8owwa Twil</t>
  </si>
  <si>
    <t>He is short</t>
  </si>
  <si>
    <t>8owwa 9Sir</t>
  </si>
  <si>
    <t>He is skinny</t>
  </si>
  <si>
    <t>8owwa R9i9</t>
  </si>
  <si>
    <t>هووّا رقيق</t>
  </si>
  <si>
    <t>He runs fast</t>
  </si>
  <si>
    <t>kayjri bzzerba</t>
  </si>
  <si>
    <t>كايجري بزّربا</t>
  </si>
  <si>
    <t>He likes ice cream.</t>
  </si>
  <si>
    <t>kay3jbo la glaS</t>
  </si>
  <si>
    <t>كايعجبو لا ڭلاص</t>
  </si>
  <si>
    <t>It's raining outside</t>
  </si>
  <si>
    <t>kaTTi7 chchta 3la berra</t>
  </si>
  <si>
    <t>كاطّيح الشتا علا برّا</t>
  </si>
  <si>
    <t>Today is a sunny day</t>
  </si>
  <si>
    <t>lyoum n8ar mchemmech</t>
  </si>
  <si>
    <t>ليوم نهار مشمّش</t>
  </si>
  <si>
    <t>He has a car</t>
  </si>
  <si>
    <t>3ndo tomobil</t>
  </si>
  <si>
    <t>عندو توموبيل</t>
  </si>
  <si>
    <t>He loves to read</t>
  </si>
  <si>
    <t>kaybghi y9ra</t>
  </si>
  <si>
    <t>كايبغي يقرا</t>
  </si>
  <si>
    <t>He cooked dinner</t>
  </si>
  <si>
    <t>teyyeb l3cha</t>
  </si>
  <si>
    <t>تيّب لعشا</t>
  </si>
  <si>
    <t>He went shopping for clothes</t>
  </si>
  <si>
    <t>mcha ychri l7wayej</t>
  </si>
  <si>
    <t>مشا يشري لحوايج</t>
  </si>
  <si>
    <t>He watched TV all day</t>
  </si>
  <si>
    <t>kaytferrej f ttelfaza nn8ar kaml</t>
  </si>
  <si>
    <t>كايتفرّج ف التلفازا النهار كامل</t>
  </si>
  <si>
    <t>He rode his bike to work</t>
  </si>
  <si>
    <t>mcha b lppikala l khdma</t>
  </si>
  <si>
    <t>مشا ب لپّيكالا ل خدما</t>
  </si>
  <si>
    <t>He swam in the pool</t>
  </si>
  <si>
    <t>3am f la ppisin</t>
  </si>
  <si>
    <t>عام ف لا الپيسين</t>
  </si>
  <si>
    <t>He danced at the wedding</t>
  </si>
  <si>
    <t>chte7 f l 3ers</t>
  </si>
  <si>
    <t>شتح ف ل عرس</t>
  </si>
  <si>
    <t>He run a marathon</t>
  </si>
  <si>
    <t>jra f l maraTon</t>
  </si>
  <si>
    <t>جرا ف ل ماراطون</t>
  </si>
  <si>
    <t>He traveled to Europe</t>
  </si>
  <si>
    <t>safer l oroppa</t>
  </si>
  <si>
    <t>سافر ل أُروپّا</t>
  </si>
  <si>
    <t>He went camping in the mountains</t>
  </si>
  <si>
    <t>mcha ykheyym f jjbal</t>
  </si>
  <si>
    <t>مشا يخيّم ف الجبال</t>
  </si>
  <si>
    <t>He took his kids to the cinema</t>
  </si>
  <si>
    <t>dda wlado l ssinima</t>
  </si>
  <si>
    <t>الدا ولادو ل السينيما</t>
  </si>
  <si>
    <t>He painted his room a new color</t>
  </si>
  <si>
    <t>sbegh bitou b loun jdid</t>
  </si>
  <si>
    <t>سبغ بيتو ب لون جديد</t>
  </si>
  <si>
    <t>He visited his grandparents</t>
  </si>
  <si>
    <t>mcha zar jddou o jddatou</t>
  </si>
  <si>
    <t>مشا زار جدّو أُ جدّاتو</t>
  </si>
  <si>
    <t>He cleaned his room</t>
  </si>
  <si>
    <t>khmmel bitou</t>
  </si>
  <si>
    <t>خمّل بيتو</t>
  </si>
  <si>
    <t>He went to the dentist</t>
  </si>
  <si>
    <t>mcha 3nd ddontist</t>
  </si>
  <si>
    <t>مشا عند الدونتيست</t>
  </si>
  <si>
    <t>He went to the library</t>
  </si>
  <si>
    <t>mcha l mktaba</t>
  </si>
  <si>
    <t>مشا ل مكتابا</t>
  </si>
  <si>
    <t>He watched the sunset</t>
  </si>
  <si>
    <t>chaf ghouroub chchams</t>
  </si>
  <si>
    <t>شاف غوروب الشامس</t>
  </si>
  <si>
    <t>He took a hot shower</t>
  </si>
  <si>
    <t>khda douch skhoun</t>
  </si>
  <si>
    <t>خدا دوش سخون</t>
  </si>
  <si>
    <t>He read a book in the park</t>
  </si>
  <si>
    <t>9ra ktab f jjerda</t>
  </si>
  <si>
    <t>قرا كتاب ف الجردا</t>
  </si>
  <si>
    <t>He learned a new recipe</t>
  </si>
  <si>
    <t>t3ellem wSfa jdida</t>
  </si>
  <si>
    <t>تعلّم وصفا جديدا</t>
  </si>
  <si>
    <t>He is here</t>
  </si>
  <si>
    <t>8a8owwa 8na</t>
  </si>
  <si>
    <t>هاهووّا هنا</t>
  </si>
  <si>
    <t>He is a musician</t>
  </si>
  <si>
    <t>8owwa mousi9i</t>
  </si>
  <si>
    <t>هووّا موسيقي</t>
  </si>
  <si>
    <t>He enjoys fishing</t>
  </si>
  <si>
    <t>kay3jbo ySeyyed</t>
  </si>
  <si>
    <t>كايعجبو يصيّد</t>
  </si>
  <si>
    <t>He enjoys natural walks</t>
  </si>
  <si>
    <t>kay3jbo ytmchcha f TTabi3a</t>
  </si>
  <si>
    <t>كايعجبو يتمشّا ف الطابيعا</t>
  </si>
  <si>
    <t>He needs a break</t>
  </si>
  <si>
    <t>m7taj rra7a</t>
  </si>
  <si>
    <t>محتاج الراحا</t>
  </si>
  <si>
    <t>He helps others</t>
  </si>
  <si>
    <t>kay3awen nnas</t>
  </si>
  <si>
    <t>كايعاون الناس</t>
  </si>
  <si>
    <t>He learns new things</t>
  </si>
  <si>
    <t>kayt3llem 7wayj jdad</t>
  </si>
  <si>
    <t>كايتعلّم حوايج جداد</t>
  </si>
  <si>
    <t>He eats quickly</t>
  </si>
  <si>
    <t>kayyakoul bzzerba</t>
  </si>
  <si>
    <t>Wash your hands</t>
  </si>
  <si>
    <t>Did he wash his face?</t>
  </si>
  <si>
    <t>wach ghsel wj8o?</t>
  </si>
  <si>
    <t>واش غسل وجهو?</t>
  </si>
  <si>
    <t>Whose kid is this?</t>
  </si>
  <si>
    <t>8ad derri weld chkoun?</t>
  </si>
  <si>
    <t>هاد درّي ولد شكون?</t>
  </si>
  <si>
    <t>What is going on?</t>
  </si>
  <si>
    <t>chno wa9e3?</t>
  </si>
  <si>
    <t>شنو واقع?</t>
  </si>
  <si>
    <t>Look at the sky</t>
  </si>
  <si>
    <t>chouf ssma</t>
  </si>
  <si>
    <t>شوف السما</t>
  </si>
  <si>
    <t>Close the wardrobe</t>
  </si>
  <si>
    <t>sedd lmaryo</t>
  </si>
  <si>
    <t>سدّ لماريو</t>
  </si>
  <si>
    <t>Where is your friend?</t>
  </si>
  <si>
    <t>fin Sa7bek?</t>
  </si>
  <si>
    <t>فين صاحبك?</t>
  </si>
  <si>
    <t>Don't be late for the class</t>
  </si>
  <si>
    <t>mat3eTTelch 3la l 7iSSa</t>
  </si>
  <si>
    <t>ماتعطّلش علا ل حيصّا</t>
  </si>
  <si>
    <t>It is not true</t>
  </si>
  <si>
    <t>machi bSSe7</t>
  </si>
  <si>
    <t>ماشي بصّح</t>
  </si>
  <si>
    <t>Go and sleep on your bed</t>
  </si>
  <si>
    <t>sir n3es f blaStek</t>
  </si>
  <si>
    <t>سير نعس ف بلاصتك</t>
  </si>
  <si>
    <t>Respect your elders</t>
  </si>
  <si>
    <t>7tarem nnas li kber mnnek</t>
  </si>
  <si>
    <t>حتارم الناس لي كبر منّك</t>
  </si>
  <si>
    <t>Where are my clothes?</t>
  </si>
  <si>
    <t>fin 8oma 7wayji?</t>
  </si>
  <si>
    <t>فين هوما حوايجي?</t>
  </si>
  <si>
    <t>The moon is shining</t>
  </si>
  <si>
    <t>l9amar kaylme3</t>
  </si>
  <si>
    <t>لقامار كايلمع</t>
  </si>
  <si>
    <t>He is afraid of darkness</t>
  </si>
  <si>
    <t>kaykhaf mn DDlam</t>
  </si>
  <si>
    <t>كايخاف من الضلام</t>
  </si>
  <si>
    <t>You may fall</t>
  </si>
  <si>
    <t>t9der TTi7</t>
  </si>
  <si>
    <t>تقدر الطيح</t>
  </si>
  <si>
    <t>You have to calm down</t>
  </si>
  <si>
    <t>khaSSek t8edden</t>
  </si>
  <si>
    <t>خاصّك تهدّن</t>
  </si>
  <si>
    <t>He borrowed a book from the library</t>
  </si>
  <si>
    <t>tsellef ktab mn lmktaba</t>
  </si>
  <si>
    <t>تسلّف كتاب من لمكتابا</t>
  </si>
  <si>
    <t>Go and attend the class</t>
  </si>
  <si>
    <t>sir w 7Der l 7ISSa</t>
  </si>
  <si>
    <t>سير و حضر ل حيصّا</t>
  </si>
  <si>
    <t>This period is boring</t>
  </si>
  <si>
    <t>8ad lmar7ala moumilla</t>
  </si>
  <si>
    <t>هاد لمارحالا موميلّا</t>
  </si>
  <si>
    <t>He is not going anywhere</t>
  </si>
  <si>
    <t>magahdich ymchi l7tta blaSa</t>
  </si>
  <si>
    <t>ماڭاهديش يمشي لحتّا بلاصا</t>
  </si>
  <si>
    <t>The homework is very easy</t>
  </si>
  <si>
    <t>ttmrin sa8l bzzaf</t>
  </si>
  <si>
    <t>التمرين ساهل بزّاف</t>
  </si>
  <si>
    <t>you may fall asleep</t>
  </si>
  <si>
    <t>y9der yddik nn3as</t>
  </si>
  <si>
    <t>يقدر يدّيك النعاس</t>
  </si>
  <si>
    <t>He comes to school by bus</t>
  </si>
  <si>
    <t>kayji lmDraSa b TTobis</t>
  </si>
  <si>
    <t>كايجي لمضراصا ب الطوبيس</t>
  </si>
  <si>
    <t>He is disturbing me</t>
  </si>
  <si>
    <t>kayberzTni</t>
  </si>
  <si>
    <t>كايبرزطني</t>
  </si>
  <si>
    <t>He wants to be successful</t>
  </si>
  <si>
    <t>bgha ykoun naje7</t>
  </si>
  <si>
    <t>بغا يكون ناجح</t>
  </si>
  <si>
    <t>Listen to your elders</t>
  </si>
  <si>
    <t>sme3 l nnas li kber mnnk</t>
  </si>
  <si>
    <t>سمع ل الناس لي كبر منّك</t>
  </si>
  <si>
    <t>Don't make noise</t>
  </si>
  <si>
    <t>maddirch SSDa3</t>
  </si>
  <si>
    <t>مادّيرش الصضاع</t>
  </si>
  <si>
    <t>Stop talking in the classroom</t>
  </si>
  <si>
    <t>matb9ach t8Der f l9iSm</t>
  </si>
  <si>
    <t>ماتبقاش تهضر ف لقيصم</t>
  </si>
  <si>
    <t>How dare you say that?</t>
  </si>
  <si>
    <t>kifach tjer2ti t9ol 8adchchi</t>
  </si>
  <si>
    <t>كيفاش تجرءتي تقول هادشّي</t>
  </si>
  <si>
    <t>He wants to play with his friends</t>
  </si>
  <si>
    <t>bgha yl3eb m3a S7abou</t>
  </si>
  <si>
    <t>بغا يلعب معا صحابو</t>
  </si>
  <si>
    <t>He is getting late for school</t>
  </si>
  <si>
    <t>t3eTTel 3la lmdraSa</t>
  </si>
  <si>
    <t>تعطّل علا لمدراصا</t>
  </si>
  <si>
    <t>His father always drops him at school</t>
  </si>
  <si>
    <t>bBa8 dima kaywSSlou l mdraSa</t>
  </si>
  <si>
    <t>الباه ديما كايوصّلو ل مدراصا</t>
  </si>
  <si>
    <t>My friend is absent today</t>
  </si>
  <si>
    <t>sa7bi tgheyyeb lyoum</t>
  </si>
  <si>
    <t>ساحبي تغيّب ليوم</t>
  </si>
  <si>
    <t>Clean the blackboard</t>
  </si>
  <si>
    <t>mse7 Sbboura</t>
  </si>
  <si>
    <t>مسح صبّورا</t>
  </si>
  <si>
    <t>Tomorrow will be a holiday</t>
  </si>
  <si>
    <t>ghdda ghatkoun 3otla</t>
  </si>
  <si>
    <t>غدّا غاتكون عوتلا</t>
  </si>
  <si>
    <t>Where are my shoes?</t>
  </si>
  <si>
    <t>fin 8owwa SbbaTI</t>
  </si>
  <si>
    <t>فين هووّا صبّاطي</t>
  </si>
  <si>
    <t>You are right</t>
  </si>
  <si>
    <t>3ndek SSe7</t>
  </si>
  <si>
    <t>عندك الصح</t>
  </si>
  <si>
    <t>He cuts his hair and nails</t>
  </si>
  <si>
    <t>9TTe3 che3rou o Dfarou</t>
  </si>
  <si>
    <t>قطّع شعرو أُ ضفارو</t>
  </si>
  <si>
    <t>coffee is unhealthy</t>
  </si>
  <si>
    <t>l9e8wa moDirra bSSe77a</t>
  </si>
  <si>
    <t>لقهوا موضيرّا بصّحّا</t>
  </si>
  <si>
    <t>The bird is sitting on the branch</t>
  </si>
  <si>
    <t>tTir gales fo9 lghoSn</t>
  </si>
  <si>
    <t>تطير ڭالس فوق لغوصن</t>
  </si>
  <si>
    <t>Keep this a secret</t>
  </si>
  <si>
    <t>khli 8adchchi sirr</t>
  </si>
  <si>
    <t>خلي هادشّي سيرّ</t>
  </si>
  <si>
    <t>close the door please</t>
  </si>
  <si>
    <t>sedd m3ak lbab 3afak</t>
  </si>
  <si>
    <t>سدّ معاك لباب عافاك</t>
  </si>
  <si>
    <t>Go straight, then take the first left</t>
  </si>
  <si>
    <t>sir nichan o dor 3la lliSer</t>
  </si>
  <si>
    <t>سير نيشان أُ دور علا الليصر</t>
  </si>
  <si>
    <t>What is troubling you?</t>
  </si>
  <si>
    <t>chnou mberzTek?</t>
  </si>
  <si>
    <t>شنو مبرزطك?</t>
  </si>
  <si>
    <t>Come closer to me</t>
  </si>
  <si>
    <t>9erreb liyya</t>
  </si>
  <si>
    <t>قرّب لييّا</t>
  </si>
  <si>
    <t>He was bathing his kids</t>
  </si>
  <si>
    <t>kan kayghsel lwlado</t>
  </si>
  <si>
    <t>كان كايغسل لولادو</t>
  </si>
  <si>
    <t>Our teacher is very good at teaching</t>
  </si>
  <si>
    <t>l2ostad dyalna kay3ref y9erri mzyan</t>
  </si>
  <si>
    <t>لأستاد ديالنا كايعرف يقرّي مزيان</t>
  </si>
  <si>
    <t>Where is my book?</t>
  </si>
  <si>
    <t>fin 8owwa lktab dyali?</t>
  </si>
  <si>
    <t>فين هووّا لكتاب ديالي?</t>
  </si>
  <si>
    <t>Complete your breakfast</t>
  </si>
  <si>
    <t>kmmel fTorek</t>
  </si>
  <si>
    <t>كمّل فطورك</t>
  </si>
  <si>
    <t>Think about yourself</t>
  </si>
  <si>
    <t>fkker f raSek</t>
  </si>
  <si>
    <t>فكّر ف راصك</t>
  </si>
  <si>
    <t>His father is a businessman</t>
  </si>
  <si>
    <t>baba8 rajoul a3mal</t>
  </si>
  <si>
    <t>باباه راجول أعمال</t>
  </si>
  <si>
    <t>How long will he stay here?</t>
  </si>
  <si>
    <t>ch7al dyal lwe9t ghadi yb9a 8na?</t>
  </si>
  <si>
    <t>شحال ديال لوقت غادي يبقا هنا?</t>
  </si>
  <si>
    <t>Mark my words</t>
  </si>
  <si>
    <t>39el 3la 8Derti</t>
  </si>
  <si>
    <t>عقل علا هضرتي</t>
  </si>
  <si>
    <t>He can not understand</t>
  </si>
  <si>
    <t>ma9derch yf8em</t>
  </si>
  <si>
    <t>ماقدرش يفهم</t>
  </si>
  <si>
    <t>It doesn't matter</t>
  </si>
  <si>
    <t>makay8emmch</t>
  </si>
  <si>
    <t>ماكايهمّش</t>
  </si>
  <si>
    <t>This is not fair</t>
  </si>
  <si>
    <t>8adchchi machi m39oul</t>
  </si>
  <si>
    <t>هادشّي ماشي معقول</t>
  </si>
  <si>
    <t>As soon as possible</t>
  </si>
  <si>
    <t>f 2a9rab wa9t moumkin</t>
  </si>
  <si>
    <t>ف أقراب واقت مومكين</t>
  </si>
  <si>
    <t>See you</t>
  </si>
  <si>
    <t>ntchawfou</t>
  </si>
  <si>
    <t>نتشاوفو</t>
  </si>
  <si>
    <t>The matter is clear</t>
  </si>
  <si>
    <t>l9aDiyya bayna</t>
  </si>
  <si>
    <t>لقاضييّا باينا</t>
  </si>
  <si>
    <t>What did he say?</t>
  </si>
  <si>
    <t>chnou 9al?</t>
  </si>
  <si>
    <t>شنو قال?</t>
  </si>
  <si>
    <t>How much do you sell it?</t>
  </si>
  <si>
    <t>bch7al katbi3o?</t>
  </si>
  <si>
    <t>بشحال كاتبيعو?</t>
  </si>
  <si>
    <t>What can I do for you?</t>
  </si>
  <si>
    <t>chnou n9der ndir lik?</t>
  </si>
  <si>
    <t>شنو نقدر ندير ليك?</t>
  </si>
  <si>
    <t>I hope he understands</t>
  </si>
  <si>
    <t>kantmnna yf8em</t>
  </si>
  <si>
    <t>كانتمنّا يفهم</t>
  </si>
  <si>
    <t>Do you have some money?</t>
  </si>
  <si>
    <t>3ndek chi flous?</t>
  </si>
  <si>
    <t>عندك شي فلوس?</t>
  </si>
  <si>
    <t>What's the time by your watch?</t>
  </si>
  <si>
    <t>ch7al 3ndek f ssa3a?</t>
  </si>
  <si>
    <t>شحال عندك ف الساعا?</t>
  </si>
  <si>
    <t>Do you need anything?</t>
  </si>
  <si>
    <t>yakma khaSSak chi 7aja?</t>
  </si>
  <si>
    <t>ياكما خاصّاك شي حاجا?</t>
  </si>
  <si>
    <t>He doesn't know telling a lie</t>
  </si>
  <si>
    <t>makay3refch ykdeb</t>
  </si>
  <si>
    <t>ماكايعرفش يكدب</t>
  </si>
  <si>
    <t>Don't worry!</t>
  </si>
  <si>
    <t>matkhafch</t>
  </si>
  <si>
    <t>ماتخافش</t>
  </si>
  <si>
    <t>He doesn't want to</t>
  </si>
  <si>
    <t>mabghach</t>
  </si>
  <si>
    <t>مابغاش</t>
  </si>
  <si>
    <t>Watch out!</t>
  </si>
  <si>
    <t>chouf chouf</t>
  </si>
  <si>
    <t>شوف شوف</t>
  </si>
  <si>
    <t>Don't move!</t>
  </si>
  <si>
    <t>mat7errekch</t>
  </si>
  <si>
    <t>ماتحرّكش</t>
  </si>
  <si>
    <t>He looks nervous</t>
  </si>
  <si>
    <t>kayban mtwetter</t>
  </si>
  <si>
    <t>كايبان متوتّر</t>
  </si>
  <si>
    <t>He looks angry</t>
  </si>
  <si>
    <t>kayban m3SSeb</t>
  </si>
  <si>
    <t>كايبان معصّب</t>
  </si>
  <si>
    <t>What is your problem?</t>
  </si>
  <si>
    <t>chnou mouchkiltek?</t>
  </si>
  <si>
    <t>شنو موشكيلتك?</t>
  </si>
  <si>
    <t>lli bghiti</t>
  </si>
  <si>
    <t>اللي بغيتي</t>
  </si>
  <si>
    <t>Put the books in order</t>
  </si>
  <si>
    <t>sttef lktouba b ttertib</t>
  </si>
  <si>
    <t>ستّف لكتوبا ب الترتيب</t>
  </si>
  <si>
    <t>He will call you later</t>
  </si>
  <si>
    <t>ghadi y3eyyet lik mn be3d</t>
  </si>
  <si>
    <t>غادي يعيّت ليك من بعد</t>
  </si>
  <si>
    <t>Thank you for inviting us</t>
  </si>
  <si>
    <t>chokran 7it 3redti 3lina</t>
  </si>
  <si>
    <t>شوكران حيت عردتي علينا</t>
  </si>
  <si>
    <t>Are you coming?</t>
  </si>
  <si>
    <t>wach jay?</t>
  </si>
  <si>
    <t>واش جاي?</t>
  </si>
  <si>
    <t>He has no idea</t>
  </si>
  <si>
    <t>ma3ndo 7tta fikra</t>
  </si>
  <si>
    <t>ماعندو حتّا فيكرا</t>
  </si>
  <si>
    <t>He is feeling tired today</t>
  </si>
  <si>
    <t>kay7es brasou 3yyan lyoum</t>
  </si>
  <si>
    <t>كايحس براسو عيّان ليوم</t>
  </si>
  <si>
    <t>Why is he upset?</t>
  </si>
  <si>
    <t>malou m9elle9?</t>
  </si>
  <si>
    <t>مالو مقلّق?</t>
  </si>
  <si>
    <t>Good day to you</t>
  </si>
  <si>
    <t>n8arek mbrouk</t>
  </si>
  <si>
    <t>نهارك مبروك</t>
  </si>
  <si>
    <t>Follow me</t>
  </si>
  <si>
    <t>Do me a favor</t>
  </si>
  <si>
    <t>dir fiyya khir</t>
  </si>
  <si>
    <t>دير فييّا خير</t>
  </si>
  <si>
    <t>Get out of my sight</t>
  </si>
  <si>
    <t>sir mn 9ddami</t>
  </si>
  <si>
    <t>سير من قدّامي</t>
  </si>
  <si>
    <t>What do you want from me?</t>
  </si>
  <si>
    <t>chnou bghiti mnni?</t>
  </si>
  <si>
    <t>شنو بغيتي منّي?</t>
  </si>
  <si>
    <t>He has to leave early today</t>
  </si>
  <si>
    <t>khaSSo ymchi bkri lyoum</t>
  </si>
  <si>
    <t>خاصّو يمشي بكري ليوم</t>
  </si>
  <si>
    <t>the table is short</t>
  </si>
  <si>
    <t>tTebla 9Sira?</t>
  </si>
  <si>
    <t>تطبلا قصيرا?</t>
  </si>
  <si>
    <t>He feels much better</t>
  </si>
  <si>
    <t>kay7es brasou bikhir lyoum</t>
  </si>
  <si>
    <t>كايحس براسو بيخير ليوم</t>
  </si>
  <si>
    <t>Enjoy yourself!</t>
  </si>
  <si>
    <t>fewwej m3a rask</t>
  </si>
  <si>
    <t>فوّج معا راسك</t>
  </si>
  <si>
    <t>I got it</t>
  </si>
  <si>
    <t>f8emt</t>
  </si>
  <si>
    <t>Is he kidding?</t>
  </si>
  <si>
    <t>wach kayd7ek?</t>
  </si>
  <si>
    <t>واش كايدحك?</t>
  </si>
  <si>
    <t>sme7 liyya</t>
  </si>
  <si>
    <t>سمح لييّا</t>
  </si>
  <si>
    <t>It's all yours</t>
  </si>
  <si>
    <t>koulchi dyalek</t>
  </si>
  <si>
    <t>كولشي ديالك</t>
  </si>
  <si>
    <t>He had no money</t>
  </si>
  <si>
    <t>ma3ndouch lflous</t>
  </si>
  <si>
    <t>ماعندوش لفلوس</t>
  </si>
  <si>
    <t>Call me anyday</t>
  </si>
  <si>
    <t>ttaSel biyya f 2ay n8ar</t>
  </si>
  <si>
    <t>التاصل بييّا ف أي نهار</t>
  </si>
  <si>
    <t>He shall reach by 5</t>
  </si>
  <si>
    <t>khaSSo ywSel m3a l khmsa</t>
  </si>
  <si>
    <t>خاصّو يوصل معا ل خمسا</t>
  </si>
  <si>
    <t>No he doesn't want it</t>
  </si>
  <si>
    <t>lla mabgha8ch</t>
  </si>
  <si>
    <t>اللا مابغاهش</t>
  </si>
  <si>
    <t>Can I ask you something?</t>
  </si>
  <si>
    <t>wach moumkin nsewwlek?</t>
  </si>
  <si>
    <t>واش مومكين نسوّلك?</t>
  </si>
  <si>
    <t>kayn f ddar</t>
  </si>
  <si>
    <t>كاين ف الدار</t>
  </si>
  <si>
    <t>Hurry up!</t>
  </si>
  <si>
    <t>dghya! bzzerba!</t>
  </si>
  <si>
    <t>دغيا! بزّربا!</t>
  </si>
  <si>
    <t>He is wasting my time</t>
  </si>
  <si>
    <t>kaydeyy3 liyya we9ti</t>
  </si>
  <si>
    <t>كايديّع لييّا وقتي</t>
  </si>
  <si>
    <t>Thank you for your advice</t>
  </si>
  <si>
    <t>chokran 3la nnaSi7a</t>
  </si>
  <si>
    <t>شوكران علا الناصيحا</t>
  </si>
  <si>
    <t>Come on!</t>
  </si>
  <si>
    <t>yalla8!</t>
  </si>
  <si>
    <t>يالّاه!</t>
  </si>
  <si>
    <t>Is he joining us?</t>
  </si>
  <si>
    <t>wach ghadi yji m3ana?</t>
  </si>
  <si>
    <t>واش غادي يجي معانا?</t>
  </si>
  <si>
    <t>It really takes time</t>
  </si>
  <si>
    <t>kayyakhoud lwa9t bzzaf</t>
  </si>
  <si>
    <t>كايّاخود لواقت بزّاف</t>
  </si>
  <si>
    <t>Why is he late?</t>
  </si>
  <si>
    <t>3lach t3eTTel?</t>
  </si>
  <si>
    <t>علاش تعطّل?</t>
  </si>
  <si>
    <t>Did you get it?</t>
  </si>
  <si>
    <t>wach f8emti?</t>
  </si>
  <si>
    <t>واش فهمتي?</t>
  </si>
  <si>
    <t>I can't believe it</t>
  </si>
  <si>
    <t>ma9dertch nteyye9</t>
  </si>
  <si>
    <t>ماقدرتش نتيّق</t>
  </si>
  <si>
    <t>What is happening here?</t>
  </si>
  <si>
    <t>chnou wa9e3 8na?</t>
  </si>
  <si>
    <t>شنو واقع هنا?</t>
  </si>
  <si>
    <t>He knew it</t>
  </si>
  <si>
    <t>kan 3arf</t>
  </si>
  <si>
    <t>كان عارف</t>
  </si>
  <si>
    <t>nchoufek merra khra</t>
  </si>
  <si>
    <t>نشوفك مرّا خرا</t>
  </si>
  <si>
    <t>Are you done?</t>
  </si>
  <si>
    <t>wach saliti?</t>
  </si>
  <si>
    <t>واش ساليتي?</t>
  </si>
  <si>
    <t>Is he married?</t>
  </si>
  <si>
    <t>wach howwa mzewwej?</t>
  </si>
  <si>
    <t>واش هووّا مزوّج?</t>
  </si>
  <si>
    <t>What is done is done</t>
  </si>
  <si>
    <t>lli w9e3, w9e3</t>
  </si>
  <si>
    <t>اللي وقع, وقع</t>
  </si>
  <si>
    <t>Please say something</t>
  </si>
  <si>
    <t>3afak 9ol chi 7aja</t>
  </si>
  <si>
    <t>عافاك قول شي حاجا</t>
  </si>
  <si>
    <t>Good afternoon!</t>
  </si>
  <si>
    <t>msa lkhir!</t>
  </si>
  <si>
    <t>مسا لخير!</t>
  </si>
  <si>
    <t>He does not mean it</t>
  </si>
  <si>
    <t>ma9Sedch</t>
  </si>
  <si>
    <t>ماقصدش</t>
  </si>
  <si>
    <t>He did as he was told</t>
  </si>
  <si>
    <t>dar dakchi li T9al li8</t>
  </si>
  <si>
    <t>دار داكشي لي طقال ليه</t>
  </si>
  <si>
    <t>He is on a diet</t>
  </si>
  <si>
    <t>dayer rijim</t>
  </si>
  <si>
    <t>داير ريجيم</t>
  </si>
  <si>
    <t>How much does he owe you?</t>
  </si>
  <si>
    <t>ch7al kaytsalek?</t>
  </si>
  <si>
    <t>شحال كايتسالك?</t>
  </si>
  <si>
    <t>He is busy</t>
  </si>
  <si>
    <t>mchghoul</t>
  </si>
  <si>
    <t>This work is not suitable for him</t>
  </si>
  <si>
    <t>8ad lkhdma mamnasbach li8</t>
  </si>
  <si>
    <t>هاد لخدما مامناسباش ليه</t>
  </si>
  <si>
    <t>Not yet</t>
  </si>
  <si>
    <t>mazal</t>
  </si>
  <si>
    <t>كانبغيك</t>
  </si>
  <si>
    <t>He can't wait any longer</t>
  </si>
  <si>
    <t>may9derch ytsnna mazal</t>
  </si>
  <si>
    <t>مايقدرش يتسنّا مازال</t>
  </si>
  <si>
    <t>Slow down!</t>
  </si>
  <si>
    <t>bchwiyya!</t>
  </si>
  <si>
    <t>بشوييّا!</t>
  </si>
  <si>
    <t>Talk to you tomorrow</t>
  </si>
  <si>
    <t>n8Dro ghedda</t>
  </si>
  <si>
    <t>نهضرو غدّا</t>
  </si>
  <si>
    <t>I apologize</t>
  </si>
  <si>
    <t>ana kan3tader</t>
  </si>
  <si>
    <t>أنا كانعتادر</t>
  </si>
  <si>
    <t>What's the weather like?</t>
  </si>
  <si>
    <t>kidayer ljeww?</t>
  </si>
  <si>
    <t>كيداير لجوّ?</t>
  </si>
  <si>
    <t>He is going too fast</t>
  </si>
  <si>
    <t>ghadi bsor3a</t>
  </si>
  <si>
    <t>غادي بسورعا</t>
  </si>
  <si>
    <t>It's a good beginning</t>
  </si>
  <si>
    <t>8adi bidaya mzyana</t>
  </si>
  <si>
    <t>هادي بيدايا مزيانا</t>
  </si>
  <si>
    <t>I feel sad for you</t>
  </si>
  <si>
    <t>b9a fiyya l7al mn ji8tek</t>
  </si>
  <si>
    <t>بقا فييّا لحال من جيهتك</t>
  </si>
  <si>
    <t>btabi3t l7al</t>
  </si>
  <si>
    <t>بتابيعت لحال</t>
  </si>
  <si>
    <t>He abused me</t>
  </si>
  <si>
    <t>t3edda 3liyya</t>
  </si>
  <si>
    <t>تعدّا علييّا</t>
  </si>
  <si>
    <t>Where did you get it?</t>
  </si>
  <si>
    <t>mnin khditi8?</t>
  </si>
  <si>
    <t>منين خديتيه?</t>
  </si>
  <si>
    <t>Anything else?</t>
  </si>
  <si>
    <t>chi 7aja khra mazal?</t>
  </si>
  <si>
    <t>شي حاجا خرا مازال?</t>
  </si>
  <si>
    <t>Walk carefully</t>
  </si>
  <si>
    <t>sir bchwiyya</t>
  </si>
  <si>
    <t>سير بشوييّا</t>
  </si>
  <si>
    <t>mtafe9</t>
  </si>
  <si>
    <t>متافق</t>
  </si>
  <si>
    <t>Go if you can</t>
  </si>
  <si>
    <t>sir ila 9derti</t>
  </si>
  <si>
    <t>سير إلا قدرتي</t>
  </si>
  <si>
    <t>The time has come</t>
  </si>
  <si>
    <t>ja lwe9t</t>
  </si>
  <si>
    <t>جا لوقت</t>
  </si>
  <si>
    <t>He doesn't agree</t>
  </si>
  <si>
    <t>mamtafe9ch</t>
  </si>
  <si>
    <t>مامتافقش</t>
  </si>
  <si>
    <t>wach mt2ekked?</t>
  </si>
  <si>
    <t>واش متءكّد?</t>
  </si>
  <si>
    <t>It is a strange thing</t>
  </si>
  <si>
    <t>ghriba 8ad l9aDiyya</t>
  </si>
  <si>
    <t>غريبا هاد لقاضييّا</t>
  </si>
  <si>
    <t>I'm sorry to interrupt you</t>
  </si>
  <si>
    <t>sme7li 9ate3tek</t>
  </si>
  <si>
    <t>سمحلي قاتعتك</t>
  </si>
  <si>
    <t>Will you go there?</t>
  </si>
  <si>
    <t>wach ghadi tmchi ltma?</t>
  </si>
  <si>
    <t>واش غادي تمشي لتما?</t>
  </si>
  <si>
    <t>Can you turn the volume up?</t>
  </si>
  <si>
    <t>wach moumkin tzid f SSout</t>
  </si>
  <si>
    <t>واش مومكين تزيد ف الصوت</t>
  </si>
  <si>
    <t>What do you think?</t>
  </si>
  <si>
    <t>chnou ban lik?</t>
  </si>
  <si>
    <t>شنو بان ليك?</t>
  </si>
  <si>
    <t>Where is he going?</t>
  </si>
  <si>
    <t>fin ghadi howwa?</t>
  </si>
  <si>
    <t>فين غادي هووّا?</t>
  </si>
  <si>
    <t>Stop crying</t>
  </si>
  <si>
    <t>matb9ach tbki</t>
  </si>
  <si>
    <t>ماتبقاش تبكي</t>
  </si>
  <si>
    <t>Do as I say</t>
  </si>
  <si>
    <t>dir dakchi li kan9ol</t>
  </si>
  <si>
    <t>دير داكشي لي كانقول</t>
  </si>
  <si>
    <t>He has a lot to talk about</t>
  </si>
  <si>
    <t>3ndo bzzaf may3awed</t>
  </si>
  <si>
    <t>عندو بزّاف مايعاود</t>
  </si>
  <si>
    <t>What's new?</t>
  </si>
  <si>
    <t>chnou ljadid</t>
  </si>
  <si>
    <t>شنو لجاديد</t>
  </si>
  <si>
    <t>Can't complain</t>
  </si>
  <si>
    <t>ma3ndi man9ol</t>
  </si>
  <si>
    <t>ماعندي مانقول</t>
  </si>
  <si>
    <t>He has been busy</t>
  </si>
  <si>
    <t>kan mchghoul</t>
  </si>
  <si>
    <t>كان مشغول</t>
  </si>
  <si>
    <t>Would you like a drink?</t>
  </si>
  <si>
    <t>wach bghiti tchreb chi 7aja?</t>
  </si>
  <si>
    <t>واش بغيتي تشرب شي حاجا?</t>
  </si>
  <si>
    <t>He is not ready yet</t>
  </si>
  <si>
    <t>mazal mawajedch</t>
  </si>
  <si>
    <t>مازال ماواجدش</t>
  </si>
  <si>
    <t>He will pay</t>
  </si>
  <si>
    <t>ghadi ykhlleS</t>
  </si>
  <si>
    <t>غادي يخلّص</t>
  </si>
  <si>
    <t>How is work going?</t>
  </si>
  <si>
    <t>kidayer m3a lkhdma?</t>
  </si>
  <si>
    <t>كيداير معا لخدما?</t>
  </si>
  <si>
    <t>It was the least I could do</t>
  </si>
  <si>
    <t>8adi 2a9all 7aja ndir8a</t>
  </si>
  <si>
    <t>هادي أقالّ حاجا نديرها</t>
  </si>
  <si>
    <t>He is the light of my life</t>
  </si>
  <si>
    <t>8owwa nnour dyal 7yati</t>
  </si>
  <si>
    <t>هووّا النور ديال حياتي</t>
  </si>
  <si>
    <t>He will take it</t>
  </si>
  <si>
    <t>ghadi yakhdou</t>
  </si>
  <si>
    <t>غادي ياخدو</t>
  </si>
  <si>
    <t>He doesn't want to bother you</t>
  </si>
  <si>
    <t>mabghach yberzTek</t>
  </si>
  <si>
    <t>مابغاش يبرزطك</t>
  </si>
  <si>
    <t>machi mouchkil</t>
  </si>
  <si>
    <t>ماشي موشكيل</t>
  </si>
  <si>
    <t>He is everything to me</t>
  </si>
  <si>
    <t>8owwa koulchi bnnesba liyya</t>
  </si>
  <si>
    <t>هووّا كولشي بنّسبا لييّا</t>
  </si>
  <si>
    <t>He is divorced</t>
  </si>
  <si>
    <t>8owwa mTelle9</t>
  </si>
  <si>
    <t>هووّا مطلّق</t>
  </si>
  <si>
    <t>He is thirsty</t>
  </si>
  <si>
    <t>fi8 l3Tech</t>
  </si>
  <si>
    <t>فيه لعطش</t>
  </si>
  <si>
    <t>He is an American</t>
  </si>
  <si>
    <t>8owwa briTani</t>
  </si>
  <si>
    <t>هووّا بريطاني</t>
  </si>
  <si>
    <t>He is starving</t>
  </si>
  <si>
    <t>fih lmout d jjou3</t>
  </si>
  <si>
    <t>فيه لموت د الجوع</t>
  </si>
  <si>
    <t>twe77cht DDe7ka dyalk</t>
  </si>
  <si>
    <t>He doesn't have time now</t>
  </si>
  <si>
    <t>ma3ndouch lwe9t daba</t>
  </si>
  <si>
    <t>ماعندوش لوقت دابا</t>
  </si>
  <si>
    <t>He has a headache</t>
  </si>
  <si>
    <t>kayDerro raSou</t>
  </si>
  <si>
    <t>كايضرّو راصو</t>
  </si>
  <si>
    <t>Can you please repeat that?</t>
  </si>
  <si>
    <t>wach momkin t3awed chno 9olti?</t>
  </si>
  <si>
    <t>واش مومكين تعاود شنو قولتي?</t>
  </si>
  <si>
    <t>What is your phone number?</t>
  </si>
  <si>
    <t>ch7al nnemra dyalk?</t>
  </si>
  <si>
    <t>شحال النمرا ديالك?</t>
  </si>
  <si>
    <t>What do you want to do?</t>
  </si>
  <si>
    <t>chno bghiti ddir?</t>
  </si>
  <si>
    <t>شنو بغيتي الدير?</t>
  </si>
  <si>
    <t>Forget it</t>
  </si>
  <si>
    <t>ghir nsa</t>
  </si>
  <si>
    <t>غير نسا</t>
  </si>
  <si>
    <t>Call me back</t>
  </si>
  <si>
    <t>3awed 3eyyeT liyya</t>
  </si>
  <si>
    <t>عاود عيّط لييّا</t>
  </si>
  <si>
    <t>When will you reach?</t>
  </si>
  <si>
    <t>fo9ach ghadi twSel?</t>
  </si>
  <si>
    <t>فوقاش غادي توصل?</t>
  </si>
  <si>
    <t>Give me a day</t>
  </si>
  <si>
    <t>3Tini n8ar wa7ed</t>
  </si>
  <si>
    <t>عطيني نهار واحد</t>
  </si>
  <si>
    <t>Shut up</t>
  </si>
  <si>
    <t>skout</t>
  </si>
  <si>
    <t>سكوت</t>
  </si>
  <si>
    <t>You crossed my mind</t>
  </si>
  <si>
    <t>te7ti fbali</t>
  </si>
  <si>
    <t>تحتي فبالي</t>
  </si>
  <si>
    <t>he is in China</t>
  </si>
  <si>
    <t>howwa f chchinwa</t>
  </si>
  <si>
    <t>هووّا ف الشينوا</t>
  </si>
  <si>
    <t>I don't like him</t>
  </si>
  <si>
    <t>makay3jbnich</t>
  </si>
  <si>
    <t>ماكايعجبنيش</t>
  </si>
  <si>
    <t>Bring it!</t>
  </si>
  <si>
    <t>jibou m3ak!</t>
  </si>
  <si>
    <t>جيبو معاك!</t>
  </si>
  <si>
    <t>He is drinking water</t>
  </si>
  <si>
    <t>kaychreb lma</t>
  </si>
  <si>
    <t>كايشرب لما</t>
  </si>
  <si>
    <t>Wake up!</t>
  </si>
  <si>
    <t>fi9!</t>
  </si>
  <si>
    <t>فيق!</t>
  </si>
  <si>
    <t>Try again</t>
  </si>
  <si>
    <t>7awel mrra khra</t>
  </si>
  <si>
    <t>حاول مرّا خرا</t>
  </si>
  <si>
    <t>Ask me</t>
  </si>
  <si>
    <t>swwelni</t>
  </si>
  <si>
    <t>سوّلني</t>
  </si>
  <si>
    <t>Get up</t>
  </si>
  <si>
    <t>nod</t>
  </si>
  <si>
    <t>نود</t>
  </si>
  <si>
    <t>Turn on the light</t>
  </si>
  <si>
    <t>Animals inhabit the forest</t>
  </si>
  <si>
    <t>l7ayawanat kay3ichou f lghaba</t>
  </si>
  <si>
    <t>لحاياوانات كايعيشو ف لغابا</t>
  </si>
  <si>
    <t>Wild animals live in the jungle</t>
  </si>
  <si>
    <t>l7ayawanat lbarriya kat3ich f l adghal</t>
  </si>
  <si>
    <t>لحاياوانات لبارّييا كاتعيش ف ل أدغال</t>
  </si>
  <si>
    <t>The mouse is a small animal</t>
  </si>
  <si>
    <t>lfar 7ayawan Sghir</t>
  </si>
  <si>
    <t>لفار حاياوان صغير</t>
  </si>
  <si>
    <t>Many of wild animals live in Africa</t>
  </si>
  <si>
    <t>bzzaf d l7ayawanat lbarriya kat3ich f 2ifri9ya</t>
  </si>
  <si>
    <t>بزّاف د لحاياوانات لبارّييا كاتعيش ف إفريقيا</t>
  </si>
  <si>
    <t>The fastest animal is known as the cheetah</t>
  </si>
  <si>
    <t>2asra3 7ayawan 8owwa lfa8d</t>
  </si>
  <si>
    <t>أسراع حاياوان هووّا لفاهد</t>
  </si>
  <si>
    <t>I like animals, for example, cats and dogs.</t>
  </si>
  <si>
    <t>kay3jboni l7ayawanat b7al l9ToT o lklab</t>
  </si>
  <si>
    <t>كايعجبوني لحاياوانات بحال لقطوط أُ لكلاب</t>
  </si>
  <si>
    <t>The largest animal in the world is the blue whale</t>
  </si>
  <si>
    <t>2akbar 7ayawan f l3alam 8wa l7out l2azra9</t>
  </si>
  <si>
    <t>أكبار حاياوان ف لعالام هوا لحوت لأزراق</t>
  </si>
  <si>
    <t>Cow gives us milk</t>
  </si>
  <si>
    <t>lbegra kat3Tina l 7lib</t>
  </si>
  <si>
    <t>لبڭرا كاتعطينا ل حليب</t>
  </si>
  <si>
    <t>You should not hurt animals</t>
  </si>
  <si>
    <t>makhSSekch t2adi l7ayawanat</t>
  </si>
  <si>
    <t>ماخصّكش تأدي لحاياوانات</t>
  </si>
  <si>
    <t>we should take care of them</t>
  </si>
  <si>
    <t>kheSSna nt8llaw fi8oum</t>
  </si>
  <si>
    <t>خصّنا نتهلّاو فيهوم</t>
  </si>
  <si>
    <t>Domestic animals</t>
  </si>
  <si>
    <t>7ayawanat 2alifa</t>
  </si>
  <si>
    <t>حاياوانات أليفا</t>
  </si>
  <si>
    <t>They give us meat, transportation and companion</t>
  </si>
  <si>
    <t>kay3Tiwna ll7em, nna9l,o rrof9a</t>
  </si>
  <si>
    <t>كايعطيونا اللحم, الناقل,و الروفقا</t>
  </si>
  <si>
    <t>we give them protection and shelter</t>
  </si>
  <si>
    <t>kanwffro li8oum l7imaya o lma2wa</t>
  </si>
  <si>
    <t>كانوفّرو ليهوم لحيمايا أُ لماءوا</t>
  </si>
  <si>
    <t>The dog is loyal</t>
  </si>
  <si>
    <t>lkelb wafiyy</t>
  </si>
  <si>
    <t>لكلب وافييّ</t>
  </si>
  <si>
    <t>Domestic animals co-exist with humans</t>
  </si>
  <si>
    <t>l7ayawanat l2alifa kat3ich m3a l2insan</t>
  </si>
  <si>
    <t>لحاياوانات لأليفا كاتعيش معا لإنسان</t>
  </si>
  <si>
    <t>unlike wild animals</t>
  </si>
  <si>
    <t>machi b7al l7ayawanat lbarriya</t>
  </si>
  <si>
    <t>ماشي بحال لحاياوانات لبارّييا</t>
  </si>
  <si>
    <t>Are you going to roast the chicken?</t>
  </si>
  <si>
    <t>wach ghadi tchwi ddjaj</t>
  </si>
  <si>
    <t>واش غادي تشوي الدجاج</t>
  </si>
  <si>
    <t>Put the chicken pieces in the casserole</t>
  </si>
  <si>
    <t>dir Trifat dyal ddjaj f kasrona</t>
  </si>
  <si>
    <t>دير طريفات ديال الدجاج ف كاسرونا</t>
  </si>
  <si>
    <t>Marinade the chicken breasts</t>
  </si>
  <si>
    <t>chrmel ssder dyal ddjaj</t>
  </si>
  <si>
    <t>شرمل السدر ديال الدجاج</t>
  </si>
  <si>
    <t>He doesn't like the chicken wings</t>
  </si>
  <si>
    <t>makay3jbouch jjna7 dyal ddjaj</t>
  </si>
  <si>
    <t>ماكايعجبوش الجناح ديال الدجاج</t>
  </si>
  <si>
    <t>There is a smell of fried chicken</t>
  </si>
  <si>
    <t>kayna ri7t ddjaj m9li</t>
  </si>
  <si>
    <t>كاينا ريحت الدجاج مقلي</t>
  </si>
  <si>
    <t>He made a chicken sandwich</t>
  </si>
  <si>
    <t>sayeb sondwich dyal ddjaj</t>
  </si>
  <si>
    <t>سايب سوندويش ديال الدجاج</t>
  </si>
  <si>
    <t>Cats love to play</t>
  </si>
  <si>
    <t>lmchichat kaybghiw yl3bou</t>
  </si>
  <si>
    <t>لمشيشات كايبغيو يلعبو</t>
  </si>
  <si>
    <t>Camel lives in deserts</t>
  </si>
  <si>
    <t>jjmel kay3ich f SSe7ra</t>
  </si>
  <si>
    <t>الجمل كايعيش ف الصحرا</t>
  </si>
  <si>
    <t>a camel has thick mouth</t>
  </si>
  <si>
    <t>jjmel 3ndo fem kbir</t>
  </si>
  <si>
    <t>الجمل عندو فم كبير</t>
  </si>
  <si>
    <t>They move in packs</t>
  </si>
  <si>
    <t>kaytne99lou f mjmou3at</t>
  </si>
  <si>
    <t>كايتنقّلو ف مجموعات</t>
  </si>
  <si>
    <t>He killed the snake</t>
  </si>
  <si>
    <t>9tel l7ench</t>
  </si>
  <si>
    <t>قتل لحنش</t>
  </si>
  <si>
    <t>He was frightened by the snake</t>
  </si>
  <si>
    <t>kan mkhlou3 mn l7ench</t>
  </si>
  <si>
    <t>كان مخلوع من لحنش</t>
  </si>
  <si>
    <t>He was bitten by a poisonous snake</t>
  </si>
  <si>
    <t>3DDo 7ench msmoum</t>
  </si>
  <si>
    <t>عضّو حنش مسموم</t>
  </si>
  <si>
    <t>The horse is my favorite animal</t>
  </si>
  <si>
    <t>l3awd 8owwa 2a7san 7ayawan 3ndi</t>
  </si>
  <si>
    <t>لعاود هووّا أحسان حاياوان عندي</t>
  </si>
  <si>
    <t>The horse is a majestic animal</t>
  </si>
  <si>
    <t>l3awd 7ayawn ra9i</t>
  </si>
  <si>
    <t>لعاود حاياون راقي</t>
  </si>
  <si>
    <t>Horses live in a stable</t>
  </si>
  <si>
    <t>l3wdan kay3ichou f lkouri</t>
  </si>
  <si>
    <t>لعودان كايعيشو ف لكوري</t>
  </si>
  <si>
    <t>The butterfly is a small insect</t>
  </si>
  <si>
    <t>lfaracha 7achara Sghira</t>
  </si>
  <si>
    <t>لفاراشا حاشارا صغيرا</t>
  </si>
  <si>
    <t>butterflies can fly</t>
  </si>
  <si>
    <t>lfarachat kay9dro yTiro</t>
  </si>
  <si>
    <t>لفاراشات كايقدرو يطيرو</t>
  </si>
  <si>
    <t>Rabbit has sharp teeth</t>
  </si>
  <si>
    <t>l9niyya 3nd8a snan maDyin</t>
  </si>
  <si>
    <t>لقنييّا عندها سنان ماضيين</t>
  </si>
  <si>
    <t>Rabbits hop from place to place</t>
  </si>
  <si>
    <t>l9niyyat kayne9zzo mn blaSa l blaSa</t>
  </si>
  <si>
    <t>لقنييّات كاينقزّو من بلاصا ل بلاصا</t>
  </si>
  <si>
    <t>The lion is known as the king of the jungle</t>
  </si>
  <si>
    <t>ssbe3 m3rouf b malik lghaba</t>
  </si>
  <si>
    <t>السبع معروف ب ماليك لغابا</t>
  </si>
  <si>
    <t>Ducks also lay eggs like chicken</t>
  </si>
  <si>
    <t>lbeT 7tta 8owwa kaybeyyed b7al djaj</t>
  </si>
  <si>
    <t>لبط حتّا هووّا كايبيّد بحال دجاج</t>
  </si>
  <si>
    <t>He came riding on a donkey</t>
  </si>
  <si>
    <t>ja rakeb fo9 l7mar</t>
  </si>
  <si>
    <t>جا راكب فوق لحمار</t>
  </si>
  <si>
    <t>The lifespan of a squirrel is about 3 to 8 years</t>
  </si>
  <si>
    <t>2amad l7ayat dyal ssinjab bin telt ssnin o tmenyat ssnin</t>
  </si>
  <si>
    <t>أماد لحايات ديال السينجاب بين تلت السنين أُ تمنيات السنين</t>
  </si>
  <si>
    <t>Tiger is a wild animal</t>
  </si>
  <si>
    <t>nnmer 7ayawan moutawa77ich</t>
  </si>
  <si>
    <t>النمر حاياوان موتاواحّيش</t>
  </si>
  <si>
    <t>Giraffe cannot swim</t>
  </si>
  <si>
    <t>zZarafa makat9derch T3oum</t>
  </si>
  <si>
    <t>الزارافا ماكاتقدرش طعوم</t>
  </si>
  <si>
    <t>Bear has strong and sharp nails</t>
  </si>
  <si>
    <t>ddoub 3ndo Dfran s7a7 o maDyin</t>
  </si>
  <si>
    <t>الدوب عندو ضفران سحاح أُ ماضيين</t>
  </si>
  <si>
    <t>Gorilla has a massive forehead</t>
  </si>
  <si>
    <t>lghorilla 3nd8a jjb8a kbira</t>
  </si>
  <si>
    <t>لغوريلّا عندها الجبها كبيرا</t>
  </si>
  <si>
    <t>The panda is a shy creature</t>
  </si>
  <si>
    <t>lppanDa mekhlou9 7chchoumi</t>
  </si>
  <si>
    <t>لپّانضا مخلوق حشّومي</t>
  </si>
  <si>
    <t>The panda is now a rare animal</t>
  </si>
  <si>
    <t>lppanda daba wllat 7ayawan nadir</t>
  </si>
  <si>
    <t>لپّاندا دابا ولّات حاياوان نادير</t>
  </si>
  <si>
    <t>It's a real crocodile skin</t>
  </si>
  <si>
    <t>8ada jjeld dyal ttimsa7 79i9i</t>
  </si>
  <si>
    <t>هادا الجلد ديال التيمساح حقيقي</t>
  </si>
  <si>
    <t>A frog came out of the water</t>
  </si>
  <si>
    <t>wa7ed jjrana khrjat mn lma</t>
  </si>
  <si>
    <t>واحد الجرانا خرجات من لما</t>
  </si>
  <si>
    <t>The snake swallowed a frog</t>
  </si>
  <si>
    <t>l7ench SreT jrana</t>
  </si>
  <si>
    <t>لحنش صرط جرانا</t>
  </si>
  <si>
    <t>The wolf scared me</t>
  </si>
  <si>
    <t>khle3ni ddib</t>
  </si>
  <si>
    <t>خلعني الديب</t>
  </si>
  <si>
    <t>The shark is an aquatic animal</t>
  </si>
  <si>
    <t>l9irch 7ayawan ma2i</t>
  </si>
  <si>
    <t>لقيرش حاياوان ماإ</t>
  </si>
  <si>
    <t>He is like a fox</t>
  </si>
  <si>
    <t>dayer b7al chi t3leb</t>
  </si>
  <si>
    <t>داير بحال شي تعلب</t>
  </si>
  <si>
    <t>He has a house of his own</t>
  </si>
  <si>
    <t>3ndo ddar dyalo</t>
  </si>
  <si>
    <t>عندو الدار ديالو</t>
  </si>
  <si>
    <t>This house needs painting</t>
  </si>
  <si>
    <t>8ad ddar khaS8a tteSbegh</t>
  </si>
  <si>
    <t>هاد الدار خاصها التصبغ</t>
  </si>
  <si>
    <t>He painted the house in green</t>
  </si>
  <si>
    <t>sbegh ddar b lkhDer</t>
  </si>
  <si>
    <t>سبغ الدار ب لخضر</t>
  </si>
  <si>
    <t>This house has eleven rooms</t>
  </si>
  <si>
    <t>8ad ddar fi8a 7dacher bit</t>
  </si>
  <si>
    <t>هاد الدار فيها حداشر بيت</t>
  </si>
  <si>
    <t>It has two bathrooms</t>
  </si>
  <si>
    <t>fi8a jouj TwaliTat</t>
  </si>
  <si>
    <t>فيها جوج طواليطات</t>
  </si>
  <si>
    <t>fi8a jouj 7mmamat</t>
  </si>
  <si>
    <t>فيها جوج حمّامات</t>
  </si>
  <si>
    <t>I heard that he sold his house</t>
  </si>
  <si>
    <t>sme3t blli ba3 Daro</t>
  </si>
  <si>
    <t>سمعت بلّي باع ضارو</t>
  </si>
  <si>
    <t>His house is not far from here</t>
  </si>
  <si>
    <t>daro mab3idach bzzaf mn 8na</t>
  </si>
  <si>
    <t>دارو مابعيداش بزّاف من هنا</t>
  </si>
  <si>
    <t>He lives in this house by himself</t>
  </si>
  <si>
    <t>kay3ich f8ad DDar bou7dou</t>
  </si>
  <si>
    <t>كايعيش فهاد الضار بوحدو</t>
  </si>
  <si>
    <t>The house is said to be haunted</t>
  </si>
  <si>
    <t>kay9oulo blli 8ad DDar mskouna</t>
  </si>
  <si>
    <t>كايقولو بلّي هاد الضار مسكونا</t>
  </si>
  <si>
    <t>Please wait outside</t>
  </si>
  <si>
    <t>3afak tsnna 3la berra</t>
  </si>
  <si>
    <t>عافاك تسنّا علا برّا</t>
  </si>
  <si>
    <t>The door is locked</t>
  </si>
  <si>
    <t>lbab me9foul</t>
  </si>
  <si>
    <t>لباب مقفول</t>
  </si>
  <si>
    <t>I've given up on the idea of buying a house</t>
  </si>
  <si>
    <t>mab9itch kanfkker nchri Dar</t>
  </si>
  <si>
    <t>مابقيتش كانفكّر نشري ضار</t>
  </si>
  <si>
    <t>He gives up</t>
  </si>
  <si>
    <t>staslem</t>
  </si>
  <si>
    <t>ستاسلم</t>
  </si>
  <si>
    <t>There is a bus stop near the apartment</t>
  </si>
  <si>
    <t>kayna ma7aTTa dyal TTobis 9riba l pparTma</t>
  </si>
  <si>
    <t>كاينا ماحاطّا ديال الطوبيس قريبا ل الپارطما</t>
  </si>
  <si>
    <t>Where is the cupboard</t>
  </si>
  <si>
    <t>fina8owwa lmaryou</t>
  </si>
  <si>
    <t>فيناهووّا لماريو</t>
  </si>
  <si>
    <t>fina8owwa lpplakar</t>
  </si>
  <si>
    <t>فيناهووّا لپّلاكار</t>
  </si>
  <si>
    <t>He painted the kitchen in yellow</t>
  </si>
  <si>
    <t>sbegh lkouzina b SSfer</t>
  </si>
  <si>
    <t>سبغ لكوزينا ب الصفر</t>
  </si>
  <si>
    <t>Please close the house</t>
  </si>
  <si>
    <t>3afak sedd ddar</t>
  </si>
  <si>
    <t>عافاك سدّ الدار</t>
  </si>
  <si>
    <t>He is laying on the sofa</t>
  </si>
  <si>
    <t>mtekki 3la lfotouy</t>
  </si>
  <si>
    <t>متكّي علا لفوتوي</t>
  </si>
  <si>
    <t>He needs a pillow</t>
  </si>
  <si>
    <t>khaSSa8 mkhedda</t>
  </si>
  <si>
    <t>خاصّاه مخدّا</t>
  </si>
  <si>
    <t>He needs a blanket</t>
  </si>
  <si>
    <t>khasa8 manTa</t>
  </si>
  <si>
    <t>خاساه مانطا</t>
  </si>
  <si>
    <t>He is drinking coffee in the balcony</t>
  </si>
  <si>
    <t>kaychreb l9e8wa f lbalkon</t>
  </si>
  <si>
    <t>كايشرب لقهوا ف لبالكون</t>
  </si>
  <si>
    <t>He has a basement</t>
  </si>
  <si>
    <t>3ndo lakav</t>
  </si>
  <si>
    <t>عندو لاكاڤ</t>
  </si>
  <si>
    <t>He is sitting on the chair</t>
  </si>
  <si>
    <t>gales 3la lkoursi</t>
  </si>
  <si>
    <t>ڭالس علا لكورسي</t>
  </si>
  <si>
    <t>The sink is dirty</t>
  </si>
  <si>
    <t>lavabo mmoussekh</t>
  </si>
  <si>
    <t>لاڤابو الموسّخ</t>
  </si>
  <si>
    <t>The desk is messy</t>
  </si>
  <si>
    <t>lburou mrewwen</t>
  </si>
  <si>
    <t>لبورو مروّن</t>
  </si>
  <si>
    <t>The ice cream is in the freezer</t>
  </si>
  <si>
    <t>la glaS kayn f lfrigo</t>
  </si>
  <si>
    <t>لا ڭلاص كاين ف لفريڭو</t>
  </si>
  <si>
    <t>He left the car in the garage</t>
  </si>
  <si>
    <t>khlla TTomobil f lgaraj</t>
  </si>
  <si>
    <t>خلّا الطوموبيل ف لڭاراج</t>
  </si>
  <si>
    <t>The television is not working</t>
  </si>
  <si>
    <t>ttelfaza khasra</t>
  </si>
  <si>
    <t>التلفازا خاسرا</t>
  </si>
  <si>
    <t>ttelfaza makhddamach</t>
  </si>
  <si>
    <t>التلفازا ماخدّاماش</t>
  </si>
  <si>
    <t>The phone is ringing</t>
  </si>
  <si>
    <t>ttilifoun kaySouni</t>
  </si>
  <si>
    <t>التيليفون كايصوني</t>
  </si>
  <si>
    <t>OMG! the wall is moving</t>
  </si>
  <si>
    <t>nari! l7iT kayt7errek</t>
  </si>
  <si>
    <t>ناري! لحيط كايتحرّك</t>
  </si>
  <si>
    <t>I didn't get curtains yet</t>
  </si>
  <si>
    <t>mazal makhdit lkhwami</t>
  </si>
  <si>
    <t>مازال ماخديت لخوامي</t>
  </si>
  <si>
    <t>The table is made of wood</t>
  </si>
  <si>
    <t>tTbla mSawba mn lkhcheb</t>
  </si>
  <si>
    <t>تطبلا مصاوبا من لخشب</t>
  </si>
  <si>
    <t>It's a beautiful chandelier</t>
  </si>
  <si>
    <t>ttriyya zwina</t>
  </si>
  <si>
    <t>الترييّا زوينا</t>
  </si>
  <si>
    <t>The fridge is empty</t>
  </si>
  <si>
    <t>ttllaja khawya</t>
  </si>
  <si>
    <t>التلّاجا خاويا</t>
  </si>
  <si>
    <t>The mirror is broken</t>
  </si>
  <si>
    <t>lmraya m8errsa</t>
  </si>
  <si>
    <t>لمرايا مهرّسا</t>
  </si>
  <si>
    <t>He didn't do the dishes</t>
  </si>
  <si>
    <t>maghselch lmma3en</t>
  </si>
  <si>
    <t>ماغسلش لمّاعن</t>
  </si>
  <si>
    <t>Turn on the lamp</t>
  </si>
  <si>
    <t>ch3el m3ak llamba</t>
  </si>
  <si>
    <t>شعل معاك اللامبا</t>
  </si>
  <si>
    <t>I would like to drink a cup of tea</t>
  </si>
  <si>
    <t>bghit nchreb kas dyal atay</t>
  </si>
  <si>
    <t>بغيت نشرب كاس ديال أتاي</t>
  </si>
  <si>
    <t>He didn't do the laundry</t>
  </si>
  <si>
    <t>maSebbench l7wayj</t>
  </si>
  <si>
    <t>ماصبّنش لحوايج</t>
  </si>
  <si>
    <t>The washing machine is not working</t>
  </si>
  <si>
    <t>lmakina dSSaboun makhddamach</t>
  </si>
  <si>
    <t>لماكينا دصّابون ماخدّاماش</t>
  </si>
  <si>
    <t>He spent the entire day at the beach</t>
  </si>
  <si>
    <t>dwez n8ar kaml flb7er</t>
  </si>
  <si>
    <t>دوز نهار كامل فلبحر</t>
  </si>
  <si>
    <t>Do you enjoy walking on the beach?</t>
  </si>
  <si>
    <t>wach kay3jbek tmchcha 7da lb7er?</t>
  </si>
  <si>
    <t>واش كايعجبك تمشّا حدا لبحر?</t>
  </si>
  <si>
    <t>I love watching sunsets</t>
  </si>
  <si>
    <t>kay3jbni nchouf ghouroub chchams</t>
  </si>
  <si>
    <t>كايعجبني نشوف غوروب الشامس</t>
  </si>
  <si>
    <t>I live near the sea</t>
  </si>
  <si>
    <t>kansken 7da lb7er</t>
  </si>
  <si>
    <t>كانسكن حدا لبحر</t>
  </si>
  <si>
    <t>I love the waves sound</t>
  </si>
  <si>
    <t>kay3jbni SSouT dyal lmmaj</t>
  </si>
  <si>
    <t>كايعجبني الصوط ديال لمّاج</t>
  </si>
  <si>
    <t>He went to the beach</t>
  </si>
  <si>
    <t>mcha lb7er</t>
  </si>
  <si>
    <t>مشا لبحر</t>
  </si>
  <si>
    <t>Let's go to the beach</t>
  </si>
  <si>
    <t>yalla8 nmchiw lb7er</t>
  </si>
  <si>
    <t>يالّاه نمشيو لبحر</t>
  </si>
  <si>
    <t>He picked up some shells</t>
  </si>
  <si>
    <t>khda chi kokiyyajat</t>
  </si>
  <si>
    <t>خدا شي كوكييّاجات</t>
  </si>
  <si>
    <t>I love collecting shells</t>
  </si>
  <si>
    <t>kay3jbni njme3 lkokiyyaj</t>
  </si>
  <si>
    <t>كايعجبني نجمع لكوكييّاج</t>
  </si>
  <si>
    <t>Does this bus go to the beach?</t>
  </si>
  <si>
    <t>wach 8ad TTobis kaymchi lb7er</t>
  </si>
  <si>
    <t>واش هاد الطوبيس كايمشي لبحر</t>
  </si>
  <si>
    <t>Our house faces the beach</t>
  </si>
  <si>
    <t>darna m9abla m3a lb7er</t>
  </si>
  <si>
    <t>دارنا مقابلا معا لبحر</t>
  </si>
  <si>
    <t>He went swimming at the beach</t>
  </si>
  <si>
    <t>mcha 3am f lb7er</t>
  </si>
  <si>
    <t>مشا عام ف لبحر</t>
  </si>
  <si>
    <t>I tanned myself at the beach</t>
  </si>
  <si>
    <t>tchemmecht f lb7er</t>
  </si>
  <si>
    <t>تشمّشت ف لبحر</t>
  </si>
  <si>
    <t>I prefer the beach than the pool</t>
  </si>
  <si>
    <t>kanfeDDel lb7er 3la lappisin</t>
  </si>
  <si>
    <t>كانفضّل لبحر علا لاپّيسين</t>
  </si>
  <si>
    <t>The sand was white</t>
  </si>
  <si>
    <t>rRemla kant biDa</t>
  </si>
  <si>
    <t>الرملا كانت بيضا</t>
  </si>
  <si>
    <t>next week</t>
  </si>
  <si>
    <t>ssimana jjayya</t>
  </si>
  <si>
    <t>السيمانا الجايّا</t>
  </si>
  <si>
    <t>Last week</t>
  </si>
  <si>
    <t>ssimana li dazet</t>
  </si>
  <si>
    <t>السيمانا لي دازت</t>
  </si>
  <si>
    <t>ssimana li fatet</t>
  </si>
  <si>
    <t>السيمانا لي فاتت</t>
  </si>
  <si>
    <t>Yesterday I went to the gym</t>
  </si>
  <si>
    <t>lbare7 mchit l laSal</t>
  </si>
  <si>
    <t>لبارح مشيت ل لاصال</t>
  </si>
  <si>
    <t>I have an exam tomorrow</t>
  </si>
  <si>
    <t>3ndi mti7an ghdda</t>
  </si>
  <si>
    <t>عندي متيحان غدّا</t>
  </si>
  <si>
    <t>Are you available next Saturday?</t>
  </si>
  <si>
    <t>wach msali ssebt jjay?</t>
  </si>
  <si>
    <t>واش مسالي السبت الجاي?</t>
  </si>
  <si>
    <t>I'm busy next Friday</t>
  </si>
  <si>
    <t>ana mchghoul jjm3a jjayya</t>
  </si>
  <si>
    <t>أنا مشغول الجمعا الجايّا</t>
  </si>
  <si>
    <t>I hate Mondays</t>
  </si>
  <si>
    <t>ma3ndich m3a n8ar ttnin</t>
  </si>
  <si>
    <t>ماعنديش معا نهار التنين</t>
  </si>
  <si>
    <t>I'm traveling on Tuesday</t>
  </si>
  <si>
    <t>ana mSafer n8ar ttlat</t>
  </si>
  <si>
    <t>أنا مصافر نهار التلات</t>
  </si>
  <si>
    <t>I'm having an operation next Thursday</t>
  </si>
  <si>
    <t>ghandir 3amaliyya n8ar lkhmis</t>
  </si>
  <si>
    <t>غاندير عامالييّا نهار لخميس</t>
  </si>
  <si>
    <t>Moroccans eat couscous every Friday</t>
  </si>
  <si>
    <t>lmgharba kayaklou ksksou koul jm3a</t>
  </si>
  <si>
    <t>لمغاربا كاياكلو كسكسو كول جمعا</t>
  </si>
  <si>
    <t>Sunday is my off day</t>
  </si>
  <si>
    <t>n8ar l7edd 8owwa rroppo dyali</t>
  </si>
  <si>
    <t>نهار لحدّ هووّا الروپّو ديالي</t>
  </si>
  <si>
    <t>He went to the cinema last Wednesday</t>
  </si>
  <si>
    <t>mcha l ssinima larbe3 lli fat</t>
  </si>
  <si>
    <t>مشا ل السينيما لاربع اللي فات</t>
  </si>
  <si>
    <t>Last month</t>
  </si>
  <si>
    <t>ch8er li daz</t>
  </si>
  <si>
    <t>شهر لي داز</t>
  </si>
  <si>
    <t>ch8er li fat</t>
  </si>
  <si>
    <t>شهر لي فات</t>
  </si>
  <si>
    <t>I'm graduating next year</t>
  </si>
  <si>
    <t>ghadi ntkherrej l3am jjay</t>
  </si>
  <si>
    <t>غادي نتخرّج لعام الجاي</t>
  </si>
  <si>
    <t>He quit the job</t>
  </si>
  <si>
    <t>kherj mn lkhdma</t>
  </si>
  <si>
    <t>خرج من لخدما</t>
  </si>
  <si>
    <t>I love my job</t>
  </si>
  <si>
    <t>kanbghi khdemti</t>
  </si>
  <si>
    <t>كانبغي خدمتي</t>
  </si>
  <si>
    <t>He is looking for a job</t>
  </si>
  <si>
    <t>kay9elleb 3la khdma</t>
  </si>
  <si>
    <t>كايقلّب علا خدما</t>
  </si>
  <si>
    <t>I have to go to work</t>
  </si>
  <si>
    <t>khaSni nmchi lkhedma</t>
  </si>
  <si>
    <t>خاصني نمشي لخدما</t>
  </si>
  <si>
    <t>I am tired of my work</t>
  </si>
  <si>
    <t>3yyit mn khdemti</t>
  </si>
  <si>
    <t>عيّيت من خدمتي</t>
  </si>
  <si>
    <t>Don't be late for work</t>
  </si>
  <si>
    <t>mat3eTTelch 3la lkhdma</t>
  </si>
  <si>
    <t>ماتعطّلش علا لخدما</t>
  </si>
  <si>
    <t>He is concentrated with his work</t>
  </si>
  <si>
    <t>mrekkez m3a khdmtou</t>
  </si>
  <si>
    <t>مركّز معا خدمتو</t>
  </si>
  <si>
    <t>When did you finish the work?</t>
  </si>
  <si>
    <t>fo9ach saliti lkhdma?</t>
  </si>
  <si>
    <t>فوقاش ساليتي لخدما?</t>
  </si>
  <si>
    <t>imta saliti lkhdma?</t>
  </si>
  <si>
    <t>إمتا ساليتي لخدما?</t>
  </si>
  <si>
    <t>I need a job</t>
  </si>
  <si>
    <t>ana m7taj lkhdma</t>
  </si>
  <si>
    <t>أنا محتاج لخدما</t>
  </si>
  <si>
    <t>He can't find a job</t>
  </si>
  <si>
    <t>mal9ach khdma</t>
  </si>
  <si>
    <t>مالقاش خدما</t>
  </si>
  <si>
    <t>Why did he quit the job?</t>
  </si>
  <si>
    <t>3lach khrej mn lkhdma?</t>
  </si>
  <si>
    <t>علاش خرج من لخدما?</t>
  </si>
  <si>
    <t>This is why I quit the job</t>
  </si>
  <si>
    <t>8adchchi 3lach khrejt mn lkhdma</t>
  </si>
  <si>
    <t>هادشّي علاش خرجت من لخدما</t>
  </si>
  <si>
    <t>Is the job too much for you?</t>
  </si>
  <si>
    <t>wach lkhdma ktira 3lik?</t>
  </si>
  <si>
    <t>واش لخدما كتيرا عليك?</t>
  </si>
  <si>
    <t>I am a lawyer</t>
  </si>
  <si>
    <t>ana mou7ami</t>
  </si>
  <si>
    <t>أنا موحامي</t>
  </si>
  <si>
    <t>He is a translator</t>
  </si>
  <si>
    <t>8owwa mouterjim</t>
  </si>
  <si>
    <t>هووّا موترجيم</t>
  </si>
  <si>
    <t>I want to be a pilot</t>
  </si>
  <si>
    <t>bghit nkoun ppiloT</t>
  </si>
  <si>
    <t>بغيت نكون الپيلوط</t>
  </si>
  <si>
    <t>The waiter brought us the menu</t>
  </si>
  <si>
    <t>ssrbay jab lina lmenu</t>
  </si>
  <si>
    <t>السرباي جاب لينا لمنو</t>
  </si>
  <si>
    <t>Her father is an electrician</t>
  </si>
  <si>
    <t>bba8a trisyan</t>
  </si>
  <si>
    <t>الباها تريسيان</t>
  </si>
  <si>
    <t>She's a university student</t>
  </si>
  <si>
    <t>8iyya Taliba jami3iyya</t>
  </si>
  <si>
    <t>هييّا طاليبا جاميعييّا</t>
  </si>
  <si>
    <t>My hairdresser has opened a new salon</t>
  </si>
  <si>
    <t>lkwaffour dyali 7ell saloun jdid</t>
  </si>
  <si>
    <t>لكوافّور ديالي حلّ سالون جديد</t>
  </si>
  <si>
    <t>Do you really want to be a hairdresser?</t>
  </si>
  <si>
    <t>wach bSSe7 bghiti tkouni kwaffoura?</t>
  </si>
  <si>
    <t>واش بصّح بغيتي تكوني كوافّورا?</t>
  </si>
  <si>
    <t>I'm a journalist</t>
  </si>
  <si>
    <t>ana Sa7afi</t>
  </si>
  <si>
    <t>أنا صاحافي</t>
  </si>
  <si>
    <t>This is my cameraman</t>
  </si>
  <si>
    <t>8ada lmouSwwir dyali</t>
  </si>
  <si>
    <t>هادا لموصوّير ديالي</t>
  </si>
  <si>
    <t>We had to call a plumber</t>
  </si>
  <si>
    <t>khaSna n3eyyTo lplombi</t>
  </si>
  <si>
    <t>خاصنا نعيّطو لپلومبي</t>
  </si>
  <si>
    <t>To unblock the drains</t>
  </si>
  <si>
    <t>bach yserre7 l9wades</t>
  </si>
  <si>
    <t>باش يسرّح لقوادس</t>
  </si>
  <si>
    <t>He is a good chef</t>
  </si>
  <si>
    <t>8owwa Tbbakh wa3er</t>
  </si>
  <si>
    <t>هووّا طبّاخ واعر</t>
  </si>
  <si>
    <t>My sister is a model</t>
  </si>
  <si>
    <t>khti 3ariDat 2azya2</t>
  </si>
  <si>
    <t>ختي عاريضات أزياء</t>
  </si>
  <si>
    <t>She hired a private detective</t>
  </si>
  <si>
    <t>kheddmat mo799i9 khaS</t>
  </si>
  <si>
    <t>خدّمات موحقّيق خاص</t>
  </si>
  <si>
    <t>I don't see myself as a housewife</t>
  </si>
  <si>
    <t>makanchoufch raSi rabbat bayt</t>
  </si>
  <si>
    <t>ماكانشوفش راصي رابّات بايت</t>
  </si>
  <si>
    <t>She is the worst singer I know</t>
  </si>
  <si>
    <t>8iyya 2akfas moughnniya 3rft8a</t>
  </si>
  <si>
    <t>هييّا أكفاس موغنّييا عرفتها</t>
  </si>
  <si>
    <t>She is my favorite singer</t>
  </si>
  <si>
    <t>8iyya 2a7san moughnniya 3ndi</t>
  </si>
  <si>
    <t>هييّا أحسان موغنّييا عندي</t>
  </si>
  <si>
    <t>He graduated as an engineer</t>
  </si>
  <si>
    <t>8owwa tkherrej mou8ndis</t>
  </si>
  <si>
    <t>هووّا تخرّج موهنديس</t>
  </si>
  <si>
    <t>He employs a new gardener</t>
  </si>
  <si>
    <t>khddem jardinyi jdid</t>
  </si>
  <si>
    <t>خدّم جاردينيي جديد</t>
  </si>
  <si>
    <t>The farmer poisoned the rats</t>
  </si>
  <si>
    <t>lflla7 semmem TTobbat</t>
  </si>
  <si>
    <t>لفلّاح سمّم الطوبّات</t>
  </si>
  <si>
    <t>The florist made up an attractive bouquet</t>
  </si>
  <si>
    <t>moul lwerd Sawb wa7d lbouki zwin</t>
  </si>
  <si>
    <t>مول لورد صاوب واحد لبوكي زوين</t>
  </si>
  <si>
    <t>I want you to be my wife</t>
  </si>
  <si>
    <t>bghitek tkouni mrati</t>
  </si>
  <si>
    <t>بغيتك تكوني مراتي</t>
  </si>
  <si>
    <t>I want you to be my husband</t>
  </si>
  <si>
    <t>bghitek tkoun rajli</t>
  </si>
  <si>
    <t>بغيتك تكون راجلي</t>
  </si>
  <si>
    <t>I love to hang out</t>
  </si>
  <si>
    <t>kanbghi nkhrej ntsara</t>
  </si>
  <si>
    <t>كانبغي نخرج نتسارا</t>
  </si>
  <si>
    <t>I love to cook</t>
  </si>
  <si>
    <t>kanbghi nTeyyB</t>
  </si>
  <si>
    <t>كانبغي نطيّب</t>
  </si>
  <si>
    <t>Salt is crucial for cooking</t>
  </si>
  <si>
    <t>lml7a Daroriyya f TTyab</t>
  </si>
  <si>
    <t>لملحا ضارورييّا ف الطياب</t>
  </si>
  <si>
    <t>Don't overheat the oil</t>
  </si>
  <si>
    <t>matskhkhench zzit bzzaf</t>
  </si>
  <si>
    <t>ماتسخّنش الزيت بزّاف</t>
  </si>
  <si>
    <t>What do you have this afternoon?</t>
  </si>
  <si>
    <t>chnou 3endek 8ad l3chiyya?</t>
  </si>
  <si>
    <t>شنو عندك هاد لعشييّا?</t>
  </si>
  <si>
    <t>In her free time she read books on cooking</t>
  </si>
  <si>
    <t>fwe9t lfaragh dyal8a kat9ra ktouba dyal TTabkh</t>
  </si>
  <si>
    <t>فوقت لفاراغ ديالها كاتقرا كتوبا ديال الطابخ</t>
  </si>
  <si>
    <t>What's the best method for cooking beef?</t>
  </si>
  <si>
    <t>chnou 8iyya 2a7san Tari9a dyal Tyab dl7em</t>
  </si>
  <si>
    <t>شنو هييّا أحسان طاريقا ديال طياب دلحم</t>
  </si>
  <si>
    <t>My mom has a gas stove</t>
  </si>
  <si>
    <t>mama 3nd8a boTa dyal lgaz</t>
  </si>
  <si>
    <t>ماما عندها بوطا ديال لڭاز</t>
  </si>
  <si>
    <t>Cooking is his hobby</t>
  </si>
  <si>
    <t>tTyab 8owwa l8iwaya dyalo</t>
  </si>
  <si>
    <t>تطياب هووّا لهيوايا ديالو</t>
  </si>
  <si>
    <t>Prepare the sauce</t>
  </si>
  <si>
    <t>wejjed laSoS</t>
  </si>
  <si>
    <t>وجّد لاصوص</t>
  </si>
  <si>
    <t>The pasta is almost ready</t>
  </si>
  <si>
    <t>lippaT 9rib ykounou wajdin</t>
  </si>
  <si>
    <t>ليپّاط قريب يكونو واجدين</t>
  </si>
  <si>
    <t>You don't like my cooking</t>
  </si>
  <si>
    <t>makay3jbekch Tyabi</t>
  </si>
  <si>
    <t>ماكايعجبكش طيابي</t>
  </si>
  <si>
    <t>I like sweet food</t>
  </si>
  <si>
    <t>kat3jbni lmakla l7louwwa</t>
  </si>
  <si>
    <t>كاتعجبني لماكلا لحلووّا</t>
  </si>
  <si>
    <t>I don't like spicy food</t>
  </si>
  <si>
    <t>ma3ndich m3a lmakla l7arra</t>
  </si>
  <si>
    <t>ماعنديش معا لماكلا لحارّا</t>
  </si>
  <si>
    <t>The medicine had a bitter taste</t>
  </si>
  <si>
    <t>dwa kan lmada9 dyalo merr</t>
  </si>
  <si>
    <t>دوا كان لماداق ديالو مرّ</t>
  </si>
  <si>
    <t>This apple is really sour</t>
  </si>
  <si>
    <t>8ad tffa7a 7amDa nit</t>
  </si>
  <si>
    <t>هاد تفّاحا حامضا نيت</t>
  </si>
  <si>
    <t>The milk has turned sour</t>
  </si>
  <si>
    <t>l7lib wla 7ameD</t>
  </si>
  <si>
    <t>لحليب ولا حامض</t>
  </si>
  <si>
    <t>The fruit was too sour</t>
  </si>
  <si>
    <t>ddisir kan 7ameD bzzaf</t>
  </si>
  <si>
    <t>الديسير كان حامض بزّاف</t>
  </si>
  <si>
    <t>The soup has gone sour</t>
  </si>
  <si>
    <t>sSobba 7maDet</t>
  </si>
  <si>
    <t>سصوبّا حماضت</t>
  </si>
  <si>
    <t>The heat turned the milk sour</t>
  </si>
  <si>
    <t>sskhouniya rDDat l7lib 7ameD</t>
  </si>
  <si>
    <t>السخونييا رضّات لحليب حامض</t>
  </si>
  <si>
    <t>He gave her salty water</t>
  </si>
  <si>
    <t>3Ta8a lma male7</t>
  </si>
  <si>
    <t>عطاها لما مالح</t>
  </si>
  <si>
    <t>To make her vomit</t>
  </si>
  <si>
    <t>bach ykhlliw8a tt9iyya</t>
  </si>
  <si>
    <t>باش يخلّيوها التقييّا</t>
  </si>
  <si>
    <t>Salty food makes one thirsty</t>
  </si>
  <si>
    <t>lmakla lmal7a katjib l3Tech</t>
  </si>
  <si>
    <t>لماكلا لمالحا كاتجيب لعطش</t>
  </si>
  <si>
    <t>I do not have much cooking experience</t>
  </si>
  <si>
    <t>ma3ndich khibra f TTyab bzzaf</t>
  </si>
  <si>
    <t>ماعنديش خيبرا ف الطياب بزّاف</t>
  </si>
  <si>
    <t>Are you cooking supper?</t>
  </si>
  <si>
    <t>wach kaTeyyeb l3cha?</t>
  </si>
  <si>
    <t>واش كاطيّب لعشا?</t>
  </si>
  <si>
    <t>He has a cooking show</t>
  </si>
  <si>
    <t>3ndou bernamaj dyal TTabkh</t>
  </si>
  <si>
    <t>عندو برناماج ديال الطابخ</t>
  </si>
  <si>
    <t>I miss her cooking</t>
  </si>
  <si>
    <t>twe77echt Tyab8A</t>
  </si>
  <si>
    <t>توحّشت طيابها</t>
  </si>
  <si>
    <t>Don't you miss home cooking?</t>
  </si>
  <si>
    <t>wach matwe77echtich lmakla dyal ddar</t>
  </si>
  <si>
    <t>واش ماتوحّشتيش لماكلا ديال الدار</t>
  </si>
  <si>
    <t>I will miss your cooking</t>
  </si>
  <si>
    <t>ghadi ntwe77ech Tyabek</t>
  </si>
  <si>
    <t>غادي نتوحّش طيابك</t>
  </si>
  <si>
    <t>I miss my mom's cooking</t>
  </si>
  <si>
    <t>twe77echt Tyab dyal mama</t>
  </si>
  <si>
    <t>توحّشت طياب ديال ماما</t>
  </si>
  <si>
    <t>He aided his mom in cooking</t>
  </si>
  <si>
    <t>8owwa 3awn mama8 fTTyab</t>
  </si>
  <si>
    <t>هووّا عاون ماماه فطّياب</t>
  </si>
  <si>
    <t>His daughter is bad at cooking</t>
  </si>
  <si>
    <t>bentou makat3refch TTeyeb</t>
  </si>
  <si>
    <t>بنتو ماكاتعرفش الطيب</t>
  </si>
  <si>
    <t>I am cooking now</t>
  </si>
  <si>
    <t>ana kanTeyyeb daba</t>
  </si>
  <si>
    <t>أنا كانطيّب دابا</t>
  </si>
  <si>
    <t>My sister is cooking in the kitchen</t>
  </si>
  <si>
    <t>khti kaTTeyeb f lkouzina</t>
  </si>
  <si>
    <t>ختي كاطّيب ف لكوزينا</t>
  </si>
  <si>
    <t>He isn't used to cooking</t>
  </si>
  <si>
    <t>8owwa mamwellefch yTeyyeb</t>
  </si>
  <si>
    <t>هووّا مامولّفش يطيّب</t>
  </si>
  <si>
    <t>I don't have much interest in cooking</t>
  </si>
  <si>
    <t>ma3ndich 8timam b TTyab</t>
  </si>
  <si>
    <t>ماعنديش هتيمام ب الطياب</t>
  </si>
  <si>
    <t>The smell of cooking makes me hungry</t>
  </si>
  <si>
    <t>ri7t TTyab katjib liyya jjou3</t>
  </si>
  <si>
    <t>ريحت الطياب كاتجيب لييّا الجوع</t>
  </si>
  <si>
    <t>She is used to cooking</t>
  </si>
  <si>
    <t>8owwa mwelf yTeyyeb</t>
  </si>
  <si>
    <t>هووّا مولف يطيّب</t>
  </si>
  <si>
    <t>I hear you are good at cooking</t>
  </si>
  <si>
    <t>sme3T bli 3ndek m3a TTyab</t>
  </si>
  <si>
    <t>سمعط بلي عندك معا الطياب</t>
  </si>
  <si>
    <t>Cooking takes too much time</t>
  </si>
  <si>
    <t>tTyab kayyakhod lwe9t bzzaf</t>
  </si>
  <si>
    <t>تطياب كايّاخود لوقت بزّاف</t>
  </si>
  <si>
    <t>I have to go and cook dinner</t>
  </si>
  <si>
    <t>khaSni nmchi nTeyyeb l3cha</t>
  </si>
  <si>
    <t>خاصني نمشي نطيّب لعشا</t>
  </si>
  <si>
    <t>Did you have lunch?</t>
  </si>
  <si>
    <t>wach tghedditi?</t>
  </si>
  <si>
    <t>واش تغدّيتي?</t>
  </si>
  <si>
    <t>I always have boiled egg for breakfast</t>
  </si>
  <si>
    <t>dima kannakhoud lbiD mslou9 f lfTour</t>
  </si>
  <si>
    <t>ديما كانّاخود لبيض مسلوق ف لفطور</t>
  </si>
  <si>
    <t>Have you finished your breakfast?</t>
  </si>
  <si>
    <t>wach saliti fTorek?</t>
  </si>
  <si>
    <t>واش ساليتي فطورك?</t>
  </si>
  <si>
    <t>wach kemmelti fTorek?</t>
  </si>
  <si>
    <t>واش كمّلتي فطورك?</t>
  </si>
  <si>
    <t>He toasted bread</t>
  </si>
  <si>
    <t>8owwa 7emmer lkhobz</t>
  </si>
  <si>
    <t>هووّا حمّر لخوبز</t>
  </si>
  <si>
    <t>For breakfast, I have a glass of orange juice</t>
  </si>
  <si>
    <t>f lfTour, kanchreb kas dyal 3assir dllimoun</t>
  </si>
  <si>
    <t>ف لفطور, كانشرب كاس ديال عاسّير دلّيمون</t>
  </si>
  <si>
    <t>A cup of cold milk</t>
  </si>
  <si>
    <t>kas dyal l7lib bared</t>
  </si>
  <si>
    <t>كاس ديال لحليب بارد</t>
  </si>
  <si>
    <t>A cup of hot milk</t>
  </si>
  <si>
    <t>kas dyal l7lib skhoun</t>
  </si>
  <si>
    <t>كاس ديال لحليب سخون</t>
  </si>
  <si>
    <t>A cup of hot chocolate</t>
  </si>
  <si>
    <t>kas dyal l7lib b chchklaT</t>
  </si>
  <si>
    <t>كاس ديال لحليب ب الشكلاط</t>
  </si>
  <si>
    <t>I like cheese</t>
  </si>
  <si>
    <t>kay3jbni l fermaj</t>
  </si>
  <si>
    <t>كايعجبني ل فرماج</t>
  </si>
  <si>
    <t>I always use butter in cooking</t>
  </si>
  <si>
    <t>dima kansta3mel zzebda f TTyab</t>
  </si>
  <si>
    <t>ديما كانستاعمل الزبدا ف الطياب</t>
  </si>
  <si>
    <t>I prefer croissant than bread</t>
  </si>
  <si>
    <t>kat3jbni krwaSSa 3la lkhoubz</t>
  </si>
  <si>
    <t>كاتعجبني كرواصّا علا لخوبز</t>
  </si>
  <si>
    <t>I only have yogurt at dinner</t>
  </si>
  <si>
    <t>kannakhoud ghir Danoun fl3cha</t>
  </si>
  <si>
    <t>كانّاخود غير ضانون فلعشا</t>
  </si>
  <si>
    <t>He ate a whole pot of jam</t>
  </si>
  <si>
    <t>kla 9r3a kamla dyal lkofitir</t>
  </si>
  <si>
    <t>كلا قرعا كاملا ديال لكوفيتير</t>
  </si>
  <si>
    <t>Honey is good for you</t>
  </si>
  <si>
    <t>l3sel mzyan lik</t>
  </si>
  <si>
    <t>لعسل مزيان ليك</t>
  </si>
  <si>
    <t>I want to have a snack</t>
  </si>
  <si>
    <t>bghit nakhoud chi 7aja khfifa</t>
  </si>
  <si>
    <t>بغيت ناخود شي حاجا خفيفا</t>
  </si>
  <si>
    <t>I made a chocolate cake</t>
  </si>
  <si>
    <t>dert kika dyal chchklaT</t>
  </si>
  <si>
    <t>درت كيكا ديال الشكلاط</t>
  </si>
  <si>
    <t>sawwebt kika dyal chchklaT</t>
  </si>
  <si>
    <t>ساوّبت كيكا ديال الشكلاط</t>
  </si>
  <si>
    <t>He has lunch at school</t>
  </si>
  <si>
    <t>8owwa tghedda flmDraSa</t>
  </si>
  <si>
    <t>هووّا تغدّا فلمضراصا</t>
  </si>
  <si>
    <t>I'm starving</t>
  </si>
  <si>
    <t>fiyya lmout dyal jjou3</t>
  </si>
  <si>
    <t>فييّا لموت ديال الجوع</t>
  </si>
  <si>
    <t>I'm full</t>
  </si>
  <si>
    <t>chbe3t</t>
  </si>
  <si>
    <t>شبعت</t>
  </si>
  <si>
    <t>Let's have lunch!</t>
  </si>
  <si>
    <t>yalla8 ntgheddaw !</t>
  </si>
  <si>
    <t>يالّاه نتغدّاو !</t>
  </si>
  <si>
    <t>I feel drowsy after lunch</t>
  </si>
  <si>
    <t>kayjini nn3as mn be3d lghda</t>
  </si>
  <si>
    <t>كايجيني النعاس من بعد لغدا</t>
  </si>
  <si>
    <t>I quickly ate lunch</t>
  </si>
  <si>
    <t>tgheddit bzzerba</t>
  </si>
  <si>
    <t>Can I eat my lunch here?</t>
  </si>
  <si>
    <t>wach n9der ntghdda 8na?</t>
  </si>
  <si>
    <t>واش نقدر نتغدّا هنا?</t>
  </si>
  <si>
    <t>I have just eaten lunch</t>
  </si>
  <si>
    <t>yalla8 tghddit</t>
  </si>
  <si>
    <t>Have you eaten lunch?</t>
  </si>
  <si>
    <t>Did you remember?</t>
  </si>
  <si>
    <t>wach 39elti?</t>
  </si>
  <si>
    <t>واش عقلتي?</t>
  </si>
  <si>
    <t>Can we lunch together?</t>
  </si>
  <si>
    <t>wach ntgheddaw mjmou3in?</t>
  </si>
  <si>
    <t>واش نتغدّاو مجموعين?</t>
  </si>
  <si>
    <t>Come on! I'll buy you lunch</t>
  </si>
  <si>
    <t>yalla8 ! ghadi nchri lik lghda</t>
  </si>
  <si>
    <t>يالّاه ! غادي نشري ليك لغدا</t>
  </si>
  <si>
    <t>He grew up in a healthy family</t>
  </si>
  <si>
    <t>kber f3a2ila labas 3li8a</t>
  </si>
  <si>
    <t>كبر فعاإلا لاباس عليها</t>
  </si>
  <si>
    <t>She had a beautiful face</t>
  </si>
  <si>
    <t>3nd8a wje8 zwin</t>
  </si>
  <si>
    <t>عندها وجه زوين</t>
  </si>
  <si>
    <t>Face the wall</t>
  </si>
  <si>
    <t>t9abel m3a l7iT</t>
  </si>
  <si>
    <t>تقابل معا لحيط</t>
  </si>
  <si>
    <t>Stand up!</t>
  </si>
  <si>
    <t>w9ef</t>
  </si>
  <si>
    <t>sit down!</t>
  </si>
  <si>
    <t>gles!</t>
  </si>
  <si>
    <t>ڭلس!</t>
  </si>
  <si>
    <t>Go to sleep</t>
  </si>
  <si>
    <t>sir ten3es</t>
  </si>
  <si>
    <t>سير تنعس</t>
  </si>
  <si>
    <t>Stop laughing</t>
  </si>
  <si>
    <t>7bes dde7k</t>
  </si>
  <si>
    <t>حبس الدحك</t>
  </si>
  <si>
    <t>Are you thirsty?</t>
  </si>
  <si>
    <t>wach jak l3Tech?</t>
  </si>
  <si>
    <t>واش جاك لعطش?</t>
  </si>
  <si>
    <t>Haven't you slept well yesterday?</t>
  </si>
  <si>
    <t>wach man3estich mzyan lbare7?</t>
  </si>
  <si>
    <t>واش مانعستيش مزيان لبارح?</t>
  </si>
  <si>
    <t>His face was still pale</t>
  </si>
  <si>
    <t>wj8ou kan mazal Sfer</t>
  </si>
  <si>
    <t>وجهو كان مازال صفر</t>
  </si>
  <si>
    <t>He covered his face and wept</t>
  </si>
  <si>
    <t>ghTTa wj8ou w bka</t>
  </si>
  <si>
    <t>غطّا وجهو و بكا</t>
  </si>
  <si>
    <t>Don't cry</t>
  </si>
  <si>
    <t>matbkich</t>
  </si>
  <si>
    <t>ماتبكيش</t>
  </si>
  <si>
    <t>I'm with you</t>
  </si>
  <si>
    <t>ana m3ak</t>
  </si>
  <si>
    <t>أنا معاك</t>
  </si>
  <si>
    <t>I have curly hair</t>
  </si>
  <si>
    <t>3ndi ch3er mkrippi</t>
  </si>
  <si>
    <t>عندي شعر مكريپّي</t>
  </si>
  <si>
    <t>he has straight hair</t>
  </si>
  <si>
    <t>3ndo ch3er rTeb</t>
  </si>
  <si>
    <t>عندو شعر رطب</t>
  </si>
  <si>
    <t>He has black hair</t>
  </si>
  <si>
    <t>3ndo ch3er K7el</t>
  </si>
  <si>
    <t>عندو شعر كحل</t>
  </si>
  <si>
    <t>He has white hair</t>
  </si>
  <si>
    <t>ch3ro byeD</t>
  </si>
  <si>
    <t>شعرو بيض</t>
  </si>
  <si>
    <t>First time on hair coloring</t>
  </si>
  <si>
    <t>awwel merra nSbegh ch3ri</t>
  </si>
  <si>
    <t>أوّل مرّا نصبغ شعري</t>
  </si>
  <si>
    <t>he has blonde hair</t>
  </si>
  <si>
    <t>3ndo ch3er z3er</t>
  </si>
  <si>
    <t>عندو شعر زعر</t>
  </si>
  <si>
    <t>3ndo ch3er ch8eb</t>
  </si>
  <si>
    <t>عندو شعر شهب</t>
  </si>
  <si>
    <t>he is blonde</t>
  </si>
  <si>
    <t>8owwa ch8eb</t>
  </si>
  <si>
    <t>هووّا شهب</t>
  </si>
  <si>
    <t>8owwa z3er</t>
  </si>
  <si>
    <t>هووّا زعر</t>
  </si>
  <si>
    <t>I have red hair</t>
  </si>
  <si>
    <t>3ndi ch3er 7mer</t>
  </si>
  <si>
    <t>عندي شعر حمر</t>
  </si>
  <si>
    <t>He dyed his hair grey</t>
  </si>
  <si>
    <t>sbegh ch3ro b lgri</t>
  </si>
  <si>
    <t>سبغ شعرو ب لڭري</t>
  </si>
  <si>
    <t>He is bald</t>
  </si>
  <si>
    <t>8owwa 9re3</t>
  </si>
  <si>
    <t>هووّا قرع</t>
  </si>
  <si>
    <t>he has short hair</t>
  </si>
  <si>
    <t>3ndo ch3er 9Sir</t>
  </si>
  <si>
    <t>عندو شعر قصير</t>
  </si>
  <si>
    <t>he has long hair</t>
  </si>
  <si>
    <t>3ndo ch3er Twil</t>
  </si>
  <si>
    <t>عندو شعر طويل</t>
  </si>
  <si>
    <t>he tied his hair back</t>
  </si>
  <si>
    <t>jm3e3 ch3ero lour</t>
  </si>
  <si>
    <t>جمعع شعرو لور</t>
  </si>
  <si>
    <t>He got a new haircut</t>
  </si>
  <si>
    <t>7ssen 7sana jdida</t>
  </si>
  <si>
    <t>حسّن حسانا جديدا</t>
  </si>
  <si>
    <t>he got a new haircut</t>
  </si>
  <si>
    <t>9Te3 ch3ero te9Ti3a jdida</t>
  </si>
  <si>
    <t>قطع شعرو تقطيعا جديدا</t>
  </si>
  <si>
    <t>he did up his hair in a bun</t>
  </si>
  <si>
    <t>jme3 ch3ero chfenja</t>
  </si>
  <si>
    <t>جمع شعرو شفنجا</t>
  </si>
  <si>
    <t>he braided his hair</t>
  </si>
  <si>
    <t>dfer ch3ero</t>
  </si>
  <si>
    <t>دفر شعرو</t>
  </si>
  <si>
    <t>he sleeps with braided hair</t>
  </si>
  <si>
    <t>kayn3es bch3er mDfour</t>
  </si>
  <si>
    <t>كاينعس بشعر مضفور</t>
  </si>
  <si>
    <t>he has big blue eyes</t>
  </si>
  <si>
    <t>3ndo 3inin kbar w zer9in</t>
  </si>
  <si>
    <t>عندو عينين كبار و زرقين</t>
  </si>
  <si>
    <t>he has big black eyes</t>
  </si>
  <si>
    <t>3ndo 3inin kbar w ke7lin</t>
  </si>
  <si>
    <t>عندو عينين كبار و كحلين</t>
  </si>
  <si>
    <t>He has little brown eyes</t>
  </si>
  <si>
    <t>3ndo 3inin Sghar o 9e8wiyyin</t>
  </si>
  <si>
    <t>عندو عينين صغار أُ قهوييّين</t>
  </si>
  <si>
    <t>My eyes are round</t>
  </si>
  <si>
    <t>3iniyya mDewrin</t>
  </si>
  <si>
    <t>عينييّا مضورين</t>
  </si>
  <si>
    <t>He has a big mouth</t>
  </si>
  <si>
    <t>3ndo fem kbir</t>
  </si>
  <si>
    <t>عندو فم كبير</t>
  </si>
  <si>
    <t>My eyebrows are thick</t>
  </si>
  <si>
    <t>7jbani ghlaD</t>
  </si>
  <si>
    <t>حجباني غلاض</t>
  </si>
  <si>
    <t>I have long eyelashes</t>
  </si>
  <si>
    <t>3ndi chfran Twal</t>
  </si>
  <si>
    <t>عندي شفران طوال</t>
  </si>
  <si>
    <t>3ndi chfar Twal</t>
  </si>
  <si>
    <t>عندي شفار طوال</t>
  </si>
  <si>
    <t>He has big ears</t>
  </si>
  <si>
    <t>3ndo wednin kbar</t>
  </si>
  <si>
    <t>عندو ودنين كبار</t>
  </si>
  <si>
    <t>My hair is golden</t>
  </si>
  <si>
    <t>che3ri de8bi</t>
  </si>
  <si>
    <t>شعري دهبي</t>
  </si>
  <si>
    <t>Who is that girl with a pigtail?</t>
  </si>
  <si>
    <t>chkoun dik lbnt moulat DDfira?</t>
  </si>
  <si>
    <t>شكون ديك لبنت مولات الضفيرا?</t>
  </si>
  <si>
    <t>He is handsome</t>
  </si>
  <si>
    <t>8owwa zwin</t>
  </si>
  <si>
    <t>هووّا زوين</t>
  </si>
  <si>
    <t>8wwa bogos</t>
  </si>
  <si>
    <t>هوّا بوڭوس</t>
  </si>
  <si>
    <t>He has a long face</t>
  </si>
  <si>
    <t>3ndo wje8 Twil</t>
  </si>
  <si>
    <t>عندو وجه طويل</t>
  </si>
  <si>
    <t>I like his face shape</t>
  </si>
  <si>
    <t>kay3jbni chchkel dyal wj8ou</t>
  </si>
  <si>
    <t>كايعجبني الشكل ديال وجهو</t>
  </si>
  <si>
    <t>He has a broad nose</t>
  </si>
  <si>
    <t>3ndo nnif wase3</t>
  </si>
  <si>
    <t>عندو النيف واسع</t>
  </si>
  <si>
    <t>He doesn't like his hooked nose</t>
  </si>
  <si>
    <t>makay3jbouch nifou hit m9ewweS</t>
  </si>
  <si>
    <t>ماكايعجبوش نيفو هيت مقوّص</t>
  </si>
  <si>
    <t>he has a large forehead</t>
  </si>
  <si>
    <t>3ndo jjeb8a 3riDa</t>
  </si>
  <si>
    <t>عندو الجبها عريضا</t>
  </si>
  <si>
    <t>You look gorgeous</t>
  </si>
  <si>
    <t>katbani fenna</t>
  </si>
  <si>
    <t>كاتباني فنّا</t>
  </si>
  <si>
    <t>You look amazing</t>
  </si>
  <si>
    <t>katbani wa3ra</t>
  </si>
  <si>
    <t>كاتباني واعرا</t>
  </si>
  <si>
    <t>I like your dress</t>
  </si>
  <si>
    <t>3jbatni lkswa dyalek</t>
  </si>
  <si>
    <t>عجباتني لكسوا ديالك</t>
  </si>
  <si>
    <t>Does this skirt suit me?</t>
  </si>
  <si>
    <t>wach jat m3aya 8ad lkswa?</t>
  </si>
  <si>
    <t>واش جات معايا هاد لكسوا?</t>
  </si>
  <si>
    <t>This suit is perfect for me</t>
  </si>
  <si>
    <t>8ad lonsombl mnaseb liyya</t>
  </si>
  <si>
    <t>هاد لونسومبل مناسب لييّا</t>
  </si>
  <si>
    <t>Yellow doesn't suit me at all</t>
  </si>
  <si>
    <t>sSfer makayajich m3aya bmarra</t>
  </si>
  <si>
    <t>سصفر ماكاياجيش معايا بمارّا</t>
  </si>
  <si>
    <t>He was dressed in a black suit</t>
  </si>
  <si>
    <t>kan labes onsombl k7el</t>
  </si>
  <si>
    <t>كان لابس أُنسومبل كحل</t>
  </si>
  <si>
    <t>She looks handsome in this suit</t>
  </si>
  <si>
    <t>kayban zwin f8ad lonsombl</t>
  </si>
  <si>
    <t>كايبان زوين فهاد لونسومبل</t>
  </si>
  <si>
    <t>I guess I'll wear a suit</t>
  </si>
  <si>
    <t>wa9ila ghadi nlbes onsombl</t>
  </si>
  <si>
    <t>واقيلا غادي نلبس أُنسومبل</t>
  </si>
  <si>
    <t>Maybe he is sick</t>
  </si>
  <si>
    <t>wa9ila ra8 mriD</t>
  </si>
  <si>
    <t>واقيلا راه مريض</t>
  </si>
  <si>
    <t>That jacket fits you perfectly</t>
  </si>
  <si>
    <t>8adik jjakiTa jat m3ak mn dakchi</t>
  </si>
  <si>
    <t>هاديك الجاكيطا جات معاك من داكشي</t>
  </si>
  <si>
    <t>I like the color of your jacket</t>
  </si>
  <si>
    <t>3jbni lloun dyal jjakiTa dyalek</t>
  </si>
  <si>
    <t>عجبني اللون ديال الجاكيطا ديالك</t>
  </si>
  <si>
    <t>This jacket is available in various colors</t>
  </si>
  <si>
    <t>8ad jjakiTa kayn fi8a 2alwan mkhtalfa</t>
  </si>
  <si>
    <t>هاد الجاكيطا كاين فيها ألوان مختالفا</t>
  </si>
  <si>
    <t>This chair is comfortable</t>
  </si>
  <si>
    <t>8ad lkoursi mouri7</t>
  </si>
  <si>
    <t>هاد لكورسي موريح</t>
  </si>
  <si>
    <t>He was wearing a leather jacket</t>
  </si>
  <si>
    <t>kan labes jjackiTa dyal jjeld</t>
  </si>
  <si>
    <t>كان لابس الجاككيطا ديال الجلد</t>
  </si>
  <si>
    <t>These shorts are too tight for me</t>
  </si>
  <si>
    <t>8ad chchorTat mzeyrin 3liya bzzaf</t>
  </si>
  <si>
    <t>هاد الشورطات مزيرين علييا بزّاف</t>
  </si>
  <si>
    <t>I wear shorts all the time</t>
  </si>
  <si>
    <t>kanelbes chchorTat dimaa</t>
  </si>
  <si>
    <t>كانلبس الشورطات ديما</t>
  </si>
  <si>
    <t>Let's switch out the shorts</t>
  </si>
  <si>
    <t>yalla8 ntbadlo chchorTat</t>
  </si>
  <si>
    <t>يالّاه نتبادلو الشورطات</t>
  </si>
  <si>
    <t>It's still too cold to wear shorts</t>
  </si>
  <si>
    <t>mazal kayn lberd bzf 3la chchorTat</t>
  </si>
  <si>
    <t>مازال كاين لبرد بزف علا الشورطات</t>
  </si>
  <si>
    <t>The T-shirt was too small for him</t>
  </si>
  <si>
    <t>ttichourt ja8 Sghir bzzaf</t>
  </si>
  <si>
    <t>التيشورت جاه صغير بزّاف</t>
  </si>
  <si>
    <t>He had bare feet</t>
  </si>
  <si>
    <t>kan 7fyan</t>
  </si>
  <si>
    <t>كان حفيان</t>
  </si>
  <si>
    <t>The jeans, T-shirt, and sandals would suffice</t>
  </si>
  <si>
    <t>ddjin,tichourt o Sendala ghaykounou kafyin</t>
  </si>
  <si>
    <t>الدجين,تيشورت أُ صندالا غايكونو كافيين</t>
  </si>
  <si>
    <t>You can't wear the red pants</t>
  </si>
  <si>
    <t>maymkench telbes sserwal l7mer</t>
  </si>
  <si>
    <t>مايمكنش تلبس السروال لحمر</t>
  </si>
  <si>
    <t>I need to buy a new pair of pants</t>
  </si>
  <si>
    <t>khaSni nchri serwal jdid</t>
  </si>
  <si>
    <t>خاصني نشري سروال جديد</t>
  </si>
  <si>
    <t>The pink pants are his</t>
  </si>
  <si>
    <t>sserwal lghoz dyal8o</t>
  </si>
  <si>
    <t>السروال لغوز ديالهو</t>
  </si>
  <si>
    <t>You look so handsome in these pants</t>
  </si>
  <si>
    <t>katban bougouS f8ad ssrwal</t>
  </si>
  <si>
    <t>كاتبان بوڭوص فهاد السروال</t>
  </si>
  <si>
    <t>I put on my bra</t>
  </si>
  <si>
    <t>lbest ssoutyan dyali</t>
  </si>
  <si>
    <t>لبست السوتيان ديالي</t>
  </si>
  <si>
    <t>He put his hands into his pants pockets</t>
  </si>
  <si>
    <t>dar yeddi8 fjibou</t>
  </si>
  <si>
    <t>دار يدّيه فجيبو</t>
  </si>
  <si>
    <t>He put his hand to his forehead</t>
  </si>
  <si>
    <t>7ett yeddi8 3la jbe8tou</t>
  </si>
  <si>
    <t>حتّ يدّيه علا جبهتو</t>
  </si>
  <si>
    <t>He was holding a pen</t>
  </si>
  <si>
    <t>kan chadd stilo</t>
  </si>
  <si>
    <t>كان شادّ ستيلو</t>
  </si>
  <si>
    <t>Is your hand clean?</t>
  </si>
  <si>
    <t>wach yeddik n9iyya</t>
  </si>
  <si>
    <t>واش يدّيك نقييّا</t>
  </si>
  <si>
    <t>You can not clap with one hand</t>
  </si>
  <si>
    <t>mate9derch tSeffe9 byed we7da</t>
  </si>
  <si>
    <t>ماتقدرش تصفّق بيد وحدا</t>
  </si>
  <si>
    <t>I tried to write with my left hand</t>
  </si>
  <si>
    <t>7awelt nkteb b yeddi lliSriya</t>
  </si>
  <si>
    <t>حاولت نكتب ب يدّي الليصرييا</t>
  </si>
  <si>
    <t>He slapped his hand on the table</t>
  </si>
  <si>
    <t>dreb yeddi8 m3a Tebla</t>
  </si>
  <si>
    <t>درب يدّيه معا طبلا</t>
  </si>
  <si>
    <t>On the other hand</t>
  </si>
  <si>
    <t>mn ji8a khra</t>
  </si>
  <si>
    <t>من جيها خرا</t>
  </si>
  <si>
    <t>She lifted her hand to slap him</t>
  </si>
  <si>
    <t>8zzat yeddi8a bach tSerf9ou</t>
  </si>
  <si>
    <t>هزّات يدّيها باش تصرفقو</t>
  </si>
  <si>
    <t>She took his hand and kissed it</t>
  </si>
  <si>
    <t>khdat yeddi8 o baset8a</t>
  </si>
  <si>
    <t>خدات يدّيه أُ باستها</t>
  </si>
  <si>
    <t>He ran a hand through his hair</t>
  </si>
  <si>
    <t>dewwez yeddi8 3la che3rou</t>
  </si>
  <si>
    <t>دوّز يدّيه علا شعرو</t>
  </si>
  <si>
    <t>Give me a hand!</t>
  </si>
  <si>
    <t>3awenni !</t>
  </si>
  <si>
    <t>عاونّي !</t>
  </si>
  <si>
    <t>Hand me that book, please.</t>
  </si>
  <si>
    <t>3Tini dak lktab, 3afak</t>
  </si>
  <si>
    <t>عطيني داك لكتاب, عافاك</t>
  </si>
  <si>
    <t>The kid pissed his pants</t>
  </si>
  <si>
    <t>dderri SSghir bal f serwalou</t>
  </si>
  <si>
    <t>الدرّي الصغير بال ف سروالو</t>
  </si>
  <si>
    <t>The pants don't suit me</t>
  </si>
  <si>
    <t>8ad sserwal majach m3aya</t>
  </si>
  <si>
    <t>هاد السروال ماجاش معايا</t>
  </si>
  <si>
    <t>You look fat in these pants.</t>
  </si>
  <si>
    <t>katban ghliD f8ad sserwal</t>
  </si>
  <si>
    <t>كاتبان غليض فهاد السروال</t>
  </si>
  <si>
    <t>This must be his pants</t>
  </si>
  <si>
    <t>8ada bayn serwalou</t>
  </si>
  <si>
    <t>هادا باين سروالو</t>
  </si>
  <si>
    <t>How much does this pants cost?</t>
  </si>
  <si>
    <t>bch7al dayer 8ad sserwal</t>
  </si>
  <si>
    <t>بشحال داير هاد السروال</t>
  </si>
  <si>
    <t>I spilled coffee on my pants</t>
  </si>
  <si>
    <t>khwit l9e8wa 3la serwali</t>
  </si>
  <si>
    <t>خويت لقهوا علا سروالي</t>
  </si>
  <si>
    <t>he likes to wear tight pants</t>
  </si>
  <si>
    <t>kay3ejbo ylbes srawel mzeyrin</t>
  </si>
  <si>
    <t>كايعجبو يلبس سراول مزيرين</t>
  </si>
  <si>
    <t>He checked his pants pockets</t>
  </si>
  <si>
    <t>9elleb jyab dyal sserwal</t>
  </si>
  <si>
    <t>قلّب جياب ديال السروال</t>
  </si>
  <si>
    <t>I wiped the dirt off my pants</t>
  </si>
  <si>
    <t>mse7t lwsekh mn serwali</t>
  </si>
  <si>
    <t>مسحت لوسخ من سروالي</t>
  </si>
  <si>
    <t>Do you have any extra pants?</t>
  </si>
  <si>
    <t>wach 3endek chi serwal zayed?</t>
  </si>
  <si>
    <t>واش عندك شي سروال زايد?</t>
  </si>
  <si>
    <t>These pants are too big for me</t>
  </si>
  <si>
    <t>8ad sserwal kbir 3liyya bezzaf</t>
  </si>
  <si>
    <t>هاد السروال كبير علييّا بزّاف</t>
  </si>
  <si>
    <t>He took his shoes off</t>
  </si>
  <si>
    <t>7eyyed SbbaTo</t>
  </si>
  <si>
    <t>حيّد صبّاطو</t>
  </si>
  <si>
    <t>He took his socks off</t>
  </si>
  <si>
    <t>7eyyed t9achrou</t>
  </si>
  <si>
    <t>حيّد تقاشرو</t>
  </si>
  <si>
    <t>My socks snagged</t>
  </si>
  <si>
    <t>t9achri t9eTT3o</t>
  </si>
  <si>
    <t>تقاشري تقطّعو</t>
  </si>
  <si>
    <t>Change your socks</t>
  </si>
  <si>
    <t>bddel t9achrek</t>
  </si>
  <si>
    <t>بدّل تقاشرك</t>
  </si>
  <si>
    <t>He sniffed his socks</t>
  </si>
  <si>
    <t>chemm t9achrou</t>
  </si>
  <si>
    <t>شمّ تقاشرو</t>
  </si>
  <si>
    <t>I prefer cotton socks</t>
  </si>
  <si>
    <t>kanfeDDel t9acher dyal l9Ten</t>
  </si>
  <si>
    <t>كانفضّل تقاشر ديال لقطن</t>
  </si>
  <si>
    <t>I don't like nylon socks</t>
  </si>
  <si>
    <t>makay3jbounich t9acher dyal nnilo</t>
  </si>
  <si>
    <t>ماكايعجبونيش تقاشر ديال النيلو</t>
  </si>
  <si>
    <t>My socks aren't here</t>
  </si>
  <si>
    <t>tt9acher makayninch 8na</t>
  </si>
  <si>
    <t>التقاشر ماكاينينش هنا</t>
  </si>
  <si>
    <t>The socks smell bad</t>
  </si>
  <si>
    <t>tt9acher ri7t8oum khanza</t>
  </si>
  <si>
    <t>التقاشر ريحتهوم خانزا</t>
  </si>
  <si>
    <t>The socks stink</t>
  </si>
  <si>
    <t>tt9acher mmouskhin</t>
  </si>
  <si>
    <t>التقاشر الموسخين</t>
  </si>
  <si>
    <t>Whose socks are these?</t>
  </si>
  <si>
    <t>dyalmen 8ad tt9acher?</t>
  </si>
  <si>
    <t>ديالمن هاد التقاشر?</t>
  </si>
  <si>
    <t>I have to take off my socks</t>
  </si>
  <si>
    <t>khessni n7eyyed t9achri</t>
  </si>
  <si>
    <t>خسّني نحيّد تقاشري</t>
  </si>
  <si>
    <t>I'm not wearing socks</t>
  </si>
  <si>
    <t>ana malabesch tt9acher</t>
  </si>
  <si>
    <t>أنا مالابسش التقاشر</t>
  </si>
  <si>
    <t>He likes to wear socks with sandals.</t>
  </si>
  <si>
    <t>kay3jbou ylbes t9acher m3a SSenDala</t>
  </si>
  <si>
    <t>كايعجبو يلبس تقاشر معا الصنضالا</t>
  </si>
  <si>
    <t>Are these my socks or your socks?</t>
  </si>
  <si>
    <t>wach 8adou t9achri wla t9achrek?</t>
  </si>
  <si>
    <t>واش هادو تقاشري ولا تقاشرك?</t>
  </si>
  <si>
    <t>Can I borrow your socks?</t>
  </si>
  <si>
    <t>wach n9der ntsellef t9achrek?</t>
  </si>
  <si>
    <t>واش نقدر نتسلّف تقاشرك?</t>
  </si>
  <si>
    <t>He had his socks inside out</t>
  </si>
  <si>
    <t>kan labes t9achrou m9loubin</t>
  </si>
  <si>
    <t>كان لابس تقاشرو مقلوبين</t>
  </si>
  <si>
    <t>Was she wearing a seat belt?</t>
  </si>
  <si>
    <t>wach kant labsa 7izam ssalama?</t>
  </si>
  <si>
    <t>واش كانت لابسا حيزام السالاما?</t>
  </si>
  <si>
    <t>He has a leather belt</t>
  </si>
  <si>
    <t>3ndou SemTa dyal jjeld</t>
  </si>
  <si>
    <t>عندو صمطا ديال الجلد</t>
  </si>
  <si>
    <t>he has a black belt in karate</t>
  </si>
  <si>
    <t>3ndo SemTa ke7la f lkaraTi</t>
  </si>
  <si>
    <t>عندو صمطا كحلا ف لكاراطي</t>
  </si>
  <si>
    <t>I need a belt</t>
  </si>
  <si>
    <t>kheSSni SemTa</t>
  </si>
  <si>
    <t>خصّني صمطا</t>
  </si>
  <si>
    <t>he was wearing a red hat</t>
  </si>
  <si>
    <t>kan labs Terbouch f l7mer</t>
  </si>
  <si>
    <t>كان لابس طربوش ف لحمر</t>
  </si>
  <si>
    <t>kan labs chappo f l7mer</t>
  </si>
  <si>
    <t>كان لابس شاپّو ف لحمر</t>
  </si>
  <si>
    <t>May I try on this hat?</t>
  </si>
  <si>
    <t>wach wakhkha njerreb 8ad TTerbouch?</t>
  </si>
  <si>
    <t>واش واخّا نجرّب هاد الطربوش?</t>
  </si>
  <si>
    <t>I recognized her by her white hat</t>
  </si>
  <si>
    <t>3reft8a ghir mn chchappo lbyeD dyal8a</t>
  </si>
  <si>
    <t>عرفتها غير من الشاپّو لبيض ديالها</t>
  </si>
  <si>
    <t>Take your hat off</t>
  </si>
  <si>
    <t>7eyyed Terbouchek</t>
  </si>
  <si>
    <t>حيّد طربوشك</t>
  </si>
  <si>
    <t>She picked up her hat</t>
  </si>
  <si>
    <t>khdat Terbouch8a</t>
  </si>
  <si>
    <t>خدات طربوشها</t>
  </si>
  <si>
    <t>He wrapped his scarf around his neck</t>
  </si>
  <si>
    <t>dewwer chchal 3la 3en9o</t>
  </si>
  <si>
    <t>دوّر الشال علا عنقو</t>
  </si>
  <si>
    <t>I prefer the silk scarf</t>
  </si>
  <si>
    <t>kanfeDDel chal dyal l7rir</t>
  </si>
  <si>
    <t>كانفضّل شال ديال لحرير</t>
  </si>
  <si>
    <t>I forgot my scarf</t>
  </si>
  <si>
    <t>nsit chchal dyali</t>
  </si>
  <si>
    <t>نسيت الشال ديالي</t>
  </si>
  <si>
    <t>I like your scarf</t>
  </si>
  <si>
    <t>3jbni chchal dyalek</t>
  </si>
  <si>
    <t>عجبني الشال ديالك</t>
  </si>
  <si>
    <t>I knitted a scarf</t>
  </si>
  <si>
    <t>kheyyeTT wa7ed chchal</t>
  </si>
  <si>
    <t>خيّطّ واحد الشال</t>
  </si>
  <si>
    <t>That scarf is ugly</t>
  </si>
  <si>
    <t>dak chchal khayeb</t>
  </si>
  <si>
    <t>داك الشال خايب</t>
  </si>
  <si>
    <t>Do you want a scarf?</t>
  </si>
  <si>
    <t>wach bghiti chi chal?</t>
  </si>
  <si>
    <t>واش بغيتي شي شال?</t>
  </si>
  <si>
    <t>Someone left his scarf</t>
  </si>
  <si>
    <t>chi wa7ed khlla chchal dyalou</t>
  </si>
  <si>
    <t>شي واحد خلّا الشال ديالو</t>
  </si>
  <si>
    <t>Cover your head with a scarf</t>
  </si>
  <si>
    <t>gheTTi raSek b chchal</t>
  </si>
  <si>
    <t>غطّي راصك ب الشال</t>
  </si>
  <si>
    <t>gheTTI raSek b dderra</t>
  </si>
  <si>
    <t>غطّي راصك ب الدرّا</t>
  </si>
  <si>
    <t>gheTTi raSek b zzif</t>
  </si>
  <si>
    <t>غطّي راصك ب الزيف</t>
  </si>
  <si>
    <t>Hold on to the scarf</t>
  </si>
  <si>
    <t>ched chchal</t>
  </si>
  <si>
    <t>شد الشال</t>
  </si>
  <si>
    <t>He took off the gloves</t>
  </si>
  <si>
    <t>7eyyed lligat</t>
  </si>
  <si>
    <t>حيّد الليڭات</t>
  </si>
  <si>
    <t>I like wearing gloves</t>
  </si>
  <si>
    <t>kay3jbni nlebes lligat</t>
  </si>
  <si>
    <t>كايعجبني نلبس الليڭات</t>
  </si>
  <si>
    <t>I need worm gloves</t>
  </si>
  <si>
    <t>kheSSni ligat skhan</t>
  </si>
  <si>
    <t>خصّني ليڭات سخان</t>
  </si>
  <si>
    <t>Are you really running in boots?</t>
  </si>
  <si>
    <t>wach mn niytek katjri bel boT</t>
  </si>
  <si>
    <t>واش من نييتك كاتجري بل بوط</t>
  </si>
  <si>
    <t>His boots were covered in mud</t>
  </si>
  <si>
    <t>liboT dyalo kano mgheTTyin b lghis</t>
  </si>
  <si>
    <t>ليبوط ديالو كانو مغطّيين ب لغيس</t>
  </si>
  <si>
    <t>Muddy boots</t>
  </si>
  <si>
    <t>liboT mgheyysin</t>
  </si>
  <si>
    <t>ليبوط مغيّسين</t>
  </si>
  <si>
    <t>he loves boots with heels</t>
  </si>
  <si>
    <t>kay3jbou8 liboT b TTaloun</t>
  </si>
  <si>
    <t>كايعجبوه ليبوط ب الطالون</t>
  </si>
  <si>
    <t>I can't walk in high heels</t>
  </si>
  <si>
    <t>man9derch ntmchcha b TTaloun</t>
  </si>
  <si>
    <t>مانقدرش نتمشّا ب الطالون</t>
  </si>
  <si>
    <t>he was wearing high heels</t>
  </si>
  <si>
    <t>kan labs SebbaT dyl TTaloun</t>
  </si>
  <si>
    <t>كان لابس صبّاط ديل الطالون</t>
  </si>
  <si>
    <t>I felt a little awkward</t>
  </si>
  <si>
    <t>7ssit brasi fchichkel</t>
  </si>
  <si>
    <t>حسّيت براسي فشيشكل</t>
  </si>
  <si>
    <t>It's my first time wearing high heels</t>
  </si>
  <si>
    <t>2awwel merra nelbes TTaloun</t>
  </si>
  <si>
    <t>أوّل مرّا نلبس الطالون</t>
  </si>
  <si>
    <t>I wear slippers at home</t>
  </si>
  <si>
    <t>kanelbes lppanTofa f DDar</t>
  </si>
  <si>
    <t>كانلبس لپّانطوفا ف الضار</t>
  </si>
  <si>
    <t>I wear leggings at the gym</t>
  </si>
  <si>
    <t>kanelbes lkolon f laSal</t>
  </si>
  <si>
    <t>كانلبس لكولون ف لاصال</t>
  </si>
  <si>
    <t>Hoodies are comfortable</t>
  </si>
  <si>
    <t>l9ebbiyat mouri7in</t>
  </si>
  <si>
    <t>لقبّييات موريحين</t>
  </si>
  <si>
    <t>This store does not have hoodies</t>
  </si>
  <si>
    <t>8ad lma7al ma3ndouch l9ebbiyat</t>
  </si>
  <si>
    <t>هاد لماحال ماعندوش لقبّييات</t>
  </si>
  <si>
    <t>I used to wear hoodies as a teenager</t>
  </si>
  <si>
    <t>kont kanelbes l9obbiyat fach kont mora8i9</t>
  </si>
  <si>
    <t>كونت كانلبس لقوبّييات فاش كونت موراهيق</t>
  </si>
  <si>
    <t>I wear tracksuit when practicing sport</t>
  </si>
  <si>
    <t>kanelbes kiTma fach kandir rriyaDa</t>
  </si>
  <si>
    <t>كانلبس كيطما فاش كاندير الريياضا</t>
  </si>
  <si>
    <t>Casual wear</t>
  </si>
  <si>
    <t>7wayej machi rasmiyyin</t>
  </si>
  <si>
    <t>حوايج ماشي راسمييّين</t>
  </si>
  <si>
    <t>Formal wear</t>
  </si>
  <si>
    <t>7wayej rasmiyyin</t>
  </si>
  <si>
    <t>حوايج راسمييّين</t>
  </si>
  <si>
    <t>Sports wear</t>
  </si>
  <si>
    <t>7wayej dyal rriyaDa</t>
  </si>
  <si>
    <t>حوايج ديال الريياضا</t>
  </si>
  <si>
    <t>Underwears</t>
  </si>
  <si>
    <t>malabis dakhiliyya</t>
  </si>
  <si>
    <t>مالابيس داخيلييّا</t>
  </si>
  <si>
    <t>I am going to school</t>
  </si>
  <si>
    <t>ana ghadi lelmeDraSa</t>
  </si>
  <si>
    <t>أنا غادي للمضراصا</t>
  </si>
  <si>
    <t>I need a desk</t>
  </si>
  <si>
    <t>kheSSni burou</t>
  </si>
  <si>
    <t>خصّني بورو</t>
  </si>
  <si>
    <t>The desk is made of wood</t>
  </si>
  <si>
    <t>lburou mSnou3 mn lkhcheb</t>
  </si>
  <si>
    <t>لبورو مصنوع من لخشب</t>
  </si>
  <si>
    <t>lmkteb mSawweb mn lkhcheb</t>
  </si>
  <si>
    <t>لمكتب مصاوّب من لخشب</t>
  </si>
  <si>
    <t>Don't put it on the desk</t>
  </si>
  <si>
    <t>mat7eTTouch fo9 lburou</t>
  </si>
  <si>
    <t>ماتحطّوش فوق لبورو</t>
  </si>
  <si>
    <t>She found her purse under the desk</t>
  </si>
  <si>
    <t>l9at bezTam8a te7t lburou</t>
  </si>
  <si>
    <t>لقات بزطامها تحت لبورو</t>
  </si>
  <si>
    <t>She folded her hands</t>
  </si>
  <si>
    <t>rebb3at yeddi8a</t>
  </si>
  <si>
    <t>ربّعات يدّيها</t>
  </si>
  <si>
    <t>There is a mound of papers on my desk</t>
  </si>
  <si>
    <t>kayen jbel dyal lwra9 fo9 lburou dyali</t>
  </si>
  <si>
    <t>كاين جبل ديال لوراق فوق لبورو ديالي</t>
  </si>
  <si>
    <t>I have left my report at the desk</t>
  </si>
  <si>
    <t>khllit tte9rir dyali fo9 lburou</t>
  </si>
  <si>
    <t>خلّيت التقرير ديالي فوق لبورو</t>
  </si>
  <si>
    <t>He arranged the books on the desk</t>
  </si>
  <si>
    <t>sttef lktouba fo9 lburou</t>
  </si>
  <si>
    <t>ستّف لكتوبا فوق لبورو</t>
  </si>
  <si>
    <t>retteb lktouba fo9 lburou</t>
  </si>
  <si>
    <t>رتّب لكتوبا فوق لبورو</t>
  </si>
  <si>
    <t>I recorded all my thoughts in a notebook</t>
  </si>
  <si>
    <t>kansejjel ga3 l2afkar dyali f moudakkira</t>
  </si>
  <si>
    <t>كانسجّل ڭاع لأفكار ديالي ف موداكّيرا</t>
  </si>
  <si>
    <t>A notebook is so helpful</t>
  </si>
  <si>
    <t>lmoudakkira kat3awen bzzaf</t>
  </si>
  <si>
    <t>لموداكّيرا كاتعاون بزّاف</t>
  </si>
  <si>
    <t>Take out your notebooks</t>
  </si>
  <si>
    <t>kherjou lmoudakkirat dyalkoum</t>
  </si>
  <si>
    <t>خرجو لموداكّيرات ديالكوم</t>
  </si>
  <si>
    <t>I need to buy a new notebook</t>
  </si>
  <si>
    <t>kheSSni nchri moudakkira jdida</t>
  </si>
  <si>
    <t>خصّني نشري موداكّيرا جديدا</t>
  </si>
  <si>
    <t>His backpack seemed to be heavy</t>
  </si>
  <si>
    <t>lmi7faDa dyalou katban t9ila</t>
  </si>
  <si>
    <t>لميحفاضا ديالو كاتبان تقيلا</t>
  </si>
  <si>
    <t>chchanTa dyalo katban t9ila</t>
  </si>
  <si>
    <t>الشانطا ديالو كاتبان تقيلا</t>
  </si>
  <si>
    <t>he slung her backpack on the chair</t>
  </si>
  <si>
    <t>3le9 lmi7faDa dyalo 3la lkoursi</t>
  </si>
  <si>
    <t>علق لميحفاضا ديالو علا لكورسي</t>
  </si>
  <si>
    <t>I picked up my backpack</t>
  </si>
  <si>
    <t>8zzit lmi7faDa dyali</t>
  </si>
  <si>
    <t>هزّيت لميحفاضا ديالي</t>
  </si>
  <si>
    <t>My pencil case is big</t>
  </si>
  <si>
    <t>latrousa dyali kbira</t>
  </si>
  <si>
    <t>لاتروسا ديالي كبيرا</t>
  </si>
  <si>
    <t>The pencil is in the pencil case</t>
  </si>
  <si>
    <t>l9alam kayn f latrousa</t>
  </si>
  <si>
    <t>لقالام كاين ف لاتروسا</t>
  </si>
  <si>
    <t>What's in your pencil case?</t>
  </si>
  <si>
    <t>chnou kayn f latrousa dyalk?</t>
  </si>
  <si>
    <t>شنو كاين ف لاتروسا ديالك?</t>
  </si>
  <si>
    <t>The pencil case is orange</t>
  </si>
  <si>
    <t>latrousa f loronj</t>
  </si>
  <si>
    <t>لاتروسا ف لورونج</t>
  </si>
  <si>
    <t>I need a scissor</t>
  </si>
  <si>
    <t>kheSSni m9eSS</t>
  </si>
  <si>
    <t>خصّني مقصّ</t>
  </si>
  <si>
    <t>Do you have a pair of scissors?</t>
  </si>
  <si>
    <t>wach 3ndek lm9eSS</t>
  </si>
  <si>
    <t>واش عندك لمقصّ</t>
  </si>
  <si>
    <t>Cut with scissors</t>
  </si>
  <si>
    <t>9TTe3 b lm9eSS</t>
  </si>
  <si>
    <t>قطّع ب لمقصّ</t>
  </si>
  <si>
    <t>Where are my scissors?</t>
  </si>
  <si>
    <t>fin lm9eSS dyali ?</t>
  </si>
  <si>
    <t>فين لمقصّ ديالي ?</t>
  </si>
  <si>
    <t>Hand me those scissors</t>
  </si>
  <si>
    <t>3Tini dak lm9eSS</t>
  </si>
  <si>
    <t>عطيني داك لمقصّ</t>
  </si>
  <si>
    <t>These scissors cut well</t>
  </si>
  <si>
    <t>8ad lm9eSS kay9eTTe3 mzyan</t>
  </si>
  <si>
    <t>هاد لمقصّ كايقطّع مزيان</t>
  </si>
  <si>
    <t>These scissors are not sharp</t>
  </si>
  <si>
    <t>8ad lm9eSS mamaDich</t>
  </si>
  <si>
    <t>هاد لمقصّ ماماضيش</t>
  </si>
  <si>
    <t>The stapler belongs to him</t>
  </si>
  <si>
    <t>lgraffouz dyalo</t>
  </si>
  <si>
    <t>لڭرافّوز ديالو</t>
  </si>
  <si>
    <t>My stapler is not working</t>
  </si>
  <si>
    <t>lgraffouz dyali makhddamch</t>
  </si>
  <si>
    <t>لڭرافّوز ديالي ماخدّامش</t>
  </si>
  <si>
    <t>I need a calculator</t>
  </si>
  <si>
    <t>kheSSni kalkulatris</t>
  </si>
  <si>
    <t>خصّني كالكولاتريس</t>
  </si>
  <si>
    <t>Can you hand me the calculator?</t>
  </si>
  <si>
    <t>wakha te3Tini l kalkulatris ?</t>
  </si>
  <si>
    <t>واخا تعطيني ل كالكولاتريس ?</t>
  </si>
  <si>
    <t>Draw a line with a ruler</t>
  </si>
  <si>
    <t>rSem kheT b lmisTara</t>
  </si>
  <si>
    <t>رصم خط ب لميسطارا</t>
  </si>
  <si>
    <t>I've used up all the glue</t>
  </si>
  <si>
    <t>dert llSa9 kaml</t>
  </si>
  <si>
    <t>درت اللصاق كامل</t>
  </si>
  <si>
    <t>Apply the glue</t>
  </si>
  <si>
    <t>dir llSa9</t>
  </si>
  <si>
    <t>دير اللصاق</t>
  </si>
  <si>
    <t>They are glued together</t>
  </si>
  <si>
    <t>tleSS9o m3a be3Diyyat8oum</t>
  </si>
  <si>
    <t>تلصّقو معا بعضييّاتهوم</t>
  </si>
  <si>
    <t>I need a glue</t>
  </si>
  <si>
    <t>kheSSni lSa9</t>
  </si>
  <si>
    <t>خصّني لصاق</t>
  </si>
  <si>
    <t>Don't use too much glue</t>
  </si>
  <si>
    <t>matste3melch bzzaf dyal llSa9</t>
  </si>
  <si>
    <t>ماتستعملش بزّاف ديال اللصاق</t>
  </si>
  <si>
    <t>This glue doesn't adhere to plastic</t>
  </si>
  <si>
    <t>8ad llSa9 makaychedch f lplastik</t>
  </si>
  <si>
    <t>هاد اللصاق ماكايشدش ف لپلاستيك</t>
  </si>
  <si>
    <t>I have a binder</t>
  </si>
  <si>
    <t>3ndi klassour</t>
  </si>
  <si>
    <t>عندي كلاسّور</t>
  </si>
  <si>
    <t>No worries</t>
  </si>
  <si>
    <t>This computer is not working anymore</t>
  </si>
  <si>
    <t>8ad lppissi mab9ach mazal kheddam</t>
  </si>
  <si>
    <t>هاد لپّيسّي مابقاش مازال خدّام</t>
  </si>
  <si>
    <t>I'm broke</t>
  </si>
  <si>
    <t>ana tsizit</t>
  </si>
  <si>
    <t>أنا تسيزيت</t>
  </si>
  <si>
    <t>I need you by my side</t>
  </si>
  <si>
    <t>m7tajk f jenbi</t>
  </si>
  <si>
    <t>محتاجك ف جنبي</t>
  </si>
  <si>
    <t>I rarely use a protractor</t>
  </si>
  <si>
    <t>9lil fin kanste3mel lmin9ala</t>
  </si>
  <si>
    <t>قليل فين كانستعمل لمينقالا</t>
  </si>
  <si>
    <t>Yes, I have your eraser too</t>
  </si>
  <si>
    <t>a8 3endi 7tta lagouma dyalek</t>
  </si>
  <si>
    <t>أه عندي حتّا لاڭوما ديالك</t>
  </si>
  <si>
    <t>a8 3endi 7tta lmim7at dyalek</t>
  </si>
  <si>
    <t>أه عندي حتّا لميمحات ديالك</t>
  </si>
  <si>
    <t>Do you have a scotch tape?</t>
  </si>
  <si>
    <t>wach 3endek skotch</t>
  </si>
  <si>
    <t>واش عندك سكوتش</t>
  </si>
  <si>
    <t>I need a pencil sharpener.</t>
  </si>
  <si>
    <t>me7taj minjara</t>
  </si>
  <si>
    <t>محتاج مينجارا</t>
  </si>
  <si>
    <t>He surpassed me in maths</t>
  </si>
  <si>
    <t>fatni f lmaT</t>
  </si>
  <si>
    <t>فاتني ف لماط</t>
  </si>
  <si>
    <t>I'm not very clever at math</t>
  </si>
  <si>
    <t>ana madkich bzzaf f lmaT</t>
  </si>
  <si>
    <t>أنا مادكيش بزّاف ف لماط</t>
  </si>
  <si>
    <t>he's our math's teacher</t>
  </si>
  <si>
    <t>8owwa l2ostad dyalna dyal lmaT</t>
  </si>
  <si>
    <t>هووّا لأستاد ديالنا ديال لماط</t>
  </si>
  <si>
    <t>He got a good grade</t>
  </si>
  <si>
    <t>jab no9Ta mzyana</t>
  </si>
  <si>
    <t>جاب نوقطا مزيانا</t>
  </si>
  <si>
    <t>No one can parallel him in math</t>
  </si>
  <si>
    <t>7ta wa7ed mab7alou f lmaT</t>
  </si>
  <si>
    <t>حتا واحد مابحالو ف لماط</t>
  </si>
  <si>
    <t>My favorite subject is math</t>
  </si>
  <si>
    <t>2a7sen madda 3ndi hiyya lmaT</t>
  </si>
  <si>
    <t>أحسن مادّا عندي هييّا لماط</t>
  </si>
  <si>
    <t>I am weak at math</t>
  </si>
  <si>
    <t>ana D3if f lmath</t>
  </si>
  <si>
    <t>أنا ضعيف ف لماته</t>
  </si>
  <si>
    <t>I'm horrible at math</t>
  </si>
  <si>
    <t>ana mkeffes f lmaT</t>
  </si>
  <si>
    <t>أنا مكفّس ف لماط</t>
  </si>
  <si>
    <t>Are you in math class?</t>
  </si>
  <si>
    <t>wach kayen f l7iSSa dyal lmaT?</t>
  </si>
  <si>
    <t>واش كاين ف لحيصّا ديال لماط?</t>
  </si>
  <si>
    <t>Math is my specialty</t>
  </si>
  <si>
    <t>lmaT khtiSaS dyali</t>
  </si>
  <si>
    <t>لماط ختيصاص ديالي</t>
  </si>
  <si>
    <t>Wish me luck</t>
  </si>
  <si>
    <t>d3i m3ya</t>
  </si>
  <si>
    <t>دعي معيا</t>
  </si>
  <si>
    <t>I didn't study math at all</t>
  </si>
  <si>
    <t>maraje3tch lmaT ni8a2iyyan</t>
  </si>
  <si>
    <t>ماراجعتش لماط نيهاإيّان</t>
  </si>
  <si>
    <t>Take math as an example</t>
  </si>
  <si>
    <t>khoud lmaT ka mital</t>
  </si>
  <si>
    <t>خود لماط كا ميتال</t>
  </si>
  <si>
    <t>You were never good at math</t>
  </si>
  <si>
    <t>ma3mmrek kenti mzyan f lmaT</t>
  </si>
  <si>
    <t>ماعمّرك كنتي مزيان ف لماط</t>
  </si>
  <si>
    <t>Did you pass your exam?</t>
  </si>
  <si>
    <t>wach dewwezti l2imti7an dyalek</t>
  </si>
  <si>
    <t>واش دوّزتي لإمتيحان ديالك</t>
  </si>
  <si>
    <t>You are smart</t>
  </si>
  <si>
    <t>nta dki</t>
  </si>
  <si>
    <t>نتا دكي</t>
  </si>
  <si>
    <t>You are dumb</t>
  </si>
  <si>
    <t>nta mkellekh</t>
  </si>
  <si>
    <t>نتا مكلّخ</t>
  </si>
  <si>
    <t>I want to be a professor</t>
  </si>
  <si>
    <t>bghit nkoun 2oustad</t>
  </si>
  <si>
    <t>بغيت نكون أوستاد</t>
  </si>
  <si>
    <t>History repeats itself</t>
  </si>
  <si>
    <t>ttarikh kay3awed raSo</t>
  </si>
  <si>
    <t>التاريخ كايعاود راصو</t>
  </si>
  <si>
    <t>He is good at history</t>
  </si>
  <si>
    <t>3ndo m3a ttarikh</t>
  </si>
  <si>
    <t>عندو معا التاريخ</t>
  </si>
  <si>
    <t>History of colonialism</t>
  </si>
  <si>
    <t>tarikh l2isti3mar</t>
  </si>
  <si>
    <t>تاريخ لإستيعمار</t>
  </si>
  <si>
    <t>History is my favorite subject</t>
  </si>
  <si>
    <t>ttarikh 2a7sen madda 3ndi</t>
  </si>
  <si>
    <t>التاريخ أحسن مادّا عندي</t>
  </si>
  <si>
    <t>This is the history of my life</t>
  </si>
  <si>
    <t>8ada ttarikh dyal 7yati</t>
  </si>
  <si>
    <t>هادا التاريخ ديال حياتي</t>
  </si>
  <si>
    <t>Today is history</t>
  </si>
  <si>
    <t>lyouma tarikhi</t>
  </si>
  <si>
    <t>ليوما تاريخي</t>
  </si>
  <si>
    <t>Human history</t>
  </si>
  <si>
    <t>tarikh lbachariyya</t>
  </si>
  <si>
    <t>تاريخ لباشارييّا</t>
  </si>
  <si>
    <t>he majored in history</t>
  </si>
  <si>
    <t>8owwa tkheSSeSS f ttarikh</t>
  </si>
  <si>
    <t>هووّا تخصّصّ ف التاريخ</t>
  </si>
  <si>
    <t>This moment is history</t>
  </si>
  <si>
    <t>8ad lla7Da tarikhiya</t>
  </si>
  <si>
    <t>هاد اللاحضا تاريخييا</t>
  </si>
  <si>
    <t>The history of the church</t>
  </si>
  <si>
    <t>tarikh lkanisa</t>
  </si>
  <si>
    <t>تاريخ لكانيسا</t>
  </si>
  <si>
    <t>I'm interested in history</t>
  </si>
  <si>
    <t>ana m8tam bttarikh</t>
  </si>
  <si>
    <t>أنا مهتام بتّاريخ</t>
  </si>
  <si>
    <t>Royal wedding</t>
  </si>
  <si>
    <t>3ers malaki</t>
  </si>
  <si>
    <t>عرس مالاكي</t>
  </si>
  <si>
    <t>I like Moroccan history</t>
  </si>
  <si>
    <t>kay3jebni ttarikh dyal lmeghrib</t>
  </si>
  <si>
    <t>كايعجبني التاريخ ديال لمغريب</t>
  </si>
  <si>
    <t>I've got to revise my geography</t>
  </si>
  <si>
    <t>kheSSni nraje3 ljoghrafiyya</t>
  </si>
  <si>
    <t>خصّني نراجع لجوغرافييّا</t>
  </si>
  <si>
    <t>I like biology</t>
  </si>
  <si>
    <t>3ziza 3liyya 3ilm l2a7ya2</t>
  </si>
  <si>
    <t>عزيزا علييّا عيلم لأحياء</t>
  </si>
  <si>
    <t>I enjoy English class</t>
  </si>
  <si>
    <t>kanstemte3 b l7iSSa dyal llongli</t>
  </si>
  <si>
    <t>كانستمتع ب لحيصّا ديال اللونڭلي</t>
  </si>
  <si>
    <t>I am learning Chinese</t>
  </si>
  <si>
    <t>ana kant3ellem chchinwiyya</t>
  </si>
  <si>
    <t>أنا كانتعلّم الشينوييّا</t>
  </si>
  <si>
    <t>I am learning Japanese</t>
  </si>
  <si>
    <t>ana kant3ellem lyabaniyya</t>
  </si>
  <si>
    <t>أنا كانتعلّم ليابانييّا</t>
  </si>
  <si>
    <t>I am learning French</t>
  </si>
  <si>
    <t>ana kant3ellem lfronSi</t>
  </si>
  <si>
    <t>أنا كانتعلّم لفرونصي</t>
  </si>
  <si>
    <t>I am learning Italian</t>
  </si>
  <si>
    <t>ana kant3ellem TTalyaniyya</t>
  </si>
  <si>
    <t>أنا كانتعلّم الطاليانييّا</t>
  </si>
  <si>
    <t>I want to learn German</t>
  </si>
  <si>
    <t>bghit nt3ellem l2almaniyya</t>
  </si>
  <si>
    <t>بغيت نتعلّم لألمانييّا</t>
  </si>
  <si>
    <t>I want to learn Darija</t>
  </si>
  <si>
    <t>bghit nt3ellem ddarija</t>
  </si>
  <si>
    <t>بغيت نتعلّم الداريجا</t>
  </si>
  <si>
    <t>I like your accent</t>
  </si>
  <si>
    <t>3jbatni lle8ja dyalek</t>
  </si>
  <si>
    <t>عجباتني اللهجا ديالك</t>
  </si>
  <si>
    <t>I want to learn Russian</t>
  </si>
  <si>
    <t>bghit nt3ellem lrrousiyya</t>
  </si>
  <si>
    <t>بغيت نتعلّم لرّوسييّا</t>
  </si>
  <si>
    <t>I learned Turkish from movies</t>
  </si>
  <si>
    <t>t3ellemt ttorkiyya mn l2aflam</t>
  </si>
  <si>
    <t>تعلّمت التوركييّا من لأفلام</t>
  </si>
  <si>
    <t>I like Korean language</t>
  </si>
  <si>
    <t>kat3jbni llogha lkouriyya</t>
  </si>
  <si>
    <t>كاتعجبني اللوغا لكورييّا</t>
  </si>
  <si>
    <t>Indian language is difficult</t>
  </si>
  <si>
    <t>llogha l8indiyya S3iba</t>
  </si>
  <si>
    <t>اللوغا لهيندييّا صعيبا</t>
  </si>
  <si>
    <t>Spanish language is beautiful</t>
  </si>
  <si>
    <t>llogha l2isppaniyya zwina</t>
  </si>
  <si>
    <t>اللوغا لإسپّانييّا زوينا</t>
  </si>
  <si>
    <t>Arabic is Quran's language</t>
  </si>
  <si>
    <t>l3arbiyya loughat l9or2an</t>
  </si>
  <si>
    <t>لعاربييّا لوغات لقورأن</t>
  </si>
  <si>
    <t>I started learning Portuguese</t>
  </si>
  <si>
    <t>bdit kant3ellem lbortoghaliyya</t>
  </si>
  <si>
    <t>بديت كانتعلّم لبورتوغالييّا</t>
  </si>
  <si>
    <t>I enjoy learning languages</t>
  </si>
  <si>
    <t>kay3jbni nt3ellem lloughat</t>
  </si>
  <si>
    <t>كايعجبني نتعلّم اللوغات</t>
  </si>
  <si>
    <t>The language of deaf and dumb</t>
  </si>
  <si>
    <t>loughat SSoum wa lboukm</t>
  </si>
  <si>
    <t>لوغات الصوم وا لبوكم</t>
  </si>
  <si>
    <t>Venice city of lovers</t>
  </si>
  <si>
    <t>lbondou9iyya madinat l3ochcha9</t>
  </si>
  <si>
    <t>لبوندوقييّا مادينات لعوشّاق</t>
  </si>
  <si>
    <t>I want to visit Morocco</t>
  </si>
  <si>
    <t>bghit nmchi lel meghrib</t>
  </si>
  <si>
    <t>بغيت نمشي لل مغريب</t>
  </si>
  <si>
    <t>I live in Saudi Arabia</t>
  </si>
  <si>
    <t>kan3ich f ssa3oudiya</t>
  </si>
  <si>
    <t>كانعيش ف الساعودييا</t>
  </si>
  <si>
    <t>I live in Lebanon</t>
  </si>
  <si>
    <t>kan3ich f loubnan</t>
  </si>
  <si>
    <t>كانعيش ف لوبنان</t>
  </si>
  <si>
    <t>I live in Qatar</t>
  </si>
  <si>
    <t>kan3ich f 9aTar</t>
  </si>
  <si>
    <t>كانعيش ف قاطار</t>
  </si>
  <si>
    <t>I live in Egypt</t>
  </si>
  <si>
    <t>kan3ich f miSer</t>
  </si>
  <si>
    <t>كانعيش ف ميصر</t>
  </si>
  <si>
    <t>I live in Spain</t>
  </si>
  <si>
    <t>kan3ich f sppanya</t>
  </si>
  <si>
    <t>كانعيش ف سپّانيا</t>
  </si>
  <si>
    <t>I live in Italy</t>
  </si>
  <si>
    <t>kan3ich f TTalyan</t>
  </si>
  <si>
    <t>كانعيش ف الطاليان</t>
  </si>
  <si>
    <t>I'm traveling to USA</t>
  </si>
  <si>
    <t>ana mSafer l mirikan</t>
  </si>
  <si>
    <t>أنا مصافر ل ميريكان</t>
  </si>
  <si>
    <t>I'm traveling to England</t>
  </si>
  <si>
    <t>ana mSafer l briTanya</t>
  </si>
  <si>
    <t>أنا مصافر ل بريطانيا</t>
  </si>
  <si>
    <t>I'm traveling to Turkey</t>
  </si>
  <si>
    <t>ana mSafer l torkya</t>
  </si>
  <si>
    <t>أنا مصافر ل توركيا</t>
  </si>
  <si>
    <t>I'm traveling to Belgium</t>
  </si>
  <si>
    <t>ana mSafer l beljika</t>
  </si>
  <si>
    <t>أنا مصافر ل بلجيكا</t>
  </si>
  <si>
    <t>I like Brazil</t>
  </si>
  <si>
    <t>kat3jbni l brazil</t>
  </si>
  <si>
    <t>كاتعجبني ل برازيل</t>
  </si>
  <si>
    <t>Honey moon</t>
  </si>
  <si>
    <t>cha8r l3asal</t>
  </si>
  <si>
    <t>شاهر لعاسال</t>
  </si>
  <si>
    <t>Japan is in Asia</t>
  </si>
  <si>
    <t>jjappon kayna f 2asya</t>
  </si>
  <si>
    <t>الجاپّون كاينا ف أسيا</t>
  </si>
  <si>
    <t>India is in Asia</t>
  </si>
  <si>
    <t>l8ind kayna f 2asya</t>
  </si>
  <si>
    <t>لهيند كاينا ف أسيا</t>
  </si>
  <si>
    <t>I have been to Asia</t>
  </si>
  <si>
    <t>kent f 2asya</t>
  </si>
  <si>
    <t>كنت ف أسيا</t>
  </si>
  <si>
    <t>Many people live in Asia</t>
  </si>
  <si>
    <t>bzzaf dyal nnas kay3ichou f asya</t>
  </si>
  <si>
    <t>بزّاف ديال الناس كايعيشو ف أسيا</t>
  </si>
  <si>
    <t>He moved to Europe</t>
  </si>
  <si>
    <t>t7ewwel l 2oroppa</t>
  </si>
  <si>
    <t>تحوّل ل أروپّا</t>
  </si>
  <si>
    <t>Europe is in crisis</t>
  </si>
  <si>
    <t>2oroppa f 2azma</t>
  </si>
  <si>
    <t>أروپّا ف أزما</t>
  </si>
  <si>
    <t>I went to Europe once</t>
  </si>
  <si>
    <t>mchit l 2oroppa merra we7da</t>
  </si>
  <si>
    <t>مشيت ل أروپّا مرّا وحدا</t>
  </si>
  <si>
    <t>I don't like Europe</t>
  </si>
  <si>
    <t>makat3jebnich 2oroppa</t>
  </si>
  <si>
    <t>ماكاتعجبنيش أروپّا</t>
  </si>
  <si>
    <t>Europe is a continent</t>
  </si>
  <si>
    <t>2oroppa 9arra</t>
  </si>
  <si>
    <t>أروپّا قارّا</t>
  </si>
  <si>
    <t>Europe is not a country</t>
  </si>
  <si>
    <t>2oroppa machi blad</t>
  </si>
  <si>
    <t>أروپّا ماشي بلاد</t>
  </si>
  <si>
    <t>2oroppa machi dawla</t>
  </si>
  <si>
    <t>أروپّا ماشي داولا</t>
  </si>
  <si>
    <t>I've been all over Europe</t>
  </si>
  <si>
    <t>kent f 2oroppa kamla</t>
  </si>
  <si>
    <t>كنت ف أروپّا كاملا</t>
  </si>
  <si>
    <t>I visited Paris</t>
  </si>
  <si>
    <t>mchit l bariz</t>
  </si>
  <si>
    <t>مشيت ل باريز</t>
  </si>
  <si>
    <t>Europe was at war</t>
  </si>
  <si>
    <t>2oroppa kant f 7erb</t>
  </si>
  <si>
    <t>أروپّا كانت ف حرب</t>
  </si>
  <si>
    <t>Have you travelled in Europe?</t>
  </si>
  <si>
    <t>wach 3emmrek Safrti l 2oroppa</t>
  </si>
  <si>
    <t>واش عمّرك صافرتي ل أروپّا</t>
  </si>
  <si>
    <t>I have been to Europe twice</t>
  </si>
  <si>
    <t>mchit l 2oroppa jouj merrat</t>
  </si>
  <si>
    <t>مشيت ل أروپّا جوج مرّات</t>
  </si>
  <si>
    <t>I just got back from Germany</t>
  </si>
  <si>
    <t>yalla8 rje3t mn 2almanya</t>
  </si>
  <si>
    <t>يالّاه رجعت من ألمانيا</t>
  </si>
  <si>
    <t>Where are going to Europe?</t>
  </si>
  <si>
    <t>fin ghatmchi f 2oroppa?</t>
  </si>
  <si>
    <t>فين غاتمشي ف أروپّا?</t>
  </si>
  <si>
    <t>We don't have this in Europe</t>
  </si>
  <si>
    <t>ma3ndnach 8adchi f 2oroppa</t>
  </si>
  <si>
    <t>ماعندناش هادشي ف أروپّا</t>
  </si>
  <si>
    <t>I decided to not go to Europe</t>
  </si>
  <si>
    <t>9errert manmchich l 2oroppa</t>
  </si>
  <si>
    <t>قرّرت مانمشيش ل أروپّا</t>
  </si>
  <si>
    <t>Where are you traveling this summer?</t>
  </si>
  <si>
    <t>fin ghatSafer 8ad SSif?</t>
  </si>
  <si>
    <t>فين غاتصافر هاد الصيف?</t>
  </si>
  <si>
    <t>We recently travelled to Europe</t>
  </si>
  <si>
    <t>mo2khkharan Saferna l 2oroppa</t>
  </si>
  <si>
    <t>موءخّاران صافرنا ل أروپّا</t>
  </si>
  <si>
    <t>He will return soon</t>
  </si>
  <si>
    <t>9rib ghadi yrje3</t>
  </si>
  <si>
    <t>قريب غادي يرجع</t>
  </si>
  <si>
    <t>We met in Switzerland</t>
  </si>
  <si>
    <t>tla9ina f swisra</t>
  </si>
  <si>
    <t>تلاقينا ف سويسرا</t>
  </si>
  <si>
    <t>What is like living in Sweden?</t>
  </si>
  <si>
    <t>kidayra l7ayat f sswid?</t>
  </si>
  <si>
    <t>كيدايرا لحايات ف السويد?</t>
  </si>
  <si>
    <t>She visited Rome</t>
  </si>
  <si>
    <t>mchat l roma</t>
  </si>
  <si>
    <t>مشات ل روما</t>
  </si>
  <si>
    <t>How often have you been to Ukraine?</t>
  </si>
  <si>
    <t>ch7al mn merra kenti f okranya?</t>
  </si>
  <si>
    <t>شحال من مرّا كنتي ف أُكرانيا?</t>
  </si>
  <si>
    <t>Africa is a big continent</t>
  </si>
  <si>
    <t>2ifri9ya 9arra kbira</t>
  </si>
  <si>
    <t>إفريقيا قارّا كبيرا</t>
  </si>
  <si>
    <t>Africa is home</t>
  </si>
  <si>
    <t>2ifri9ya 8iyya lwaTan</t>
  </si>
  <si>
    <t>إفريقيا هييّا لواطان</t>
  </si>
  <si>
    <t>He is from Africa</t>
  </si>
  <si>
    <t>8owwa mn 2ifri9ya</t>
  </si>
  <si>
    <t>هووّا من إفريقيا</t>
  </si>
  <si>
    <t>Africa, right?</t>
  </si>
  <si>
    <t>2ifri9ya, yak?</t>
  </si>
  <si>
    <t>إفريقيا, ياك?</t>
  </si>
  <si>
    <t>Africa is booming</t>
  </si>
  <si>
    <t>2ifri9ya katzda8er</t>
  </si>
  <si>
    <t>إفريقيا كاتزداهر</t>
  </si>
  <si>
    <t>They were in Africa</t>
  </si>
  <si>
    <t>kanou f 2ifri9ya</t>
  </si>
  <si>
    <t>كانو ف إفريقيا</t>
  </si>
  <si>
    <t>He was born in Africa</t>
  </si>
  <si>
    <t>8owwa tzad f 2ifri9ya</t>
  </si>
  <si>
    <t>هووّا تزاد ف إفريقيا</t>
  </si>
  <si>
    <t>8owwa tweled f 2ifri9ya</t>
  </si>
  <si>
    <t>هووّا تولد ف إفريقيا</t>
  </si>
  <si>
    <t>I'm from North Africa</t>
  </si>
  <si>
    <t>ana mn chamal 2ifri9ya</t>
  </si>
  <si>
    <t>أنا من شامال إفريقيا</t>
  </si>
  <si>
    <t>My father is in Africa</t>
  </si>
  <si>
    <t>baba kayn f 2ifri9ya</t>
  </si>
  <si>
    <t>بابا كاين ف إفريقيا</t>
  </si>
  <si>
    <t>Africa has 53 nations</t>
  </si>
  <si>
    <t>2ifri9ya fi8a khmsa o tlatin dawla</t>
  </si>
  <si>
    <t>إفريقيا فيها خمسا أُ تلاتين داولا</t>
  </si>
  <si>
    <t>Africa is the future</t>
  </si>
  <si>
    <t>2ifri9ya 8iyya lmoust9bal</t>
  </si>
  <si>
    <t>إفريقيا هييّا لموستقبال</t>
  </si>
  <si>
    <t>He wants to go to Africa</t>
  </si>
  <si>
    <t>8owwa bgha ymchi l 2ifri9ya</t>
  </si>
  <si>
    <t>هووّا بغا يمشي ل إفريقيا</t>
  </si>
  <si>
    <t>Tunisia is located in north Africa</t>
  </si>
  <si>
    <t>tounes kayna f chamal 2ifri9ya</t>
  </si>
  <si>
    <t>تونس كاينا ف شامال إفريقيا</t>
  </si>
  <si>
    <t>Africa is a large continent</t>
  </si>
  <si>
    <t>2ifri9ya 9arra kbira bzzaf</t>
  </si>
  <si>
    <t>إفريقيا قارّا كبيرا بزّاف</t>
  </si>
  <si>
    <t>the red sea</t>
  </si>
  <si>
    <t>lba7r l2a7mar</t>
  </si>
  <si>
    <t>لباحر لأحمار</t>
  </si>
  <si>
    <t>he spent his childhood in Africa</t>
  </si>
  <si>
    <t>dewez TTofoula dyalo f 2ifri9ya</t>
  </si>
  <si>
    <t>دوز الطوفولا ديالو ف إفريقيا</t>
  </si>
  <si>
    <t>They sent him to North America</t>
  </si>
  <si>
    <t>sifTou8 l 2amrika chchamaliya</t>
  </si>
  <si>
    <t>سيفطوه ل أمريكا الشامالييا</t>
  </si>
  <si>
    <t>Mexico is located in North America</t>
  </si>
  <si>
    <t>l miksik kayna f 2amrika chchamaliya</t>
  </si>
  <si>
    <t>ل ميكسيك كاينا ف أمريكا الشامالييا</t>
  </si>
  <si>
    <t>Canada is located in North America</t>
  </si>
  <si>
    <t>kanaDa kayna f 2amrika chchamaliya</t>
  </si>
  <si>
    <t>كاناضا كاينا ف أمريكا الشامالييا</t>
  </si>
  <si>
    <t>My uncle is traveling</t>
  </si>
  <si>
    <t>3emmi mSafer</t>
  </si>
  <si>
    <t>عمّي مصافر</t>
  </si>
  <si>
    <t>A lot to see in South America</t>
  </si>
  <si>
    <t>kayen maytchaf f 2amrika l janoubiya</t>
  </si>
  <si>
    <t>كاين مايتشاف ف أمريكا ل جانوبييا</t>
  </si>
  <si>
    <t>That is the Pacific Ocean</t>
  </si>
  <si>
    <t>8ada l mou7iT l8adi</t>
  </si>
  <si>
    <t>هادا ل موحيط لهادي</t>
  </si>
  <si>
    <t>The Atlantic Ocean is immense</t>
  </si>
  <si>
    <t>l mou7iT l 2aTlaSi kbir bzzaf</t>
  </si>
  <si>
    <t>ل موحيط ل أطلاصي كبير بزّاف</t>
  </si>
  <si>
    <t>The Indian Ocean is in the south of Asia</t>
  </si>
  <si>
    <t>l mou7iT l 8indi kayen f janoub 2asya</t>
  </si>
  <si>
    <t>ل موحيط ل هيندي كاين ف جانوب أسيا</t>
  </si>
  <si>
    <t>Arctic Ocean</t>
  </si>
  <si>
    <t>l mou7It chchamali l moutajammid</t>
  </si>
  <si>
    <t>ل موحيت الشامالي ل موتاجامّيد</t>
  </si>
  <si>
    <t>I am a muslim</t>
  </si>
  <si>
    <t>ana mouslim</t>
  </si>
  <si>
    <t>أنا موسليم</t>
  </si>
  <si>
    <t>I am a christian</t>
  </si>
  <si>
    <t>ana masi7i</t>
  </si>
  <si>
    <t>أنا ماسيحي</t>
  </si>
  <si>
    <t>I am a Jewish</t>
  </si>
  <si>
    <t>ana ya8oudi</t>
  </si>
  <si>
    <t>أنا ياهودي</t>
  </si>
  <si>
    <t>I have no religion</t>
  </si>
  <si>
    <t>ma3ndich 7tta diyyana</t>
  </si>
  <si>
    <t>ماعنديش حتّا دييّانا</t>
  </si>
  <si>
    <t>I believe in God</t>
  </si>
  <si>
    <t>kan2amen b lla8</t>
  </si>
  <si>
    <t>كانأمن ب اللاه</t>
  </si>
  <si>
    <t>I am an atheist</t>
  </si>
  <si>
    <t>ana moul7id</t>
  </si>
  <si>
    <t>أنا مولحيد</t>
  </si>
  <si>
    <t>I'm a religious person</t>
  </si>
  <si>
    <t>ana 2insan moutadayyin</t>
  </si>
  <si>
    <t>أنا إنسان موتادايّين</t>
  </si>
  <si>
    <t>It's against my religion</t>
  </si>
  <si>
    <t>8adchchi DeD ddin dyali</t>
  </si>
  <si>
    <t>هادشّي ضض الدين ديالي</t>
  </si>
  <si>
    <t>Do you believe in any religion?</t>
  </si>
  <si>
    <t>wach kat2amen bchi din ?</t>
  </si>
  <si>
    <t>واش كاتأمن بشي دين ?</t>
  </si>
  <si>
    <t>I have to go to the mosque</t>
  </si>
  <si>
    <t>kheSSni nmchi l jjame3</t>
  </si>
  <si>
    <t>خصّني نمشي ل الجامع</t>
  </si>
  <si>
    <t>I took them to the mosque</t>
  </si>
  <si>
    <t>ddit8oum l jjame3</t>
  </si>
  <si>
    <t>الديتهوم ل الجامع</t>
  </si>
  <si>
    <t>This mosque needs a new imam</t>
  </si>
  <si>
    <t>8ad jjame3 kheSSo 2imam jdid</t>
  </si>
  <si>
    <t>هاد الجامع خصّو إمام جديد</t>
  </si>
  <si>
    <t>But there is only one mosque</t>
  </si>
  <si>
    <t>walakin kayn ghir jame3 wa7ed</t>
  </si>
  <si>
    <t>والاكين كاين غير جامع واحد</t>
  </si>
  <si>
    <t>They went to the mosque to pray</t>
  </si>
  <si>
    <t>mchaw l jjame3 ySelliw</t>
  </si>
  <si>
    <t>مشاو ل الجامع يصلّيو</t>
  </si>
  <si>
    <t>Have you ever prayed in a mosque?</t>
  </si>
  <si>
    <t>wach 3emmrek Selliti f jjame3?</t>
  </si>
  <si>
    <t>واش عمّرك صلّيتي ف الجامع?</t>
  </si>
  <si>
    <t>This is an ancient mosque</t>
  </si>
  <si>
    <t>8ada jame3 9dim</t>
  </si>
  <si>
    <t>هادا جامع قديم</t>
  </si>
  <si>
    <t>Islamic calendar</t>
  </si>
  <si>
    <t>tta9wim l 2islami</t>
  </si>
  <si>
    <t>التاقويم ل إسلامي</t>
  </si>
  <si>
    <t>Every muslim is fasting during Ramadan</t>
  </si>
  <si>
    <t>koul mouslim kaySom f remdan</t>
  </si>
  <si>
    <t>كول موسليم كايصوم ف رمدان</t>
  </si>
  <si>
    <t>Fasting is the best medicine</t>
  </si>
  <si>
    <t>sSyam 8owwa 2a7san dwa</t>
  </si>
  <si>
    <t>سصيام هووّا أحسان دوا</t>
  </si>
  <si>
    <t>Don't twist my words</t>
  </si>
  <si>
    <t>matgouwelnich chi 7aja magoult8ach</t>
  </si>
  <si>
    <t>ماتڭوولنيش شي حاجا ماڭولتهاش</t>
  </si>
  <si>
    <t>Let me finish</t>
  </si>
  <si>
    <t>khellini nkemmel</t>
  </si>
  <si>
    <t>خلّيني نكمّل</t>
  </si>
  <si>
    <t>Don't interrupt me</t>
  </si>
  <si>
    <t>mat9aTe3nich</t>
  </si>
  <si>
    <t>ماتقاطعنيش</t>
  </si>
  <si>
    <t>I haven't finished yet</t>
  </si>
  <si>
    <t>mazal masalit</t>
  </si>
  <si>
    <t>مازال ماساليت</t>
  </si>
  <si>
    <t>I am thirsty</t>
  </si>
  <si>
    <t>fiyya l3Tech</t>
  </si>
  <si>
    <t>فييّا لعطش</t>
  </si>
  <si>
    <t>Let it slide</t>
  </si>
  <si>
    <t>ghir dewwez8a</t>
  </si>
  <si>
    <t>غير دوّزها</t>
  </si>
  <si>
    <t>It's not you, it's me</t>
  </si>
  <si>
    <t>Lmouchkil machi fik, fiyya</t>
  </si>
  <si>
    <t>لموشكيل ماشي فيك, فييّا</t>
  </si>
  <si>
    <t>I think we should split up</t>
  </si>
  <si>
    <t>kheSSna ntfar9o</t>
  </si>
  <si>
    <t>خصّنا نتفارقو</t>
  </si>
  <si>
    <t>We should stop seeing each other</t>
  </si>
  <si>
    <t>kheSSna manb9awch ntla9aw</t>
  </si>
  <si>
    <t>خصّنا مانبقاوش نتلاقاو</t>
  </si>
  <si>
    <t>Don't make a scene</t>
  </si>
  <si>
    <t>blama tkebber lmodo3</t>
  </si>
  <si>
    <t>بلاما تكبّر لمودوع</t>
  </si>
  <si>
    <t>Don't make a big deal</t>
  </si>
  <si>
    <t>blama ddir mouchkil kbir</t>
  </si>
  <si>
    <t>بلاما الدير موشكيل كبير</t>
  </si>
  <si>
    <t>You are one of a kind</t>
  </si>
  <si>
    <t>nta makayench b7alek</t>
  </si>
  <si>
    <t>نتا ماكاينش بحالك</t>
  </si>
  <si>
    <t>You are second to none</t>
  </si>
  <si>
    <t>nta mamennekch jouj</t>
  </si>
  <si>
    <t>نتا مامنّكش جوج</t>
  </si>
  <si>
    <t>You are out of this world</t>
  </si>
  <si>
    <t>nta machi mn 8ad l3alam</t>
  </si>
  <si>
    <t>نتا ماشي من هاد لعالام</t>
  </si>
  <si>
    <t>It's spitting</t>
  </si>
  <si>
    <t>ssma katne99eT</t>
  </si>
  <si>
    <t>السما كاتنقّط</t>
  </si>
  <si>
    <t>It's raining</t>
  </si>
  <si>
    <t>chchta kaTTi7</t>
  </si>
  <si>
    <t>الشتا كاطّيح</t>
  </si>
  <si>
    <t>It's raining cats and dogs</t>
  </si>
  <si>
    <t>chchta khiT mn ssma</t>
  </si>
  <si>
    <t>الشتا خيط من السما</t>
  </si>
  <si>
    <t>I got soaking wet</t>
  </si>
  <si>
    <t>fzegt bchchta</t>
  </si>
  <si>
    <t>فزڭت بشّتا</t>
  </si>
  <si>
    <t>They are calling for rain</t>
  </si>
  <si>
    <t>galou ghadi TTi7 chchta</t>
  </si>
  <si>
    <t>ڭالو غادي الطيح الشتا</t>
  </si>
  <si>
    <t>Why are you so nosy?</t>
  </si>
  <si>
    <t>malek fDouli?</t>
  </si>
  <si>
    <t>مالك فضولي?</t>
  </si>
  <si>
    <t>I am freezing</t>
  </si>
  <si>
    <t>ana tjemmedt</t>
  </si>
  <si>
    <t>أنا تجمّدت</t>
  </si>
  <si>
    <t>leave me alone</t>
  </si>
  <si>
    <t>khellini bbou7di</t>
  </si>
  <si>
    <t>خلّيني البوحدي</t>
  </si>
  <si>
    <t>Get away</t>
  </si>
  <si>
    <t>be33ed menni</t>
  </si>
  <si>
    <t>بعّد منّي</t>
  </si>
  <si>
    <t>3Tini ttisa3</t>
  </si>
  <si>
    <t>عطيني التيساع</t>
  </si>
  <si>
    <t>3Tini tti9ar</t>
  </si>
  <si>
    <t>عطيني التيقار</t>
  </si>
  <si>
    <t>Don't take it out on me</t>
  </si>
  <si>
    <t>matkhwich fiyya l2a3Sab dyalk</t>
  </si>
  <si>
    <t>ماتخويش فييّا لأعصاب ديالك</t>
  </si>
  <si>
    <t>I am not in the mood...</t>
  </si>
  <si>
    <t>ma3ndich lgana l...</t>
  </si>
  <si>
    <t>ماعنديش لڭانا ل...</t>
  </si>
  <si>
    <t>not the same</t>
  </si>
  <si>
    <t>machi 7al b7al</t>
  </si>
  <si>
    <t>ماشي حال بحال</t>
  </si>
  <si>
    <t>That's all right</t>
  </si>
  <si>
    <t>8anya</t>
  </si>
  <si>
    <t>هانيا</t>
  </si>
  <si>
    <t>Never mind</t>
  </si>
  <si>
    <t>maddirch fbalek</t>
  </si>
  <si>
    <t>مادّيرش فبالك</t>
  </si>
  <si>
    <t>No harm done</t>
  </si>
  <si>
    <t>Mind your own business</t>
  </si>
  <si>
    <t>ddi8a fSo9 raSek</t>
  </si>
  <si>
    <t>الديها فصوق راصك</t>
  </si>
  <si>
    <t>It's none of your business</t>
  </si>
  <si>
    <t>machi choughlek</t>
  </si>
  <si>
    <t>ماشي شوغلك</t>
  </si>
  <si>
    <t>Don't be so nosy</t>
  </si>
  <si>
    <t>matkounch fDouli</t>
  </si>
  <si>
    <t>ماتكونش فضولي</t>
  </si>
  <si>
    <t>Let's get the ball rolling</t>
  </si>
  <si>
    <t>yalla8 nbdaw</t>
  </si>
  <si>
    <t>يالّاه نبداو</t>
  </si>
  <si>
    <t>Let me try to turn the volume up</t>
  </si>
  <si>
    <t>bllati nzid f SSouT</t>
  </si>
  <si>
    <t>بلّاتي نزيد ف الصوط</t>
  </si>
  <si>
    <t>You are on mute</t>
  </si>
  <si>
    <t>sSouT Tafi</t>
  </si>
  <si>
    <t>سصوط طافي</t>
  </si>
  <si>
    <t>He is a stubborn person</t>
  </si>
  <si>
    <t>raSo 9ase7</t>
  </si>
  <si>
    <t>راصو قاسح</t>
  </si>
  <si>
    <t>Shake a leg</t>
  </si>
  <si>
    <t>khllef dghya</t>
  </si>
  <si>
    <t>خلّف دغيا</t>
  </si>
  <si>
    <t>Chop chop</t>
  </si>
  <si>
    <t>serbi serbi</t>
  </si>
  <si>
    <t>سربي سربي</t>
  </si>
  <si>
    <t>I feel exhausted</t>
  </si>
  <si>
    <t>kan7es braSi msekhsekh</t>
  </si>
  <si>
    <t>كانحس براصي مسخسخ</t>
  </si>
  <si>
    <t>I feel drained</t>
  </si>
  <si>
    <t>kan7es braSi 3yyan</t>
  </si>
  <si>
    <t>كانحس براصي عيّان</t>
  </si>
  <si>
    <t>I am stuffed</t>
  </si>
  <si>
    <t>ana tetkhemt</t>
  </si>
  <si>
    <t>أنا تتخمت</t>
  </si>
  <si>
    <t>Long time no see</t>
  </si>
  <si>
    <t>wa ghbour 8ada</t>
  </si>
  <si>
    <t>وا غبور هادا</t>
  </si>
  <si>
    <t>I haven't seen you in ages</t>
  </si>
  <si>
    <t>macheftekch moudda 8adi</t>
  </si>
  <si>
    <t>ماشفتكش مودّا هادي</t>
  </si>
  <si>
    <t>the bananas are black</t>
  </si>
  <si>
    <t>lbanan k7el</t>
  </si>
  <si>
    <t>لبانان كحل</t>
  </si>
  <si>
    <t>I've had enough</t>
  </si>
  <si>
    <t>baraka 3liyya</t>
  </si>
  <si>
    <t>باراكا علييّا</t>
  </si>
  <si>
    <t>Thank you! You shouldn't have</t>
  </si>
  <si>
    <t>chokran! 3lach kellefti raSek</t>
  </si>
  <si>
    <t>شوكران! علاش كلّفتي راصك</t>
  </si>
  <si>
    <t>On purpose</t>
  </si>
  <si>
    <t>bel3ani</t>
  </si>
  <si>
    <t>بلعاني</t>
  </si>
  <si>
    <t>By mistake</t>
  </si>
  <si>
    <t>madert8ach bel3ani</t>
  </si>
  <si>
    <t>مادرتهاش بلعاني</t>
  </si>
  <si>
    <t>It serves you right</t>
  </si>
  <si>
    <t>mzyana fik</t>
  </si>
  <si>
    <t>مزيانا فيك</t>
  </si>
  <si>
    <t>ghezza fik</t>
  </si>
  <si>
    <t>غزّا فيك</t>
  </si>
  <si>
    <t>You are stingy</t>
  </si>
  <si>
    <t>nta ze9ram</t>
  </si>
  <si>
    <t>نتا زقرام</t>
  </si>
  <si>
    <t>Behave yourself</t>
  </si>
  <si>
    <t>7tarem raSek</t>
  </si>
  <si>
    <t>حتارم راصك</t>
  </si>
  <si>
    <t>Enough is enough</t>
  </si>
  <si>
    <t>3eyye9ti</t>
  </si>
  <si>
    <t>عيّقتي</t>
  </si>
  <si>
    <t>Watch your mouth</t>
  </si>
  <si>
    <t>jme3 femmek</t>
  </si>
  <si>
    <t>جمع فمّك</t>
  </si>
  <si>
    <t>Carry yourself</t>
  </si>
  <si>
    <t>jme3 raSek</t>
  </si>
  <si>
    <t>جمع راصك</t>
  </si>
  <si>
    <t>Get lost</t>
  </si>
  <si>
    <t>ghber</t>
  </si>
  <si>
    <t>You're out of line</t>
  </si>
  <si>
    <t>tjawezti l7oudoud dyalek</t>
  </si>
  <si>
    <t>تجاوزتي لحودود ديالك</t>
  </si>
  <si>
    <t>I like steamed beef</t>
  </si>
  <si>
    <t>kay3jebni ll7em mbekhkher</t>
  </si>
  <si>
    <t>كايعجبني اللحم مبخّر</t>
  </si>
  <si>
    <t>This chicken is still raw</t>
  </si>
  <si>
    <t>8ad ddjaj mazal khDer</t>
  </si>
  <si>
    <t>هاد الدجاج مازال خضر</t>
  </si>
  <si>
    <t>I zoned out</t>
  </si>
  <si>
    <t>s8it</t>
  </si>
  <si>
    <t>سهيت</t>
  </si>
  <si>
    <t>Button your lips</t>
  </si>
  <si>
    <t>sedd femmek</t>
  </si>
  <si>
    <t>سدّ فمّك</t>
  </si>
  <si>
    <t>I am scared to death</t>
  </si>
  <si>
    <t>kanmout blkhel3a</t>
  </si>
  <si>
    <t>كانموت بلخلعا</t>
  </si>
  <si>
    <t>I am shaking</t>
  </si>
  <si>
    <t>kan9ef9ef</t>
  </si>
  <si>
    <t>كانقفقف</t>
  </si>
  <si>
    <t>kantre33ed</t>
  </si>
  <si>
    <t>كانترعّد</t>
  </si>
  <si>
    <t>Get straight to the point</t>
  </si>
  <si>
    <t>jini nichan</t>
  </si>
  <si>
    <t>جيني نيشان</t>
  </si>
  <si>
    <t>jini goud</t>
  </si>
  <si>
    <t>جيني ڭود</t>
  </si>
  <si>
    <t>Stop beating around the bush</t>
  </si>
  <si>
    <t>blama tb9a DDour fl8eDra</t>
  </si>
  <si>
    <t>بلاما تبقا الضور فلهضرا</t>
  </si>
  <si>
    <t>Come again</t>
  </si>
  <si>
    <t>3awed</t>
  </si>
  <si>
    <t>Can you repeat that, please?</t>
  </si>
  <si>
    <t>wakha t3awed 3afak?</t>
  </si>
  <si>
    <t>واخا تعاود عافاك?</t>
  </si>
  <si>
    <t>It's the dead of summer</t>
  </si>
  <si>
    <t>lmout dyal SSe8d</t>
  </si>
  <si>
    <t>لموت ديال الصهد</t>
  </si>
  <si>
    <t>I am in a soup</t>
  </si>
  <si>
    <t>7rirti 7rira</t>
  </si>
  <si>
    <t>حريرتي حريرا</t>
  </si>
  <si>
    <t>I am in a pickle</t>
  </si>
  <si>
    <t>9effert8a</t>
  </si>
  <si>
    <t>قفّرتها</t>
  </si>
  <si>
    <t>it's my treat</t>
  </si>
  <si>
    <t>ana li ghadi nkhelleS</t>
  </si>
  <si>
    <t>أنا لي غادي نخلّص</t>
  </si>
  <si>
    <t>Appreciate yourself</t>
  </si>
  <si>
    <t>9edder raSek</t>
  </si>
  <si>
    <t>قدّر راصك</t>
  </si>
  <si>
    <t>Value yourself</t>
  </si>
  <si>
    <t>3Ti l9ima l raSek</t>
  </si>
  <si>
    <t>عطي لقيما ل راصك</t>
  </si>
  <si>
    <t>You are breaking up</t>
  </si>
  <si>
    <t>sSouT kayt9eTTe3</t>
  </si>
  <si>
    <t>سصوط كايتقطّع</t>
  </si>
  <si>
    <t>You are frozen</t>
  </si>
  <si>
    <t>tblokiti</t>
  </si>
  <si>
    <t>تبلوكيتي</t>
  </si>
  <si>
    <t>So, are we good to go?</t>
  </si>
  <si>
    <t>Idan, wach n9edrou nkemlou?</t>
  </si>
  <si>
    <t>إدان, واش نقدرو نكملو?</t>
  </si>
  <si>
    <t>I am in two minds</t>
  </si>
  <si>
    <t>ana me7tar</t>
  </si>
  <si>
    <t>أنا محتار</t>
  </si>
  <si>
    <t>I have no clue</t>
  </si>
  <si>
    <t>ma3reftch</t>
  </si>
  <si>
    <t>I don't have it</t>
  </si>
  <si>
    <t>ma3ndich</t>
  </si>
  <si>
    <t>ماعنديش</t>
  </si>
  <si>
    <t>None of my business</t>
  </si>
  <si>
    <t>machi choghli</t>
  </si>
  <si>
    <t>ماشي شوغلي</t>
  </si>
  <si>
    <t>machi So9i</t>
  </si>
  <si>
    <t>ماشي صوقي</t>
  </si>
  <si>
    <t>I don't care</t>
  </si>
  <si>
    <t>makay8emnich</t>
  </si>
  <si>
    <t>ماكايهمنيش</t>
  </si>
  <si>
    <t>I didn't hear</t>
  </si>
  <si>
    <t>masme3tch</t>
  </si>
  <si>
    <t>ماسمعتش</t>
  </si>
  <si>
    <t>Why are you staring at me?</t>
  </si>
  <si>
    <t>malek katchouf fiyya?</t>
  </si>
  <si>
    <t>مالك كاتشوف فييّا?</t>
  </si>
  <si>
    <t>malek kat7enzez fiyya?</t>
  </si>
  <si>
    <t>مالك كاتحنزز فييّا?</t>
  </si>
  <si>
    <t>Stop looking at me</t>
  </si>
  <si>
    <t>baraka matchouf fiyya</t>
  </si>
  <si>
    <t>باراكا ماتشوف فييّا</t>
  </si>
  <si>
    <t>t8ella fraSek</t>
  </si>
  <si>
    <t>تهلّا فراصك</t>
  </si>
  <si>
    <t>Treat yourself</t>
  </si>
  <si>
    <t>fechchech raSek</t>
  </si>
  <si>
    <t>فشّش راصك</t>
  </si>
  <si>
    <t>You got to be kidding me?</t>
  </si>
  <si>
    <t>bayna kaD7ek m3aya?</t>
  </si>
  <si>
    <t>باينا كاضحك معايا?</t>
  </si>
  <si>
    <t>Are you mocking me?</t>
  </si>
  <si>
    <t>wach kaD7ek 3liyya?</t>
  </si>
  <si>
    <t>واش كاضحك علييّا?</t>
  </si>
  <si>
    <t>It's never too late</t>
  </si>
  <si>
    <t>ma3mer lwe9t mayfout</t>
  </si>
  <si>
    <t>ماعمر لوقت مايفوت</t>
  </si>
  <si>
    <t>Stop blaming yourself</t>
  </si>
  <si>
    <t>baraka matloum raSek</t>
  </si>
  <si>
    <t>باراكا ماتلوم راصك</t>
  </si>
  <si>
    <t>Don't get me wrong</t>
  </si>
  <si>
    <t>matf8emnich ghalaT</t>
  </si>
  <si>
    <t>ماتفهمنيش غالاط</t>
  </si>
  <si>
    <t>I like almonds</t>
  </si>
  <si>
    <t>kay3jebni llouz</t>
  </si>
  <si>
    <t>كايعجبني اللوز</t>
  </si>
  <si>
    <t>I like pistachios</t>
  </si>
  <si>
    <t>kay3jebni l ppistach</t>
  </si>
  <si>
    <t>كايعجبني ل الپيستاش</t>
  </si>
  <si>
    <t>I like raisins</t>
  </si>
  <si>
    <t>ka3jebni zzbib</t>
  </si>
  <si>
    <t>كاعجبني الزبيب</t>
  </si>
  <si>
    <t>Boot-licking</t>
  </si>
  <si>
    <t>l7is lkappa</t>
  </si>
  <si>
    <t>لحيس لكاپّا</t>
  </si>
  <si>
    <t>Buttering up</t>
  </si>
  <si>
    <t>tbel7is</t>
  </si>
  <si>
    <t>تبلحيس</t>
  </si>
  <si>
    <t>I have pimples</t>
  </si>
  <si>
    <t>3endi l7boub</t>
  </si>
  <si>
    <t>عندي لحبوب</t>
  </si>
  <si>
    <t>He has a tiny mole on his cheek</t>
  </si>
  <si>
    <t>3endo khala Sghira f 7enkou</t>
  </si>
  <si>
    <t>عندو خالا صغيرا ف حنكو</t>
  </si>
  <si>
    <t>A cold sore on my mouth refused to heal</t>
  </si>
  <si>
    <t>3endi skhana f femmi mabghatch tbra</t>
  </si>
  <si>
    <t>عندي سخانا ف فمّي مابغاتش تبرا</t>
  </si>
  <si>
    <t>I like freckles</t>
  </si>
  <si>
    <t>kay3jebni nnemch</t>
  </si>
  <si>
    <t>كايعجبني النمش</t>
  </si>
  <si>
    <t>I like dimples</t>
  </si>
  <si>
    <t>kate3jebni l7fra d zzin</t>
  </si>
  <si>
    <t>كاتعجبني لحفرا د الزين</t>
  </si>
  <si>
    <t>I have a birthmark</t>
  </si>
  <si>
    <t>3endi tew7ima</t>
  </si>
  <si>
    <t>عندي توحيما</t>
  </si>
  <si>
    <t>I have wrinkles</t>
  </si>
  <si>
    <t>fiyya ttaja3id</t>
  </si>
  <si>
    <t>فييّا التاجاعيد</t>
  </si>
  <si>
    <t>I want a toy</t>
  </si>
  <si>
    <t>bghit lo3ba</t>
  </si>
  <si>
    <t>بغيت لوعبا</t>
  </si>
  <si>
    <t>The dog scratched its ear</t>
  </si>
  <si>
    <t>lkelb jre7 wedni8</t>
  </si>
  <si>
    <t>لكلب جرح ودنيه</t>
  </si>
  <si>
    <t>He was badly burned</t>
  </si>
  <si>
    <t>t7re9 7er9a khayba</t>
  </si>
  <si>
    <t>تحرق حرقا خايبا</t>
  </si>
  <si>
    <t>That burn will leave a scar</t>
  </si>
  <si>
    <t>8ad l7er9a ghadi tkhelli laTraS</t>
  </si>
  <si>
    <t>هاد لحرقا غادي تخلّي لاطراص</t>
  </si>
  <si>
    <t>How did you burn your hand?</t>
  </si>
  <si>
    <t>kifach 7re9ti yeddik?</t>
  </si>
  <si>
    <t>كيفاش حرقتي يدّيك?</t>
  </si>
  <si>
    <t>I am just pulling your leg</t>
  </si>
  <si>
    <t>kent ghir kand7ek m3ak</t>
  </si>
  <si>
    <t>كنت غير كاندحك معاك</t>
  </si>
  <si>
    <t>kent ghir kantfella m3ak</t>
  </si>
  <si>
    <t>كنت غير كانتفلّا معاك</t>
  </si>
  <si>
    <t>Just kidding</t>
  </si>
  <si>
    <t>ghir kand7ek</t>
  </si>
  <si>
    <t>غير كاندحك</t>
  </si>
  <si>
    <t>Don't pin this on me</t>
  </si>
  <si>
    <t>blama tsebb8a fiyya</t>
  </si>
  <si>
    <t>بلاما تسبّها فييّا</t>
  </si>
  <si>
    <t>Don't look at me</t>
  </si>
  <si>
    <t>blama tchouf fiyya</t>
  </si>
  <si>
    <t>بلاما تشوف فييّا</t>
  </si>
  <si>
    <t>Welcome anytime</t>
  </si>
  <si>
    <t>mre7ba bik f2ay wa9t</t>
  </si>
  <si>
    <t>مرحبا بيك فأي واقت</t>
  </si>
  <si>
    <t>It's not me who did it</t>
  </si>
  <si>
    <t>machi ana lli dert8a</t>
  </si>
  <si>
    <t>ماشي أنا اللي درتها</t>
  </si>
  <si>
    <t>He let out a loud sneeze</t>
  </si>
  <si>
    <t>3Tes bjje8d</t>
  </si>
  <si>
    <t>عطس بجّهد</t>
  </si>
  <si>
    <t>He sneezes a lot</t>
  </si>
  <si>
    <t>kay3TeS bzzaf</t>
  </si>
  <si>
    <t>كايعطص بزّاف</t>
  </si>
  <si>
    <t>I think I may sneeze</t>
  </si>
  <si>
    <t>wa9ila ghadi n3TeS</t>
  </si>
  <si>
    <t>واقيلا غادي نعطص</t>
  </si>
  <si>
    <t>The smoke made him sneeze</t>
  </si>
  <si>
    <t>ddkhkhan jab li8 l3eTSa</t>
  </si>
  <si>
    <t>الدخّان جاب ليه لعطصا</t>
  </si>
  <si>
    <t>The dust makes him sneeze.</t>
  </si>
  <si>
    <t>l ghebra katjib li8 l3eTSa</t>
  </si>
  <si>
    <t>ل غبرا كاتجيب ليه لعطصا</t>
  </si>
  <si>
    <t>He yawned</t>
  </si>
  <si>
    <t>8owwa tfewwe8</t>
  </si>
  <si>
    <t>هووّا تفوّه</t>
  </si>
  <si>
    <t>Try not to yawn</t>
  </si>
  <si>
    <t>7awel matfewwe8ch</t>
  </si>
  <si>
    <t>حاول ماتفوّهش</t>
  </si>
  <si>
    <t>Do your best</t>
  </si>
  <si>
    <t>dir je8dek</t>
  </si>
  <si>
    <t>دير جهدك</t>
  </si>
  <si>
    <t>You hit the spot</t>
  </si>
  <si>
    <t>jebti8a laS9a</t>
  </si>
  <si>
    <t>جبتيها لاصقا</t>
  </si>
  <si>
    <t>Exactly</t>
  </si>
  <si>
    <t>nNichan</t>
  </si>
  <si>
    <t>النيشان</t>
  </si>
  <si>
    <t>What's gone is gone</t>
  </si>
  <si>
    <t>li w9e3 w9e3</t>
  </si>
  <si>
    <t>لي وقع وقع</t>
  </si>
  <si>
    <t>Wishing you a pleasant day</t>
  </si>
  <si>
    <t>kantmenna lik n8ar zwin</t>
  </si>
  <si>
    <t>كانتمنّا ليك نهار زوين</t>
  </si>
  <si>
    <t>I can't take my eyes off of you</t>
  </si>
  <si>
    <t>ma9dertch n7eyyed 3ini 3lik</t>
  </si>
  <si>
    <t>ماقدرتش نحيّد عيني عليك</t>
  </si>
  <si>
    <t>You look pretty as always</t>
  </si>
  <si>
    <t>katbani zwina b7al dima</t>
  </si>
  <si>
    <t>كاتباني زوينا بحال ديما</t>
  </si>
  <si>
    <t>No rush</t>
  </si>
  <si>
    <t>ghir bchwiyya</t>
  </si>
  <si>
    <t>غير بشوييّا</t>
  </si>
  <si>
    <t>Third time pays for all</t>
  </si>
  <si>
    <t>ttalta tabta</t>
  </si>
  <si>
    <t>التالتا تابتا</t>
  </si>
  <si>
    <t>You should stop backbiting</t>
  </si>
  <si>
    <t>kheSSek t7bes l ghiba</t>
  </si>
  <si>
    <t>خصّك تحبس ل غيبا</t>
  </si>
  <si>
    <t>He's been gossiping about you</t>
  </si>
  <si>
    <t>kan chad fik nnamima</t>
  </si>
  <si>
    <t>كان شاد فيك الناميما</t>
  </si>
  <si>
    <t>Stop gossiping</t>
  </si>
  <si>
    <t>baraka men nnamima</t>
  </si>
  <si>
    <t>باراكا من الناميما</t>
  </si>
  <si>
    <t>I wasn't gossiping</t>
  </si>
  <si>
    <t>makentch kannemmem</t>
  </si>
  <si>
    <t>ماكنتش كانّمّم</t>
  </si>
  <si>
    <t>He really likes gossiping</t>
  </si>
  <si>
    <t>3ziz 3li8 nnamima</t>
  </si>
  <si>
    <t>عزيز عليه الناميما</t>
  </si>
  <si>
    <t>His hypocrisy makes me sick</t>
  </si>
  <si>
    <t>nnifa9 dyalo kaymerredni</t>
  </si>
  <si>
    <t>النيفاق ديالو كايمرّدني</t>
  </si>
  <si>
    <t>I hate smoking</t>
  </si>
  <si>
    <t>kankre8 l garrou</t>
  </si>
  <si>
    <t>كانكره ل ڭارّو</t>
  </si>
  <si>
    <t>He's been gambling heavily</t>
  </si>
  <si>
    <t>kan kay9emmer bzzaf</t>
  </si>
  <si>
    <t>كان كايقمّر بزّاف</t>
  </si>
  <si>
    <t>Gambling is a curse</t>
  </si>
  <si>
    <t>l9mer moSiba</t>
  </si>
  <si>
    <t>لقمر موصيبا</t>
  </si>
  <si>
    <t>He lost his money gambling</t>
  </si>
  <si>
    <t>khser flousou f l9mer</t>
  </si>
  <si>
    <t>خسر فلوسو ف لقمر</t>
  </si>
  <si>
    <t>Stop gambling</t>
  </si>
  <si>
    <t>baraka mat9emmer</t>
  </si>
  <si>
    <t>باراكا ماتقمّر</t>
  </si>
  <si>
    <t>I'll stop gambling</t>
  </si>
  <si>
    <t>ghadi n7ebes l9mer</t>
  </si>
  <si>
    <t>غادي نحبس لقمر</t>
  </si>
  <si>
    <t>He loves gambling</t>
  </si>
  <si>
    <t>3ziz 3li8 y9emmer</t>
  </si>
  <si>
    <t>عزيز عليه يقمّر</t>
  </si>
  <si>
    <t>He is a gambling addict</t>
  </si>
  <si>
    <t>8owwa moudmin 3la l9mer</t>
  </si>
  <si>
    <t>هووّا مودمين علا لقمر</t>
  </si>
  <si>
    <t>He was just gambling</t>
  </si>
  <si>
    <t>kan ghir kay9emmer</t>
  </si>
  <si>
    <t>كان غير كايقمّر</t>
  </si>
  <si>
    <t>Are you really gambling?</t>
  </si>
  <si>
    <t>wach bSSe7 kat9emmer?</t>
  </si>
  <si>
    <t>واش بصّح كاتقمّر?</t>
  </si>
  <si>
    <t>He has a gambling problem</t>
  </si>
  <si>
    <t>3endou mouchkil dyal l9mer</t>
  </si>
  <si>
    <t>عندو موشكيل ديال لقمر</t>
  </si>
  <si>
    <t>I'm not gambling anymore</t>
  </si>
  <si>
    <t>mab9itch kan9emmer mazal</t>
  </si>
  <si>
    <t>مابقيتش كانقمّر مازال</t>
  </si>
  <si>
    <t>He is gambling again</t>
  </si>
  <si>
    <t>kay9emmer 3awtani</t>
  </si>
  <si>
    <t>كايقمّر عاوتاني</t>
  </si>
  <si>
    <t>You need to stop gambling</t>
  </si>
  <si>
    <t>kheSSek t7bes l 9mer</t>
  </si>
  <si>
    <t>خصّك تحبس ل قمر</t>
  </si>
  <si>
    <t>Have you been spying on me?</t>
  </si>
  <si>
    <t>wach kenti katjesses 3liya?</t>
  </si>
  <si>
    <t>واش كنتي كاتجسّس علييا?</t>
  </si>
  <si>
    <t>I saw you spying on him</t>
  </si>
  <si>
    <t>chftek katjesses 3li8</t>
  </si>
  <si>
    <t>شفتك كاتجسّس عليه</t>
  </si>
  <si>
    <t>3lamen kenti katjesses?</t>
  </si>
  <si>
    <t>علامن كنتي كاتجسّس?</t>
  </si>
  <si>
    <t>He was pissed off and cursing</t>
  </si>
  <si>
    <t>kan m3eSSeb o kayseb</t>
  </si>
  <si>
    <t>كان معصّب أُ كايسب</t>
  </si>
  <si>
    <t>He was cursing and shouting</t>
  </si>
  <si>
    <t>kan kay3ayer o kayghewwet</t>
  </si>
  <si>
    <t>كان كايعاير أُ كايغوّت</t>
  </si>
  <si>
    <t>His arrogance knew no limits</t>
  </si>
  <si>
    <t>lghoror dyalo ma3ndouch 7oudoud</t>
  </si>
  <si>
    <t>لغورور ديالو ماعندوش حودود</t>
  </si>
  <si>
    <t>I dislike him for his arrogance</t>
  </si>
  <si>
    <t>makay3jebnich b lghoror li fi8</t>
  </si>
  <si>
    <t>ماكايعجبنيش ب لغورور لي فيه</t>
  </si>
  <si>
    <t>You are an open book</t>
  </si>
  <si>
    <t>nta kitab meftou7</t>
  </si>
  <si>
    <t>نتا كيتاب مفتوح</t>
  </si>
  <si>
    <t>You wear your heart on your sleeve</t>
  </si>
  <si>
    <t>lli f 9elbek 3la lsanek</t>
  </si>
  <si>
    <t>اللي ف قلبك علا لسانك</t>
  </si>
  <si>
    <t>I am up to ears</t>
  </si>
  <si>
    <t>ana ghare9 7etta l wednin</t>
  </si>
  <si>
    <t>أنا غارق حتّا ل ودنين</t>
  </si>
  <si>
    <t>I have a lot on my plate</t>
  </si>
  <si>
    <t>3endi chlla mandir</t>
  </si>
  <si>
    <t>عندي شلّا ماندير</t>
  </si>
  <si>
    <t>Never give up</t>
  </si>
  <si>
    <t>ma3emrek tstaslem</t>
  </si>
  <si>
    <t>ماعمرك تستاسلم</t>
  </si>
  <si>
    <t>Do it your way</t>
  </si>
  <si>
    <t>dir8a kimma bghiti</t>
  </si>
  <si>
    <t>ديرها كيمّا بغيتي</t>
  </si>
  <si>
    <t>Do whatever you want</t>
  </si>
  <si>
    <t>dir lli bghiti</t>
  </si>
  <si>
    <t>دير اللي بغيتي</t>
  </si>
  <si>
    <t>Whatever floats your boat</t>
  </si>
  <si>
    <t>dir li 3jbek</t>
  </si>
  <si>
    <t>دير لي عجبك</t>
  </si>
  <si>
    <t>Suit yourself</t>
  </si>
  <si>
    <t>lli ban lik</t>
  </si>
  <si>
    <t>اللي بان ليك</t>
  </si>
  <si>
    <t>lli mnasbek</t>
  </si>
  <si>
    <t>اللي مناسبك</t>
  </si>
  <si>
    <t>Fair enough</t>
  </si>
  <si>
    <t>yyih 3ndek SSe7</t>
  </si>
  <si>
    <t>الييه عندك الصح</t>
  </si>
  <si>
    <t>Things will get better</t>
  </si>
  <si>
    <t>daba tzyan</t>
  </si>
  <si>
    <t>دابا تزيان</t>
  </si>
  <si>
    <t>Things will work out in the end</t>
  </si>
  <si>
    <t>koulchi ghadi yt9ad f llekher</t>
  </si>
  <si>
    <t>كولشي غادي يتقاد ف اللخر</t>
  </si>
  <si>
    <t>This storm will pass</t>
  </si>
  <si>
    <t>8ad l2azma ghadi douz</t>
  </si>
  <si>
    <t>هاد لأزما غادي دوز</t>
  </si>
  <si>
    <t>Keep it a secret</t>
  </si>
  <si>
    <t>khlli8a binatna</t>
  </si>
  <si>
    <t>خلّيها بيناتنا</t>
  </si>
  <si>
    <t>Don't spill the beans</t>
  </si>
  <si>
    <t>matgoul walou</t>
  </si>
  <si>
    <t>ماتڭول والو</t>
  </si>
  <si>
    <t>I am beat</t>
  </si>
  <si>
    <t>ana tghlebt</t>
  </si>
  <si>
    <t>أنا تغلبت</t>
  </si>
  <si>
    <t>I am tired to the bone</t>
  </si>
  <si>
    <t>ana waSla fiyya l3Dem</t>
  </si>
  <si>
    <t>أنا واصلا فييّا لعضم</t>
  </si>
  <si>
    <t>I am spent</t>
  </si>
  <si>
    <t>ana tsalit</t>
  </si>
  <si>
    <t>أنا تساليت</t>
  </si>
  <si>
    <t>ana T9adit</t>
  </si>
  <si>
    <t>أنا طقاديت</t>
  </si>
  <si>
    <t>I am floating on air</t>
  </si>
  <si>
    <t>ana kanTir bel fer7a</t>
  </si>
  <si>
    <t>أنا كانطير بل فرحا</t>
  </si>
  <si>
    <t>He took a sip of tea</t>
  </si>
  <si>
    <t>khda jeghma dyal atay</t>
  </si>
  <si>
    <t>خدا جغما ديال أتاي</t>
  </si>
  <si>
    <t>I like the taste of garlic</t>
  </si>
  <si>
    <t>kay3jebni lmada9 dyal ttouma</t>
  </si>
  <si>
    <t>كايعجبني لماداق ديال التوما</t>
  </si>
  <si>
    <t>I like to taste new things</t>
  </si>
  <si>
    <t>kay3jebni ndou9 7wayej jdad</t>
  </si>
  <si>
    <t>كايعجبني ندوق حوايج جداد</t>
  </si>
  <si>
    <t>This meat is difficult to chew</t>
  </si>
  <si>
    <t>8ad ll7em S3ib f lmDigh</t>
  </si>
  <si>
    <t>هاد اللحم صعيب ف لمضيغ</t>
  </si>
  <si>
    <t>8ad ll7em S3ib yttemdegh</t>
  </si>
  <si>
    <t>هاد اللحم صعيب يتّمدغ</t>
  </si>
  <si>
    <t>Chew your food well</t>
  </si>
  <si>
    <t>mdegh makeltek mzyan</t>
  </si>
  <si>
    <t>مدغ ماكلتك مزيان</t>
  </si>
  <si>
    <t>I chew gum</t>
  </si>
  <si>
    <t>kanmdegh lmeska</t>
  </si>
  <si>
    <t>كانمدغ لمسكا</t>
  </si>
  <si>
    <t>Don't forget to chew</t>
  </si>
  <si>
    <t>matensach temdegh</t>
  </si>
  <si>
    <t>ماتنساش تمدغ</t>
  </si>
  <si>
    <t>Swallow it</t>
  </si>
  <si>
    <t>serTo</t>
  </si>
  <si>
    <t>سرطو</t>
  </si>
  <si>
    <t>Don't chew it</t>
  </si>
  <si>
    <t>matmedghoch</t>
  </si>
  <si>
    <t>ماتمدغوش</t>
  </si>
  <si>
    <t>It's hard for me to chew</t>
  </si>
  <si>
    <t>s3ib 3liyya nmdegh</t>
  </si>
  <si>
    <t>سعيب علييّا نمدغ</t>
  </si>
  <si>
    <t>He bit the apple</t>
  </si>
  <si>
    <t>8owwa 3eD f tteffa7a</t>
  </si>
  <si>
    <t>هووّا عض ف التفّاحا</t>
  </si>
  <si>
    <t>I won't bite</t>
  </si>
  <si>
    <t>makan3eDch</t>
  </si>
  <si>
    <t>ماكانعضش</t>
  </si>
  <si>
    <t>Does your dog bite?</t>
  </si>
  <si>
    <t>wach lkelb dyalk kay3eD?</t>
  </si>
  <si>
    <t>واش لكلب ديالك كايعض?</t>
  </si>
  <si>
    <t>He took out a loan</t>
  </si>
  <si>
    <t>khda kridi</t>
  </si>
  <si>
    <t>خدا كريدي</t>
  </si>
  <si>
    <t>khda 9erD</t>
  </si>
  <si>
    <t>خدا قرض</t>
  </si>
  <si>
    <t>I asked the bank for a loan</t>
  </si>
  <si>
    <t>tlebt kridi mn lbanka</t>
  </si>
  <si>
    <t>تلبت كريدي من لبانكا</t>
  </si>
  <si>
    <t>I donated blood</t>
  </si>
  <si>
    <t>tberre3t bddem</t>
  </si>
  <si>
    <t>تبرّعت بدّم</t>
  </si>
  <si>
    <t>He didn't pay the debt</t>
  </si>
  <si>
    <t>makhellSch ddin</t>
  </si>
  <si>
    <t>ماخلّصش الدين</t>
  </si>
  <si>
    <t>No one enjoys paying taxes</t>
  </si>
  <si>
    <t>7tta wa7ed makay3jbo ykhelleS DDara2ib</t>
  </si>
  <si>
    <t>حتّا واحد ماكايعجبو يخلّص الضاراإب</t>
  </si>
  <si>
    <t>Taxes will rise</t>
  </si>
  <si>
    <t>dDara2ib ghadi ytzadou</t>
  </si>
  <si>
    <t>دضاراإب غادي يتزادو</t>
  </si>
  <si>
    <t>He refused the bribe</t>
  </si>
  <si>
    <t>ma9belch b rrechwa</t>
  </si>
  <si>
    <t>ماقبلش ب الرشوا</t>
  </si>
  <si>
    <t>Bribe</t>
  </si>
  <si>
    <t>flous te7t TTebla</t>
  </si>
  <si>
    <t>فلوس تحت الطبلا</t>
  </si>
  <si>
    <t>he inherited a fortune</t>
  </si>
  <si>
    <t>wret terwa</t>
  </si>
  <si>
    <t>ورت تروا</t>
  </si>
  <si>
    <t>After divorce you are forced to pay alimony</t>
  </si>
  <si>
    <t>men be3d Tla9 bzzez mnnek tkhleS nnafa9a</t>
  </si>
  <si>
    <t>من بعد طلاق بزّز منّك تخلص النافاقا</t>
  </si>
  <si>
    <t>I set aside a good dowry for her</t>
  </si>
  <si>
    <t>khlit li8a Sda9 m8ewwer</t>
  </si>
  <si>
    <t>خليت ليها صداق مهوّر</t>
  </si>
  <si>
    <t>Don't worry your head about it</t>
  </si>
  <si>
    <t>mat3emmerch rasek b 8adchi</t>
  </si>
  <si>
    <t>ماتعمّرش راسك ب هادشي</t>
  </si>
  <si>
    <t>Take it easy</t>
  </si>
  <si>
    <t>rkhef 3la rasek</t>
  </si>
  <si>
    <t>رخف علا راسك</t>
  </si>
  <si>
    <t>I can't help it</t>
  </si>
  <si>
    <t>ma3ndi mandir</t>
  </si>
  <si>
    <t>ماعندي ماندير</t>
  </si>
  <si>
    <t>Don't play dumb</t>
  </si>
  <si>
    <t>blama ttbou8el 3liyya</t>
  </si>
  <si>
    <t>بلاما التبوهل علييّا</t>
  </si>
  <si>
    <t>I've got feelings for you</t>
  </si>
  <si>
    <t>kan7es bchi7ja mn ji8tek</t>
  </si>
  <si>
    <t>كانحس بشيحجا من جيهتك</t>
  </si>
  <si>
    <t>I am crazy about you</t>
  </si>
  <si>
    <t>kan7ma9 3lik</t>
  </si>
  <si>
    <t>كانحماق عليك</t>
  </si>
  <si>
    <t>You complete me</t>
  </si>
  <si>
    <t>nta katkemelni</t>
  </si>
  <si>
    <t>نتا كاتكملني</t>
  </si>
  <si>
    <t>What are you implying?</t>
  </si>
  <si>
    <t>lach katlemme7?</t>
  </si>
  <si>
    <t>لاش كاتلمّح?</t>
  </si>
  <si>
    <t>Drop the subject</t>
  </si>
  <si>
    <t>bddel lmawDo3</t>
  </si>
  <si>
    <t>بدّل لماوضوع</t>
  </si>
  <si>
    <t>What a nerve!</t>
  </si>
  <si>
    <t>2ach 8ad lwa9a7a</t>
  </si>
  <si>
    <t>أش هاد لواقاحا</t>
  </si>
  <si>
    <t>We are even</t>
  </si>
  <si>
    <t>t3adelna</t>
  </si>
  <si>
    <t>تعادلنا</t>
  </si>
  <si>
    <t>You bet</t>
  </si>
  <si>
    <t>tab3an</t>
  </si>
  <si>
    <t>تابعان</t>
  </si>
  <si>
    <t>I'm all ears</t>
  </si>
  <si>
    <t>kansm3 lik</t>
  </si>
  <si>
    <t>كانسمع ليك</t>
  </si>
  <si>
    <t>I'm off</t>
  </si>
  <si>
    <t>ana ghadi f7ali</t>
  </si>
  <si>
    <t>أنا غادي فحالي</t>
  </si>
  <si>
    <t>Same here</t>
  </si>
  <si>
    <t>7tta ana</t>
  </si>
  <si>
    <t>حتّا أنا</t>
  </si>
  <si>
    <t>I lost my cool</t>
  </si>
  <si>
    <t>t9ada li SSber</t>
  </si>
  <si>
    <t>تقادا لي الصبر</t>
  </si>
  <si>
    <t>They are dating</t>
  </si>
  <si>
    <t>mSa7bin</t>
  </si>
  <si>
    <t>مصاحبين</t>
  </si>
  <si>
    <t>He is a widower</t>
  </si>
  <si>
    <t>8owwa 2armal</t>
  </si>
  <si>
    <t>هووّا أرمال</t>
  </si>
  <si>
    <t>What is your social status?</t>
  </si>
  <si>
    <t>chnou 8iyya l7ala l2ijtima3iyya dyalk?</t>
  </si>
  <si>
    <t>شنو هييّا لحالا لإجتيماعييّا ديالك?</t>
  </si>
  <si>
    <t>He is an orphan</t>
  </si>
  <si>
    <t>8owwa yatim</t>
  </si>
  <si>
    <t>هووّا ياتيم</t>
  </si>
  <si>
    <t>You don't say!</t>
  </si>
  <si>
    <t>matgoul8ach</t>
  </si>
  <si>
    <t>ماتڭولهاش</t>
  </si>
  <si>
    <t>I don't eat lemons</t>
  </si>
  <si>
    <t>makannakolch l7ameD</t>
  </si>
  <si>
    <t>ماكانّاكولش لحامض</t>
  </si>
  <si>
    <t>Hang on!</t>
  </si>
  <si>
    <t>sber</t>
  </si>
  <si>
    <t>سبر</t>
  </si>
  <si>
    <t>Chill out!</t>
  </si>
  <si>
    <t>berred</t>
  </si>
  <si>
    <t>برّد</t>
  </si>
  <si>
    <t>Don't sweat it!</t>
  </si>
  <si>
    <t>matkhemmemch</t>
  </si>
  <si>
    <t>ماتخمّمش</t>
  </si>
  <si>
    <t>This is the oldest church</t>
  </si>
  <si>
    <t>8adi 2a9dam kanisa</t>
  </si>
  <si>
    <t>هادي أقدام كانيسا</t>
  </si>
  <si>
    <t>He goes to church on Sundays</t>
  </si>
  <si>
    <t>kaymchi lkanisa n8ar l7ed</t>
  </si>
  <si>
    <t>كايمشي لكانيسا نهار لحد</t>
  </si>
  <si>
    <t>You are an angel</t>
  </si>
  <si>
    <t>nta malak</t>
  </si>
  <si>
    <t>نتا مالاك</t>
  </si>
  <si>
    <t>You saved my life</t>
  </si>
  <si>
    <t>n9edti 7yati</t>
  </si>
  <si>
    <t>نقدتي حياتي</t>
  </si>
  <si>
    <t>He is not an angel</t>
  </si>
  <si>
    <t>8owwa machi malak</t>
  </si>
  <si>
    <t>هووّا ماشي مالاك</t>
  </si>
  <si>
    <t>He sings like an angel</t>
  </si>
  <si>
    <t>katghenni b7al chi malak</t>
  </si>
  <si>
    <t>كاتغنّي بحال شي مالاك</t>
  </si>
  <si>
    <t>You are my angel</t>
  </si>
  <si>
    <t>nta lmalak dyali</t>
  </si>
  <si>
    <t>نتا لمالاك ديالي</t>
  </si>
  <si>
    <t>You are such a devil</t>
  </si>
  <si>
    <t>nta wa7ed chchiTan</t>
  </si>
  <si>
    <t>نتا واحد الشيطان</t>
  </si>
  <si>
    <t>He played like a demon</t>
  </si>
  <si>
    <t>kayl3eb b7al chi 3frit</t>
  </si>
  <si>
    <t>كايلعب بحال شي عفريت</t>
  </si>
  <si>
    <t>The adhan is a call to prayer</t>
  </si>
  <si>
    <t>l2adan 8owwa nida2 L SSalat</t>
  </si>
  <si>
    <t>لأدان هووّا نيداء ل الصالات</t>
  </si>
  <si>
    <t>I am reading the holy Quran</t>
  </si>
  <si>
    <t>ana kan9ra l9or2an lkarim</t>
  </si>
  <si>
    <t>أنا كانقرا لقورأن لكاريم</t>
  </si>
  <si>
    <t>Do you have a Bible?</t>
  </si>
  <si>
    <t>wach 3ndek l2injil?</t>
  </si>
  <si>
    <t>واش عندك لإنجيل?</t>
  </si>
  <si>
    <t>The cross is the symbol of Christianity</t>
  </si>
  <si>
    <t>sSalib ramz dyal lmasi7iyya</t>
  </si>
  <si>
    <t>سصاليب رامز ديال لماسيحييّا</t>
  </si>
  <si>
    <t>I am an Imam</t>
  </si>
  <si>
    <t>ana 2imam</t>
  </si>
  <si>
    <t>أنا إمام</t>
  </si>
  <si>
    <t>I am a priest</t>
  </si>
  <si>
    <t>ana 9issis</t>
  </si>
  <si>
    <t>أنا قيسّيس</t>
  </si>
  <si>
    <t>I am not a prophet</t>
  </si>
  <si>
    <t>ana machi rasoul</t>
  </si>
  <si>
    <t>أنا ماشي راسول</t>
  </si>
  <si>
    <t>I believe in all prophets</t>
  </si>
  <si>
    <t>kan2amen b ga3 rrosol</t>
  </si>
  <si>
    <t>كانأمن ب ڭاع الروسول</t>
  </si>
  <si>
    <t>Worship God everyday</t>
  </si>
  <si>
    <t>3bed lla8 kol n8ar</t>
  </si>
  <si>
    <t>عبد اللاه كول نهار</t>
  </si>
  <si>
    <t>They all worship the same God</t>
  </si>
  <si>
    <t>koul8oum kay3ebdou nefs l2ila8</t>
  </si>
  <si>
    <t>كولهوم كايعبدو نفس لإلاه</t>
  </si>
  <si>
    <t>He rejected Christianity</t>
  </si>
  <si>
    <t>8owwa mab9ach masi7i</t>
  </si>
  <si>
    <t>هووّا مابقاش ماسيحي</t>
  </si>
  <si>
    <t>He became a Buddhist</t>
  </si>
  <si>
    <t>wlla boudi</t>
  </si>
  <si>
    <t>ولّا بودي</t>
  </si>
  <si>
    <t>It is an ancient Buddhist temple</t>
  </si>
  <si>
    <t>8ada ma3bed 9dim dyal lboudiyya</t>
  </si>
  <si>
    <t>هادا ماعبد قديم ديال لبودييّا</t>
  </si>
  <si>
    <t>Where there is love there is faith</t>
  </si>
  <si>
    <t>finmma kayn l7ob kayn l 2iman</t>
  </si>
  <si>
    <t>فينمّا كاين لحوب كاين ل إمان</t>
  </si>
  <si>
    <t>I have faith in God</t>
  </si>
  <si>
    <t>3endi 2iman b lla8</t>
  </si>
  <si>
    <t>عندي إمان ب اللاه</t>
  </si>
  <si>
    <t>3id milad sa3id</t>
  </si>
  <si>
    <t>عيد ميلاد ساعيد</t>
  </si>
  <si>
    <t>When is your birthday?</t>
  </si>
  <si>
    <t>fo9ach 3id miladek?</t>
  </si>
  <si>
    <t>فوقاش عيد ميلادك?</t>
  </si>
  <si>
    <t>It's a surprise</t>
  </si>
  <si>
    <t>8adi moufaja2a</t>
  </si>
  <si>
    <t>هادي موفاجاأ</t>
  </si>
  <si>
    <t>let's celebrate your birthday</t>
  </si>
  <si>
    <t>yalla8 n7taflou b 3id miladek</t>
  </si>
  <si>
    <t>يالّاه نحتافلو ب عيد ميلادك</t>
  </si>
  <si>
    <t>He received a gift</t>
  </si>
  <si>
    <t>wSlatou 8adiyya</t>
  </si>
  <si>
    <t>وصلاتو هادييّا</t>
  </si>
  <si>
    <t>ja8 kado</t>
  </si>
  <si>
    <t>جاه كادو</t>
  </si>
  <si>
    <t>Thank you for the gift</t>
  </si>
  <si>
    <t>chokran 3la lkado</t>
  </si>
  <si>
    <t>شوكران علا لكادو</t>
  </si>
  <si>
    <t>I want to buy him a gift</t>
  </si>
  <si>
    <t>bghit nchri li8 kado</t>
  </si>
  <si>
    <t>بغيت نشري ليه كادو</t>
  </si>
  <si>
    <t>It's a gift for my brother</t>
  </si>
  <si>
    <t>8ada kado dyal khoya</t>
  </si>
  <si>
    <t>هادا كادو ديال خويا</t>
  </si>
  <si>
    <t>I bought this gift today</t>
  </si>
  <si>
    <t>chrit 8ad lkado lyoum</t>
  </si>
  <si>
    <t>شريت هاد لكادو ليوم</t>
  </si>
  <si>
    <t>I want the gift wrapped</t>
  </si>
  <si>
    <t>bghit lkado ytghllef</t>
  </si>
  <si>
    <t>بغيت لكادو يتغلّف</t>
  </si>
  <si>
    <t>What did you get for your birthday?</t>
  </si>
  <si>
    <t>chnou jak f3id miladek?</t>
  </si>
  <si>
    <t>شنو جاك فعيد ميلادك?</t>
  </si>
  <si>
    <t>I forgot about his birthday</t>
  </si>
  <si>
    <t>nsit 3id miladou</t>
  </si>
  <si>
    <t>نسيت عيد ميلادو</t>
  </si>
  <si>
    <t>I'm making a juice</t>
  </si>
  <si>
    <t>ana kanSayb 3aSir</t>
  </si>
  <si>
    <t>أنا كانصايب عاصير</t>
  </si>
  <si>
    <t>He puffed up the balloon</t>
  </si>
  <si>
    <t>8owwa nfekh neffakha</t>
  </si>
  <si>
    <t>هووّا نفخ نفّاخا</t>
  </si>
  <si>
    <t>He popped the balloon</t>
  </si>
  <si>
    <t>8owwa TerTe9 neffakha</t>
  </si>
  <si>
    <t>هووّا طرطق نفّاخا</t>
  </si>
  <si>
    <t>Can you blow up this balloon?</t>
  </si>
  <si>
    <t>wach t9der TTerTe9 8ad nneffakha?</t>
  </si>
  <si>
    <t>واش تقدر الطرطق هاد النفّاخا?</t>
  </si>
  <si>
    <t>The clown tickled the kids</t>
  </si>
  <si>
    <t>l kloun kay8err ddrari SSghar</t>
  </si>
  <si>
    <t>ل كلون كايهرّ الدراري الصغار</t>
  </si>
  <si>
    <t>This clown looks funny</t>
  </si>
  <si>
    <t>8ad l kloun kayDe77ek</t>
  </si>
  <si>
    <t>هاد ل كلون كايضحّك</t>
  </si>
  <si>
    <t>You are a clown</t>
  </si>
  <si>
    <t>nta kloun</t>
  </si>
  <si>
    <t>نتا كلون</t>
  </si>
  <si>
    <t>I like horror movies</t>
  </si>
  <si>
    <t>kay3jbouni 2aflam rro3b</t>
  </si>
  <si>
    <t>كايعجبوني أفلام الروعب</t>
  </si>
  <si>
    <t>I like watching romantic movies</t>
  </si>
  <si>
    <t>kay3jbni ntferrej f l 2aflam rromansiyya</t>
  </si>
  <si>
    <t>كايعجبني نتفرّج ف ل أفلام الرومانسييّا</t>
  </si>
  <si>
    <t>I like comedy movies</t>
  </si>
  <si>
    <t>kay3jbouni l 2aflam lkoumidiyya</t>
  </si>
  <si>
    <t>كايعجبوني ل أفلام لكوميدييّا</t>
  </si>
  <si>
    <t>I like drama movies</t>
  </si>
  <si>
    <t>kay3jbouni l 2aflam ddramiyya</t>
  </si>
  <si>
    <t>كايعجبوني ل أفلام الدرامييّا</t>
  </si>
  <si>
    <t>I am in the mood for a documentary movie</t>
  </si>
  <si>
    <t>tche88it ntferrej f film wata2i9i</t>
  </si>
  <si>
    <t>تشهّيت نتفرّج ف فيلم واتاإقي</t>
  </si>
  <si>
    <t>Bring pop corn with you</t>
  </si>
  <si>
    <t>jib m3ak lgliyya</t>
  </si>
  <si>
    <t>جيب معاك لڭلييّا</t>
  </si>
  <si>
    <t>Bring popcorn with you</t>
  </si>
  <si>
    <t>jib m3ak ddra</t>
  </si>
  <si>
    <t>جيب معاك الدرا</t>
  </si>
  <si>
    <t>I like opera</t>
  </si>
  <si>
    <t>kat3jebni l opera</t>
  </si>
  <si>
    <t>كاتعجبني ل أُپرا</t>
  </si>
  <si>
    <t>I like classical music</t>
  </si>
  <si>
    <t>kat3jbni lmousi9a lklasikiyya</t>
  </si>
  <si>
    <t>كاتعجبني لموسيقا لكلاسيكييّا</t>
  </si>
  <si>
    <t>I'm a big fan of Kpop</t>
  </si>
  <si>
    <t>ana mou3jab kbir b lki pop</t>
  </si>
  <si>
    <t>أنا موعجاب كبير ب لكي پوپ</t>
  </si>
  <si>
    <t>I want to dance whenever I hear Moroccan music</t>
  </si>
  <si>
    <t>kanbghi nchTe7 we9tma sme3t chche3bi</t>
  </si>
  <si>
    <t>كانبغي نشطح وقتما سمعت الشعبي</t>
  </si>
  <si>
    <t>It's a tradition</t>
  </si>
  <si>
    <t>8ada t9lid</t>
  </si>
  <si>
    <t>هادا تقليد</t>
  </si>
  <si>
    <t>Get your act together</t>
  </si>
  <si>
    <t>khdem mzyan ola sir f7alek</t>
  </si>
  <si>
    <t>خدم مزيان أُلا سير فحالك</t>
  </si>
  <si>
    <t>So far so good</t>
  </si>
  <si>
    <t>koulchi ghadi mzyan 8ad ssa3a</t>
  </si>
  <si>
    <t>كولشي غادي مزيان هاد الساعا</t>
  </si>
  <si>
    <t>Time flies</t>
  </si>
  <si>
    <t>lwe9t kayTir</t>
  </si>
  <si>
    <t>لوقت كايطير</t>
  </si>
  <si>
    <t>A penny for your thought</t>
  </si>
  <si>
    <t>golliya fach katfekker</t>
  </si>
  <si>
    <t>ڭولّييا فاش كاتفكّر</t>
  </si>
  <si>
    <t>A perfect storm</t>
  </si>
  <si>
    <t>moSiba ke7la</t>
  </si>
  <si>
    <t>موصيبا كحلا</t>
  </si>
  <si>
    <t>Add insult to injury</t>
  </si>
  <si>
    <t>zad ke77el8a</t>
  </si>
  <si>
    <t>زاد كحّلها</t>
  </si>
  <si>
    <t>bgha yke77el8a 3ma8a</t>
  </si>
  <si>
    <t>بغا يكحّلها عماها</t>
  </si>
  <si>
    <t>Don't put all your eggs in one basket</t>
  </si>
  <si>
    <t>matghamerch</t>
  </si>
  <si>
    <t>ماتغامرش</t>
  </si>
  <si>
    <t>Ignorance is bliss</t>
  </si>
  <si>
    <t>7sen lik ma3reftich</t>
  </si>
  <si>
    <t>حسن ليك ماعرفتيش</t>
  </si>
  <si>
    <t>It's a piece of cake</t>
  </si>
  <si>
    <t>8adchchi sa8el</t>
  </si>
  <si>
    <t>هادشّي ساهل</t>
  </si>
  <si>
    <t>Kill two birds with one stone</t>
  </si>
  <si>
    <t>dreb 3oSfourayn b7ajar wa7ed</t>
  </si>
  <si>
    <t>درب عوصفوراين بحاجار واحد</t>
  </si>
  <si>
    <t>Once in a blue moon</t>
  </si>
  <si>
    <t>Saving for rainy days</t>
  </si>
  <si>
    <t>jme3 ldwayer zzman</t>
  </si>
  <si>
    <t>جمع لدواير الزمان</t>
  </si>
  <si>
    <t>The ball is in your court</t>
  </si>
  <si>
    <t>lkora 3endek</t>
  </si>
  <si>
    <t>لكورا عندك</t>
  </si>
  <si>
    <t>There are other fish in the sea</t>
  </si>
  <si>
    <t>3Ta lla8 lforaS</t>
  </si>
  <si>
    <t>عطا اللاه لفوراص</t>
  </si>
  <si>
    <t>There is no such a thing as free lunch</t>
  </si>
  <si>
    <t>makayna 7etta 7aja fabor</t>
  </si>
  <si>
    <t>ماكاينا حتّا حاجا فابور</t>
  </si>
  <si>
    <t>You can't have a cake and eat it too</t>
  </si>
  <si>
    <t>maymkench ykoun 3ndek koulchi</t>
  </si>
  <si>
    <t>مايمكنش يكون عندك كولشي</t>
  </si>
  <si>
    <t>You can't judge a book by its cover</t>
  </si>
  <si>
    <t>maymkench t7kem 3la ktab mn lghlaf dyalo</t>
  </si>
  <si>
    <t>مايمكنش تحكم علا كتاب من لغلاف ديالو</t>
  </si>
  <si>
    <t>Calm before the storm</t>
  </si>
  <si>
    <t>l8oudou2 lli kaysbe9 l3aSifa</t>
  </si>
  <si>
    <t>لهودوء اللي كايسبق لعاصيفا</t>
  </si>
  <si>
    <t>Challenge accepted</t>
  </si>
  <si>
    <t>tta7addi me9boul</t>
  </si>
  <si>
    <t>التاحادّي مقبول</t>
  </si>
  <si>
    <t>What would you say if I asked you out?</t>
  </si>
  <si>
    <t>chnou ghadi tgoul ila 3reDt 3lik?</t>
  </si>
  <si>
    <t>شنو غادي تڭول إلا عرضت عليك?</t>
  </si>
  <si>
    <t>What is your opinion?</t>
  </si>
  <si>
    <t>chnou rra2y dyalek?</t>
  </si>
  <si>
    <t>شنو الراإي ديالك?</t>
  </si>
  <si>
    <t>It's pretty hot</t>
  </si>
  <si>
    <t>lyoum skhoun l7al</t>
  </si>
  <si>
    <t>ليوم سخون لحال</t>
  </si>
  <si>
    <t>The weather is lovely</t>
  </si>
  <si>
    <t>ljew zwin</t>
  </si>
  <si>
    <t>لجو زوين</t>
  </si>
  <si>
    <t>I hope it's sunny tomorrow</t>
  </si>
  <si>
    <t>kantmnna ghdda ykoun mchemmech</t>
  </si>
  <si>
    <t>كانتمنّا غدّا يكون مشمّش</t>
  </si>
  <si>
    <t>Let's hope everything goes well</t>
  </si>
  <si>
    <t>ntmnnaw koulchi ymchi mzyan</t>
  </si>
  <si>
    <t>نتمنّاو كولشي يمشي مزيان</t>
  </si>
  <si>
    <t>If we're lucky</t>
  </si>
  <si>
    <t>ila 3endna zz8er</t>
  </si>
  <si>
    <t>إلا عندنا الزهر</t>
  </si>
  <si>
    <t>If I were you</t>
  </si>
  <si>
    <t>ila kent blaSStek</t>
  </si>
  <si>
    <t>إلا كنت بلاصّتك</t>
  </si>
  <si>
    <t>koun kent blaSStek</t>
  </si>
  <si>
    <t>كون كنت بلاصّتك</t>
  </si>
  <si>
    <t>I suggest you stop now</t>
  </si>
  <si>
    <t>ana kan9tare7 t7bes daba</t>
  </si>
  <si>
    <t>أنا كانقتارح تحبس دابا</t>
  </si>
  <si>
    <t>Why don't you stop now?</t>
  </si>
  <si>
    <t>3lach mat7besch daba?</t>
  </si>
  <si>
    <t>علاش ماتحبسش دابا?</t>
  </si>
  <si>
    <t>chkoun b7alk</t>
  </si>
  <si>
    <t>شكون بحالك</t>
  </si>
  <si>
    <t>Please don't be mad at me</t>
  </si>
  <si>
    <t>3afak matt9elle9ch menni</t>
  </si>
  <si>
    <t>عافاك ماتّقلّقش منّي</t>
  </si>
  <si>
    <t>Please accept my apology</t>
  </si>
  <si>
    <t>3afak 9bel l2i3tiDar dyali</t>
  </si>
  <si>
    <t>عافاك قبل لإعتيضار ديالي</t>
  </si>
  <si>
    <t>I hope everything is okay?</t>
  </si>
  <si>
    <t>kantmnna ykoun koulchi mzyan?</t>
  </si>
  <si>
    <t>كانتمنّا يكون كولشي مزيان?</t>
  </si>
  <si>
    <t>I would like to know</t>
  </si>
  <si>
    <t>bghit n3ref</t>
  </si>
  <si>
    <t>بغيت نعرف</t>
  </si>
  <si>
    <t>Could anyone tell me what's the problem?</t>
  </si>
  <si>
    <t>wach y9der ygouliyya chi wa7ed chnou 8owwa lmouchkil?</t>
  </si>
  <si>
    <t>واش يقدر يڭولييّا شي واحد شنو هووّا لموشكيل?</t>
  </si>
  <si>
    <t>Wait and see</t>
  </si>
  <si>
    <t>tsenna o chouf</t>
  </si>
  <si>
    <t>تسنّا أُ شوف</t>
  </si>
  <si>
    <t>You'll just have to be patient</t>
  </si>
  <si>
    <t>kheSSek ghir tSber</t>
  </si>
  <si>
    <t>خصّك غير تصبر</t>
  </si>
  <si>
    <t>Give me an advice</t>
  </si>
  <si>
    <t>3Tini 9tira7</t>
  </si>
  <si>
    <t>عطيني قتيراح</t>
  </si>
  <si>
    <t>Don't be so impatient</t>
  </si>
  <si>
    <t>matkounch 9lil SSber</t>
  </si>
  <si>
    <t>ماتكونش قليل الصبر</t>
  </si>
  <si>
    <t>I'll be right with you</t>
  </si>
  <si>
    <t>ana m3ak daba</t>
  </si>
  <si>
    <t>أنا معاك دابا</t>
  </si>
  <si>
    <t>I'm a bit tied up</t>
  </si>
  <si>
    <t>ana mchghoul chwiyya daba</t>
  </si>
  <si>
    <t>أنا مشغول شوييّا دابا</t>
  </si>
  <si>
    <t>You can be sure</t>
  </si>
  <si>
    <t>koun 3la ya9in</t>
  </si>
  <si>
    <t>كون علا ياقين</t>
  </si>
  <si>
    <t>I have no doubt at all</t>
  </si>
  <si>
    <t>ma3ndich 2adna chekk</t>
  </si>
  <si>
    <t>ماعنديش أدنا شكّ</t>
  </si>
  <si>
    <t>I'm a hundred percent certain</t>
  </si>
  <si>
    <t>ana mt2ekked mya f lmya</t>
  </si>
  <si>
    <t>أنا متءكّد ميا ف لميا</t>
  </si>
  <si>
    <t>Smile!</t>
  </si>
  <si>
    <t>d7ek!</t>
  </si>
  <si>
    <t>دحك!</t>
  </si>
  <si>
    <t>It's not the end of the world</t>
  </si>
  <si>
    <t>machi ni8ayat l3alam</t>
  </si>
  <si>
    <t>ماشي نيهايات لعالام</t>
  </si>
  <si>
    <t>Look at the bright side</t>
  </si>
  <si>
    <t>chouf ljanib lmouchri9</t>
  </si>
  <si>
    <t>شوف لجانيب لموشريق</t>
  </si>
  <si>
    <t>I've never stolen</t>
  </si>
  <si>
    <t>ma3emmerni sre9t</t>
  </si>
  <si>
    <t>ماعمّرني سرقت</t>
  </si>
  <si>
    <t>What a disaster</t>
  </si>
  <si>
    <t>nari 3la fDi7a</t>
  </si>
  <si>
    <t>ناري علا فضيحا</t>
  </si>
  <si>
    <t>nari 3la rwina</t>
  </si>
  <si>
    <t>ناري علا روينا</t>
  </si>
  <si>
    <t>In your dreams!</t>
  </si>
  <si>
    <t>f l2a7lam dyalek</t>
  </si>
  <si>
    <t>ف لأحلام ديالك</t>
  </si>
  <si>
    <t>You could be right</t>
  </si>
  <si>
    <t>y9der ykoun 3endek SSe7</t>
  </si>
  <si>
    <t>يقدر يكون عندك الصح</t>
  </si>
  <si>
    <t>Nonsense</t>
  </si>
  <si>
    <t>ma3ndou me3na</t>
  </si>
  <si>
    <t>Rubbish!</t>
  </si>
  <si>
    <t>tkherbi9</t>
  </si>
  <si>
    <t>تخربيق</t>
  </si>
  <si>
    <t>You're coming along well</t>
  </si>
  <si>
    <t>rak ghadi mzyan</t>
  </si>
  <si>
    <t>راك غادي مزيان</t>
  </si>
  <si>
    <t>You're on the right line</t>
  </si>
  <si>
    <t>rak fTTri9 S7i7</t>
  </si>
  <si>
    <t>راك فطّريق صحيح</t>
  </si>
  <si>
    <t>Come on! You can do it</t>
  </si>
  <si>
    <t>yalla8 t9der ddir8a</t>
  </si>
  <si>
    <t>يالّاه تقدر الديرها</t>
  </si>
  <si>
    <t>The bus was late</t>
  </si>
  <si>
    <t>tTobis kan m3eTTel</t>
  </si>
  <si>
    <t>تطوبيس كان معطّل</t>
  </si>
  <si>
    <t>I had to wait ages for a bus</t>
  </si>
  <si>
    <t>ch7al o ana kantsenna TTobis</t>
  </si>
  <si>
    <t>شحال أُ أنا كانتسنّا الطوبيس</t>
  </si>
  <si>
    <t>I couldn't find a parking space</t>
  </si>
  <si>
    <t>mal9itch fin npparki</t>
  </si>
  <si>
    <t>مالقيتش فين نپّاركي</t>
  </si>
  <si>
    <t>I got lost coming here</t>
  </si>
  <si>
    <t>tleft o ana jay fTTri9</t>
  </si>
  <si>
    <t>تلفت أُ أنا جاي فطّريق</t>
  </si>
  <si>
    <t>He was wearing a frown</t>
  </si>
  <si>
    <t>kan m3ebbes</t>
  </si>
  <si>
    <t>كان معبّس</t>
  </si>
  <si>
    <t>He gave me a dirty look</t>
  </si>
  <si>
    <t>chaf fiyya choufa na9Sa</t>
  </si>
  <si>
    <t>شاف فييّا شوفا ناقصا</t>
  </si>
  <si>
    <t>He raised his eyebrows</t>
  </si>
  <si>
    <t>8ezz 7jbanou</t>
  </si>
  <si>
    <t>هزّ حجبانو</t>
  </si>
  <si>
    <t>I'm going to bed</t>
  </si>
  <si>
    <t>ghadi nemchi nn3es</t>
  </si>
  <si>
    <t>غادي نمشي النعس</t>
  </si>
  <si>
    <t>Time for bed</t>
  </si>
  <si>
    <t>we9t nn3as</t>
  </si>
  <si>
    <t>وقت النعاس</t>
  </si>
  <si>
    <t>I can't keep my eyes open</t>
  </si>
  <si>
    <t>ma9aderch n7ell 3ini</t>
  </si>
  <si>
    <t>ماقادرش نحلّ عيني</t>
  </si>
  <si>
    <t>I can't remember</t>
  </si>
  <si>
    <t>ma39eltch</t>
  </si>
  <si>
    <t>ماعقلتش</t>
  </si>
  <si>
    <t>I'm completely forgotten</t>
  </si>
  <si>
    <t>nsit tamaman</t>
  </si>
  <si>
    <t>نسيت تامامان</t>
  </si>
  <si>
    <t>What was I thinking of?</t>
  </si>
  <si>
    <t>fin kan 3e9li?</t>
  </si>
  <si>
    <t>فين كان عقلي?</t>
  </si>
  <si>
    <t>It completely slipped my mind</t>
  </si>
  <si>
    <t>mchat mn bali tamaman</t>
  </si>
  <si>
    <t>مشات من بالي تامامان</t>
  </si>
  <si>
    <t>Usually</t>
  </si>
  <si>
    <t>عاداتان</t>
  </si>
  <si>
    <t>In general</t>
  </si>
  <si>
    <t>3oumouman</t>
  </si>
  <si>
    <t>عومومان</t>
  </si>
  <si>
    <t>Get ready</t>
  </si>
  <si>
    <t>wejjed rasek</t>
  </si>
  <si>
    <t>وجّد راسك</t>
  </si>
  <si>
    <t>the dood is big</t>
  </si>
  <si>
    <t>lbab kbir</t>
  </si>
  <si>
    <t>لباب كبير</t>
  </si>
  <si>
    <t>Get well soon</t>
  </si>
  <si>
    <t>bra dghya</t>
  </si>
  <si>
    <t>برا دغيا</t>
  </si>
  <si>
    <t>Get out of my way</t>
  </si>
  <si>
    <t>be33ed mn Tri9i</t>
  </si>
  <si>
    <t>بعّد من طريقي</t>
  </si>
  <si>
    <t>The choice is yours</t>
  </si>
  <si>
    <t>l2ikhtiyyar dyalk</t>
  </si>
  <si>
    <t>لإختييّار ديالك</t>
  </si>
  <si>
    <t>It's your decision</t>
  </si>
  <si>
    <t>l9arar dyalk</t>
  </si>
  <si>
    <t>لقارار ديالك</t>
  </si>
  <si>
    <t>I personally think...</t>
  </si>
  <si>
    <t>chekhSiyyan kanDen...</t>
  </si>
  <si>
    <t>شخصييّان كانضن...</t>
  </si>
  <si>
    <t>In my humble opinion</t>
  </si>
  <si>
    <t>f ra2yi lmoutawaDi3</t>
  </si>
  <si>
    <t>ف راإيي لموتاواضيع</t>
  </si>
  <si>
    <t>I spent a lot of time playing</t>
  </si>
  <si>
    <t>kandewwez bzzaf dyal lwe9t kanel3eb</t>
  </si>
  <si>
    <t>كاندوّز بزّاف ديال لوقت كانلعب</t>
  </si>
  <si>
    <t>You'll always find me working</t>
  </si>
  <si>
    <t>dima ghadi tl9ani khddam</t>
  </si>
  <si>
    <t>ديما غادي تلقاني خدّام</t>
  </si>
  <si>
    <t>Whenever I get the chance</t>
  </si>
  <si>
    <t>we9tmma l9it lforSa</t>
  </si>
  <si>
    <t>وقتمّا لقيت لفورصا</t>
  </si>
  <si>
    <t>I have a habit of sleeping a lot</t>
  </si>
  <si>
    <t>3ndi 3ada dyal nn3as bezzaf</t>
  </si>
  <si>
    <t>عندي عادا ديال النعاس بزّاف</t>
  </si>
  <si>
    <t>I don't expect they'll win</t>
  </si>
  <si>
    <t>makantwe99e3ch yreb7ou</t>
  </si>
  <si>
    <t>ماكانتوقّعش يربحو</t>
  </si>
  <si>
    <t>There is no chance</t>
  </si>
  <si>
    <t>makayna 7etta forSa</t>
  </si>
  <si>
    <t>ماكاينا حتّا فورصا</t>
  </si>
  <si>
    <t>In the near future</t>
  </si>
  <si>
    <t>f lmoust9bal l9arib</t>
  </si>
  <si>
    <t>ف لموستقبال لقاريب</t>
  </si>
  <si>
    <t>There is nothing I like more than Moroccan cuisine</t>
  </si>
  <si>
    <t>makayn 7etta 7aja kate3jebni kter mn TTabkh lmeghribi</t>
  </si>
  <si>
    <t>ماكاين حتّا حاجا كاتعجبني كتر من الطابخ لمغريبي</t>
  </si>
  <si>
    <t>You must be his wife</t>
  </si>
  <si>
    <t>nti bayna ghatkuni mrato</t>
  </si>
  <si>
    <t>نتي باينا غاتكوني مراتو</t>
  </si>
  <si>
    <t>How is your wife?</t>
  </si>
  <si>
    <t>kidayra mratek?</t>
  </si>
  <si>
    <t>كيدايرا مراتك?</t>
  </si>
  <si>
    <t>What a coincidence!</t>
  </si>
  <si>
    <t>ya8 3la Sodfa!</t>
  </si>
  <si>
    <t>ياه علا صودفا!</t>
  </si>
  <si>
    <t>I am a bit depressed</t>
  </si>
  <si>
    <t>ana mkta2eb chwiya</t>
  </si>
  <si>
    <t>أنا مكتاءب شوييا</t>
  </si>
  <si>
    <t>how many boys?</t>
  </si>
  <si>
    <t>ch7al mn derri?</t>
  </si>
  <si>
    <t>شحال من درّي?</t>
  </si>
  <si>
    <t>Just round the corner</t>
  </si>
  <si>
    <t>ghir m3a ddora</t>
  </si>
  <si>
    <t>غير معا الدورا</t>
  </si>
  <si>
    <t>I really can't say</t>
  </si>
  <si>
    <t>man9derch ngoul</t>
  </si>
  <si>
    <t>مانقدرش نڭول</t>
  </si>
  <si>
    <t>It doesn't affect me</t>
  </si>
  <si>
    <t>makay2etterch 3liya</t>
  </si>
  <si>
    <t>ماكايءتّرش علييا</t>
  </si>
  <si>
    <t>That is an important question</t>
  </si>
  <si>
    <t>8ada so2al mou8im</t>
  </si>
  <si>
    <t>هادا سوأل موهيم</t>
  </si>
  <si>
    <t>I wish you were here</t>
  </si>
  <si>
    <t>kantmnna koun kenti 8na</t>
  </si>
  <si>
    <t>كانتمنّا كون كنتي هنا</t>
  </si>
  <si>
    <t>What is the purpose of your trip?</t>
  </si>
  <si>
    <t>chnou l8adaf mn rri7la dyalk?</t>
  </si>
  <si>
    <t>شنو لهاداف من الريحلا ديالك?</t>
  </si>
  <si>
    <t>It's probably going to rain tomorrow</t>
  </si>
  <si>
    <t>w9ila ghadi TTi7 chchta ghdda</t>
  </si>
  <si>
    <t>وقيلا غادي الطيح الشتا غدّا</t>
  </si>
  <si>
    <t>It may rain tomorrow</t>
  </si>
  <si>
    <t>b7al walo TTi7 chchta ghdda</t>
  </si>
  <si>
    <t>بحال والو الطيح الشتا غدّا</t>
  </si>
  <si>
    <t>The food is wonderful</t>
  </si>
  <si>
    <t>lmakla wa3ra</t>
  </si>
  <si>
    <t>لماكلا واعرا</t>
  </si>
  <si>
    <t>Just lying on the beach</t>
  </si>
  <si>
    <t>ghir mjebbed f lb7er</t>
  </si>
  <si>
    <t>غير مجبّد ف لبحر</t>
  </si>
  <si>
    <t>This is the life</t>
  </si>
  <si>
    <t>8adi 8iyya l7ayat</t>
  </si>
  <si>
    <t>هادي هييّا لحايات</t>
  </si>
  <si>
    <t>It's not what I expected</t>
  </si>
  <si>
    <t>machi dakchchi li twe99e3t</t>
  </si>
  <si>
    <t>ماشي داكشّي لي توقّعت</t>
  </si>
  <si>
    <t>There is nothing to do</t>
  </si>
  <si>
    <t>makayn mayddar</t>
  </si>
  <si>
    <t>ماكاين مايدّار</t>
  </si>
  <si>
    <t>I prefer to stay at home</t>
  </si>
  <si>
    <t>kanfeDDel nb9a fDDar</t>
  </si>
  <si>
    <t>كانفضّل نبقا فضّار</t>
  </si>
  <si>
    <t>You'll be fine</t>
  </si>
  <si>
    <t>ghatkoun bikhir</t>
  </si>
  <si>
    <t>غاتكون بيخير</t>
  </si>
  <si>
    <t>There is no need to worry</t>
  </si>
  <si>
    <t>makayn lach t8ezz l8emm</t>
  </si>
  <si>
    <t>ماكاين لاش تهزّ لهمّ</t>
  </si>
  <si>
    <t>he grew up fast</t>
  </si>
  <si>
    <t>deghya kber</t>
  </si>
  <si>
    <t>دغيا كبر</t>
  </si>
  <si>
    <t>Absolutely not</t>
  </si>
  <si>
    <t>akid lla</t>
  </si>
  <si>
    <t>أكيد اللا</t>
  </si>
  <si>
    <t>No but thanks for asking</t>
  </si>
  <si>
    <t>lla walakin chokran 7it sewweltini</t>
  </si>
  <si>
    <t>اللا والاكين شوكران حيت سوّلتيني</t>
  </si>
  <si>
    <t>I remember him very well</t>
  </si>
  <si>
    <t>kan39el 3li8 mzyan</t>
  </si>
  <si>
    <t>كانعقل عليه مزيان</t>
  </si>
  <si>
    <t>I will never forget</t>
  </si>
  <si>
    <t>ma3mmerni nnsa</t>
  </si>
  <si>
    <t>ماعمّرني النسا</t>
  </si>
  <si>
    <t>It's on the tip of my tongue</t>
  </si>
  <si>
    <t>kayna 3la Terf lsani</t>
  </si>
  <si>
    <t>كاينا علا طرف لساني</t>
  </si>
  <si>
    <t>I hope you haven't forgotten</t>
  </si>
  <si>
    <t>kantmenna matkounch nsiti</t>
  </si>
  <si>
    <t>كانتمنّا ماتكونش نسيتي</t>
  </si>
  <si>
    <t>Bye for now</t>
  </si>
  <si>
    <t>bslama daba</t>
  </si>
  <si>
    <t>بسلاما دابا</t>
  </si>
  <si>
    <t>ntchawfou 9rib</t>
  </si>
  <si>
    <t>نتشاوفو قريب</t>
  </si>
  <si>
    <t>tSbe7 3la khir</t>
  </si>
  <si>
    <t>تصبح علا خير</t>
  </si>
  <si>
    <t>In a word</t>
  </si>
  <si>
    <t>fkelma we7da</t>
  </si>
  <si>
    <t>فكلما وحدا</t>
  </si>
  <si>
    <t>It's not so easy</t>
  </si>
  <si>
    <t>8adchi masa8elch bezzaf</t>
  </si>
  <si>
    <t>هادشي ماساهلش بزّاف</t>
  </si>
  <si>
    <t>I can do it with my eyes shut</t>
  </si>
  <si>
    <t>n9der ndir8a b3ini msdoudin</t>
  </si>
  <si>
    <t>نقدر نديرها بعيني مسدودين</t>
  </si>
  <si>
    <t>Anyone can do it</t>
  </si>
  <si>
    <t>ay wa7ed y9der ydir8a</t>
  </si>
  <si>
    <t>أي واحد يقدر يديرها</t>
  </si>
  <si>
    <t>I'm very impressed</t>
  </si>
  <si>
    <t>ana teb8eDt</t>
  </si>
  <si>
    <t>أنا تبهضت</t>
  </si>
  <si>
    <t>It's the best I've ever seen</t>
  </si>
  <si>
    <t>8adi 2a7san 7aja cheft8a</t>
  </si>
  <si>
    <t>هادي أحسان حاجا شفتها</t>
  </si>
  <si>
    <t>Not too good</t>
  </si>
  <si>
    <t>machi mzyan bezzaf</t>
  </si>
  <si>
    <t>ماشي مزيان بزّاف</t>
  </si>
  <si>
    <t>Not so great</t>
  </si>
  <si>
    <t>machi wa3er nit</t>
  </si>
  <si>
    <t>ماشي واعر نيت</t>
  </si>
  <si>
    <t>That's a fishy story</t>
  </si>
  <si>
    <t>8ad l9iSSa fchichkel</t>
  </si>
  <si>
    <t>هاد لقيصّا فشيشكل</t>
  </si>
  <si>
    <t>8ad l9iSSa fi8a 2inna</t>
  </si>
  <si>
    <t>هاد لقيصّا فيها إنّا</t>
  </si>
  <si>
    <t>A half-truth</t>
  </si>
  <si>
    <t>neS l7a9i9a</t>
  </si>
  <si>
    <t>نص لحاقيقا</t>
  </si>
  <si>
    <t>Don't ask me</t>
  </si>
  <si>
    <t>matsewwelnich</t>
  </si>
  <si>
    <t>ماتسوّلنيش</t>
  </si>
  <si>
    <t>How the hell should I know?</t>
  </si>
  <si>
    <t>kighadi ndir bssalama n3ref ?</t>
  </si>
  <si>
    <t>كيغادي ندير بسّالاما نعرف ?</t>
  </si>
  <si>
    <t>yak labas?</t>
  </si>
  <si>
    <t>ياك لاباس?</t>
  </si>
  <si>
    <t>You look a bit down</t>
  </si>
  <si>
    <t>katban m9elle9 chwiyya</t>
  </si>
  <si>
    <t>كاتبان مقلّق شوييّا</t>
  </si>
  <si>
    <t>Where can I find the tea?</t>
  </si>
  <si>
    <t>fin n9der nl9a atay?</t>
  </si>
  <si>
    <t>فين نقدر نلقا أتاي?</t>
  </si>
  <si>
    <t>It's out of stock</t>
  </si>
  <si>
    <t>mab9ach f SSTok</t>
  </si>
  <si>
    <t>مابقاش ف الصطوك</t>
  </si>
  <si>
    <t>How would you like to pay?</t>
  </si>
  <si>
    <t>kifach bghiti tkhelleS</t>
  </si>
  <si>
    <t>كيفاش بغيتي تخلّص</t>
  </si>
  <si>
    <t>Would you like a receipt?</t>
  </si>
  <si>
    <t>wach bghiti ttiki ?</t>
  </si>
  <si>
    <t>واش بغيتي التيكي ?</t>
  </si>
  <si>
    <t>That is the last thing I expected</t>
  </si>
  <si>
    <t>8adi 2akhir 7aja twe99e3t8a</t>
  </si>
  <si>
    <t>هادي أخير حاجا توقّعتها</t>
  </si>
  <si>
    <t>he is still a child</t>
  </si>
  <si>
    <t>ba9i Sghir</t>
  </si>
  <si>
    <t>باقي صغير</t>
  </si>
  <si>
    <t>I like this idea</t>
  </si>
  <si>
    <t>3jbatni 8ad lfikra</t>
  </si>
  <si>
    <t>عجباتني هاد لفيكرا</t>
  </si>
  <si>
    <t>You know what?</t>
  </si>
  <si>
    <t>3refti chnou?</t>
  </si>
  <si>
    <t>عرفتي شنو?</t>
  </si>
  <si>
    <t>It's starting</t>
  </si>
  <si>
    <t>8a8owwa bda</t>
  </si>
  <si>
    <t>هاهووّا بدا</t>
  </si>
  <si>
    <t>Where is the remote?</t>
  </si>
  <si>
    <t>fina8owwa TTelekomond</t>
  </si>
  <si>
    <t>فيناهووّا الطلكوموند</t>
  </si>
  <si>
    <t>It's a repeat</t>
  </si>
  <si>
    <t>8adi 2i3ada</t>
  </si>
  <si>
    <t>هادي إعادا</t>
  </si>
  <si>
    <t>Are you watching?</t>
  </si>
  <si>
    <t>wach katferrej?</t>
  </si>
  <si>
    <t>واش كاتفرّج?</t>
  </si>
  <si>
    <t>Can I turn over?</t>
  </si>
  <si>
    <t>wach n9der n9leb?</t>
  </si>
  <si>
    <t>واش نقدر نقلب?</t>
  </si>
  <si>
    <t>My programme is on in a minute</t>
  </si>
  <si>
    <t>lbernamaj dyali ghadi ybda mn daba d9i9a</t>
  </si>
  <si>
    <t>لبرناماج ديالي غادي يبدا من دابا دقيقا</t>
  </si>
  <si>
    <t>It's below zero</t>
  </si>
  <si>
    <t>te7t SSifr</t>
  </si>
  <si>
    <t>تحت الصيفر</t>
  </si>
  <si>
    <t>What did you do last night?</t>
  </si>
  <si>
    <t>chnou derti lbare7 bllil?</t>
  </si>
  <si>
    <t>شنو درتي لبارح بلّيل?</t>
  </si>
  <si>
    <t>Did you go outside last night?</t>
  </si>
  <si>
    <t>wach khrejti lbare7 bllil?</t>
  </si>
  <si>
    <t>واش خرجتي لبارح بلّيل?</t>
  </si>
  <si>
    <t>Coffee is just what I need.</t>
  </si>
  <si>
    <t>l9e8wa, 8iyya lli me7taj</t>
  </si>
  <si>
    <t>لقهوا, هييّا اللي محتاج</t>
  </si>
  <si>
    <t>khllini nchouf</t>
  </si>
  <si>
    <t>خلّيني نشوف</t>
  </si>
  <si>
    <t>How shall I put it?</t>
  </si>
  <si>
    <t>kifach kheSni n7eTTo?</t>
  </si>
  <si>
    <t>كيفاش خصني نحطّو?</t>
  </si>
  <si>
    <t>Hear</t>
  </si>
  <si>
    <t>sme3</t>
  </si>
  <si>
    <t>are you busy tomorrow?</t>
  </si>
  <si>
    <t>wach mechghoul ghedda?</t>
  </si>
  <si>
    <t>واش مشغول غدّا?</t>
  </si>
  <si>
    <t>Twist his arm</t>
  </si>
  <si>
    <t>lwi li8 dra3o</t>
  </si>
  <si>
    <t>لوي ليه دراعو</t>
  </si>
  <si>
    <t>He stabbed me in the back</t>
  </si>
  <si>
    <t>t3enni f De8ri</t>
  </si>
  <si>
    <t>تعنّي ف ضهري</t>
  </si>
  <si>
    <t>Face the music</t>
  </si>
  <si>
    <t>waje8 lwa9i3</t>
  </si>
  <si>
    <t>واجه لواقيع</t>
  </si>
  <si>
    <t>I am under the weather</t>
  </si>
  <si>
    <t>We need to make a plan</t>
  </si>
  <si>
    <t>kheSSna ndirou khouTTa</t>
  </si>
  <si>
    <t>خصّنا نديرو خوطّا</t>
  </si>
  <si>
    <t>I wouldn't do that if I were you</t>
  </si>
  <si>
    <t>koun kent blaStek makentch ghandir 8adchi</t>
  </si>
  <si>
    <t>كون كنت بلاصتك ماكنتش غاندير هادشي</t>
  </si>
  <si>
    <t>Could be better</t>
  </si>
  <si>
    <t>moumkin ykoun 7sen</t>
  </si>
  <si>
    <t>مومكين يكون حسن</t>
  </si>
  <si>
    <t>I was busy</t>
  </si>
  <si>
    <t>kent mchghoul</t>
  </si>
  <si>
    <t>كنت مشغول</t>
  </si>
  <si>
    <t>Same as yesterday</t>
  </si>
  <si>
    <t>b7al lbar7</t>
  </si>
  <si>
    <t>بحال لبارح</t>
  </si>
  <si>
    <t>I owe you one</t>
  </si>
  <si>
    <t>kanttsalek we7da</t>
  </si>
  <si>
    <t>كانتّسالك وحدا</t>
  </si>
  <si>
    <t>Glad to help</t>
  </si>
  <si>
    <t>charaf liya n3awnek</t>
  </si>
  <si>
    <t>شاراف لييا نعاونك</t>
  </si>
  <si>
    <t>It happens</t>
  </si>
  <si>
    <t>katw9e3</t>
  </si>
  <si>
    <t>كاتوقع</t>
  </si>
  <si>
    <t>I forgive you</t>
  </si>
  <si>
    <t>sme7t lik</t>
  </si>
  <si>
    <t>سمحت ليك</t>
  </si>
  <si>
    <t>I'd like to meet my mom</t>
  </si>
  <si>
    <t>bghitk TTla9a M3a mama</t>
  </si>
  <si>
    <t>بغيتك الطلاقا معا ماما</t>
  </si>
  <si>
    <t>Have you met my brother?</t>
  </si>
  <si>
    <t>wach t3errefti 3la khouya?</t>
  </si>
  <si>
    <t>واش تعرّفتي علا خويا?</t>
  </si>
  <si>
    <t>like him</t>
  </si>
  <si>
    <t>b7alo</t>
  </si>
  <si>
    <t>بحالو</t>
  </si>
  <si>
    <t>and you?</t>
  </si>
  <si>
    <t>It's getting late</t>
  </si>
  <si>
    <t>bda kaymchi l7al</t>
  </si>
  <si>
    <t>بدا كايمشي لحال</t>
  </si>
  <si>
    <t>May I speak with your boss?</t>
  </si>
  <si>
    <t>wach n9der n8der m3a lmoudir dyalk?</t>
  </si>
  <si>
    <t>واش نقدر نهدر معا لمودير ديالك?</t>
  </si>
  <si>
    <t>He is not here</t>
  </si>
  <si>
    <t>makaynch 8na</t>
  </si>
  <si>
    <t>ماكاينش هنا</t>
  </si>
  <si>
    <t>Would you like to leave a message?</t>
  </si>
  <si>
    <t>wach bghti tkhlli li8 chi risala?</t>
  </si>
  <si>
    <t>واش بغتي تخلّي ليه شي ريسالا?</t>
  </si>
  <si>
    <t>Could you ask him to call me back?</t>
  </si>
  <si>
    <t>wach T9der tgolli8 y3awed yttaSel biyya?</t>
  </si>
  <si>
    <t>واش طقدر تڭولّيه يعاود يتّاصل بييّا?</t>
  </si>
  <si>
    <t>Thanks for calling</t>
  </si>
  <si>
    <t>chokran 3la l2ittiSal</t>
  </si>
  <si>
    <t>شوكران علا لإتّيصال</t>
  </si>
  <si>
    <t>I was wondering</t>
  </si>
  <si>
    <t>kent kantsa2el</t>
  </si>
  <si>
    <t>كنت كانتساءل</t>
  </si>
  <si>
    <t>From my point of view</t>
  </si>
  <si>
    <t>mn wij8at nnaDar dyali</t>
  </si>
  <si>
    <t>من ويجهات الناضار ديالي</t>
  </si>
  <si>
    <t>I've never given it much thought</t>
  </si>
  <si>
    <t>ma3mmerni fkkert fi8a bzzaf</t>
  </si>
  <si>
    <t>ماعمّرني فكّرت فيها بزّاف</t>
  </si>
  <si>
    <t>It doesn't make any difference to me</t>
  </si>
  <si>
    <t>makaynch 7tta chi fer9 bnnesba liyya</t>
  </si>
  <si>
    <t>ماكاينش حتّا شي فرق بنّسبا لييّا</t>
  </si>
  <si>
    <t>I have no opinion on the matter</t>
  </si>
  <si>
    <t>ma3ndi 7tta chi ra2y 3la lmowDo3</t>
  </si>
  <si>
    <t>ماعندي حتّا شي راإي علا لمووضوع</t>
  </si>
  <si>
    <t>Whatever</t>
  </si>
  <si>
    <t>iwa Safi</t>
  </si>
  <si>
    <t>إوا صافي</t>
  </si>
  <si>
    <t>Not necessarily</t>
  </si>
  <si>
    <t>machi bDDaroura</t>
  </si>
  <si>
    <t>ماشي بضّارورا</t>
  </si>
  <si>
    <t>mbrouk 3lik</t>
  </si>
  <si>
    <t>i'm so happy for you</t>
  </si>
  <si>
    <t>fre7t lik bezzaf</t>
  </si>
  <si>
    <t>فرحت ليك بزّاف</t>
  </si>
  <si>
    <t>Poor you</t>
  </si>
  <si>
    <t>mskin nta</t>
  </si>
  <si>
    <t>مسكين نتا</t>
  </si>
  <si>
    <t>I don't think I can</t>
  </si>
  <si>
    <t>makanDench ghadi n9der</t>
  </si>
  <si>
    <t>ماكانضنش غادي نقدر</t>
  </si>
  <si>
    <t>Maybe another time</t>
  </si>
  <si>
    <t>ymken mrra khra</t>
  </si>
  <si>
    <t>يمكن مرّا خرا</t>
  </si>
  <si>
    <t>Do you want some water?</t>
  </si>
  <si>
    <t>wach bghiti lma?</t>
  </si>
  <si>
    <t>واش بغيتي لما?</t>
  </si>
  <si>
    <t>Can I get you something to eat?</t>
  </si>
  <si>
    <t>njib lik chi 7aja ttakoul8a</t>
  </si>
  <si>
    <t>نجيب ليك شي حاجا التاكولها</t>
  </si>
  <si>
    <t>What about having a snack?</t>
  </si>
  <si>
    <t>chnou ban lik nnakhdou chi S9aTa?</t>
  </si>
  <si>
    <t>شنو بان ليك الناخدو شي صقاطا?</t>
  </si>
  <si>
    <t>Maybe we should leave</t>
  </si>
  <si>
    <t>wa9ila kheSSna nmchiw</t>
  </si>
  <si>
    <t>واقيلا خصّنا نمشيو</t>
  </si>
  <si>
    <t>I recommend going to the doctor.</t>
  </si>
  <si>
    <t>kan9tare7 tmchi l TTbib</t>
  </si>
  <si>
    <t>كانقتارح تمشي ل الطبيب</t>
  </si>
  <si>
    <t>Where do you work?</t>
  </si>
  <si>
    <t>fin kheddam?</t>
  </si>
  <si>
    <t>فين خدّام?</t>
  </si>
  <si>
    <t>I'm not sick</t>
  </si>
  <si>
    <t>ana mamriDch</t>
  </si>
  <si>
    <t>أنا مامريضش</t>
  </si>
  <si>
    <t>I run my own business</t>
  </si>
  <si>
    <t>3ndi mchrou3 dyali</t>
  </si>
  <si>
    <t>عندي مشروع ديالي</t>
  </si>
  <si>
    <t>I'm retired</t>
  </si>
  <si>
    <t>ana mt9a3ed</t>
  </si>
  <si>
    <t>أنا متقاعد</t>
  </si>
  <si>
    <t>Last but not least</t>
  </si>
  <si>
    <t>2akhiran walaysa 2a'khiran</t>
  </si>
  <si>
    <t>أخيران والايسا أ'خيران</t>
  </si>
  <si>
    <t>Little by little</t>
  </si>
  <si>
    <t>chwiya bchwiya</t>
  </si>
  <si>
    <t>شوييا بشوييا</t>
  </si>
  <si>
    <t>listen to me</t>
  </si>
  <si>
    <t>3Tini wednik</t>
  </si>
  <si>
    <t>عطيني ودنيك</t>
  </si>
  <si>
    <t>Step by step</t>
  </si>
  <si>
    <t>de99a de99a</t>
  </si>
  <si>
    <t>دقّا دقّا</t>
  </si>
  <si>
    <t>see?</t>
  </si>
  <si>
    <t>chefti?</t>
  </si>
  <si>
    <t>شفتي?</t>
  </si>
  <si>
    <t>Take it or leave it</t>
  </si>
  <si>
    <t>khoudou olla khlli8</t>
  </si>
  <si>
    <t>خودو أُلّا خلّيه</t>
  </si>
  <si>
    <t>I promise that I'll finish on time</t>
  </si>
  <si>
    <t>kanwa3dek ghadi nsali f lwe9t</t>
  </si>
  <si>
    <t>كانواعدك غادي نسالي ف لوقت</t>
  </si>
  <si>
    <t>I need a new ring</t>
  </si>
  <si>
    <t>kheSSni khatem jdid</t>
  </si>
  <si>
    <t>خصّني خاتم جديد</t>
  </si>
  <si>
    <t>it's a swing</t>
  </si>
  <si>
    <t>8adi ze3loula</t>
  </si>
  <si>
    <t>هادي زعلولا</t>
  </si>
  <si>
    <t>do you like playing with the swing?</t>
  </si>
  <si>
    <t>wach kat3ejbek zze3loula?</t>
  </si>
  <si>
    <t>واش كاتعجبك الزعلولا?</t>
  </si>
  <si>
    <t>I will be there on time</t>
  </si>
  <si>
    <t>ghadi nkoun tmmak flwe9t</t>
  </si>
  <si>
    <t>غادي نكون تمّاك فلوقت</t>
  </si>
  <si>
    <t>Keep your promise</t>
  </si>
  <si>
    <t>b9a 3end lkelma dyalk</t>
  </si>
  <si>
    <t>بقا عند لكلما ديالك</t>
  </si>
  <si>
    <t>Just let the time show you</t>
  </si>
  <si>
    <t>ghir khelli lwe9t ybiyyen lik</t>
  </si>
  <si>
    <t>غير خلّي لوقت يبييّن ليك</t>
  </si>
  <si>
    <t>ghir khelli zman ywerri lik</t>
  </si>
  <si>
    <t>غير خلّي زمان يورّي ليك</t>
  </si>
  <si>
    <t>I have to admit it</t>
  </si>
  <si>
    <t>kheSSni nt9ebbel</t>
  </si>
  <si>
    <t>خصّني نتقبّل</t>
  </si>
  <si>
    <t>I have made a mistake</t>
  </si>
  <si>
    <t>dert khaTa2</t>
  </si>
  <si>
    <t>درت خاطاء</t>
  </si>
  <si>
    <t>I was the one to blame</t>
  </si>
  <si>
    <t>ana li kheSSni ntlam</t>
  </si>
  <si>
    <t>أنا لي خصّني نتلام</t>
  </si>
  <si>
    <t>I have an air fryer</t>
  </si>
  <si>
    <t>3ndi 9llaya 8awa2iyya</t>
  </si>
  <si>
    <t>عندي قلّايا هاواإيّا</t>
  </si>
  <si>
    <t>Don't do it again</t>
  </si>
  <si>
    <t>mat3awed8ach</t>
  </si>
  <si>
    <t>ماتعاودهاش</t>
  </si>
  <si>
    <t>How are you feeling?</t>
  </si>
  <si>
    <t>kifach kat7ess</t>
  </si>
  <si>
    <t>كيفاش كاتحسّ</t>
  </si>
  <si>
    <t>Do you want to talk about it?</t>
  </si>
  <si>
    <t>wach bghiti t8der 3la 8adchi?</t>
  </si>
  <si>
    <t>واش بغيتي تهدر علا هادشي?</t>
  </si>
  <si>
    <t>It was a difficult day</t>
  </si>
  <si>
    <t>kan n8ar S3ib</t>
  </si>
  <si>
    <t>كان نهار صعيب</t>
  </si>
  <si>
    <t>He made her very angry</t>
  </si>
  <si>
    <t>3eSSeb8a bzzaf</t>
  </si>
  <si>
    <t>عصّبها بزّاف</t>
  </si>
  <si>
    <t>What brings you here?</t>
  </si>
  <si>
    <t>chnou jabek 8na?</t>
  </si>
  <si>
    <t>شنو جابك هنا?</t>
  </si>
  <si>
    <t>I'm on holiday</t>
  </si>
  <si>
    <t>ana f 3oTla</t>
  </si>
  <si>
    <t>أنا ف عوطلا</t>
  </si>
  <si>
    <t>I bought a bike</t>
  </si>
  <si>
    <t>chrit ppikala</t>
  </si>
  <si>
    <t>شريت الپيكالا</t>
  </si>
  <si>
    <t>I liked the bike</t>
  </si>
  <si>
    <t>3ejbatni lppikala</t>
  </si>
  <si>
    <t>عجباتني لپّيكالا</t>
  </si>
  <si>
    <t>the bike is small</t>
  </si>
  <si>
    <t>lppikala Sghira</t>
  </si>
  <si>
    <t>لپّيكالا صغيرا</t>
  </si>
  <si>
    <t>Do you have a facebook account?</t>
  </si>
  <si>
    <t>wach 3ndek facebook?</t>
  </si>
  <si>
    <t>واش عندك فاسبوك?</t>
  </si>
  <si>
    <t>do you have an instagram account</t>
  </si>
  <si>
    <t>wach 3ndek instagram</t>
  </si>
  <si>
    <t>واش عندك إنستاڭرام</t>
  </si>
  <si>
    <t>I live with my friends</t>
  </si>
  <si>
    <t>kan3ich m3a S7abi</t>
  </si>
  <si>
    <t>كانعيش معا صحابي</t>
  </si>
  <si>
    <t>I only I hadn't eat so much</t>
  </si>
  <si>
    <t>koun ghir maklitch bzzaf</t>
  </si>
  <si>
    <t>كون غير ماكليتش بزّاف</t>
  </si>
  <si>
    <t>If only I had driven carefully</t>
  </si>
  <si>
    <t>koun ghir Segt bchwiyya</t>
  </si>
  <si>
    <t>كون غير صڭت بشوييّا</t>
  </si>
  <si>
    <t>You're new here</t>
  </si>
  <si>
    <t>nta jdid 8na</t>
  </si>
  <si>
    <t>نتا جديد هنا</t>
  </si>
  <si>
    <t>He knows the answer</t>
  </si>
  <si>
    <t>8owwa 3aref ljawab</t>
  </si>
  <si>
    <t>هووّا عارف لجاواب</t>
  </si>
  <si>
    <t>Maybe he wants to quit the job</t>
  </si>
  <si>
    <t>wa9ila bgha ykhrej mn lkhedma</t>
  </si>
  <si>
    <t>واقيلا بغا يخرج من لخدما</t>
  </si>
  <si>
    <t>I guess you're over 30 years old</t>
  </si>
  <si>
    <t>kanDen nta 3ndek fo9 ttlatin</t>
  </si>
  <si>
    <t>كانضن نتا عندك فوق التلاتين</t>
  </si>
  <si>
    <t>I sympathize with you</t>
  </si>
  <si>
    <t>kant3aTef m3ak</t>
  </si>
  <si>
    <t>كانتعاطف معاك</t>
  </si>
  <si>
    <t>Thank you for your support</t>
  </si>
  <si>
    <t>chokran 3la dda3m dyalk</t>
  </si>
  <si>
    <t>شوكران علا الداعم ديالك</t>
  </si>
  <si>
    <t>You have a nice voice</t>
  </si>
  <si>
    <t>3ndek Sowt zwin</t>
  </si>
  <si>
    <t>عندك صووت زوين</t>
  </si>
  <si>
    <t>I like your haircut</t>
  </si>
  <si>
    <t>3jbatni tte9Ti3a dyalk</t>
  </si>
  <si>
    <t>عجباتني التقطيعا ديالك</t>
  </si>
  <si>
    <t>let me help you</t>
  </si>
  <si>
    <t>khellini n3awnek</t>
  </si>
  <si>
    <t>خلّيني نعاونك</t>
  </si>
  <si>
    <t>If you wouldn't mind</t>
  </si>
  <si>
    <t>2ila makanch 3endek mani3</t>
  </si>
  <si>
    <t>إلا ماكانش عندك مانيع</t>
  </si>
  <si>
    <t>Can you explain?</t>
  </si>
  <si>
    <t>t9der tchre7 liyya?</t>
  </si>
  <si>
    <t>تقدر تشرح لييّا?</t>
  </si>
  <si>
    <t>How comes?</t>
  </si>
  <si>
    <t>kiTra?</t>
  </si>
  <si>
    <t>كيطرا?</t>
  </si>
  <si>
    <t>I don't understand why?</t>
  </si>
  <si>
    <t>maf8emtch 3lach?</t>
  </si>
  <si>
    <t>مافهمتش علاش?</t>
  </si>
  <si>
    <t>Can you tell me why?</t>
  </si>
  <si>
    <t>wach t9der tgolliya 3lach?</t>
  </si>
  <si>
    <t>واش تقدر تڭولّييا علاش?</t>
  </si>
  <si>
    <t>Do you like Tennis?</t>
  </si>
  <si>
    <t>wach kay3ejbek ttinis?</t>
  </si>
  <si>
    <t>واش كايعجبك التينيس?</t>
  </si>
  <si>
    <t>I can't stand him</t>
  </si>
  <si>
    <t>makan7emlouch</t>
  </si>
  <si>
    <t>ماكانحملوش</t>
  </si>
  <si>
    <t>I hate going to the dentist</t>
  </si>
  <si>
    <t>kankre8 nmchi 3end TTbib dyal ssnan</t>
  </si>
  <si>
    <t>كانكره نمشي عند الطبيب ديال السنان</t>
  </si>
  <si>
    <t>I don't like washing dishes</t>
  </si>
  <si>
    <t>makay3jebnich nghsel lmma3en</t>
  </si>
  <si>
    <t>ماكايعجبنيش نغسل لمّاعن</t>
  </si>
  <si>
    <t>I can't stand this smell</t>
  </si>
  <si>
    <t>makanste7melch 8ad rri7a</t>
  </si>
  <si>
    <t>ماكانستحملش هاد الريحا</t>
  </si>
  <si>
    <t>Can we meet next Friday?</t>
  </si>
  <si>
    <t>wach n9edrou ntla9aw jjm3a jjayya?</t>
  </si>
  <si>
    <t>واش نقدرو نتلاقاو الجمعا الجايّا?</t>
  </si>
  <si>
    <t>Let's meet this evening</t>
  </si>
  <si>
    <t>yalla8 ntla9aw 8ad l3chiyya</t>
  </si>
  <si>
    <t>يالّاه نتلاقاو هاد لعشييّا</t>
  </si>
  <si>
    <t>When can I talk to you?</t>
  </si>
  <si>
    <t>fo9ach n9der n8Der m3ak?</t>
  </si>
  <si>
    <t>فوقاش نقدر نهضر معاك?</t>
  </si>
  <si>
    <t>Sure I'll come</t>
  </si>
  <si>
    <t>akid ghadi nji</t>
  </si>
  <si>
    <t>أكيد غادي نجي</t>
  </si>
  <si>
    <t>Saturday is fine</t>
  </si>
  <si>
    <t>ssebt mzyan</t>
  </si>
  <si>
    <t>السبت مزيان</t>
  </si>
  <si>
    <t>I'll be there at that time</t>
  </si>
  <si>
    <t>ghadi nkoun tmmak fdak lwe9t</t>
  </si>
  <si>
    <t>غادي نكون تمّاك فداك لوقت</t>
  </si>
  <si>
    <t>I have another appointment</t>
  </si>
  <si>
    <t>3ndi ltizam 2akhor</t>
  </si>
  <si>
    <t>عندي لتيزام أخور</t>
  </si>
  <si>
    <t>I can't come</t>
  </si>
  <si>
    <t>man9derch nji</t>
  </si>
  <si>
    <t>مانقدرش نجي</t>
  </si>
  <si>
    <t>Excuse me for interrupting you</t>
  </si>
  <si>
    <t>sme7li 9aTe3tek</t>
  </si>
  <si>
    <t>سمحلي قاطعتك</t>
  </si>
  <si>
    <t>May I say something?</t>
  </si>
  <si>
    <t>n9der ngolchi 7aja?</t>
  </si>
  <si>
    <t>نقدر نڭولشي حاجا?</t>
  </si>
  <si>
    <t>Do you mind if I interrupt you?</t>
  </si>
  <si>
    <t>wach machi mouchkil n9aT3ek?</t>
  </si>
  <si>
    <t>واش ماشي موشكيل نقاطعك?</t>
  </si>
  <si>
    <t>Is it possible to repeat?</t>
  </si>
  <si>
    <t>wach moumkin t3awed?</t>
  </si>
  <si>
    <t>واش مومكين تعاود?</t>
  </si>
  <si>
    <t>Before you move on</t>
  </si>
  <si>
    <t>9bel matkemmel</t>
  </si>
  <si>
    <t>قبل ماتكمّل</t>
  </si>
  <si>
    <t>Can I just add something?</t>
  </si>
  <si>
    <t>wach n9der ghir nzid chi 7aja?</t>
  </si>
  <si>
    <t>واش نقدر غير نزيد شي حاجا?</t>
  </si>
  <si>
    <t>I was shocked</t>
  </si>
  <si>
    <t>kent meSdoum</t>
  </si>
  <si>
    <t>كنت مصدوم</t>
  </si>
  <si>
    <t>We're all in a complete shock</t>
  </si>
  <si>
    <t>koulna f Sedma kbira</t>
  </si>
  <si>
    <t>كولنا ف صدما كبيرا</t>
  </si>
  <si>
    <t>The news come as a complete shock</t>
  </si>
  <si>
    <t>lkhbar jat b7al SSa3i9a</t>
  </si>
  <si>
    <t>لخبار جات بحال الصاعيقا</t>
  </si>
  <si>
    <t>I've never guessed</t>
  </si>
  <si>
    <t>ma3mmerni twe99e3t8a</t>
  </si>
  <si>
    <t>ماعمّرني توقّعتها</t>
  </si>
  <si>
    <t>My God! really?</t>
  </si>
  <si>
    <t>ya rebbi! wach bSSe7?</t>
  </si>
  <si>
    <t>يا ربّي! واش بصّح?</t>
  </si>
  <si>
    <t>Are you afraid of cats?</t>
  </si>
  <si>
    <t>wach katkhaf mn l9TouT?</t>
  </si>
  <si>
    <t>واش كاتخاف من لقطوط?</t>
  </si>
  <si>
    <t>I'm afraid of being alone</t>
  </si>
  <si>
    <t>kankhaf nb9a bbou7di</t>
  </si>
  <si>
    <t>كانخاف نبقا البوحدي</t>
  </si>
  <si>
    <t>I'm scared of snakes</t>
  </si>
  <si>
    <t>kankhaf mn l7nach</t>
  </si>
  <si>
    <t>كانخاف من لحناش</t>
  </si>
  <si>
    <t>I'm scared of spiders</t>
  </si>
  <si>
    <t>kankhaf mn l3ankabout</t>
  </si>
  <si>
    <t>كانخاف من لعانكابوت</t>
  </si>
  <si>
    <t>kankhaf mn rrtila</t>
  </si>
  <si>
    <t>كانخاف من الرتيلا</t>
  </si>
  <si>
    <t>I get scared very easily</t>
  </si>
  <si>
    <t>kantkhle3 dghya</t>
  </si>
  <si>
    <t>كانتخلع دغيا</t>
  </si>
  <si>
    <t>I'm worried about her health</t>
  </si>
  <si>
    <t>ana khayfa 3la Se77et8a</t>
  </si>
  <si>
    <t>أنا خايفا علا صحّتها</t>
  </si>
  <si>
    <t>There is nothing to be afraid of</t>
  </si>
  <si>
    <t>makaynch mnnach tkhaf</t>
  </si>
  <si>
    <t>ماكاينش منّاش تخاف</t>
  </si>
  <si>
    <t>Are you out of your mind?</t>
  </si>
  <si>
    <t>wach khrej lik l39el?</t>
  </si>
  <si>
    <t>واش خرج ليك لعقل?</t>
  </si>
  <si>
    <t>Before you begin</t>
  </si>
  <si>
    <t>I bought sunglasses</t>
  </si>
  <si>
    <t>chrit nDaDer dchchems</t>
  </si>
  <si>
    <t>شريت نضاضر دشّمس</t>
  </si>
  <si>
    <t>brush your teeth</t>
  </si>
  <si>
    <t>ghsel snank</t>
  </si>
  <si>
    <t>غسل سنانك</t>
  </si>
  <si>
    <t>Take a shower</t>
  </si>
  <si>
    <t>khoud lik douch</t>
  </si>
  <si>
    <t>خود ليك دوش</t>
  </si>
  <si>
    <t>Go take a shower</t>
  </si>
  <si>
    <t>sir dewwech</t>
  </si>
  <si>
    <t>سير دوّش</t>
  </si>
  <si>
    <t>The best place to begin</t>
  </si>
  <si>
    <t>2a7sen blaSa tbda mn8a</t>
  </si>
  <si>
    <t>أحسن بلاصا تبدا منها</t>
  </si>
  <si>
    <t>I would start by doing my make up</t>
  </si>
  <si>
    <t>ghadi nbda b lmakiyyaj</t>
  </si>
  <si>
    <t>غادي نبدا ب لماكييّاج</t>
  </si>
  <si>
    <t>After that</t>
  </si>
  <si>
    <t>men be3d 8adchi</t>
  </si>
  <si>
    <t>من بعد هادشي</t>
  </si>
  <si>
    <t>The next step is..</t>
  </si>
  <si>
    <t>lkhoTwa jjayya 8iyya..</t>
  </si>
  <si>
    <t>لخوطوا الجايّا هييّا..</t>
  </si>
  <si>
    <t>When you finish that..</t>
  </si>
  <si>
    <t>mnin tkemmel 8adchi..</t>
  </si>
  <si>
    <t>منين تكمّل هادشي..</t>
  </si>
  <si>
    <t>The last step is..</t>
  </si>
  <si>
    <t>2akhir khouTwa 8iyya..</t>
  </si>
  <si>
    <t>أخير خوطوا هييّا..</t>
  </si>
  <si>
    <t>In the end</t>
  </si>
  <si>
    <t>f nni8aya</t>
  </si>
  <si>
    <t>ف النيهايا</t>
  </si>
  <si>
    <t>When you've completed all the steps...</t>
  </si>
  <si>
    <t>mnin tkemmel ga3 lmara7il</t>
  </si>
  <si>
    <t>منين تكمّل ڭاع لماراحيل</t>
  </si>
  <si>
    <t>mnin tkemmel ga3 lkhoTowat</t>
  </si>
  <si>
    <t>منين تكمّل ڭاع لخوطووات</t>
  </si>
  <si>
    <t>Anytime you need to talk just call me</t>
  </si>
  <si>
    <t>we9tmma bghiti t8Der 3eyyeT liyya</t>
  </si>
  <si>
    <t>وقتمّا بغيتي تهضر عيّط لييّا</t>
  </si>
  <si>
    <t>we9tmma 7tajiti t8Der ttaSel biyya</t>
  </si>
  <si>
    <t>وقتمّا حتاجيتي تهضر التاصل بييّا</t>
  </si>
  <si>
    <t>Just let me know</t>
  </si>
  <si>
    <t>ghir 3lemni</t>
  </si>
  <si>
    <t>غير علمني</t>
  </si>
  <si>
    <t>Teach me</t>
  </si>
  <si>
    <t>3ellemni</t>
  </si>
  <si>
    <t>علّمني</t>
  </si>
  <si>
    <t>9errini</t>
  </si>
  <si>
    <t>قرّيني</t>
  </si>
  <si>
    <t>be patient with me</t>
  </si>
  <si>
    <t>sber m3aya</t>
  </si>
  <si>
    <t>سبر معايا</t>
  </si>
  <si>
    <t>I'm really happy to inform you that you succeeded</t>
  </si>
  <si>
    <t>ana fer7an bzzaf ngollik bli nje7ti</t>
  </si>
  <si>
    <t>أنا فرحان بزّاف نڭولّيك بلي نجحتي</t>
  </si>
  <si>
    <t>Are you ready for this?</t>
  </si>
  <si>
    <t>wach msta3edd l8adchchi?</t>
  </si>
  <si>
    <t>واش مستاعدّ لهادشّي?</t>
  </si>
  <si>
    <t>You're not allowed to sit here</t>
  </si>
  <si>
    <t>ma3ndekch l7e99 tgles 8na</t>
  </si>
  <si>
    <t>ماعندكش لحقّ تڭلس هنا</t>
  </si>
  <si>
    <t>It's forbidden to smoke</t>
  </si>
  <si>
    <t>mamnou3 tekmi</t>
  </si>
  <si>
    <t>مامنوع تكمي</t>
  </si>
  <si>
    <t>You must not say that</t>
  </si>
  <si>
    <t>makheSSekch tgoul 8adchi</t>
  </si>
  <si>
    <t>ماخصّكش تڭول هادشي</t>
  </si>
  <si>
    <t>Leave the window open</t>
  </si>
  <si>
    <t>khelli chcherjem meftou7</t>
  </si>
  <si>
    <t>خلّي الشرجم مفتوح</t>
  </si>
  <si>
    <t>Feed the animals</t>
  </si>
  <si>
    <t>wekkel l7ayawanat</t>
  </si>
  <si>
    <t>وكّل لحاياوانات</t>
  </si>
  <si>
    <t>Don't swim here</t>
  </si>
  <si>
    <t>mat3oumch 8na</t>
  </si>
  <si>
    <t>ماتعومش هنا</t>
  </si>
  <si>
    <t>I bought a ring</t>
  </si>
  <si>
    <t>chrit khatem</t>
  </si>
  <si>
    <t>شريت خاتم</t>
  </si>
  <si>
    <t>Do you know where is his shop?</t>
  </si>
  <si>
    <t>wach 3refti fin ja lma7all dyalo?</t>
  </si>
  <si>
    <t>واش عرفتي فين جا لماحالّ ديالو?</t>
  </si>
  <si>
    <t>How can I get to the train station?</t>
  </si>
  <si>
    <t>mnin n9der nmchi lelma7eTTa dyal ttran?</t>
  </si>
  <si>
    <t>منين نقدر نمشي للماحطّا ديال التران?</t>
  </si>
  <si>
    <t>Can you show me the way?</t>
  </si>
  <si>
    <t>wach t9der twerrini TTri9?</t>
  </si>
  <si>
    <t>واش تقدر تورّيني الطريق?</t>
  </si>
  <si>
    <t>Where is the post office?</t>
  </si>
  <si>
    <t>fin jat lboSTa?</t>
  </si>
  <si>
    <t>فين جات لبوصطا?</t>
  </si>
  <si>
    <t>Can you show me on the map?</t>
  </si>
  <si>
    <t>wakhkha twerrini f lkhariTa?</t>
  </si>
  <si>
    <t>واخّا تورّيني ف لخاريطا?</t>
  </si>
  <si>
    <t>What's the best way?</t>
  </si>
  <si>
    <t>chnou 8iyya 2a7sen Tri9?</t>
  </si>
  <si>
    <t>شنو هييّا أحسن طريق?</t>
  </si>
  <si>
    <t>Where is the airport?</t>
  </si>
  <si>
    <t>fin kayn lmaTar?</t>
  </si>
  <si>
    <t>فين كاين لماطار?</t>
  </si>
  <si>
    <t>How far is it from here?</t>
  </si>
  <si>
    <t>bch7al b3id 3la 8na?</t>
  </si>
  <si>
    <t>بشحال بعيد علا هنا?</t>
  </si>
  <si>
    <t>What street is this?</t>
  </si>
  <si>
    <t>2achmen chari3 8ada?</t>
  </si>
  <si>
    <t>أشمن شاريع هادا?</t>
  </si>
  <si>
    <t>Is this the way to the police station?</t>
  </si>
  <si>
    <t>wach 8adi 8iyya Tri9 dyal lkoumisariyya?</t>
  </si>
  <si>
    <t>واش هادي هييّا طريق ديال لكوميسارييّا?</t>
  </si>
  <si>
    <t>Is there a supermarket near here?</t>
  </si>
  <si>
    <t>wach kayn chi souppirmarchi 9rib?</t>
  </si>
  <si>
    <t>واش كاين شي سوپّيرمارشي قريب?</t>
  </si>
  <si>
    <t>What do you mean?</t>
  </si>
  <si>
    <t>chnou kat9SeD?</t>
  </si>
  <si>
    <t>شنو كاتقصض?</t>
  </si>
  <si>
    <t>Are you following me?</t>
  </si>
  <si>
    <t>wach mtebbe3 m3aya?</t>
  </si>
  <si>
    <t>واش متبّع معايا?</t>
  </si>
  <si>
    <t>Do you understand what I mean?</t>
  </si>
  <si>
    <t>wach f8emti chnou kan9Sed?</t>
  </si>
  <si>
    <t>واش فهمتي شنو كانقصد?</t>
  </si>
  <si>
    <t>Do you understand what I'm saying?</t>
  </si>
  <si>
    <t>wach katf8em 2ach kangoul?</t>
  </si>
  <si>
    <t>واش كاتفهم أش كانڭول?</t>
  </si>
  <si>
    <t>Any question?</t>
  </si>
  <si>
    <t>wach kayen chi sou2al?</t>
  </si>
  <si>
    <t>واش كاين شي سوأل?</t>
  </si>
  <si>
    <t>Got it?</t>
  </si>
  <si>
    <t>I don't follow you</t>
  </si>
  <si>
    <t>mamtebbe3ch m3ak</t>
  </si>
  <si>
    <t>مامتبّعش معاك</t>
  </si>
  <si>
    <t>the cars are many</t>
  </si>
  <si>
    <t>tTomobilat ktar</t>
  </si>
  <si>
    <t>تطوموبيلات كتار</t>
  </si>
  <si>
    <t>Could you clarify that?</t>
  </si>
  <si>
    <t>wach t9der tweDDe7 8adchchi?</t>
  </si>
  <si>
    <t>واش تقدر توضّح هادشّي?</t>
  </si>
  <si>
    <t>Could you explain that?</t>
  </si>
  <si>
    <t>wach t9der tchre7 8adchchi?</t>
  </si>
  <si>
    <t>واش تقدر تشرح هادشّي?</t>
  </si>
  <si>
    <t>Could you say that again?</t>
  </si>
  <si>
    <t>wach t9der t3awed?</t>
  </si>
  <si>
    <t>واش تقدر تعاود?</t>
  </si>
  <si>
    <t>Could you put it differently?</t>
  </si>
  <si>
    <t>wach t9der t3awed bTari9a khra?</t>
  </si>
  <si>
    <t>واش تقدر تعاود بطاريقا خرا?</t>
  </si>
  <si>
    <t>Let me explain</t>
  </si>
  <si>
    <t>khellini nchre7</t>
  </si>
  <si>
    <t>خلّيني نشرح</t>
  </si>
  <si>
    <t>Let me clarify for you</t>
  </si>
  <si>
    <t>khellini nweDDe7 lik</t>
  </si>
  <si>
    <t>خلّيني نوضّح ليك</t>
  </si>
  <si>
    <t>I hope to see you</t>
  </si>
  <si>
    <t>kantmnna nchoufk</t>
  </si>
  <si>
    <t>كانتمنّا نشوفك</t>
  </si>
  <si>
    <t>He will win the show</t>
  </si>
  <si>
    <t>ghadi yrbe7 f lbernamaj</t>
  </si>
  <si>
    <t>غادي يربح ف لبرناماج</t>
  </si>
  <si>
    <t>I will buy a new car</t>
  </si>
  <si>
    <t>ghadi nchri tmobil jdida</t>
  </si>
  <si>
    <t>غادي نشري تموبيل جديدا</t>
  </si>
  <si>
    <t>I'd like to hear your view</t>
  </si>
  <si>
    <t>makre8tch nsme3 rra2y dyalk</t>
  </si>
  <si>
    <t>ماكرهتش نسمع الراإي ديالك</t>
  </si>
  <si>
    <t>What are your symptoms?</t>
  </si>
  <si>
    <t>chnou l2a3rad lli fik?</t>
  </si>
  <si>
    <t>شنو لأعراد اللي فيك?</t>
  </si>
  <si>
    <t>How are you feeling today?</t>
  </si>
  <si>
    <t>kikat7ess lyoum?</t>
  </si>
  <si>
    <t>كيكاتحسّ ليوم?</t>
  </si>
  <si>
    <t>Are you feeling any better?</t>
  </si>
  <si>
    <t>wach kat7ess brasek chwiyya?</t>
  </si>
  <si>
    <t>واش كاتحسّ براسك شوييّا?</t>
  </si>
  <si>
    <t>Do you have any allergies?</t>
  </si>
  <si>
    <t>wach 3ndek chi 7asasiyya?</t>
  </si>
  <si>
    <t>واش عندك شي حاساسييّا?</t>
  </si>
  <si>
    <t>How long have you been feeling like this?</t>
  </si>
  <si>
    <t>ch7al dyal lwe9t wnta kat7es 8akka?</t>
  </si>
  <si>
    <t>شحال ديال لوقت ونتا كاتحس هاكّا?</t>
  </si>
  <si>
    <t>Do you have any medicine?</t>
  </si>
  <si>
    <t>wach 3ndek chi dwa?</t>
  </si>
  <si>
    <t>واش عندك شي دوا?</t>
  </si>
  <si>
    <t>I have a sore throat</t>
  </si>
  <si>
    <t>3endi 2ilti8ab f l7el9</t>
  </si>
  <si>
    <t>عندي إلتيهاب ف لحلق</t>
  </si>
  <si>
    <t>I have high blood pressure</t>
  </si>
  <si>
    <t>3endi rtifa3 f DDaghT ddamawi</t>
  </si>
  <si>
    <t>عندي رتيفاع ف الضاغط الداماوي</t>
  </si>
  <si>
    <t>I have pain in my back</t>
  </si>
  <si>
    <t>fiyya l7ri9 f De8ri</t>
  </si>
  <si>
    <t>فييّا لحريق ف ضهري</t>
  </si>
  <si>
    <t>I'm in a lot of pain</t>
  </si>
  <si>
    <t>ana kantwejje3 bzzaf</t>
  </si>
  <si>
    <t>أنا كانتوجّع بزّاف</t>
  </si>
  <si>
    <t>I have a stomach ache</t>
  </si>
  <si>
    <t>kaDDerni lme3da</t>
  </si>
  <si>
    <t>كاضّرني لمعدا</t>
  </si>
  <si>
    <t>My head is spinning</t>
  </si>
  <si>
    <t>rasi kayDor</t>
  </si>
  <si>
    <t>راسي كايضور</t>
  </si>
  <si>
    <t>I'm dizzy</t>
  </si>
  <si>
    <t>fiyya ddoukha</t>
  </si>
  <si>
    <t>فييّا الدوخا</t>
  </si>
  <si>
    <t>I have difficulty breathing</t>
  </si>
  <si>
    <t>ma9aderch ntneffes</t>
  </si>
  <si>
    <t>ماقادرش نتنفّس</t>
  </si>
  <si>
    <t>I am not sleeping very well</t>
  </si>
  <si>
    <t>makan3esch mzyan</t>
  </si>
  <si>
    <t>ماكانعسش مزيان</t>
  </si>
  <si>
    <t>Congratulations on your promotion</t>
  </si>
  <si>
    <t>mbrouk 3lik tter9iyya</t>
  </si>
  <si>
    <t>مبروك عليك الترقييّا</t>
  </si>
  <si>
    <t>Congratulations on your graduation</t>
  </si>
  <si>
    <t>mbrouk 3lik ttakharrouj</t>
  </si>
  <si>
    <t>مبروك عليك التاخارّوج</t>
  </si>
  <si>
    <t>You deserve it!</t>
  </si>
  <si>
    <t>katsta8el</t>
  </si>
  <si>
    <t>كاتستاهل</t>
  </si>
  <si>
    <t>Wish a happy married life</t>
  </si>
  <si>
    <t>kantmnna lik 7ayat zawjiyya sa3ida</t>
  </si>
  <si>
    <t>كانتمنّا ليك حايات زاوجييّا ساعيدا</t>
  </si>
  <si>
    <t>I help you because I like you</t>
  </si>
  <si>
    <t>kan3awnek 7it kat3jebni</t>
  </si>
  <si>
    <t>كانعاونك حيت كاتعجبني</t>
  </si>
  <si>
    <t>I want to pass the exam</t>
  </si>
  <si>
    <t>bghit nnje7 f l2imti7an</t>
  </si>
  <si>
    <t>بغيت النجح ف لإمتيحان</t>
  </si>
  <si>
    <t>I'm too fat</t>
  </si>
  <si>
    <t>ana ghliD bzzaf</t>
  </si>
  <si>
    <t>أنا غليض بزّاف</t>
  </si>
  <si>
    <t>I'm too skinny</t>
  </si>
  <si>
    <t>ana r9i9 bzzaf</t>
  </si>
  <si>
    <t>أنا رقيق بزّاف</t>
  </si>
  <si>
    <t>I can't run fast</t>
  </si>
  <si>
    <t>man9derch njri bSor3a</t>
  </si>
  <si>
    <t>مانقدرش نجري بصورعا</t>
  </si>
  <si>
    <t>I will do anything to make you happy</t>
  </si>
  <si>
    <t>ghadi ndir 2ay 7aja bach nkhellik fer7an</t>
  </si>
  <si>
    <t>غادي ندير أي حاجا باش نخلّيك فرحان</t>
  </si>
  <si>
    <t>I didn't eat anything</t>
  </si>
  <si>
    <t>maklit walo</t>
  </si>
  <si>
    <t>ماكليت والو</t>
  </si>
  <si>
    <t>I did it because of you</t>
  </si>
  <si>
    <t>dert8a 3la 9blek</t>
  </si>
  <si>
    <t>درتها علا قبلك</t>
  </si>
  <si>
    <t>dert8a 3la weddek</t>
  </si>
  <si>
    <t>درتها علا ودّك</t>
  </si>
  <si>
    <t>The flight was canceled</t>
  </si>
  <si>
    <t>rri7la tlghat</t>
  </si>
  <si>
    <t>الريحلا تلغات</t>
  </si>
  <si>
    <t>He was fired</t>
  </si>
  <si>
    <t>kherjou8 men lkhedma</t>
  </si>
  <si>
    <t>خرجوه من لخدما</t>
  </si>
  <si>
    <t>jraw 3li8</t>
  </si>
  <si>
    <t>جراو عليه</t>
  </si>
  <si>
    <t>I couldn't come to your party</t>
  </si>
  <si>
    <t>ma9dertch nji l l7efla dyalk</t>
  </si>
  <si>
    <t>ماقدرتش نجي ل لحفلا ديالك</t>
  </si>
  <si>
    <t>May I introduce myself?</t>
  </si>
  <si>
    <t>wach n9der n3erref braSi?</t>
  </si>
  <si>
    <t>واش نقدر نعرّف براصي?</t>
  </si>
  <si>
    <t>I would like to introduce myself</t>
  </si>
  <si>
    <t>bghit n3erref b raSI</t>
  </si>
  <si>
    <t>بغيت نعرّف ب راصي</t>
  </si>
  <si>
    <t>bghit n9eddem raSI</t>
  </si>
  <si>
    <t>بغيت نقدّم راصي</t>
  </si>
  <si>
    <t>ch7al f ssa3a?</t>
  </si>
  <si>
    <t>شحال ف الساعا?</t>
  </si>
  <si>
    <t>How long have you been waiting?</t>
  </si>
  <si>
    <t>ch7al dyal lwe9t wnta katsenna?</t>
  </si>
  <si>
    <t>شحال ديال لوقت ونتا كاتسنّا?</t>
  </si>
  <si>
    <t>What time can we meet?</t>
  </si>
  <si>
    <t>achmn sa3a ntla9aw</t>
  </si>
  <si>
    <t>أشمن ساعا نتلاقاو</t>
  </si>
  <si>
    <t>It's ten O'clock</t>
  </si>
  <si>
    <t>8adi l 3chra ppil</t>
  </si>
  <si>
    <t>هادي ل عشرا الپيل</t>
  </si>
  <si>
    <t>It's midnight</t>
  </si>
  <si>
    <t>8adi Tnachch dllil</t>
  </si>
  <si>
    <t>هادي طناشّ دلّيل</t>
  </si>
  <si>
    <t>It's 6 AM</t>
  </si>
  <si>
    <t>8adi sstta d SSba7</t>
  </si>
  <si>
    <t>هادي الستّا د الصباح</t>
  </si>
  <si>
    <t>See you at 8 PM</t>
  </si>
  <si>
    <t>nchoufek m3a ttmnya dllil</t>
  </si>
  <si>
    <t>نشوفك معا التمنيا دلّيل</t>
  </si>
  <si>
    <t>My watch is stopped</t>
  </si>
  <si>
    <t>lmagana dyali 7bsat</t>
  </si>
  <si>
    <t>لماڭانا ديالي حبسات</t>
  </si>
  <si>
    <t>Don't waste your time</t>
  </si>
  <si>
    <t>maDDeyye3ch we9tek</t>
  </si>
  <si>
    <t>ماضّيّعش وقتك</t>
  </si>
  <si>
    <t>We have plenty of time</t>
  </si>
  <si>
    <t>3endna bzzaf dyal lwe9t</t>
  </si>
  <si>
    <t>عندنا بزّاف ديال لوقت</t>
  </si>
  <si>
    <t>Give me a little more time</t>
  </si>
  <si>
    <t>3Tini mazal chwiya dyal lwe9t</t>
  </si>
  <si>
    <t>عطيني مازال شوييا ديال لوقت</t>
  </si>
  <si>
    <t>Time goes by so fast</t>
  </si>
  <si>
    <t>lwe9t kaydouz deghya</t>
  </si>
  <si>
    <t>لوقت كايدوز دغيا</t>
  </si>
  <si>
    <t>I can read</t>
  </si>
  <si>
    <t>kan9der n9ra</t>
  </si>
  <si>
    <t>كانقدر نقرا</t>
  </si>
  <si>
    <t>I can write</t>
  </si>
  <si>
    <t>kan9der nkteb</t>
  </si>
  <si>
    <t>كانقدر نكتب</t>
  </si>
  <si>
    <t>i can speak</t>
  </si>
  <si>
    <t>kan9der n8Der</t>
  </si>
  <si>
    <t>كانقدر نهضر</t>
  </si>
  <si>
    <t>You have a good pronunciation</t>
  </si>
  <si>
    <t>3ndek noT9 zwin</t>
  </si>
  <si>
    <t>عندك نوطق زوين</t>
  </si>
  <si>
    <t>I would like to improve myself</t>
  </si>
  <si>
    <t>bghit nTewwer raSI</t>
  </si>
  <si>
    <t>بغيت نطوّر راصي</t>
  </si>
  <si>
    <t>My English is not good</t>
  </si>
  <si>
    <t>longli dyali 3iyyana</t>
  </si>
  <si>
    <t>لونڭلي ديالي عييّانا</t>
  </si>
  <si>
    <t>Please speak slowly</t>
  </si>
  <si>
    <t>3afak 8Der bchwiyya</t>
  </si>
  <si>
    <t>عافاك هضر بشوييّا</t>
  </si>
  <si>
    <t>I saw a lion</t>
  </si>
  <si>
    <t>cheft sbe3</t>
  </si>
  <si>
    <t>شفت سبع</t>
  </si>
  <si>
    <t>Answer the phone</t>
  </si>
  <si>
    <t>jaweb f ttilifoun</t>
  </si>
  <si>
    <t>جاوب ف التيليفون</t>
  </si>
  <si>
    <t>Turn off the TV</t>
  </si>
  <si>
    <t>tfi ttelfaza</t>
  </si>
  <si>
    <t>تفي التلفازا</t>
  </si>
  <si>
    <t>I have no doubt</t>
  </si>
  <si>
    <t>ma3ndich chek</t>
  </si>
  <si>
    <t>ماعنديش شك</t>
  </si>
  <si>
    <t>I don't know yet</t>
  </si>
  <si>
    <t>mazal ma3reftch</t>
  </si>
  <si>
    <t>مازال ماعرفتش</t>
  </si>
  <si>
    <t>I saw you this morning</t>
  </si>
  <si>
    <t>cheftek 8ad SSba7</t>
  </si>
  <si>
    <t>شفتك هاد الصباح</t>
  </si>
  <si>
    <t>Let's play cards</t>
  </si>
  <si>
    <t>yalla8 nle3bo lkarTa</t>
  </si>
  <si>
    <t>يالّاه نلعبو لكارطا</t>
  </si>
  <si>
    <t>Thank you for your invitation</t>
  </si>
  <si>
    <t>chokran 3la l3rada</t>
  </si>
  <si>
    <t>شوكران علا لعرادا</t>
  </si>
  <si>
    <t>It's very nice of you</t>
  </si>
  <si>
    <t>8ada loTf mnnek</t>
  </si>
  <si>
    <t>هادا لوطف منّك</t>
  </si>
  <si>
    <t>I don't like myself</t>
  </si>
  <si>
    <t>makay3jebnich rasi</t>
  </si>
  <si>
    <t>ماكايعجبنيش راسي</t>
  </si>
  <si>
    <t>Give me the book</t>
  </si>
  <si>
    <t>3Tini lktab</t>
  </si>
  <si>
    <t>عطيني لكتاب</t>
  </si>
  <si>
    <t>Take me home</t>
  </si>
  <si>
    <t>ddini lddar</t>
  </si>
  <si>
    <t>الديني لدّار</t>
  </si>
  <si>
    <t>Tell me what happened</t>
  </si>
  <si>
    <t>golli chno w9e3</t>
  </si>
  <si>
    <t>ڭولّي شنو وقع</t>
  </si>
  <si>
    <t>What have you been up to lately?</t>
  </si>
  <si>
    <t>chnou kenti kaddir mo2akhkharan?</t>
  </si>
  <si>
    <t>شنو كنتي كادّير موأخّاران?</t>
  </si>
  <si>
    <t>I'm afraid of you</t>
  </si>
  <si>
    <t>kankhaf mnnek</t>
  </si>
  <si>
    <t>كانخاف منّك</t>
  </si>
  <si>
    <t>I love my parents</t>
  </si>
  <si>
    <t>kanbghi walidiyya</t>
  </si>
  <si>
    <t>كانبغي واليدييّا</t>
  </si>
  <si>
    <t>I want to travel the world</t>
  </si>
  <si>
    <t>bghit nSafer l3alam</t>
  </si>
  <si>
    <t>بغيت نصافر لعالام</t>
  </si>
  <si>
    <t>New cultures</t>
  </si>
  <si>
    <t>ta9afat jdida</t>
  </si>
  <si>
    <t>تاقافات جديدا</t>
  </si>
  <si>
    <t>I want to discover Indian culture</t>
  </si>
  <si>
    <t>bghit nktachef tta9afa l8indiyya</t>
  </si>
  <si>
    <t>بغيت نكتاشف التاقافا لهيندييّا</t>
  </si>
  <si>
    <t>I don't fear anyone</t>
  </si>
  <si>
    <t>makankhaf mn 7tta wa7ed</t>
  </si>
  <si>
    <t>ماكانخاف من حتّا واحد</t>
  </si>
  <si>
    <t>I fear only God</t>
  </si>
  <si>
    <t>kankhaf mn lla8 bbo7do</t>
  </si>
  <si>
    <t>كانخاف من اللاه البوحدو</t>
  </si>
  <si>
    <t>God is close to us</t>
  </si>
  <si>
    <t>lla8 9rib lina</t>
  </si>
  <si>
    <t>اللاه قريب لينا</t>
  </si>
  <si>
    <t>Can you translate it for me?</t>
  </si>
  <si>
    <t>wakhkha tterjem liyya?</t>
  </si>
  <si>
    <t>واخّا الترجم لييّا?</t>
  </si>
  <si>
    <t>Everyone knows</t>
  </si>
  <si>
    <t>koulchi 3aref</t>
  </si>
  <si>
    <t>كولشي عارف</t>
  </si>
  <si>
    <t>koulchi frasou</t>
  </si>
  <si>
    <t>كولشي فراسو</t>
  </si>
  <si>
    <t>save me</t>
  </si>
  <si>
    <t>3te9ni</t>
  </si>
  <si>
    <t>عتقني</t>
  </si>
  <si>
    <t>I don't know how to use it</t>
  </si>
  <si>
    <t>ma3reftch kifach nste3mlou</t>
  </si>
  <si>
    <t>ماعرفتش كيفاش نستعملو</t>
  </si>
  <si>
    <t>mabghitch nSedd3k</t>
  </si>
  <si>
    <t>مابغيتش نصدّعك</t>
  </si>
  <si>
    <t>I don't want it</t>
  </si>
  <si>
    <t>mabghitouch</t>
  </si>
  <si>
    <t>مابغيتوش</t>
  </si>
  <si>
    <t>I'm coming to pick you up</t>
  </si>
  <si>
    <t>ana jay n8ezzek</t>
  </si>
  <si>
    <t>أنا جاي نهزّك</t>
  </si>
  <si>
    <t>I need to change my clothes</t>
  </si>
  <si>
    <t>kheSSni nbeddel 7wayji</t>
  </si>
  <si>
    <t>خصّني نبدّل حوايجي</t>
  </si>
  <si>
    <t>I've been here for two days</t>
  </si>
  <si>
    <t>ana 8na youmayn 8adi</t>
  </si>
  <si>
    <t>أنا هنا يوماين هادي</t>
  </si>
  <si>
    <t>Just a little</t>
  </si>
  <si>
    <t>bllati nt2ekked</t>
  </si>
  <si>
    <t>بلّاتي نتءكّد</t>
  </si>
  <si>
    <t>Right here</t>
  </si>
  <si>
    <t>ghir 8na</t>
  </si>
  <si>
    <t>غير هنا</t>
  </si>
  <si>
    <t>it smells bad</t>
  </si>
  <si>
    <t>ri7tou khanza</t>
  </si>
  <si>
    <t>ريحتو خانزا</t>
  </si>
  <si>
    <t>your things are all here</t>
  </si>
  <si>
    <t>lmasa2il dyalk koull8a 8na</t>
  </si>
  <si>
    <t>لماساإل ديالك كولّها هنا</t>
  </si>
  <si>
    <t>I want to leave</t>
  </si>
  <si>
    <t>bghit nmchi f7alli</t>
  </si>
  <si>
    <t>بغيت نمشي فحالّي</t>
  </si>
  <si>
    <t>Drop out from school</t>
  </si>
  <si>
    <t>khrej mn lmDraSa</t>
  </si>
  <si>
    <t>خرج من لمضراصا</t>
  </si>
  <si>
    <t>Can I get to the toilet?</t>
  </si>
  <si>
    <t>wakhkha nmchi l7emmam?</t>
  </si>
  <si>
    <t>واخّا نمشي لحمّام?</t>
  </si>
  <si>
    <t>Switch off the lights</t>
  </si>
  <si>
    <t>tfi DDwaw</t>
  </si>
  <si>
    <t>تفي الضواو</t>
  </si>
  <si>
    <t>can I start ?</t>
  </si>
  <si>
    <t>wach n9der nbda?</t>
  </si>
  <si>
    <t>واش نقدر نبدا?</t>
  </si>
  <si>
    <t>can I stop?</t>
  </si>
  <si>
    <t>wach n9der n7bes?</t>
  </si>
  <si>
    <t>واش نقدر نحبس?</t>
  </si>
  <si>
    <t>can I stand up?</t>
  </si>
  <si>
    <t>wach n9der nw9ef?</t>
  </si>
  <si>
    <t>واش نقدر نوقف?</t>
  </si>
  <si>
    <t>Can you speak louder?</t>
  </si>
  <si>
    <t>wach t9der t8Der bjje8d?</t>
  </si>
  <si>
    <t>واش تقدر تهضر بجّهد?</t>
  </si>
  <si>
    <t>Do we have to write this down?</t>
  </si>
  <si>
    <t>wach kheSna nktbou 8adchchi?</t>
  </si>
  <si>
    <t>واش خصنا نكتبو هادشّي?</t>
  </si>
  <si>
    <t>Clean the board</t>
  </si>
  <si>
    <t>mse7 SSebboura</t>
  </si>
  <si>
    <t>مسح الصبّورا</t>
  </si>
  <si>
    <t>Who is your teacher?</t>
  </si>
  <si>
    <t>chkoun lmou3llim dyalk?</t>
  </si>
  <si>
    <t>شكون لموعلّيم ديالك?</t>
  </si>
  <si>
    <t>Isn't your friend coming today?</t>
  </si>
  <si>
    <t>wach Sa7bek majaych lyoum?</t>
  </si>
  <si>
    <t>واش صاحبك ماجايش ليوم?</t>
  </si>
  <si>
    <t>What's for lunch today?</t>
  </si>
  <si>
    <t>chnou kayn flghda lyoum?</t>
  </si>
  <si>
    <t>شنو كاين فلغدا ليوم?</t>
  </si>
  <si>
    <t>Did you come on foot?</t>
  </si>
  <si>
    <t>wach jiti 3la rjlik?</t>
  </si>
  <si>
    <t>واش جيتي علا رجليك?</t>
  </si>
  <si>
    <t>What page?</t>
  </si>
  <si>
    <t>achmn Sef7a?</t>
  </si>
  <si>
    <t>أشمن صفحا?</t>
  </si>
  <si>
    <t>Pack your things</t>
  </si>
  <si>
    <t>jem3ou l2adawat dyalkoum</t>
  </si>
  <si>
    <t>جمعو لأداوات ديالكوم</t>
  </si>
  <si>
    <t>There is no homework today</t>
  </si>
  <si>
    <t>makaynch ttamarin lyoum</t>
  </si>
  <si>
    <t>ماكاينش التامارين ليوم</t>
  </si>
  <si>
    <t>Back to your place</t>
  </si>
  <si>
    <t>rje3 lblaStek</t>
  </si>
  <si>
    <t>رجع لبلاصتك</t>
  </si>
  <si>
    <t>Did you miss the bus?</t>
  </si>
  <si>
    <t>wach mcha 3lik TTobis?</t>
  </si>
  <si>
    <t>واش مشا عليك الطوبيس?</t>
  </si>
  <si>
    <t>Who is absent today?</t>
  </si>
  <si>
    <t>chkoun tgheyyeb lyoum?</t>
  </si>
  <si>
    <t>شكون تغيّب ليوم?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</si>
</sst>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theme="1"/>
      <name val="Arial"/>
    </font>
    <font>
      <sz val="12.0"/>
      <color theme="1"/>
      <name val="Cambria"/>
    </font>
    <font>
      <sz val="11.0"/>
      <color rgb="FF000000"/>
      <name val="Calibri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2" fontId="2" numFmtId="0" xfId="0" applyAlignment="1" applyBorder="1" applyFill="1" applyFont="1">
      <alignment horizontal="left" vertical="top"/>
    </xf>
    <xf borderId="1" fillId="2" fontId="3" numFmtId="0" xfId="0" applyAlignment="1" applyBorder="1" applyFont="1">
      <alignment horizontal="left"/>
    </xf>
    <xf borderId="1" fillId="2" fontId="3" numFmtId="0" xfId="0" applyAlignment="1" applyBorder="1" applyFont="1">
      <alignment horizontal="right" readingOrder="0"/>
    </xf>
    <xf borderId="1" fillId="0" fontId="3" numFmtId="0" xfId="0" applyAlignment="1" applyBorder="1" applyFont="1">
      <alignment horizontal="left"/>
    </xf>
    <xf borderId="1" fillId="0" fontId="3" numFmtId="0" xfId="0" applyAlignment="1" applyBorder="1" applyFont="1">
      <alignment horizontal="right" readingOrder="0"/>
    </xf>
    <xf borderId="1" fillId="0" fontId="3" numFmtId="0" xfId="0" applyAlignment="1" applyBorder="1" applyFont="1">
      <alignment horizontal="left" readingOrder="0"/>
    </xf>
    <xf borderId="1" fillId="0" fontId="3" numFmtId="0" xfId="0" applyBorder="1" applyFont="1"/>
    <xf borderId="1" fillId="0" fontId="4" numFmtId="0" xfId="0" applyAlignment="1" applyBorder="1" applyFont="1">
      <alignment horizontal="left"/>
    </xf>
    <xf quotePrefix="1" borderId="1" fillId="0" fontId="3" numFmtId="0" xfId="0" applyAlignment="1" applyBorder="1" applyFont="1">
      <alignment horizontal="left"/>
    </xf>
    <xf borderId="1" fillId="0" fontId="4" numFmtId="0" xfId="0" applyAlignment="1" applyBorder="1" applyFont="1">
      <alignment shrinkToFit="0" wrapText="1"/>
    </xf>
    <xf borderId="1" fillId="0" fontId="4" numFmtId="0" xfId="0" applyBorder="1" applyFont="1"/>
    <xf borderId="1" fillId="0" fontId="4" numFmtId="0" xfId="0" applyAlignment="1" applyBorder="1" applyFont="1">
      <alignment horizontal="righ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25"/>
    <col customWidth="1" min="2" max="2" width="46.25"/>
    <col customWidth="1" min="3" max="3" width="27.0"/>
    <col customWidth="1" min="4" max="4" width="15.88"/>
    <col customWidth="1" min="5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1" t="s">
        <v>4</v>
      </c>
      <c r="B2" s="1" t="s">
        <v>5</v>
      </c>
      <c r="C2" s="2" t="s">
        <v>6</v>
      </c>
      <c r="D2" s="1" t="str">
        <f>IFERROR(__xludf.DUMMYFUNCTION("GOOGLETRANSLATE(A2 , ""auto"", ""ar"")"),"كثيراً")</f>
        <v>كثيراً</v>
      </c>
    </row>
    <row r="3" ht="15.75" customHeight="1">
      <c r="A3" s="1" t="s">
        <v>4</v>
      </c>
      <c r="B3" s="1" t="s">
        <v>7</v>
      </c>
      <c r="C3" s="2" t="s">
        <v>8</v>
      </c>
      <c r="D3" s="1" t="str">
        <f>IFERROR(__xludf.DUMMYFUNCTION("GOOGLETRANSLATE(A3 , ""auto"", ""ar"")"),"كثيراً")</f>
        <v>كثيراً</v>
      </c>
    </row>
    <row r="4" ht="15.75" customHeight="1">
      <c r="A4" s="1" t="s">
        <v>9</v>
      </c>
      <c r="B4" s="1" t="s">
        <v>10</v>
      </c>
      <c r="C4" s="2" t="s">
        <v>11</v>
      </c>
      <c r="D4" s="1" t="str">
        <f>IFERROR(__xludf.DUMMYFUNCTION("GOOGLETRANSLATE(A4 , ""auto"", ""ar"")"),"عن")</f>
        <v>عن</v>
      </c>
    </row>
    <row r="5" ht="15.75" customHeight="1">
      <c r="A5" s="1" t="s">
        <v>12</v>
      </c>
      <c r="B5" s="1" t="s">
        <v>13</v>
      </c>
      <c r="C5" s="1"/>
      <c r="D5" s="1" t="str">
        <f>IFERROR(__xludf.DUMMYFUNCTION("GOOGLETRANSLATE(A5 , ""auto"", ""ar"")"),"على وشك ...")</f>
        <v>على وشك ...</v>
      </c>
    </row>
    <row r="6" ht="15.75" customHeight="1">
      <c r="A6" s="1" t="s">
        <v>14</v>
      </c>
      <c r="B6" s="1" t="s">
        <v>15</v>
      </c>
      <c r="C6" s="2" t="s">
        <v>16</v>
      </c>
      <c r="D6" s="1" t="str">
        <f>IFERROR(__xludf.DUMMYFUNCTION("GOOGLETRANSLATE(A6 , ""auto"", ""ar"")"),"فوق")</f>
        <v>فوق</v>
      </c>
    </row>
    <row r="7" ht="15.75" customHeight="1">
      <c r="A7" s="1" t="s">
        <v>17</v>
      </c>
      <c r="B7" s="1" t="s">
        <v>18</v>
      </c>
      <c r="C7" s="2" t="s">
        <v>19</v>
      </c>
      <c r="D7" s="1" t="str">
        <f>IFERROR(__xludf.DUMMYFUNCTION("GOOGLETRANSLATE(A7 , ""auto"", ""ar"")"),"إبراهيم")</f>
        <v>إبراهيم</v>
      </c>
    </row>
    <row r="8" ht="15.75" customHeight="1">
      <c r="A8" s="1" t="s">
        <v>20</v>
      </c>
      <c r="B8" s="1" t="s">
        <v>21</v>
      </c>
      <c r="C8" s="2" t="s">
        <v>22</v>
      </c>
      <c r="D8" s="1" t="str">
        <f>IFERROR(__xludf.DUMMYFUNCTION("GOOGLETRANSLATE(A8 , ""auto"", ""ar"")"),"في الخارج")</f>
        <v>في الخارج</v>
      </c>
    </row>
    <row r="9" ht="15.75" customHeight="1">
      <c r="A9" s="1" t="s">
        <v>20</v>
      </c>
      <c r="B9" s="1" t="s">
        <v>23</v>
      </c>
      <c r="C9" s="2" t="s">
        <v>24</v>
      </c>
      <c r="D9" s="1" t="str">
        <f>IFERROR(__xludf.DUMMYFUNCTION("GOOGLETRANSLATE(A9 , ""auto"", ""ar"")"),"في الخارج")</f>
        <v>في الخارج</v>
      </c>
    </row>
    <row r="10" ht="15.75" customHeight="1">
      <c r="A10" s="1" t="s">
        <v>20</v>
      </c>
      <c r="B10" s="1" t="s">
        <v>25</v>
      </c>
      <c r="C10" s="2" t="s">
        <v>26</v>
      </c>
      <c r="D10" s="1" t="str">
        <f>IFERROR(__xludf.DUMMYFUNCTION("GOOGLETRANSLATE(A10 , ""auto"", ""ar"")"),"في الخارج")</f>
        <v>في الخارج</v>
      </c>
    </row>
    <row r="11" ht="15.75" customHeight="1">
      <c r="A11" s="1" t="s">
        <v>27</v>
      </c>
      <c r="B11" s="1" t="s">
        <v>28</v>
      </c>
      <c r="C11" s="2" t="s">
        <v>29</v>
      </c>
      <c r="D11" s="1" t="str">
        <f>IFERROR(__xludf.DUMMYFUNCTION("GOOGLETRANSLATE(A11 , ""auto"", ""ar"")"),"غياب")</f>
        <v>غياب</v>
      </c>
    </row>
    <row r="12" ht="15.75" customHeight="1">
      <c r="A12" s="1" t="s">
        <v>30</v>
      </c>
      <c r="B12" s="1" t="s">
        <v>31</v>
      </c>
      <c r="C12" s="2" t="s">
        <v>32</v>
      </c>
      <c r="D12" s="1" t="str">
        <f>IFERROR(__xludf.DUMMYFUNCTION("GOOGLETRANSLATE(A12 , ""auto"", ""ar"")"),"غائب")</f>
        <v>غائب</v>
      </c>
    </row>
    <row r="13" ht="15.75" customHeight="1">
      <c r="A13" s="1" t="s">
        <v>30</v>
      </c>
      <c r="B13" s="1" t="s">
        <v>33</v>
      </c>
      <c r="C13" s="2" t="s">
        <v>34</v>
      </c>
      <c r="D13" s="1" t="str">
        <f>IFERROR(__xludf.DUMMYFUNCTION("GOOGLETRANSLATE(A13 , ""auto"", ""ar"")"),"غائب")</f>
        <v>غائب</v>
      </c>
    </row>
    <row r="14" ht="15.75" customHeight="1">
      <c r="A14" s="1" t="s">
        <v>35</v>
      </c>
      <c r="B14" s="1" t="s">
        <v>36</v>
      </c>
      <c r="C14" s="2" t="s">
        <v>37</v>
      </c>
      <c r="D14" s="1" t="str">
        <f>IFERROR(__xludf.DUMMYFUNCTION("GOOGLETRANSLATE(A14 , ""auto"", ""ar"")"),"الأفسنتين")</f>
        <v>الأفسنتين</v>
      </c>
    </row>
    <row r="15" ht="15.75" customHeight="1">
      <c r="A15" s="1" t="s">
        <v>38</v>
      </c>
      <c r="B15" s="1" t="s">
        <v>39</v>
      </c>
      <c r="C15" s="2" t="s">
        <v>40</v>
      </c>
      <c r="D15" s="1" t="str">
        <f>IFERROR(__xludf.DUMMYFUNCTION("GOOGLETRANSLATE(A15 , ""auto"", ""ar"")"),"يقبل")</f>
        <v>يقبل</v>
      </c>
    </row>
    <row r="16" ht="15.75" customHeight="1">
      <c r="A16" s="1" t="s">
        <v>38</v>
      </c>
      <c r="B16" s="1" t="s">
        <v>41</v>
      </c>
      <c r="C16" s="2" t="s">
        <v>42</v>
      </c>
      <c r="D16" s="1" t="str">
        <f>IFERROR(__xludf.DUMMYFUNCTION("GOOGLETRANSLATE(A16 , ""auto"", ""ar"")"),"يقبل")</f>
        <v>يقبل</v>
      </c>
    </row>
    <row r="17" ht="15.75" customHeight="1">
      <c r="A17" s="1" t="s">
        <v>43</v>
      </c>
      <c r="B17" s="1" t="s">
        <v>44</v>
      </c>
      <c r="C17" s="2" t="s">
        <v>45</v>
      </c>
      <c r="D17" s="1" t="str">
        <f>IFERROR(__xludf.DUMMYFUNCTION("GOOGLETRANSLATE(A17 , ""auto"", ""ar"")"),"مقبول")</f>
        <v>مقبول</v>
      </c>
    </row>
    <row r="18" ht="15.75" customHeight="1">
      <c r="A18" s="1" t="s">
        <v>46</v>
      </c>
      <c r="B18" s="1" t="s">
        <v>47</v>
      </c>
      <c r="C18" s="1"/>
      <c r="D18" s="1" t="str">
        <f>IFERROR(__xludf.DUMMYFUNCTION("GOOGLETRANSLATE(A18 , ""auto"", ""ar"")"),"حادثة")</f>
        <v>حادثة</v>
      </c>
    </row>
    <row r="19" ht="15.75" customHeight="1">
      <c r="A19" s="1" t="s">
        <v>46</v>
      </c>
      <c r="B19" s="1" t="s">
        <v>48</v>
      </c>
      <c r="C19" s="2" t="s">
        <v>49</v>
      </c>
      <c r="D19" s="1" t="str">
        <f>IFERROR(__xludf.DUMMYFUNCTION("GOOGLETRANSLATE(A19 , ""auto"", ""ar"")"),"حادثة")</f>
        <v>حادثة</v>
      </c>
    </row>
    <row r="20" ht="15.75" customHeight="1">
      <c r="A20" s="1" t="s">
        <v>50</v>
      </c>
      <c r="B20" s="1" t="s">
        <v>51</v>
      </c>
      <c r="C20" s="2" t="s">
        <v>52</v>
      </c>
      <c r="D20" s="1" t="str">
        <f>IFERROR(__xludf.DUMMYFUNCTION("GOOGLETRANSLATE(A20 , ""auto"", ""ar"")"),"ينجز")</f>
        <v>ينجز</v>
      </c>
    </row>
    <row r="21" ht="15.75" customHeight="1">
      <c r="A21" s="1" t="s">
        <v>53</v>
      </c>
      <c r="B21" s="1" t="s">
        <v>54</v>
      </c>
      <c r="C21" s="2" t="s">
        <v>55</v>
      </c>
      <c r="D21" s="1" t="str">
        <f>IFERROR(__xludf.DUMMYFUNCTION("GOOGLETRANSLATE(A21 , ""auto"", ""ar"")"),"حساب")</f>
        <v>حساب</v>
      </c>
    </row>
    <row r="22" ht="15.75" customHeight="1">
      <c r="A22" s="1" t="s">
        <v>56</v>
      </c>
      <c r="B22" s="1" t="s">
        <v>57</v>
      </c>
      <c r="C22" s="2" t="s">
        <v>58</v>
      </c>
      <c r="D22" s="1" t="str">
        <f>IFERROR(__xludf.DUMMYFUNCTION("GOOGLETRANSLATE(A22 , ""auto"", ""ar"")"),"اتهم")</f>
        <v>اتهم</v>
      </c>
    </row>
    <row r="23" ht="15.75" customHeight="1">
      <c r="A23" s="1" t="s">
        <v>59</v>
      </c>
      <c r="B23" s="1" t="s">
        <v>60</v>
      </c>
      <c r="C23" s="2" t="s">
        <v>61</v>
      </c>
      <c r="D23" s="1" t="str">
        <f>IFERROR(__xludf.DUMMYFUNCTION("GOOGLETRANSLATE(A23 , ""auto"", ""ar"")"),"معتاد")</f>
        <v>معتاد</v>
      </c>
    </row>
    <row r="24" ht="15.75" customHeight="1">
      <c r="A24" s="1" t="s">
        <v>62</v>
      </c>
      <c r="B24" s="1" t="s">
        <v>51</v>
      </c>
      <c r="C24" s="2" t="s">
        <v>52</v>
      </c>
      <c r="D24" s="1" t="str">
        <f>IFERROR(__xludf.DUMMYFUNCTION("GOOGLETRANSLATE(A24 , ""auto"", ""ar"")"),"واقعية")</f>
        <v>واقعية</v>
      </c>
    </row>
    <row r="25" ht="15.75" customHeight="1">
      <c r="A25" s="1" t="s">
        <v>63</v>
      </c>
      <c r="B25" s="1" t="s">
        <v>64</v>
      </c>
      <c r="C25" s="2" t="s">
        <v>65</v>
      </c>
      <c r="D25" s="1" t="str">
        <f>IFERROR(__xludf.DUMMYFUNCTION("GOOGLETRANSLATE(A25 , ""auto"", ""ar"")"),"مؤلم")</f>
        <v>مؤلم</v>
      </c>
    </row>
    <row r="26" ht="15.75" customHeight="1">
      <c r="A26" s="1" t="s">
        <v>66</v>
      </c>
      <c r="B26" s="1" t="s">
        <v>67</v>
      </c>
      <c r="C26" s="2" t="s">
        <v>68</v>
      </c>
      <c r="D26" s="1" t="str">
        <f>IFERROR(__xludf.DUMMYFUNCTION("GOOGLETRANSLATE(A26 , ""auto"", ""ar"")"),"يمثل")</f>
        <v>يمثل</v>
      </c>
    </row>
    <row r="27" ht="15.75" customHeight="1">
      <c r="A27" s="1" t="s">
        <v>69</v>
      </c>
      <c r="B27" s="1" t="s">
        <v>70</v>
      </c>
      <c r="C27" s="2" t="s">
        <v>71</v>
      </c>
      <c r="D27" s="1" t="str">
        <f>IFERROR(__xludf.DUMMYFUNCTION("GOOGLETRANSLATE(A27 , ""auto"", ""ar"")"),"نشاط")</f>
        <v>نشاط</v>
      </c>
    </row>
    <row r="28" ht="15.75" customHeight="1">
      <c r="A28" s="1" t="s">
        <v>72</v>
      </c>
      <c r="B28" s="1" t="s">
        <v>73</v>
      </c>
      <c r="C28" s="2" t="s">
        <v>74</v>
      </c>
      <c r="D28" s="1" t="str">
        <f>IFERROR(__xludf.DUMMYFUNCTION("GOOGLETRANSLATE(A28 , ""auto"", ""ar"")"),"الممثل")</f>
        <v>الممثل</v>
      </c>
    </row>
    <row r="29" ht="15.75" customHeight="1">
      <c r="A29" s="1" t="s">
        <v>75</v>
      </c>
      <c r="B29" s="1" t="s">
        <v>76</v>
      </c>
      <c r="C29" s="2" t="s">
        <v>77</v>
      </c>
      <c r="D29" s="1" t="str">
        <f>IFERROR(__xludf.DUMMYFUNCTION("GOOGLETRANSLATE(A29 , ""auto"", ""ar"")"),"ممثلة")</f>
        <v>ممثلة</v>
      </c>
    </row>
    <row r="30" ht="15.75" customHeight="1">
      <c r="A30" s="1" t="s">
        <v>78</v>
      </c>
      <c r="B30" s="1" t="s">
        <v>79</v>
      </c>
      <c r="C30" s="2" t="s">
        <v>80</v>
      </c>
      <c r="D30" s="1" t="str">
        <f>IFERROR(__xludf.DUMMYFUNCTION("GOOGLETRANSLATE(A30 , ""auto"", ""ar"")"),"يضيف")</f>
        <v>يضيف</v>
      </c>
    </row>
    <row r="31" ht="15.75" customHeight="1">
      <c r="A31" s="1" t="s">
        <v>78</v>
      </c>
      <c r="B31" s="1" t="s">
        <v>81</v>
      </c>
      <c r="C31" s="2" t="s">
        <v>82</v>
      </c>
      <c r="D31" s="1" t="str">
        <f>IFERROR(__xludf.DUMMYFUNCTION("GOOGLETRANSLATE(A31 , ""auto"", ""ar"")"),"يضيف")</f>
        <v>يضيف</v>
      </c>
    </row>
    <row r="32" ht="15.75" customHeight="1">
      <c r="A32" s="1" t="s">
        <v>83</v>
      </c>
      <c r="B32" s="1" t="s">
        <v>81</v>
      </c>
      <c r="C32" s="2" t="s">
        <v>82</v>
      </c>
      <c r="D32" s="1" t="str">
        <f>IFERROR(__xludf.DUMMYFUNCTION("GOOGLETRANSLATE(A32 , ""auto"", ""ar"")"),"إضافة الماء")</f>
        <v>إضافة الماء</v>
      </c>
    </row>
    <row r="33" ht="15.75" customHeight="1">
      <c r="A33" s="1" t="s">
        <v>84</v>
      </c>
      <c r="B33" s="1" t="s">
        <v>85</v>
      </c>
      <c r="C33" s="2" t="s">
        <v>86</v>
      </c>
      <c r="D33" s="1" t="str">
        <f>IFERROR(__xludf.DUMMYFUNCTION("GOOGLETRANSLATE(A33 , ""auto"", ""ar"")"),"مدمن")</f>
        <v>مدمن</v>
      </c>
    </row>
    <row r="34" ht="15.75" customHeight="1">
      <c r="A34" s="1" t="s">
        <v>87</v>
      </c>
      <c r="B34" s="1" t="s">
        <v>88</v>
      </c>
      <c r="C34" s="2" t="s">
        <v>89</v>
      </c>
      <c r="D34" s="1" t="str">
        <f>IFERROR(__xludf.DUMMYFUNCTION("GOOGLETRANSLATE(A34 , ""auto"", ""ar"")"),"مدمن")</f>
        <v>مدمن</v>
      </c>
    </row>
    <row r="35" ht="15.75" customHeight="1">
      <c r="A35" s="1" t="s">
        <v>90</v>
      </c>
      <c r="B35" s="1" t="s">
        <v>91</v>
      </c>
      <c r="C35" s="1"/>
      <c r="D35" s="1" t="str">
        <f>IFERROR(__xludf.DUMMYFUNCTION("GOOGLETRANSLATE(A35 , ""auto"", ""ar"")"),"عنوان")</f>
        <v>عنوان</v>
      </c>
    </row>
    <row r="36" ht="15.75" customHeight="1">
      <c r="A36" s="1" t="s">
        <v>92</v>
      </c>
      <c r="B36" s="1" t="s">
        <v>93</v>
      </c>
      <c r="C36" s="2" t="s">
        <v>94</v>
      </c>
      <c r="D36" s="1" t="str">
        <f>IFERROR(__xludf.DUMMYFUNCTION("GOOGLETRANSLATE(A36 , ""auto"", ""ar"")"),"إدارة")</f>
        <v>إدارة</v>
      </c>
    </row>
    <row r="37" ht="15.75" customHeight="1">
      <c r="A37" s="1" t="s">
        <v>95</v>
      </c>
      <c r="B37" s="1" t="s">
        <v>96</v>
      </c>
      <c r="C37" s="2" t="s">
        <v>97</v>
      </c>
      <c r="D37" s="1" t="str">
        <f>IFERROR(__xludf.DUMMYFUNCTION("GOOGLETRANSLATE(A37 , ""auto"", ""ar"")"),"مرحلة المراهقة")</f>
        <v>مرحلة المراهقة</v>
      </c>
    </row>
    <row r="38" ht="15.75" customHeight="1">
      <c r="A38" s="1" t="s">
        <v>98</v>
      </c>
      <c r="B38" s="1" t="s">
        <v>99</v>
      </c>
      <c r="C38" s="2" t="s">
        <v>100</v>
      </c>
      <c r="D38" s="1" t="str">
        <f>IFERROR(__xludf.DUMMYFUNCTION("GOOGLETRANSLATE(A38 , ""auto"", ""ar"")"),"يتبنى")</f>
        <v>يتبنى</v>
      </c>
    </row>
    <row r="39" ht="15.75" customHeight="1">
      <c r="A39" s="1" t="s">
        <v>101</v>
      </c>
      <c r="B39" s="1" t="s">
        <v>102</v>
      </c>
      <c r="C39" s="2" t="s">
        <v>103</v>
      </c>
      <c r="D39" s="1" t="str">
        <f>IFERROR(__xludf.DUMMYFUNCTION("GOOGLETRANSLATE(A39 , ""auto"", ""ar"")"),"بالغ")</f>
        <v>بالغ</v>
      </c>
    </row>
    <row r="40" ht="15.75" customHeight="1">
      <c r="A40" s="1" t="s">
        <v>104</v>
      </c>
      <c r="B40" s="1" t="s">
        <v>105</v>
      </c>
      <c r="C40" s="2" t="s">
        <v>106</v>
      </c>
      <c r="D40" s="1" t="str">
        <f>IFERROR(__xludf.DUMMYFUNCTION("GOOGLETRANSLATE(A40 , ""auto"", ""ar"")"),"مرحلة البلوغ")</f>
        <v>مرحلة البلوغ</v>
      </c>
    </row>
    <row r="41" ht="15.75" customHeight="1">
      <c r="A41" s="1" t="s">
        <v>107</v>
      </c>
      <c r="B41" s="1" t="s">
        <v>108</v>
      </c>
      <c r="C41" s="2" t="s">
        <v>109</v>
      </c>
      <c r="D41" s="1" t="str">
        <f>IFERROR(__xludf.DUMMYFUNCTION("GOOGLETRANSLATE(A41 , ""auto"", ""ar"")"),"مفامرة")</f>
        <v>مفامرة</v>
      </c>
    </row>
    <row r="42" ht="15.75" customHeight="1">
      <c r="A42" s="1" t="s">
        <v>110</v>
      </c>
      <c r="B42" s="1" t="s">
        <v>111</v>
      </c>
      <c r="C42" s="1"/>
      <c r="D42" s="1" t="str">
        <f>IFERROR(__xludf.DUMMYFUNCTION("GOOGLETRANSLATE(A42 , ""auto"", ""ar"")"),"الشدائد")</f>
        <v>الشدائد</v>
      </c>
    </row>
    <row r="43" ht="15.75" customHeight="1">
      <c r="A43" s="1" t="s">
        <v>110</v>
      </c>
      <c r="B43" s="1" t="s">
        <v>112</v>
      </c>
      <c r="C43" s="1"/>
      <c r="D43" s="1" t="str">
        <f>IFERROR(__xludf.DUMMYFUNCTION("GOOGLETRANSLATE(A43 , ""auto"", ""ar"")"),"الشدائد")</f>
        <v>الشدائد</v>
      </c>
    </row>
    <row r="44" ht="15.75" customHeight="1">
      <c r="A44" s="1" t="s">
        <v>113</v>
      </c>
      <c r="B44" s="1" t="s">
        <v>114</v>
      </c>
      <c r="C44" s="2" t="s">
        <v>115</v>
      </c>
      <c r="D44" s="1" t="str">
        <f>IFERROR(__xludf.DUMMYFUNCTION("GOOGLETRANSLATE(A44 , ""auto"", ""ar"")"),"نصيحة")</f>
        <v>نصيحة</v>
      </c>
    </row>
    <row r="45" ht="15.75" customHeight="1">
      <c r="A45" s="1" t="s">
        <v>116</v>
      </c>
      <c r="B45" s="1" t="s">
        <v>117</v>
      </c>
      <c r="C45" s="2" t="s">
        <v>118</v>
      </c>
      <c r="D45" s="1" t="str">
        <f>IFERROR(__xludf.DUMMYFUNCTION("GOOGLETRANSLATE(A45 , ""auto"", ""ar"")"),"ينصح")</f>
        <v>ينصح</v>
      </c>
    </row>
    <row r="46" ht="15.75" customHeight="1">
      <c r="A46" s="1" t="s">
        <v>119</v>
      </c>
      <c r="B46" s="1" t="s">
        <v>120</v>
      </c>
      <c r="C46" s="2" t="s">
        <v>121</v>
      </c>
      <c r="D46" s="1" t="str">
        <f>IFERROR(__xludf.DUMMYFUNCTION("GOOGLETRANSLATE(A46 , ""auto"", ""ar"")"),"خائف")</f>
        <v>خائف</v>
      </c>
    </row>
    <row r="47" ht="15.75" customHeight="1">
      <c r="A47" s="1" t="s">
        <v>119</v>
      </c>
      <c r="B47" s="1" t="s">
        <v>122</v>
      </c>
      <c r="C47" s="2" t="s">
        <v>123</v>
      </c>
      <c r="D47" s="1" t="str">
        <f>IFERROR(__xludf.DUMMYFUNCTION("GOOGLETRANSLATE(A47 , ""auto"", ""ar"")"),"خائف")</f>
        <v>خائف</v>
      </c>
    </row>
    <row r="48" ht="15.75" customHeight="1">
      <c r="A48" s="1" t="s">
        <v>119</v>
      </c>
      <c r="B48" s="1" t="s">
        <v>124</v>
      </c>
      <c r="C48" s="2" t="s">
        <v>65</v>
      </c>
      <c r="D48" s="1" t="str">
        <f>IFERROR(__xludf.DUMMYFUNCTION("GOOGLETRANSLATE(A48 , ""auto"", ""ar"")"),"خائف")</f>
        <v>خائف</v>
      </c>
    </row>
    <row r="49" ht="15.75" customHeight="1">
      <c r="A49" s="1" t="s">
        <v>119</v>
      </c>
      <c r="B49" s="1" t="s">
        <v>125</v>
      </c>
      <c r="C49" s="2" t="s">
        <v>126</v>
      </c>
      <c r="D49" s="1" t="str">
        <f>IFERROR(__xludf.DUMMYFUNCTION("GOOGLETRANSLATE(A49 , ""auto"", ""ar"")"),"خائف")</f>
        <v>خائف</v>
      </c>
    </row>
    <row r="50" ht="15.75" customHeight="1">
      <c r="A50" s="1" t="s">
        <v>127</v>
      </c>
      <c r="B50" s="1" t="s">
        <v>128</v>
      </c>
      <c r="C50" s="2" t="s">
        <v>129</v>
      </c>
      <c r="D50" s="1" t="str">
        <f>IFERROR(__xludf.DUMMYFUNCTION("GOOGLETRANSLATE(A50 , ""auto"", ""ar"")"),"أفريقيا")</f>
        <v>أفريقيا</v>
      </c>
    </row>
    <row r="51" ht="15.75" customHeight="1">
      <c r="A51" s="1" t="s">
        <v>130</v>
      </c>
      <c r="B51" s="1" t="s">
        <v>131</v>
      </c>
      <c r="C51" s="2" t="s">
        <v>132</v>
      </c>
      <c r="D51" s="1" t="str">
        <f>IFERROR(__xludf.DUMMYFUNCTION("GOOGLETRANSLATE(A51 , ""auto"", ""ar"")"),"الأفريقي")</f>
        <v>الأفريقي</v>
      </c>
    </row>
    <row r="52" ht="15.75" customHeight="1">
      <c r="A52" s="1" t="s">
        <v>133</v>
      </c>
      <c r="B52" s="1" t="s">
        <v>134</v>
      </c>
      <c r="C52" s="2" t="s">
        <v>135</v>
      </c>
      <c r="D52" s="1" t="str">
        <f>IFERROR(__xludf.DUMMYFUNCTION("GOOGLETRANSLATE(A52 , ""auto"", ""ar"")"),"بعد")</f>
        <v>بعد</v>
      </c>
    </row>
    <row r="53" ht="15.75" customHeight="1">
      <c r="A53" s="1" t="s">
        <v>133</v>
      </c>
      <c r="B53" s="1" t="s">
        <v>136</v>
      </c>
      <c r="C53" s="2" t="s">
        <v>137</v>
      </c>
      <c r="D53" s="1" t="str">
        <f>IFERROR(__xludf.DUMMYFUNCTION("GOOGLETRANSLATE(A53 , ""auto"", ""ar"")"),"بعد")</f>
        <v>بعد</v>
      </c>
    </row>
    <row r="54" ht="15.75" customHeight="1">
      <c r="A54" s="1" t="s">
        <v>133</v>
      </c>
      <c r="B54" s="1" t="s">
        <v>138</v>
      </c>
      <c r="C54" s="1"/>
      <c r="D54" s="1" t="str">
        <f>IFERROR(__xludf.DUMMYFUNCTION("GOOGLETRANSLATE(A54 , ""auto"", ""ar"")"),"بعد")</f>
        <v>بعد</v>
      </c>
    </row>
    <row r="55" ht="15.75" customHeight="1">
      <c r="A55" s="1" t="s">
        <v>139</v>
      </c>
      <c r="B55" s="1" t="s">
        <v>140</v>
      </c>
      <c r="C55" s="1"/>
      <c r="D55" s="1" t="str">
        <f>IFERROR(__xludf.DUMMYFUNCTION("GOOGLETRANSLATE(A55 , ""auto"", ""ar"")"),"بعد الظهر")</f>
        <v>بعد الظهر</v>
      </c>
    </row>
    <row r="56" ht="15.75" customHeight="1">
      <c r="A56" s="1" t="s">
        <v>139</v>
      </c>
      <c r="B56" s="1" t="s">
        <v>141</v>
      </c>
      <c r="C56" s="1"/>
      <c r="D56" s="1" t="str">
        <f>IFERROR(__xludf.DUMMYFUNCTION("GOOGLETRANSLATE(A56 , ""auto"", ""ar"")"),"بعد الظهر")</f>
        <v>بعد الظهر</v>
      </c>
    </row>
    <row r="57" ht="15.75" customHeight="1">
      <c r="A57" s="1" t="s">
        <v>142</v>
      </c>
      <c r="B57" s="1" t="s">
        <v>143</v>
      </c>
      <c r="C57" s="1"/>
      <c r="D57" s="1" t="str">
        <f>IFERROR(__xludf.DUMMYFUNCTION("GOOGLETRANSLATE(A57 , ""auto"", ""ar"")"),"قيلولة بعد الظهر")</f>
        <v>قيلولة بعد الظهر</v>
      </c>
    </row>
    <row r="58" ht="15.75" customHeight="1">
      <c r="A58" s="1" t="s">
        <v>142</v>
      </c>
      <c r="B58" s="1" t="s">
        <v>144</v>
      </c>
      <c r="C58" s="2" t="s">
        <v>145</v>
      </c>
      <c r="D58" s="1" t="str">
        <f>IFERROR(__xludf.DUMMYFUNCTION("GOOGLETRANSLATE(A58 , ""auto"", ""ar"")"),"قيلولة بعد الظهر")</f>
        <v>قيلولة بعد الظهر</v>
      </c>
    </row>
    <row r="59" ht="15.75" customHeight="1">
      <c r="A59" s="1" t="s">
        <v>146</v>
      </c>
      <c r="B59" s="1" t="s">
        <v>147</v>
      </c>
      <c r="C59" s="1"/>
      <c r="D59" s="1" t="str">
        <f>IFERROR(__xludf.DUMMYFUNCTION("GOOGLETRANSLATE(A59 , ""auto"", ""ar"")"),"وجبة خفيفه بعد الظهر")</f>
        <v>وجبة خفيفه بعد الظهر</v>
      </c>
    </row>
    <row r="60" ht="15.75" customHeight="1">
      <c r="A60" s="1" t="s">
        <v>148</v>
      </c>
      <c r="B60" s="1" t="s">
        <v>147</v>
      </c>
      <c r="C60" s="1"/>
      <c r="D60" s="1" t="str">
        <f>IFERROR(__xludf.DUMMYFUNCTION("GOOGLETRANSLATE(A60 , ""auto"", ""ar"")"),"شاي العصر")</f>
        <v>شاي العصر</v>
      </c>
    </row>
    <row r="61" ht="15.75" customHeight="1">
      <c r="A61" s="1" t="s">
        <v>149</v>
      </c>
      <c r="B61" s="1" t="s">
        <v>150</v>
      </c>
      <c r="C61" s="2" t="s">
        <v>151</v>
      </c>
      <c r="D61" s="1" t="str">
        <f>IFERROR(__xludf.DUMMYFUNCTION("GOOGLETRANSLATE(A61 , ""auto"", ""ar"")"),"أغادر")</f>
        <v>أغادر</v>
      </c>
    </row>
    <row r="62" ht="15.75" customHeight="1">
      <c r="A62" s="1" t="s">
        <v>152</v>
      </c>
      <c r="B62" s="1" t="s">
        <v>153</v>
      </c>
      <c r="C62" s="1"/>
      <c r="D62" s="1" t="str">
        <f>IFERROR(__xludf.DUMMYFUNCTION("GOOGLETRANSLATE(A62 , ""auto"", ""ar"")"),"مرة أخرى")</f>
        <v>مرة أخرى</v>
      </c>
    </row>
    <row r="63" ht="15.75" customHeight="1">
      <c r="A63" s="1" t="s">
        <v>154</v>
      </c>
      <c r="B63" s="1" t="s">
        <v>155</v>
      </c>
      <c r="C63" s="2" t="s">
        <v>156</v>
      </c>
      <c r="D63" s="1" t="str">
        <f>IFERROR(__xludf.DUMMYFUNCTION("GOOGLETRANSLATE(A63 , ""auto"", ""ar"")"),"وكالة")</f>
        <v>وكالة</v>
      </c>
    </row>
    <row r="64" ht="15.75" customHeight="1">
      <c r="A64" s="1" t="s">
        <v>157</v>
      </c>
      <c r="B64" s="1" t="s">
        <v>158</v>
      </c>
      <c r="C64" s="2" t="s">
        <v>159</v>
      </c>
      <c r="D64" s="1" t="str">
        <f>IFERROR(__xludf.DUMMYFUNCTION("GOOGLETRANSLATE(A64 , ""auto"", ""ar"")"),"منذ")</f>
        <v>منذ</v>
      </c>
    </row>
    <row r="65" ht="15.75" customHeight="1">
      <c r="A65" s="1" t="s">
        <v>160</v>
      </c>
      <c r="B65" s="1" t="s">
        <v>161</v>
      </c>
      <c r="C65" s="2" t="s">
        <v>162</v>
      </c>
      <c r="D65" s="1" t="str">
        <f>IFERROR(__xludf.DUMMYFUNCTION("GOOGLETRANSLATE(A65 , ""auto"", ""ar"")"),"يوافق")</f>
        <v>يوافق</v>
      </c>
    </row>
    <row r="66" ht="15.75" customHeight="1">
      <c r="A66" s="1" t="s">
        <v>160</v>
      </c>
      <c r="B66" s="1" t="s">
        <v>163</v>
      </c>
      <c r="C66" s="2" t="s">
        <v>164</v>
      </c>
      <c r="D66" s="1" t="str">
        <f>IFERROR(__xludf.DUMMYFUNCTION("GOOGLETRANSLATE(A66 , ""auto"", ""ar"")"),"يوافق")</f>
        <v>يوافق</v>
      </c>
    </row>
    <row r="67" ht="15.75" customHeight="1">
      <c r="A67" s="1" t="s">
        <v>165</v>
      </c>
      <c r="B67" s="1" t="s">
        <v>166</v>
      </c>
      <c r="C67" s="1"/>
      <c r="D67" s="1" t="str">
        <f>IFERROR(__xludf.DUMMYFUNCTION("GOOGLETRANSLATE(A67 , ""auto"", ""ar"")"),"العامل الزراعي")</f>
        <v>العامل الزراعي</v>
      </c>
    </row>
    <row r="68" ht="15.75" customHeight="1">
      <c r="A68" s="1" t="s">
        <v>167</v>
      </c>
      <c r="B68" s="1" t="s">
        <v>168</v>
      </c>
      <c r="C68" s="2" t="s">
        <v>169</v>
      </c>
      <c r="D68" s="1" t="str">
        <f>IFERROR(__xludf.DUMMYFUNCTION("GOOGLETRANSLATE(A68 , ""auto"", ""ar"")"),"يساعد")</f>
        <v>يساعد</v>
      </c>
    </row>
    <row r="69" ht="15.75" customHeight="1">
      <c r="A69" s="1" t="s">
        <v>167</v>
      </c>
      <c r="B69" s="1" t="s">
        <v>170</v>
      </c>
      <c r="C69" s="2" t="s">
        <v>171</v>
      </c>
      <c r="D69" s="1" t="str">
        <f>IFERROR(__xludf.DUMMYFUNCTION("GOOGLETRANSLATE(A69 , ""auto"", ""ar"")"),"يساعد")</f>
        <v>يساعد</v>
      </c>
    </row>
    <row r="70" ht="15.75" customHeight="1">
      <c r="A70" s="1" t="s">
        <v>167</v>
      </c>
      <c r="B70" s="1" t="s">
        <v>172</v>
      </c>
      <c r="C70" s="2" t="s">
        <v>173</v>
      </c>
      <c r="D70" s="1" t="str">
        <f>IFERROR(__xludf.DUMMYFUNCTION("GOOGLETRANSLATE(A70 , ""auto"", ""ar"")"),"يساعد")</f>
        <v>يساعد</v>
      </c>
    </row>
    <row r="71" ht="15.75" customHeight="1">
      <c r="A71" s="1" t="s">
        <v>174</v>
      </c>
      <c r="B71" s="1" t="s">
        <v>175</v>
      </c>
      <c r="C71" s="1"/>
      <c r="D71" s="1" t="str">
        <f>IFERROR(__xludf.DUMMYFUNCTION("GOOGLETRANSLATE(A71 , ""auto"", ""ar"")"),"مكيف هواء")</f>
        <v>مكيف هواء</v>
      </c>
    </row>
    <row r="72" ht="15.75" customHeight="1">
      <c r="A72" s="1" t="s">
        <v>176</v>
      </c>
      <c r="B72" s="1" t="s">
        <v>175</v>
      </c>
      <c r="C72" s="1"/>
      <c r="D72" s="1" t="str">
        <f>IFERROR(__xludf.DUMMYFUNCTION("GOOGLETRANSLATE(A72 , ""auto"", ""ar"")"),"تكيف")</f>
        <v>تكيف</v>
      </c>
    </row>
    <row r="73" ht="15.75" customHeight="1">
      <c r="A73" s="1" t="s">
        <v>177</v>
      </c>
      <c r="B73" s="1" t="s">
        <v>178</v>
      </c>
      <c r="C73" s="2" t="s">
        <v>179</v>
      </c>
      <c r="D73" s="1" t="str">
        <f>IFERROR(__xludf.DUMMYFUNCTION("GOOGLETRANSLATE(A73 , ""auto"", ""ar"")"),"طائرة")</f>
        <v>طائرة</v>
      </c>
    </row>
    <row r="74" ht="15.75" customHeight="1">
      <c r="A74" s="1" t="s">
        <v>180</v>
      </c>
      <c r="B74" s="1" t="s">
        <v>181</v>
      </c>
      <c r="C74" s="2" t="s">
        <v>182</v>
      </c>
      <c r="D74" s="1" t="str">
        <f>IFERROR(__xludf.DUMMYFUNCTION("GOOGLETRANSLATE(A74 , ""auto"", ""ar"")"),"مطار")</f>
        <v>مطار</v>
      </c>
    </row>
    <row r="75" ht="15.75" customHeight="1">
      <c r="A75" s="1" t="s">
        <v>183</v>
      </c>
      <c r="B75" s="1" t="s">
        <v>184</v>
      </c>
      <c r="C75" s="2" t="s">
        <v>185</v>
      </c>
      <c r="D75" s="1" t="str">
        <f>IFERROR(__xludf.DUMMYFUNCTION("GOOGLETRANSLATE(A75 , ""auto"", ""ar"")"),"منبه")</f>
        <v>منبه</v>
      </c>
    </row>
    <row r="76" ht="15.75" customHeight="1">
      <c r="A76" s="1" t="s">
        <v>183</v>
      </c>
      <c r="B76" s="1" t="s">
        <v>186</v>
      </c>
      <c r="C76" s="2" t="s">
        <v>187</v>
      </c>
      <c r="D76" s="1" t="str">
        <f>IFERROR(__xludf.DUMMYFUNCTION("GOOGLETRANSLATE(A76 , ""auto"", ""ar"")"),"منبه")</f>
        <v>منبه</v>
      </c>
    </row>
    <row r="77" ht="15.75" customHeight="1">
      <c r="A77" s="1" t="s">
        <v>188</v>
      </c>
      <c r="B77" s="1" t="s">
        <v>189</v>
      </c>
      <c r="C77" s="2" t="s">
        <v>190</v>
      </c>
      <c r="D77" s="1" t="str">
        <f>IFERROR(__xludf.DUMMYFUNCTION("GOOGLETRANSLATE(A77 , ""auto"", ""ar"")"),"الكحول")</f>
        <v>الكحول</v>
      </c>
    </row>
    <row r="78" ht="15.75" customHeight="1">
      <c r="A78" s="1" t="s">
        <v>191</v>
      </c>
      <c r="B78" s="1" t="s">
        <v>192</v>
      </c>
      <c r="C78" s="2" t="s">
        <v>193</v>
      </c>
      <c r="D78" s="1" t="str">
        <f>IFERROR(__xludf.DUMMYFUNCTION("GOOGLETRANSLATE(A78 , ""auto"", ""ar"")"),"الجزائر")</f>
        <v>الجزائر</v>
      </c>
    </row>
    <row r="79" ht="15.75" customHeight="1">
      <c r="A79" s="1" t="s">
        <v>194</v>
      </c>
      <c r="B79" s="1" t="s">
        <v>195</v>
      </c>
      <c r="C79" s="2" t="s">
        <v>65</v>
      </c>
      <c r="D79" s="1" t="str">
        <f>IFERROR(__xludf.DUMMYFUNCTION("GOOGLETRANSLATE(A79 , ""auto"", ""ar"")"),"على قيد الحياة")</f>
        <v>على قيد الحياة</v>
      </c>
    </row>
    <row r="80" ht="15.75" customHeight="1">
      <c r="A80" s="1" t="s">
        <v>194</v>
      </c>
      <c r="B80" s="1" t="s">
        <v>196</v>
      </c>
      <c r="C80" s="2" t="s">
        <v>197</v>
      </c>
      <c r="D80" s="1" t="str">
        <f>IFERROR(__xludf.DUMMYFUNCTION("GOOGLETRANSLATE(A80 , ""auto"", ""ar"")"),"على قيد الحياة")</f>
        <v>على قيد الحياة</v>
      </c>
    </row>
    <row r="81" ht="15.75" customHeight="1">
      <c r="A81" s="1" t="s">
        <v>198</v>
      </c>
      <c r="B81" s="1" t="s">
        <v>199</v>
      </c>
      <c r="C81" s="1"/>
      <c r="D81" s="1" t="str">
        <f>IFERROR(__xludf.DUMMYFUNCTION("GOOGLETRANSLATE(A81 , ""auto"", ""ar"")"),"الجميع")</f>
        <v>الجميع</v>
      </c>
    </row>
    <row r="82" ht="15.75" customHeight="1">
      <c r="A82" s="1" t="s">
        <v>198</v>
      </c>
      <c r="B82" s="1" t="s">
        <v>200</v>
      </c>
      <c r="C82" s="2" t="s">
        <v>65</v>
      </c>
      <c r="D82" s="1" t="str">
        <f>IFERROR(__xludf.DUMMYFUNCTION("GOOGLETRANSLATE(A82 , ""auto"", ""ar"")"),"الجميع")</f>
        <v>الجميع</v>
      </c>
    </row>
    <row r="83" ht="15.75" customHeight="1">
      <c r="A83" s="1" t="s">
        <v>201</v>
      </c>
      <c r="B83" s="1" t="s">
        <v>202</v>
      </c>
      <c r="C83" s="1"/>
      <c r="D83" s="1" t="str">
        <f>IFERROR(__xludf.DUMMYFUNCTION("GOOGLETRANSLATE(A83 , ""auto"", ""ar"")"),"كلنا")</f>
        <v>كلنا</v>
      </c>
    </row>
    <row r="84" ht="15.75" customHeight="1">
      <c r="A84" s="1" t="s">
        <v>201</v>
      </c>
      <c r="B84" s="1" t="s">
        <v>203</v>
      </c>
      <c r="C84" s="1"/>
      <c r="D84" s="1" t="str">
        <f>IFERROR(__xludf.DUMMYFUNCTION("GOOGLETRANSLATE(A84 , ""auto"", ""ar"")"),"كلنا")</f>
        <v>كلنا</v>
      </c>
    </row>
    <row r="85" ht="15.75" customHeight="1">
      <c r="A85" s="1" t="s">
        <v>204</v>
      </c>
      <c r="B85" s="1" t="s">
        <v>205</v>
      </c>
      <c r="C85" s="1"/>
      <c r="D85" s="1" t="str">
        <f>IFERROR(__xludf.DUMMYFUNCTION("GOOGLETRANSLATE(A85 , ""auto"", ""ar"")"),"كلكم")</f>
        <v>كلكم</v>
      </c>
    </row>
    <row r="86" ht="15.75" customHeight="1">
      <c r="A86" s="1" t="s">
        <v>204</v>
      </c>
      <c r="B86" s="1" t="s">
        <v>206</v>
      </c>
      <c r="C86" s="1"/>
      <c r="D86" s="1" t="str">
        <f>IFERROR(__xludf.DUMMYFUNCTION("GOOGLETRANSLATE(A86 , ""auto"", ""ar"")"),"كلكم")</f>
        <v>كلكم</v>
      </c>
    </row>
    <row r="87" ht="15.75" customHeight="1">
      <c r="A87" s="1" t="s">
        <v>207</v>
      </c>
      <c r="B87" s="1" t="s">
        <v>208</v>
      </c>
      <c r="C87" s="1"/>
      <c r="D87" s="1" t="str">
        <f>IFERROR(__xludf.DUMMYFUNCTION("GOOGLETRANSLATE(A87 , ""auto"", ""ar"")"),"الحساسية")</f>
        <v>الحساسية</v>
      </c>
    </row>
    <row r="88" ht="15.75" customHeight="1">
      <c r="A88" s="1" t="s">
        <v>207</v>
      </c>
      <c r="B88" s="1" t="s">
        <v>209</v>
      </c>
      <c r="C88" s="1"/>
      <c r="D88" s="1" t="str">
        <f>IFERROR(__xludf.DUMMYFUNCTION("GOOGLETRANSLATE(A88 , ""auto"", ""ar"")"),"الحساسية")</f>
        <v>الحساسية</v>
      </c>
    </row>
    <row r="89" ht="15.75" customHeight="1">
      <c r="A89" s="1" t="s">
        <v>210</v>
      </c>
      <c r="B89" s="1" t="s">
        <v>211</v>
      </c>
      <c r="C89" s="2" t="s">
        <v>212</v>
      </c>
      <c r="D89" s="1" t="str">
        <f>IFERROR(__xludf.DUMMYFUNCTION("GOOGLETRANSLATE(A89 , ""auto"", ""ar"")"),"حساسية")</f>
        <v>حساسية</v>
      </c>
    </row>
    <row r="90" ht="15.75" customHeight="1">
      <c r="A90" s="1" t="s">
        <v>213</v>
      </c>
      <c r="B90" s="1" t="s">
        <v>214</v>
      </c>
      <c r="C90" s="2" t="s">
        <v>215</v>
      </c>
      <c r="D90" s="1" t="str">
        <f>IFERROR(__xludf.DUMMYFUNCTION("GOOGLETRANSLATE(A90 , ""auto"", ""ar"")"),"زقاق")</f>
        <v>زقاق</v>
      </c>
    </row>
    <row r="91" ht="15.75" customHeight="1">
      <c r="A91" s="1" t="s">
        <v>216</v>
      </c>
      <c r="B91" s="1" t="s">
        <v>217</v>
      </c>
      <c r="C91" s="2" t="s">
        <v>218</v>
      </c>
      <c r="D91" s="1" t="str">
        <f>IFERROR(__xludf.DUMMYFUNCTION("GOOGLETRANSLATE(A91 , ""auto"", ""ar"")"),"التمساح")</f>
        <v>التمساح</v>
      </c>
    </row>
    <row r="92" ht="15.75" customHeight="1">
      <c r="A92" s="1" t="s">
        <v>219</v>
      </c>
      <c r="B92" s="1" t="s">
        <v>220</v>
      </c>
      <c r="C92" s="2" t="s">
        <v>221</v>
      </c>
      <c r="D92" s="1" t="str">
        <f>IFERROR(__xludf.DUMMYFUNCTION("GOOGLETRANSLATE(A92 , ""auto"", ""ar"")"),"لوز")</f>
        <v>لوز</v>
      </c>
    </row>
    <row r="93" ht="15.75" customHeight="1">
      <c r="A93" s="1" t="s">
        <v>222</v>
      </c>
      <c r="B93" s="1" t="s">
        <v>223</v>
      </c>
      <c r="C93" s="1"/>
      <c r="D93" s="1" t="str">
        <f>IFERROR(__xludf.DUMMYFUNCTION("GOOGLETRANSLATE(A93 , ""auto"", ""ar"")"),"الصدقات")</f>
        <v>الصدقات</v>
      </c>
    </row>
    <row r="94" ht="15.75" customHeight="1">
      <c r="A94" s="1" t="s">
        <v>222</v>
      </c>
      <c r="B94" s="1" t="s">
        <v>224</v>
      </c>
      <c r="C94" s="1"/>
      <c r="D94" s="1" t="str">
        <f>IFERROR(__xludf.DUMMYFUNCTION("GOOGLETRANSLATE(A94 , ""auto"", ""ar"")"),"الصدقات")</f>
        <v>الصدقات</v>
      </c>
    </row>
    <row r="95" ht="15.75" customHeight="1">
      <c r="A95" s="1" t="s">
        <v>222</v>
      </c>
      <c r="B95" s="1" t="s">
        <v>225</v>
      </c>
      <c r="C95" s="1"/>
      <c r="D95" s="1" t="str">
        <f>IFERROR(__xludf.DUMMYFUNCTION("GOOGLETRANSLATE(A95 , ""auto"", ""ar"")"),"الصدقات")</f>
        <v>الصدقات</v>
      </c>
    </row>
    <row r="96" ht="15.75" customHeight="1">
      <c r="A96" s="1" t="s">
        <v>226</v>
      </c>
      <c r="B96" s="1" t="s">
        <v>227</v>
      </c>
      <c r="C96" s="2" t="s">
        <v>228</v>
      </c>
      <c r="D96" s="1" t="str">
        <f>IFERROR(__xludf.DUMMYFUNCTION("GOOGLETRANSLATE(A96 , ""auto"", ""ar"")"),"وحيد")</f>
        <v>وحيد</v>
      </c>
    </row>
    <row r="97" ht="15.75" customHeight="1">
      <c r="A97" s="1" t="s">
        <v>229</v>
      </c>
      <c r="B97" s="1" t="s">
        <v>230</v>
      </c>
      <c r="C97" s="2" t="s">
        <v>231</v>
      </c>
      <c r="D97" s="1" t="str">
        <f>IFERROR(__xludf.DUMMYFUNCTION("GOOGLETRANSLATE(A97 , ""auto"", ""ar"")"),"بالفعل")</f>
        <v>بالفعل</v>
      </c>
    </row>
    <row r="98" ht="15.75" customHeight="1">
      <c r="A98" s="1" t="s">
        <v>229</v>
      </c>
      <c r="B98" s="1" t="s">
        <v>232</v>
      </c>
      <c r="C98" s="1"/>
      <c r="D98" s="1" t="str">
        <f>IFERROR(__xludf.DUMMYFUNCTION("GOOGLETRANSLATE(A98 , ""auto"", ""ar"")"),"بالفعل")</f>
        <v>بالفعل</v>
      </c>
    </row>
    <row r="99" ht="15.75" customHeight="1">
      <c r="A99" s="1" t="s">
        <v>233</v>
      </c>
      <c r="B99" s="1" t="s">
        <v>234</v>
      </c>
      <c r="C99" s="2" t="s">
        <v>235</v>
      </c>
      <c r="D99" s="1" t="str">
        <f>IFERROR(__xludf.DUMMYFUNCTION("GOOGLETRANSLATE(A99 , ""auto"", ""ar"")"),"أيضًا")</f>
        <v>أيضًا</v>
      </c>
    </row>
    <row r="100" ht="15.75" customHeight="1">
      <c r="A100" s="1" t="s">
        <v>236</v>
      </c>
      <c r="B100" s="1" t="s">
        <v>237</v>
      </c>
      <c r="C100" s="2" t="s">
        <v>238</v>
      </c>
      <c r="D100" s="1" t="str">
        <f>IFERROR(__xludf.DUMMYFUNCTION("GOOGLETRANSLATE(A100 , ""auto"", ""ar"")"),"دائماً")</f>
        <v>دائماً</v>
      </c>
    </row>
    <row r="101" ht="15.75" customHeight="1">
      <c r="A101" s="1" t="s">
        <v>239</v>
      </c>
      <c r="B101" s="1" t="s">
        <v>240</v>
      </c>
      <c r="C101" s="2" t="s">
        <v>65</v>
      </c>
      <c r="D101" s="1" t="str">
        <f>IFERROR(__xludf.DUMMYFUNCTION("GOOGLETRANSLATE(A101 , ""auto"", ""ar"")"),"مدهش")</f>
        <v>مدهش</v>
      </c>
    </row>
    <row r="102" ht="15.75" customHeight="1">
      <c r="A102" s="1" t="s">
        <v>241</v>
      </c>
      <c r="B102" s="1" t="s">
        <v>242</v>
      </c>
      <c r="C102" s="2" t="s">
        <v>243</v>
      </c>
      <c r="D102" s="1" t="str">
        <f>IFERROR(__xludf.DUMMYFUNCTION("GOOGLETRANSLATE(A102 , ""auto"", ""ar"")"),"سفير")</f>
        <v>سفير</v>
      </c>
    </row>
    <row r="103" ht="15.75" customHeight="1">
      <c r="A103" s="1" t="s">
        <v>244</v>
      </c>
      <c r="B103" s="1" t="s">
        <v>245</v>
      </c>
      <c r="C103" s="1"/>
      <c r="D103" s="1" t="str">
        <f>IFERROR(__xludf.DUMMYFUNCTION("GOOGLETRANSLATE(A103 , ""auto"", ""ar"")"),"سياره اسعاف")</f>
        <v>سياره اسعاف</v>
      </c>
    </row>
    <row r="104" ht="15.75" customHeight="1">
      <c r="A104" s="1" t="s">
        <v>244</v>
      </c>
      <c r="B104" s="1" t="s">
        <v>246</v>
      </c>
      <c r="C104" s="1"/>
      <c r="D104" s="1" t="str">
        <f>IFERROR(__xludf.DUMMYFUNCTION("GOOGLETRANSLATE(A104 , ""auto"", ""ar"")"),"سياره اسعاف")</f>
        <v>سياره اسعاف</v>
      </c>
    </row>
    <row r="105" ht="15.75" customHeight="1">
      <c r="A105" s="1" t="s">
        <v>247</v>
      </c>
      <c r="B105" s="1" t="s">
        <v>248</v>
      </c>
      <c r="C105" s="2" t="s">
        <v>249</v>
      </c>
      <c r="D105" s="1" t="str">
        <f>IFERROR(__xludf.DUMMYFUNCTION("GOOGLETRANSLATE(A105 , ""auto"", ""ar"")"),"أمريكا")</f>
        <v>أمريكا</v>
      </c>
    </row>
    <row r="106" ht="15.75" customHeight="1">
      <c r="A106" s="1" t="s">
        <v>247</v>
      </c>
      <c r="B106" s="1" t="s">
        <v>250</v>
      </c>
      <c r="C106" s="2" t="s">
        <v>251</v>
      </c>
      <c r="D106" s="1" t="str">
        <f>IFERROR(__xludf.DUMMYFUNCTION("GOOGLETRANSLATE(A106 , ""auto"", ""ar"")"),"أمريكا")</f>
        <v>أمريكا</v>
      </c>
    </row>
    <row r="107" ht="15.75" customHeight="1">
      <c r="A107" s="1" t="s">
        <v>252</v>
      </c>
      <c r="B107" s="1" t="s">
        <v>253</v>
      </c>
      <c r="C107" s="2" t="s">
        <v>254</v>
      </c>
      <c r="D107" s="1" t="str">
        <f>IFERROR(__xludf.DUMMYFUNCTION("GOOGLETRANSLATE(A107 , ""auto"", ""ar"")"),"أمريكي")</f>
        <v>أمريكي</v>
      </c>
    </row>
    <row r="108" ht="15.75" customHeight="1">
      <c r="A108" s="1" t="s">
        <v>252</v>
      </c>
      <c r="B108" s="1" t="s">
        <v>253</v>
      </c>
      <c r="C108" s="2" t="s">
        <v>254</v>
      </c>
      <c r="D108" s="1" t="str">
        <f>IFERROR(__xludf.DUMMYFUNCTION("GOOGLETRANSLATE(A108 , ""auto"", ""ar"")"),"أمريكي")</f>
        <v>أمريكي</v>
      </c>
    </row>
    <row r="109" ht="15.75" customHeight="1">
      <c r="A109" s="1" t="s">
        <v>252</v>
      </c>
      <c r="B109" s="1" t="s">
        <v>255</v>
      </c>
      <c r="C109" s="2" t="s">
        <v>256</v>
      </c>
      <c r="D109" s="1" t="str">
        <f>IFERROR(__xludf.DUMMYFUNCTION("GOOGLETRANSLATE(A109 , ""auto"", ""ar"")"),"أمريكي")</f>
        <v>أمريكي</v>
      </c>
    </row>
    <row r="110" ht="15.75" customHeight="1">
      <c r="A110" s="1" t="s">
        <v>257</v>
      </c>
      <c r="B110" s="1" t="s">
        <v>258</v>
      </c>
      <c r="C110" s="2" t="s">
        <v>259</v>
      </c>
      <c r="D110" s="1" t="str">
        <f>IFERROR(__xludf.DUMMYFUNCTION("GOOGLETRANSLATE(A110 , ""auto"", ""ar"")"),"تحليل")</f>
        <v>تحليل</v>
      </c>
    </row>
    <row r="111" ht="15.75" customHeight="1">
      <c r="A111" s="1" t="s">
        <v>260</v>
      </c>
      <c r="B111" s="1" t="s">
        <v>261</v>
      </c>
      <c r="C111" s="2" t="s">
        <v>262</v>
      </c>
      <c r="D111" s="1" t="str">
        <f>IFERROR(__xludf.DUMMYFUNCTION("GOOGLETRANSLATE(A111 , ""auto"", ""ar"")"),"عتيق")</f>
        <v>عتيق</v>
      </c>
    </row>
    <row r="112" ht="15.75" customHeight="1">
      <c r="A112" s="1" t="s">
        <v>263</v>
      </c>
      <c r="B112" s="1" t="s">
        <v>264</v>
      </c>
      <c r="C112" s="2" t="s">
        <v>265</v>
      </c>
      <c r="D112" s="1" t="str">
        <f>IFERROR(__xludf.DUMMYFUNCTION("GOOGLETRANSLATE(A112 , ""auto"", ""ar"")"),"و")</f>
        <v>و</v>
      </c>
    </row>
    <row r="113" ht="15.75" customHeight="1">
      <c r="A113" s="1" t="s">
        <v>266</v>
      </c>
      <c r="B113" s="1" t="s">
        <v>267</v>
      </c>
      <c r="C113" s="2" t="s">
        <v>268</v>
      </c>
      <c r="D113" s="1" t="str">
        <f>IFERROR(__xludf.DUMMYFUNCTION("GOOGLETRANSLATE(A113 , ""auto"", ""ar"")"),"ملاك")</f>
        <v>ملاك</v>
      </c>
    </row>
    <row r="114" ht="15.75" customHeight="1">
      <c r="A114" s="1" t="s">
        <v>269</v>
      </c>
      <c r="B114" s="1" t="s">
        <v>270</v>
      </c>
      <c r="C114" s="1"/>
      <c r="D114" s="1" t="str">
        <f>IFERROR(__xludf.DUMMYFUNCTION("GOOGLETRANSLATE(A114 , ""auto"", ""ar"")"),"الغضب")</f>
        <v>الغضب</v>
      </c>
    </row>
    <row r="115" ht="15.75" customHeight="1">
      <c r="A115" s="1" t="s">
        <v>271</v>
      </c>
      <c r="B115" s="1" t="s">
        <v>272</v>
      </c>
      <c r="C115" s="2" t="s">
        <v>65</v>
      </c>
      <c r="D115" s="1" t="str">
        <f>IFERROR(__xludf.DUMMYFUNCTION("GOOGLETRANSLATE(A115 , ""auto"", ""ar"")"),"غاضب")</f>
        <v>غاضب</v>
      </c>
    </row>
    <row r="116" ht="15.75" customHeight="1">
      <c r="A116" s="1" t="s">
        <v>271</v>
      </c>
      <c r="B116" s="1" t="s">
        <v>273</v>
      </c>
      <c r="C116" s="2" t="s">
        <v>274</v>
      </c>
      <c r="D116" s="1" t="str">
        <f>IFERROR(__xludf.DUMMYFUNCTION("GOOGLETRANSLATE(A116 , ""auto"", ""ar"")"),"غاضب")</f>
        <v>غاضب</v>
      </c>
    </row>
    <row r="117" ht="15.75" customHeight="1">
      <c r="A117" s="1" t="s">
        <v>271</v>
      </c>
      <c r="B117" s="1" t="s">
        <v>275</v>
      </c>
      <c r="C117" s="1"/>
      <c r="D117" s="1" t="str">
        <f>IFERROR(__xludf.DUMMYFUNCTION("GOOGLETRANSLATE(A117 , ""auto"", ""ar"")"),"غاضب")</f>
        <v>غاضب</v>
      </c>
    </row>
    <row r="118" ht="15.75" customHeight="1">
      <c r="A118" s="1" t="s">
        <v>271</v>
      </c>
      <c r="B118" s="1" t="s">
        <v>276</v>
      </c>
      <c r="C118" s="1"/>
      <c r="D118" s="1" t="str">
        <f>IFERROR(__xludf.DUMMYFUNCTION("GOOGLETRANSLATE(A118 , ""auto"", ""ar"")"),"غاضب")</f>
        <v>غاضب</v>
      </c>
    </row>
    <row r="119" ht="15.75" customHeight="1">
      <c r="A119" s="1" t="s">
        <v>277</v>
      </c>
      <c r="B119" s="1" t="s">
        <v>278</v>
      </c>
      <c r="C119" s="2" t="s">
        <v>279</v>
      </c>
      <c r="D119" s="1" t="str">
        <f>IFERROR(__xludf.DUMMYFUNCTION("GOOGLETRANSLATE(A119 , ""auto"", ""ar"")"),"حيوان")</f>
        <v>حيوان</v>
      </c>
    </row>
    <row r="120" ht="15.75" customHeight="1">
      <c r="A120" s="1" t="s">
        <v>280</v>
      </c>
      <c r="B120" s="1" t="s">
        <v>281</v>
      </c>
      <c r="C120" s="2" t="s">
        <v>282</v>
      </c>
      <c r="D120" s="1" t="str">
        <f>IFERROR(__xludf.DUMMYFUNCTION("GOOGLETRANSLATE(A120 , ""auto"", ""ar"")"),"اليانسون")</f>
        <v>اليانسون</v>
      </c>
    </row>
    <row r="121" ht="15.75" customHeight="1">
      <c r="A121" s="1" t="s">
        <v>283</v>
      </c>
      <c r="B121" s="1" t="s">
        <v>284</v>
      </c>
      <c r="C121" s="1"/>
      <c r="D121" s="1" t="str">
        <f>IFERROR(__xludf.DUMMYFUNCTION("GOOGLETRANSLATE(A121 , ""auto"", ""ar"")"),"كاحل")</f>
        <v>كاحل</v>
      </c>
    </row>
    <row r="122" ht="15.75" customHeight="1">
      <c r="A122" s="1" t="s">
        <v>283</v>
      </c>
      <c r="B122" s="1" t="s">
        <v>284</v>
      </c>
      <c r="C122" s="1"/>
      <c r="D122" s="1" t="str">
        <f>IFERROR(__xludf.DUMMYFUNCTION("GOOGLETRANSLATE(A122 , ""auto"", ""ar"")"),"كاحل")</f>
        <v>كاحل</v>
      </c>
    </row>
    <row r="123" ht="15.75" customHeight="1">
      <c r="A123" s="1" t="s">
        <v>285</v>
      </c>
      <c r="B123" s="1" t="s">
        <v>286</v>
      </c>
      <c r="C123" s="2" t="s">
        <v>287</v>
      </c>
      <c r="D123" s="1" t="str">
        <f>IFERROR(__xludf.DUMMYFUNCTION("GOOGLETRANSLATE(A123 , ""auto"", ""ar"")"),"إعلان")</f>
        <v>إعلان</v>
      </c>
    </row>
    <row r="124" ht="15.75" customHeight="1">
      <c r="A124" s="1" t="s">
        <v>288</v>
      </c>
      <c r="B124" s="1" t="s">
        <v>289</v>
      </c>
      <c r="C124" s="2" t="s">
        <v>290</v>
      </c>
      <c r="D124" s="1" t="str">
        <f>IFERROR(__xludf.DUMMYFUNCTION("GOOGLETRANSLATE(A124 , ""auto"", ""ar"")"),"إجابة")</f>
        <v>إجابة</v>
      </c>
    </row>
    <row r="125" ht="15.75" customHeight="1">
      <c r="A125" s="1" t="s">
        <v>288</v>
      </c>
      <c r="B125" s="1" t="s">
        <v>291</v>
      </c>
      <c r="C125" s="2" t="s">
        <v>292</v>
      </c>
      <c r="D125" s="1" t="str">
        <f>IFERROR(__xludf.DUMMYFUNCTION("GOOGLETRANSLATE(A125 , ""auto"", ""ar"")"),"إجابة")</f>
        <v>إجابة</v>
      </c>
    </row>
    <row r="126" ht="15.75" customHeight="1">
      <c r="A126" s="1" t="s">
        <v>288</v>
      </c>
      <c r="B126" s="1" t="s">
        <v>293</v>
      </c>
      <c r="C126" s="2" t="s">
        <v>294</v>
      </c>
      <c r="D126" s="1" t="str">
        <f>IFERROR(__xludf.DUMMYFUNCTION("GOOGLETRANSLATE(A126 , ""auto"", ""ar"")"),"إجابة")</f>
        <v>إجابة</v>
      </c>
    </row>
    <row r="127" ht="15.75" customHeight="1">
      <c r="A127" s="1" t="s">
        <v>295</v>
      </c>
      <c r="B127" s="1" t="s">
        <v>296</v>
      </c>
      <c r="C127" s="2" t="s">
        <v>297</v>
      </c>
      <c r="D127" s="1" t="str">
        <f>IFERROR(__xludf.DUMMYFUNCTION("GOOGLETRANSLATE(A127 , ""auto"", ""ar"")"),"على")</f>
        <v>على</v>
      </c>
    </row>
    <row r="128" ht="15.75" customHeight="1">
      <c r="A128" s="1" t="s">
        <v>298</v>
      </c>
      <c r="B128" s="1" t="s">
        <v>299</v>
      </c>
      <c r="C128" s="2" t="s">
        <v>300</v>
      </c>
      <c r="D128" s="1" t="str">
        <f>IFERROR(__xludf.DUMMYFUNCTION("GOOGLETRANSLATE(A128 , ""auto"", ""ar"")"),"أي")</f>
        <v>أي</v>
      </c>
    </row>
    <row r="129" ht="15.75" customHeight="1">
      <c r="A129" s="1" t="s">
        <v>301</v>
      </c>
      <c r="B129" s="1" t="s">
        <v>302</v>
      </c>
      <c r="C129" s="2" t="s">
        <v>303</v>
      </c>
      <c r="D129" s="1" t="str">
        <f>IFERROR(__xludf.DUMMYFUNCTION("GOOGLETRANSLATE(A129 , ""auto"", ""ar"")"),"شقة")</f>
        <v>شقة</v>
      </c>
    </row>
    <row r="130" ht="15.75" customHeight="1">
      <c r="A130" s="1" t="s">
        <v>304</v>
      </c>
      <c r="B130" s="1" t="s">
        <v>305</v>
      </c>
      <c r="C130" s="2" t="s">
        <v>306</v>
      </c>
      <c r="D130" s="1" t="str">
        <f>IFERROR(__xludf.DUMMYFUNCTION("GOOGLETRANSLATE(A130 , ""auto"", ""ar"")"),"مبنى سكني")</f>
        <v>مبنى سكني</v>
      </c>
    </row>
    <row r="131" ht="15.75" customHeight="1">
      <c r="A131" s="1" t="s">
        <v>304</v>
      </c>
      <c r="B131" s="1" t="s">
        <v>307</v>
      </c>
      <c r="C131" s="1"/>
      <c r="D131" s="1" t="str">
        <f>IFERROR(__xludf.DUMMYFUNCTION("GOOGLETRANSLATE(A131 , ""auto"", ""ar"")"),"مبنى سكني")</f>
        <v>مبنى سكني</v>
      </c>
    </row>
    <row r="132" ht="15.75" customHeight="1">
      <c r="A132" s="1" t="s">
        <v>308</v>
      </c>
      <c r="B132" s="1" t="s">
        <v>309</v>
      </c>
      <c r="C132" s="2" t="s">
        <v>310</v>
      </c>
      <c r="D132" s="1" t="str">
        <f>IFERROR(__xludf.DUMMYFUNCTION("GOOGLETRANSLATE(A132 , ""auto"", ""ar"")"),"يظهر")</f>
        <v>يظهر</v>
      </c>
    </row>
    <row r="133" ht="15.75" customHeight="1">
      <c r="A133" s="1" t="s">
        <v>311</v>
      </c>
      <c r="B133" s="1" t="s">
        <v>312</v>
      </c>
      <c r="C133" s="1"/>
      <c r="D133" s="1" t="str">
        <f>IFERROR(__xludf.DUMMYFUNCTION("GOOGLETRANSLATE(A133 , ""auto"", ""ar"")"),"شهية")</f>
        <v>شهية</v>
      </c>
    </row>
    <row r="134" ht="15.75" customHeight="1">
      <c r="A134" s="1" t="s">
        <v>313</v>
      </c>
      <c r="B134" s="1" t="s">
        <v>314</v>
      </c>
      <c r="C134" s="2" t="s">
        <v>315</v>
      </c>
      <c r="D134" s="1" t="str">
        <f>IFERROR(__xludf.DUMMYFUNCTION("GOOGLETRANSLATE(A134 , ""auto"", ""ar"")"),"صفق")</f>
        <v>صفق</v>
      </c>
    </row>
    <row r="135" ht="15.75" customHeight="1">
      <c r="A135" s="1" t="s">
        <v>316</v>
      </c>
      <c r="B135" s="1" t="s">
        <v>317</v>
      </c>
      <c r="C135" s="2" t="s">
        <v>318</v>
      </c>
      <c r="D135" s="1" t="str">
        <f>IFERROR(__xludf.DUMMYFUNCTION("GOOGLETRANSLATE(A135 , ""auto"", ""ar"")"),"تفاحة")</f>
        <v>تفاحة</v>
      </c>
    </row>
    <row r="136" ht="15.75" customHeight="1">
      <c r="A136" s="1" t="s">
        <v>319</v>
      </c>
      <c r="B136" s="1" t="s">
        <v>320</v>
      </c>
      <c r="C136" s="2" t="s">
        <v>321</v>
      </c>
      <c r="D136" s="1" t="str">
        <f>IFERROR(__xludf.DUMMYFUNCTION("GOOGLETRANSLATE(A136 , ""auto"", ""ar"")"),"يتقدم")</f>
        <v>يتقدم</v>
      </c>
    </row>
    <row r="137" ht="15.75" customHeight="1">
      <c r="A137" s="1" t="s">
        <v>322</v>
      </c>
      <c r="B137" s="1" t="s">
        <v>323</v>
      </c>
      <c r="C137" s="2" t="s">
        <v>324</v>
      </c>
      <c r="D137" s="1" t="str">
        <f>IFERROR(__xludf.DUMMYFUNCTION("GOOGLETRANSLATE(A137 , ""auto"", ""ar"")"),"ميعاد")</f>
        <v>ميعاد</v>
      </c>
    </row>
    <row r="138" ht="15.75" customHeight="1">
      <c r="A138" s="1" t="s">
        <v>322</v>
      </c>
      <c r="B138" s="1" t="s">
        <v>325</v>
      </c>
      <c r="C138" s="2" t="s">
        <v>326</v>
      </c>
      <c r="D138" s="1" t="str">
        <f>IFERROR(__xludf.DUMMYFUNCTION("GOOGLETRANSLATE(A138 , ""auto"", ""ar"")"),"ميعاد")</f>
        <v>ميعاد</v>
      </c>
    </row>
    <row r="139" ht="15.75" customHeight="1">
      <c r="A139" s="1" t="s">
        <v>327</v>
      </c>
      <c r="B139" s="1" t="s">
        <v>328</v>
      </c>
      <c r="C139" s="2" t="s">
        <v>329</v>
      </c>
      <c r="D139" s="1" t="str">
        <f>IFERROR(__xludf.DUMMYFUNCTION("GOOGLETRANSLATE(A139 , ""auto"", ""ar"")"),"يقترب")</f>
        <v>يقترب</v>
      </c>
    </row>
    <row r="140" ht="15.75" customHeight="1">
      <c r="A140" s="1" t="s">
        <v>330</v>
      </c>
      <c r="B140" s="1" t="s">
        <v>331</v>
      </c>
      <c r="C140" s="2" t="s">
        <v>332</v>
      </c>
      <c r="D140" s="1" t="str">
        <f>IFERROR(__xludf.DUMMYFUNCTION("GOOGLETRANSLATE(A140 , ""auto"", ""ar"")"),"مشمش")</f>
        <v>مشمش</v>
      </c>
    </row>
    <row r="141" ht="15.75" customHeight="1">
      <c r="A141" s="1" t="s">
        <v>333</v>
      </c>
      <c r="B141" s="1" t="s">
        <v>334</v>
      </c>
      <c r="C141" s="2" t="s">
        <v>335</v>
      </c>
      <c r="D141" s="1" t="str">
        <f>IFERROR(__xludf.DUMMYFUNCTION("GOOGLETRANSLATE(A141 , ""auto"", ""ar"")"),"أبريل")</f>
        <v>أبريل</v>
      </c>
    </row>
    <row r="142" ht="15.75" customHeight="1">
      <c r="A142" s="1" t="s">
        <v>333</v>
      </c>
      <c r="B142" s="1" t="s">
        <v>336</v>
      </c>
      <c r="C142" s="2" t="s">
        <v>337</v>
      </c>
      <c r="D142" s="1" t="str">
        <f>IFERROR(__xludf.DUMMYFUNCTION("GOOGLETRANSLATE(A142 , ""auto"", ""ar"")"),"أبريل")</f>
        <v>أبريل</v>
      </c>
    </row>
    <row r="143" ht="15.75" customHeight="1">
      <c r="A143" s="1" t="s">
        <v>333</v>
      </c>
      <c r="B143" s="1"/>
      <c r="C143" s="1"/>
      <c r="D143" s="1" t="str">
        <f>IFERROR(__xludf.DUMMYFUNCTION("GOOGLETRANSLATE(A143 , ""auto"", ""ar"")"),"أبريل")</f>
        <v>أبريل</v>
      </c>
    </row>
    <row r="144" ht="15.75" customHeight="1">
      <c r="A144" s="1" t="s">
        <v>338</v>
      </c>
      <c r="B144" s="1" t="s">
        <v>339</v>
      </c>
      <c r="C144" s="2" t="s">
        <v>340</v>
      </c>
      <c r="D144" s="1" t="str">
        <f>IFERROR(__xludf.DUMMYFUNCTION("GOOGLETRANSLATE(A144 , ""auto"", ""ar"")"),"ساحة")</f>
        <v>ساحة</v>
      </c>
    </row>
    <row r="145" ht="15.75" customHeight="1">
      <c r="A145" s="1" t="s">
        <v>341</v>
      </c>
      <c r="B145" s="1" t="s">
        <v>342</v>
      </c>
      <c r="C145" s="2" t="s">
        <v>343</v>
      </c>
      <c r="D145" s="1" t="str">
        <f>IFERROR(__xludf.DUMMYFUNCTION("GOOGLETRANSLATE(A145 , ""auto"", ""ar"")"),"عربي")</f>
        <v>عربي</v>
      </c>
    </row>
    <row r="146" ht="15.75" customHeight="1">
      <c r="A146" s="1" t="s">
        <v>344</v>
      </c>
      <c r="B146" s="1" t="s">
        <v>345</v>
      </c>
      <c r="C146" s="1"/>
      <c r="D146" s="1" t="str">
        <f>IFERROR(__xludf.DUMMYFUNCTION("GOOGLETRANSLATE(A146 , ""auto"", ""ar"")"),"منطقة")</f>
        <v>منطقة</v>
      </c>
    </row>
    <row r="147" ht="15.75" customHeight="1">
      <c r="A147" s="1" t="s">
        <v>344</v>
      </c>
      <c r="B147" s="1" t="s">
        <v>346</v>
      </c>
      <c r="C147" s="2" t="s">
        <v>347</v>
      </c>
      <c r="D147" s="1" t="str">
        <f>IFERROR(__xludf.DUMMYFUNCTION("GOOGLETRANSLATE(A147 , ""auto"", ""ar"")"),"منطقة")</f>
        <v>منطقة</v>
      </c>
    </row>
    <row r="148" ht="15.75" customHeight="1">
      <c r="A148" s="1" t="s">
        <v>344</v>
      </c>
      <c r="B148" s="1" t="s">
        <v>348</v>
      </c>
      <c r="C148" s="1"/>
      <c r="D148" s="1" t="str">
        <f>IFERROR(__xludf.DUMMYFUNCTION("GOOGLETRANSLATE(A148 , ""auto"", ""ar"")"),"منطقة")</f>
        <v>منطقة</v>
      </c>
    </row>
    <row r="149" ht="15.75" customHeight="1">
      <c r="A149" s="1" t="s">
        <v>349</v>
      </c>
      <c r="B149" s="1" t="s">
        <v>350</v>
      </c>
      <c r="C149" s="1"/>
      <c r="D149" s="1" t="str">
        <f>IFERROR(__xludf.DUMMYFUNCTION("GOOGLETRANSLATE(A149 , ""auto"", ""ar"")"),"دعوى")</f>
        <v>دعوى</v>
      </c>
    </row>
    <row r="150" ht="15.75" customHeight="1">
      <c r="A150" s="1" t="s">
        <v>351</v>
      </c>
      <c r="B150" s="1" t="s">
        <v>352</v>
      </c>
      <c r="C150" s="2" t="s">
        <v>353</v>
      </c>
      <c r="D150" s="1" t="str">
        <f>IFERROR(__xludf.DUMMYFUNCTION("GOOGLETRANSLATE(A150 , ""auto"", ""ar"")"),"ذراع")</f>
        <v>ذراع</v>
      </c>
    </row>
    <row r="151" ht="15.75" customHeight="1">
      <c r="A151" s="1" t="s">
        <v>354</v>
      </c>
      <c r="B151" s="1" t="s">
        <v>355</v>
      </c>
      <c r="C151" s="1"/>
      <c r="D151" s="1" t="str">
        <f>IFERROR(__xludf.DUMMYFUNCTION("GOOGLETRANSLATE(A151 , ""auto"", ""ar"")"),"كرسي ذو ذراعين")</f>
        <v>كرسي ذو ذراعين</v>
      </c>
    </row>
    <row r="152" ht="15.75" customHeight="1">
      <c r="A152" s="1" t="s">
        <v>356</v>
      </c>
      <c r="B152" s="1" t="s">
        <v>357</v>
      </c>
      <c r="C152" s="2" t="s">
        <v>358</v>
      </c>
      <c r="D152" s="1" t="str">
        <f>IFERROR(__xludf.DUMMYFUNCTION("GOOGLETRANSLATE(A152 , ""auto"", ""ar"")"),"حول")</f>
        <v>حول</v>
      </c>
    </row>
    <row r="153" ht="15.75" customHeight="1">
      <c r="A153" s="1" t="s">
        <v>356</v>
      </c>
      <c r="B153" s="1" t="s">
        <v>359</v>
      </c>
      <c r="C153" s="2" t="s">
        <v>360</v>
      </c>
      <c r="D153" s="1" t="str">
        <f>IFERROR(__xludf.DUMMYFUNCTION("GOOGLETRANSLATE(A153 , ""auto"", ""ar"")"),"حول")</f>
        <v>حول</v>
      </c>
    </row>
    <row r="154" ht="15.75" customHeight="1">
      <c r="A154" s="1" t="s">
        <v>356</v>
      </c>
      <c r="B154" s="1" t="s">
        <v>361</v>
      </c>
      <c r="C154" s="1"/>
      <c r="D154" s="1" t="str">
        <f>IFERROR(__xludf.DUMMYFUNCTION("GOOGLETRANSLATE(A154 , ""auto"", ""ar"")"),"حول")</f>
        <v>حول</v>
      </c>
    </row>
    <row r="155" ht="15.75" customHeight="1">
      <c r="A155" s="1" t="s">
        <v>362</v>
      </c>
      <c r="B155" s="1" t="s">
        <v>363</v>
      </c>
      <c r="C155" s="2" t="s">
        <v>364</v>
      </c>
      <c r="D155" s="1" t="str">
        <f>IFERROR(__xludf.DUMMYFUNCTION("GOOGLETRANSLATE(A155 , ""auto"", ""ar"")"),"يقبض على")</f>
        <v>يقبض على</v>
      </c>
    </row>
    <row r="156" ht="15.75" customHeight="1">
      <c r="A156" s="1" t="s">
        <v>365</v>
      </c>
      <c r="B156" s="1" t="s">
        <v>366</v>
      </c>
      <c r="C156" s="2" t="s">
        <v>367</v>
      </c>
      <c r="D156" s="1" t="str">
        <f>IFERROR(__xludf.DUMMYFUNCTION("GOOGLETRANSLATE(A156 , ""auto"", ""ar"")"),"يصل")</f>
        <v>يصل</v>
      </c>
    </row>
    <row r="157" ht="15.75" customHeight="1">
      <c r="A157" s="1" t="s">
        <v>368</v>
      </c>
      <c r="B157" s="1" t="s">
        <v>369</v>
      </c>
      <c r="C157" s="2" t="s">
        <v>370</v>
      </c>
      <c r="D157" s="1" t="str">
        <f>IFERROR(__xludf.DUMMYFUNCTION("GOOGLETRANSLATE(A157 , ""auto"", ""ar"")"),"فن")</f>
        <v>فن</v>
      </c>
    </row>
    <row r="158" ht="15.75" customHeight="1">
      <c r="A158" s="1" t="s">
        <v>371</v>
      </c>
      <c r="B158" s="1" t="s">
        <v>372</v>
      </c>
      <c r="C158" s="1"/>
      <c r="D158" s="1" t="str">
        <f>IFERROR(__xludf.DUMMYFUNCTION("GOOGLETRANSLATE(A158 , ""auto"", ""ar"")"),"معرض الفن")</f>
        <v>معرض الفن</v>
      </c>
    </row>
    <row r="159" ht="15.75" customHeight="1">
      <c r="A159" s="1" t="s">
        <v>373</v>
      </c>
      <c r="B159" s="1" t="s">
        <v>374</v>
      </c>
      <c r="C159" s="2" t="s">
        <v>375</v>
      </c>
      <c r="D159" s="1" t="str">
        <f>IFERROR(__xludf.DUMMYFUNCTION("GOOGLETRANSLATE(A159 , ""auto"", ""ar"")"),"خرشوف")</f>
        <v>خرشوف</v>
      </c>
    </row>
    <row r="160" ht="15.75" customHeight="1">
      <c r="A160" s="1" t="s">
        <v>376</v>
      </c>
      <c r="B160" s="1" t="s">
        <v>377</v>
      </c>
      <c r="C160" s="2" t="s">
        <v>378</v>
      </c>
      <c r="D160" s="1" t="str">
        <f>IFERROR(__xludf.DUMMYFUNCTION("GOOGLETRANSLATE(A160 , ""auto"", ""ar"")"),"فنان")</f>
        <v>فنان</v>
      </c>
    </row>
    <row r="161" ht="15.75" customHeight="1">
      <c r="A161" s="1" t="s">
        <v>379</v>
      </c>
      <c r="B161" s="1" t="s">
        <v>380</v>
      </c>
      <c r="C161" s="2" t="s">
        <v>381</v>
      </c>
      <c r="D161" s="1" t="str">
        <f>IFERROR(__xludf.DUMMYFUNCTION("GOOGLETRANSLATE(A161 , ""auto"", ""ar"")"),"أما بالنسبة لل")</f>
        <v>أما بالنسبة لل</v>
      </c>
    </row>
    <row r="162" ht="15.75" customHeight="1">
      <c r="A162" s="1" t="s">
        <v>382</v>
      </c>
      <c r="B162" s="1" t="s">
        <v>383</v>
      </c>
      <c r="C162" s="2" t="s">
        <v>384</v>
      </c>
      <c r="D162" s="1" t="str">
        <f>IFERROR(__xludf.DUMMYFUNCTION("GOOGLETRANSLATE(A162 , ""auto"", ""ar"")"),"رماد")</f>
        <v>رماد</v>
      </c>
    </row>
    <row r="163" ht="15.75" customHeight="1">
      <c r="A163" s="1" t="s">
        <v>385</v>
      </c>
      <c r="B163" s="1" t="s">
        <v>386</v>
      </c>
      <c r="C163" s="2" t="s">
        <v>387</v>
      </c>
      <c r="D163" s="1" t="str">
        <f>IFERROR(__xludf.DUMMYFUNCTION("GOOGLETRANSLATE(A163 , ""auto"", ""ar"")"),"خجلان")</f>
        <v>خجلان</v>
      </c>
    </row>
    <row r="164" ht="15.75" customHeight="1">
      <c r="A164" s="1" t="s">
        <v>388</v>
      </c>
      <c r="B164" s="1" t="s">
        <v>389</v>
      </c>
      <c r="C164" s="2" t="s">
        <v>390</v>
      </c>
      <c r="D164" s="1" t="str">
        <f>IFERROR(__xludf.DUMMYFUNCTION("GOOGLETRANSLATE(A164 , ""auto"", ""ar"")"),"آسيوي")</f>
        <v>آسيوي</v>
      </c>
    </row>
    <row r="165" ht="15.75" customHeight="1">
      <c r="A165" s="1" t="s">
        <v>391</v>
      </c>
      <c r="B165" s="1" t="s">
        <v>392</v>
      </c>
      <c r="C165" s="2" t="s">
        <v>393</v>
      </c>
      <c r="D165" s="1" t="str">
        <f>IFERROR(__xludf.DUMMYFUNCTION("GOOGLETRANSLATE(A165 , ""auto"", ""ar"")"),"بسأل")</f>
        <v>بسأل</v>
      </c>
    </row>
    <row r="166" ht="15.75" customHeight="1">
      <c r="A166" s="1" t="s">
        <v>391</v>
      </c>
      <c r="B166" s="1" t="s">
        <v>394</v>
      </c>
      <c r="C166" s="2" t="s">
        <v>395</v>
      </c>
      <c r="D166" s="1" t="str">
        <f>IFERROR(__xludf.DUMMYFUNCTION("GOOGLETRANSLATE(A166 , ""auto"", ""ar"")"),"بسأل")</f>
        <v>بسأل</v>
      </c>
    </row>
    <row r="167" ht="15.75" customHeight="1">
      <c r="A167" s="1" t="s">
        <v>396</v>
      </c>
      <c r="B167" s="1" t="s">
        <v>397</v>
      </c>
      <c r="C167" s="2" t="s">
        <v>398</v>
      </c>
      <c r="D167" s="1" t="str">
        <f>IFERROR(__xludf.DUMMYFUNCTION("GOOGLETRANSLATE(A167 , ""auto"", ""ar"")"),"نائم")</f>
        <v>نائم</v>
      </c>
    </row>
    <row r="168" ht="15.75" customHeight="1">
      <c r="A168" s="1" t="s">
        <v>399</v>
      </c>
      <c r="B168" s="1" t="s">
        <v>400</v>
      </c>
      <c r="C168" s="2" t="s">
        <v>401</v>
      </c>
      <c r="D168" s="1" t="str">
        <f>IFERROR(__xludf.DUMMYFUNCTION("GOOGLETRANSLATE(A168 , ""auto"", ""ar"")"),"تجمع")</f>
        <v>تجمع</v>
      </c>
    </row>
    <row r="169" ht="15.75" customHeight="1">
      <c r="A169" s="1" t="s">
        <v>402</v>
      </c>
      <c r="B169" s="1" t="s">
        <v>403</v>
      </c>
      <c r="C169" s="2" t="s">
        <v>404</v>
      </c>
      <c r="D169" s="1" t="str">
        <f>IFERROR(__xludf.DUMMYFUNCTION("GOOGLETRANSLATE(A169 , ""auto"", ""ar"")"),"منظمة")</f>
        <v>منظمة</v>
      </c>
    </row>
    <row r="170" ht="15.75" customHeight="1">
      <c r="A170" s="1" t="s">
        <v>405</v>
      </c>
      <c r="B170" s="1" t="s">
        <v>406</v>
      </c>
      <c r="C170" s="2" t="s">
        <v>407</v>
      </c>
      <c r="D170" s="1" t="str">
        <f>IFERROR(__xludf.DUMMYFUNCTION("GOOGLETRANSLATE(A170 , ""auto"", ""ar"")"),"تأكد")</f>
        <v>تأكد</v>
      </c>
    </row>
    <row r="171" ht="15.75" customHeight="1">
      <c r="A171" s="1" t="s">
        <v>408</v>
      </c>
      <c r="B171" s="1" t="s">
        <v>409</v>
      </c>
      <c r="C171" s="2" t="s">
        <v>410</v>
      </c>
      <c r="D171" s="1" t="str">
        <f>IFERROR(__xludf.DUMMYFUNCTION("GOOGLETRANSLATE(A171 , ""auto"", ""ar"")"),"في")</f>
        <v>في</v>
      </c>
    </row>
    <row r="172" ht="15.75" customHeight="1">
      <c r="A172" s="1" t="s">
        <v>408</v>
      </c>
      <c r="B172" s="1" t="s">
        <v>411</v>
      </c>
      <c r="C172" s="2" t="s">
        <v>412</v>
      </c>
      <c r="D172" s="1" t="str">
        <f>IFERROR(__xludf.DUMMYFUNCTION("GOOGLETRANSLATE(A172 , ""auto"", ""ar"")"),"في")</f>
        <v>في</v>
      </c>
    </row>
    <row r="173" ht="15.75" customHeight="1">
      <c r="A173" s="1" t="s">
        <v>413</v>
      </c>
      <c r="B173" s="1" t="s">
        <v>414</v>
      </c>
      <c r="C173" s="1"/>
      <c r="D173" s="1" t="str">
        <f>IFERROR(__xludf.DUMMYFUNCTION("GOOGLETRANSLATE(A173 , ""auto"", ""ar"")"),"على الأقل")</f>
        <v>على الأقل</v>
      </c>
    </row>
    <row r="174" ht="15.75" customHeight="1">
      <c r="A174" s="1" t="s">
        <v>415</v>
      </c>
      <c r="B174" s="1" t="s">
        <v>416</v>
      </c>
      <c r="C174" s="2" t="s">
        <v>417</v>
      </c>
      <c r="D174" s="1" t="str">
        <f>IFERROR(__xludf.DUMMYFUNCTION("GOOGLETRANSLATE(A174 , ""auto"", ""ar"")"),"في اللحظة")</f>
        <v>في اللحظة</v>
      </c>
    </row>
    <row r="175" ht="15.75" customHeight="1">
      <c r="A175" s="1" t="s">
        <v>418</v>
      </c>
      <c r="B175" s="1" t="s">
        <v>416</v>
      </c>
      <c r="C175" s="2" t="s">
        <v>417</v>
      </c>
      <c r="D175" s="1" t="str">
        <f>IFERROR(__xludf.DUMMYFUNCTION("GOOGLETRANSLATE(A175 , ""auto"", ""ar"")"),"في هذا الوقت")</f>
        <v>في هذا الوقت</v>
      </c>
    </row>
    <row r="176" ht="15.75" customHeight="1">
      <c r="A176" s="1" t="s">
        <v>419</v>
      </c>
      <c r="B176" s="1" t="s">
        <v>420</v>
      </c>
      <c r="C176" s="2" t="s">
        <v>421</v>
      </c>
      <c r="D176" s="1" t="str">
        <f>IFERROR(__xludf.DUMMYFUNCTION("GOOGLETRANSLATE(A176 , ""auto"", ""ar"")"),"أَجواء")</f>
        <v>أَجواء</v>
      </c>
    </row>
    <row r="177" ht="15.75" customHeight="1">
      <c r="A177" s="1" t="s">
        <v>422</v>
      </c>
      <c r="B177" s="1" t="s">
        <v>423</v>
      </c>
      <c r="C177" s="1"/>
      <c r="D177" s="1" t="str">
        <f>IFERROR(__xludf.DUMMYFUNCTION("GOOGLETRANSLATE(A177 , ""auto"", ""ar"")"),"هجوم")</f>
        <v>هجوم</v>
      </c>
    </row>
    <row r="178" ht="15.75" customHeight="1">
      <c r="A178" s="1" t="s">
        <v>422</v>
      </c>
      <c r="B178" s="1" t="s">
        <v>424</v>
      </c>
      <c r="C178" s="2" t="s">
        <v>425</v>
      </c>
      <c r="D178" s="1" t="str">
        <f>IFERROR(__xludf.DUMMYFUNCTION("GOOGLETRANSLATE(A178 , ""auto"", ""ar"")"),"هجوم")</f>
        <v>هجوم</v>
      </c>
    </row>
    <row r="179" ht="15.75" customHeight="1">
      <c r="A179" s="1" t="s">
        <v>426</v>
      </c>
      <c r="B179" s="1" t="s">
        <v>427</v>
      </c>
      <c r="C179" s="2" t="s">
        <v>428</v>
      </c>
      <c r="D179" s="1" t="str">
        <f>IFERROR(__xludf.DUMMYFUNCTION("GOOGLETRANSLATE(A179 , ""auto"", ""ar"")"),"جذب")</f>
        <v>جذب</v>
      </c>
    </row>
    <row r="180" ht="15.75" customHeight="1">
      <c r="A180" s="1" t="s">
        <v>426</v>
      </c>
      <c r="B180" s="1" t="s">
        <v>429</v>
      </c>
      <c r="C180" s="2" t="s">
        <v>430</v>
      </c>
      <c r="D180" s="1" t="str">
        <f>IFERROR(__xludf.DUMMYFUNCTION("GOOGLETRANSLATE(A180 , ""auto"", ""ar"")"),"جذب")</f>
        <v>جذب</v>
      </c>
    </row>
    <row r="181" ht="15.75" customHeight="1">
      <c r="A181" s="1" t="s">
        <v>431</v>
      </c>
      <c r="B181" s="1" t="s">
        <v>432</v>
      </c>
      <c r="C181" s="2" t="s">
        <v>433</v>
      </c>
      <c r="D181" s="1" t="str">
        <f>IFERROR(__xludf.DUMMYFUNCTION("GOOGLETRANSLATE(A181 , ""auto"", ""ar"")"),"باذنجان")</f>
        <v>باذنجان</v>
      </c>
    </row>
    <row r="182" ht="15.75" customHeight="1">
      <c r="A182" s="1" t="s">
        <v>434</v>
      </c>
      <c r="B182" s="1" t="s">
        <v>435</v>
      </c>
      <c r="C182" s="1"/>
      <c r="D182" s="1" t="str">
        <f>IFERROR(__xludf.DUMMYFUNCTION("GOOGLETRANSLATE(A182 , ""auto"", ""ar"")"),"الصوت والبصري")</f>
        <v>الصوت والبصري</v>
      </c>
    </row>
    <row r="183" ht="15.75" customHeight="1">
      <c r="A183" s="1" t="s">
        <v>436</v>
      </c>
      <c r="B183" s="1" t="s">
        <v>437</v>
      </c>
      <c r="C183" s="2" t="s">
        <v>438</v>
      </c>
      <c r="D183" s="1" t="str">
        <f>IFERROR(__xludf.DUMMYFUNCTION("GOOGLETRANSLATE(A183 , ""auto"", ""ar"")"),"أغسطس")</f>
        <v>أغسطس</v>
      </c>
    </row>
    <row r="184" ht="15.75" customHeight="1">
      <c r="A184" s="1" t="s">
        <v>436</v>
      </c>
      <c r="B184" s="1" t="s">
        <v>439</v>
      </c>
      <c r="C184" s="2" t="s">
        <v>440</v>
      </c>
      <c r="D184" s="1" t="str">
        <f>IFERROR(__xludf.DUMMYFUNCTION("GOOGLETRANSLATE(A184 , ""auto"", ""ar"")"),"أغسطس")</f>
        <v>أغسطس</v>
      </c>
    </row>
    <row r="185" ht="15.75" customHeight="1">
      <c r="A185" s="1" t="s">
        <v>441</v>
      </c>
      <c r="B185" s="1" t="s">
        <v>442</v>
      </c>
      <c r="C185" s="2" t="s">
        <v>443</v>
      </c>
      <c r="D185" s="1" t="str">
        <f>IFERROR(__xludf.DUMMYFUNCTION("GOOGLETRANSLATE(A185 , ""auto"", ""ar"")"),"عمة")</f>
        <v>عمة</v>
      </c>
    </row>
    <row r="186" ht="15.75" customHeight="1">
      <c r="A186" s="1" t="s">
        <v>441</v>
      </c>
      <c r="B186" s="1" t="s">
        <v>444</v>
      </c>
      <c r="C186" s="2" t="s">
        <v>445</v>
      </c>
      <c r="D186" s="1" t="str">
        <f>IFERROR(__xludf.DUMMYFUNCTION("GOOGLETRANSLATE(A186 , ""auto"", ""ar"")"),"عمة")</f>
        <v>عمة</v>
      </c>
    </row>
    <row r="187" ht="15.75" customHeight="1">
      <c r="A187" s="1" t="s">
        <v>446</v>
      </c>
      <c r="B187" s="1" t="s">
        <v>447</v>
      </c>
      <c r="C187" s="1"/>
      <c r="D187" s="1" t="str">
        <f>IFERROR(__xludf.DUMMYFUNCTION("GOOGLETRANSLATE(A187 , ""auto"", ""ar"")"),"أستراليا")</f>
        <v>أستراليا</v>
      </c>
    </row>
    <row r="188" ht="15.75" customHeight="1">
      <c r="A188" s="1" t="s">
        <v>448</v>
      </c>
      <c r="B188" s="1" t="s">
        <v>449</v>
      </c>
      <c r="C188" s="2" t="s">
        <v>450</v>
      </c>
      <c r="D188" s="1" t="str">
        <f>IFERROR(__xludf.DUMMYFUNCTION("GOOGLETRANSLATE(A188 , ""auto"", ""ar"")"),"خريف")</f>
        <v>خريف</v>
      </c>
    </row>
    <row r="189" ht="15.75" customHeight="1">
      <c r="A189" s="1" t="s">
        <v>451</v>
      </c>
      <c r="B189" s="1" t="s">
        <v>452</v>
      </c>
      <c r="C189" s="2" t="s">
        <v>65</v>
      </c>
      <c r="D189" s="1" t="str">
        <f>IFERROR(__xludf.DUMMYFUNCTION("GOOGLETRANSLATE(A189 , ""auto"", ""ar"")"),"متاح")</f>
        <v>متاح</v>
      </c>
    </row>
    <row r="190" ht="15.75" customHeight="1">
      <c r="A190" s="1" t="s">
        <v>453</v>
      </c>
      <c r="B190" s="1" t="s">
        <v>454</v>
      </c>
      <c r="C190" s="2" t="s">
        <v>455</v>
      </c>
      <c r="D190" s="1" t="str">
        <f>IFERROR(__xludf.DUMMYFUNCTION("GOOGLETRANSLATE(A190 , ""auto"", ""ar"")"),"الانتقام")</f>
        <v>الانتقام</v>
      </c>
    </row>
    <row r="191" ht="15.75" customHeight="1">
      <c r="A191" s="1" t="s">
        <v>456</v>
      </c>
      <c r="B191" s="1" t="s">
        <v>457</v>
      </c>
      <c r="C191" s="2" t="s">
        <v>458</v>
      </c>
      <c r="D191" s="1" t="str">
        <f>IFERROR(__xludf.DUMMYFUNCTION("GOOGLETRANSLATE(A191 , ""auto"", ""ar"")"),"شارع")</f>
        <v>شارع</v>
      </c>
    </row>
    <row r="192" ht="15.75" customHeight="1">
      <c r="A192" s="1" t="s">
        <v>459</v>
      </c>
      <c r="B192" s="1" t="s">
        <v>460</v>
      </c>
      <c r="C192" s="2" t="s">
        <v>461</v>
      </c>
      <c r="D192" s="1" t="str">
        <f>IFERROR(__xludf.DUMMYFUNCTION("GOOGLETRANSLATE(A192 , ""auto"", ""ar"")"),"متوسط")</f>
        <v>متوسط</v>
      </c>
    </row>
    <row r="193" ht="15.75" customHeight="1">
      <c r="A193" s="1" t="s">
        <v>462</v>
      </c>
      <c r="B193" s="1" t="s">
        <v>463</v>
      </c>
      <c r="C193" s="1"/>
      <c r="D193" s="1" t="str">
        <f>IFERROR(__xludf.DUMMYFUNCTION("GOOGLETRANSLATE(A193 , ""auto"", ""ar"")"),"أفوكادو")</f>
        <v>أفوكادو</v>
      </c>
    </row>
    <row r="194" ht="15.75" customHeight="1">
      <c r="A194" s="1" t="s">
        <v>464</v>
      </c>
      <c r="B194" s="1" t="s">
        <v>465</v>
      </c>
      <c r="C194" s="1"/>
      <c r="D194" s="1" t="str">
        <f>IFERROR(__xludf.DUMMYFUNCTION("GOOGLETRANSLATE(A194 , ""auto"", ""ar"")"),"فأس")</f>
        <v>فأس</v>
      </c>
    </row>
    <row r="195" ht="15.75" customHeight="1">
      <c r="A195" s="1" t="s">
        <v>466</v>
      </c>
      <c r="B195" s="1" t="s">
        <v>467</v>
      </c>
      <c r="C195" s="2" t="s">
        <v>468</v>
      </c>
      <c r="D195" s="1" t="str">
        <f>IFERROR(__xludf.DUMMYFUNCTION("GOOGLETRANSLATE(A195 , ""auto"", ""ar"")"),"اسم العائلة")</f>
        <v>اسم العائلة</v>
      </c>
    </row>
    <row r="196" ht="15.75" customHeight="1">
      <c r="A196" s="1" t="s">
        <v>43</v>
      </c>
      <c r="B196" s="1" t="s">
        <v>44</v>
      </c>
      <c r="C196" s="2" t="s">
        <v>45</v>
      </c>
      <c r="D196" s="1" t="str">
        <f>IFERROR(__xludf.DUMMYFUNCTION("GOOGLETRANSLATE(A196 , ""auto"", ""ar"")"),"مقبول")</f>
        <v>مقبول</v>
      </c>
    </row>
    <row r="197" ht="15.75" customHeight="1">
      <c r="A197" s="1" t="s">
        <v>469</v>
      </c>
      <c r="B197" s="1" t="s">
        <v>470</v>
      </c>
      <c r="C197" s="2" t="s">
        <v>471</v>
      </c>
      <c r="D197" s="1" t="str">
        <f>IFERROR(__xludf.DUMMYFUNCTION("GOOGLETRANSLATE(A197 , ""auto"", ""ar"")"),"التصالح")</f>
        <v>التصالح</v>
      </c>
    </row>
    <row r="198" ht="15.75" customHeight="1">
      <c r="A198" s="1" t="s">
        <v>472</v>
      </c>
      <c r="B198" s="1" t="s">
        <v>473</v>
      </c>
      <c r="C198" s="2" t="s">
        <v>474</v>
      </c>
      <c r="D198" s="1" t="str">
        <f>IFERROR(__xludf.DUMMYFUNCTION("GOOGLETRANSLATE(A198 , ""auto"", ""ar"")"),"مغفرة")</f>
        <v>مغفرة</v>
      </c>
    </row>
    <row r="199" ht="15.75" customHeight="1">
      <c r="A199" s="1" t="s">
        <v>475</v>
      </c>
      <c r="B199" s="1" t="s">
        <v>476</v>
      </c>
      <c r="C199" s="2" t="s">
        <v>477</v>
      </c>
      <c r="D199" s="1" t="str">
        <f>IFERROR(__xludf.DUMMYFUNCTION("GOOGLETRANSLATE(A199 , ""auto"", ""ar"")"),"يخبر")</f>
        <v>يخبر</v>
      </c>
    </row>
    <row r="200" ht="15.75" customHeight="1">
      <c r="A200" s="1" t="s">
        <v>478</v>
      </c>
      <c r="B200" s="1" t="s">
        <v>479</v>
      </c>
      <c r="C200" s="1"/>
      <c r="D200" s="1" t="str">
        <f>IFERROR(__xludf.DUMMYFUNCTION("GOOGLETRANSLATE(A200 , ""auto"", ""ar"")"),"طفل")</f>
        <v>طفل</v>
      </c>
    </row>
    <row r="201" ht="15.75" customHeight="1">
      <c r="A201" s="1" t="s">
        <v>478</v>
      </c>
      <c r="B201" s="1" t="s">
        <v>480</v>
      </c>
      <c r="C201" s="1"/>
      <c r="D201" s="1" t="str">
        <f>IFERROR(__xludf.DUMMYFUNCTION("GOOGLETRANSLATE(A201 , ""auto"", ""ar"")"),"طفل")</f>
        <v>طفل</v>
      </c>
    </row>
    <row r="202" ht="15.75" customHeight="1">
      <c r="A202" s="1" t="s">
        <v>478</v>
      </c>
      <c r="B202" s="1" t="s">
        <v>481</v>
      </c>
      <c r="C202" s="1"/>
      <c r="D202" s="1" t="str">
        <f>IFERROR(__xludf.DUMMYFUNCTION("GOOGLETRANSLATE(A202 , ""auto"", ""ar"")"),"طفل")</f>
        <v>طفل</v>
      </c>
    </row>
    <row r="203" ht="15.75" customHeight="1">
      <c r="A203" s="1" t="s">
        <v>482</v>
      </c>
      <c r="B203" s="1" t="s">
        <v>483</v>
      </c>
      <c r="C203" s="2" t="s">
        <v>484</v>
      </c>
      <c r="D203" s="1" t="str">
        <f>IFERROR(__xludf.DUMMYFUNCTION("GOOGLETRANSLATE(A203 , ""auto"", ""ar"")"),"خلف")</f>
        <v>خلف</v>
      </c>
    </row>
    <row r="204" ht="15.75" customHeight="1">
      <c r="A204" s="1" t="s">
        <v>485</v>
      </c>
      <c r="B204" s="1" t="s">
        <v>486</v>
      </c>
      <c r="C204" s="2" t="s">
        <v>487</v>
      </c>
      <c r="D204" s="1" t="str">
        <f>IFERROR(__xludf.DUMMYFUNCTION("GOOGLETRANSLATE(A204 , ""auto"", ""ar"")"),"حقيبة ظهر")</f>
        <v>حقيبة ظهر</v>
      </c>
    </row>
    <row r="205" ht="15.75" customHeight="1">
      <c r="A205" s="1" t="s">
        <v>488</v>
      </c>
      <c r="B205" s="1" t="s">
        <v>489</v>
      </c>
      <c r="C205" s="2" t="s">
        <v>490</v>
      </c>
      <c r="D205" s="1" t="str">
        <f>IFERROR(__xludf.DUMMYFUNCTION("GOOGLETRANSLATE(A205 , ""auto"", ""ar"")"),"سيء")</f>
        <v>سيء</v>
      </c>
    </row>
    <row r="206" ht="15.75" customHeight="1">
      <c r="A206" s="1" t="s">
        <v>491</v>
      </c>
      <c r="B206" s="1" t="s">
        <v>492</v>
      </c>
      <c r="C206" s="1"/>
      <c r="D206" s="1" t="str">
        <f>IFERROR(__xludf.DUMMYFUNCTION("GOOGLETRANSLATE(A206 , ""auto"", ""ar"")"),"شخص سيء")</f>
        <v>شخص سيء</v>
      </c>
    </row>
    <row r="207" ht="15.75" customHeight="1">
      <c r="A207" s="1" t="s">
        <v>491</v>
      </c>
      <c r="B207" s="1" t="s">
        <v>493</v>
      </c>
      <c r="C207" s="1"/>
      <c r="D207" s="1" t="str">
        <f>IFERROR(__xludf.DUMMYFUNCTION("GOOGLETRANSLATE(A207 , ""auto"", ""ar"")"),"شخص سيء")</f>
        <v>شخص سيء</v>
      </c>
    </row>
    <row r="208" ht="15.75" customHeight="1">
      <c r="A208" s="1" t="s">
        <v>494</v>
      </c>
      <c r="B208" s="1" t="s">
        <v>495</v>
      </c>
      <c r="C208" s="2" t="s">
        <v>496</v>
      </c>
      <c r="D208" s="1" t="str">
        <f>IFERROR(__xludf.DUMMYFUNCTION("GOOGLETRANSLATE(A208 , ""auto"", ""ar"")"),"شنطة")</f>
        <v>شنطة</v>
      </c>
    </row>
    <row r="209" ht="15.75" customHeight="1">
      <c r="A209" s="1" t="s">
        <v>497</v>
      </c>
      <c r="B209" s="1" t="s">
        <v>498</v>
      </c>
      <c r="C209" s="2" t="s">
        <v>499</v>
      </c>
      <c r="D209" s="1" t="str">
        <f>IFERROR(__xludf.DUMMYFUNCTION("GOOGLETRANSLATE(A209 , ""auto"", ""ar"")"),"أمتعة")</f>
        <v>أمتعة</v>
      </c>
    </row>
    <row r="210" ht="15.75" customHeight="1">
      <c r="A210" s="1" t="s">
        <v>500</v>
      </c>
      <c r="B210" s="1" t="s">
        <v>501</v>
      </c>
      <c r="C210" s="2" t="s">
        <v>502</v>
      </c>
      <c r="D210" s="1" t="str">
        <f>IFERROR(__xludf.DUMMYFUNCTION("GOOGLETRANSLATE(A210 , ""auto"", ""ar"")"),"خباز")</f>
        <v>خباز</v>
      </c>
    </row>
    <row r="211" ht="15.75" customHeight="1">
      <c r="A211" s="1" t="s">
        <v>503</v>
      </c>
      <c r="B211" s="1" t="s">
        <v>504</v>
      </c>
      <c r="C211" s="1"/>
      <c r="D211" s="1" t="str">
        <f>IFERROR(__xludf.DUMMYFUNCTION("GOOGLETRANSLATE(A211 , ""auto"", ""ar"")"),"مسحوق الخبز")</f>
        <v>مسحوق الخبز</v>
      </c>
    </row>
    <row r="212" ht="15.75" customHeight="1">
      <c r="A212" s="1" t="s">
        <v>505</v>
      </c>
      <c r="B212" s="1" t="s">
        <v>506</v>
      </c>
      <c r="C212" s="2" t="s">
        <v>507</v>
      </c>
      <c r="D212" s="1" t="str">
        <f>IFERROR(__xludf.DUMMYFUNCTION("GOOGLETRANSLATE(A212 , ""auto"", ""ar"")"),"شرفة")</f>
        <v>شرفة</v>
      </c>
    </row>
    <row r="213" ht="15.75" customHeight="1">
      <c r="A213" s="1" t="s">
        <v>508</v>
      </c>
      <c r="B213" s="1" t="s">
        <v>509</v>
      </c>
      <c r="C213" s="2" t="s">
        <v>510</v>
      </c>
      <c r="D213" s="1" t="str">
        <f>IFERROR(__xludf.DUMMYFUNCTION("GOOGLETRANSLATE(A213 , ""auto"", ""ar"")"),"كرة")</f>
        <v>كرة</v>
      </c>
    </row>
    <row r="214" ht="15.75" customHeight="1">
      <c r="A214" s="1" t="s">
        <v>511</v>
      </c>
      <c r="B214" s="1" t="s">
        <v>512</v>
      </c>
      <c r="C214" s="2" t="s">
        <v>513</v>
      </c>
      <c r="D214" s="1" t="str">
        <f>IFERROR(__xludf.DUMMYFUNCTION("GOOGLETRANSLATE(A214 , ""auto"", ""ar"")"),"المنع")</f>
        <v>المنع</v>
      </c>
    </row>
    <row r="215" ht="15.75" customHeight="1">
      <c r="A215" s="1" t="s">
        <v>514</v>
      </c>
      <c r="B215" s="1" t="s">
        <v>515</v>
      </c>
      <c r="C215" s="2" t="s">
        <v>516</v>
      </c>
      <c r="D215" s="1" t="str">
        <f>IFERROR(__xludf.DUMMYFUNCTION("GOOGLETRANSLATE(A215 , ""auto"", ""ar"")"),"موز")</f>
        <v>موز</v>
      </c>
    </row>
    <row r="216" ht="15.75" customHeight="1">
      <c r="A216" s="1" t="s">
        <v>517</v>
      </c>
      <c r="B216" s="1" t="s">
        <v>518</v>
      </c>
      <c r="C216" s="2" t="s">
        <v>519</v>
      </c>
      <c r="D216" s="1" t="str">
        <f>IFERROR(__xludf.DUMMYFUNCTION("GOOGLETRANSLATE(A216 , ""auto"", ""ar"")"),"بنك")</f>
        <v>بنك</v>
      </c>
    </row>
    <row r="217" ht="15.75" customHeight="1">
      <c r="A217" s="1" t="s">
        <v>517</v>
      </c>
      <c r="B217" s="1" t="s">
        <v>520</v>
      </c>
      <c r="C217" s="2" t="s">
        <v>521</v>
      </c>
      <c r="D217" s="1" t="str">
        <f>IFERROR(__xludf.DUMMYFUNCTION("GOOGLETRANSLATE(A217 , ""auto"", ""ar"")"),"بنك")</f>
        <v>بنك</v>
      </c>
    </row>
    <row r="218" ht="15.75" customHeight="1">
      <c r="A218" s="1" t="s">
        <v>522</v>
      </c>
      <c r="B218" s="1" t="s">
        <v>520</v>
      </c>
      <c r="C218" s="2" t="s">
        <v>521</v>
      </c>
      <c r="D218" s="1" t="str">
        <f>IFERROR(__xludf.DUMMYFUNCTION("GOOGLETRANSLATE(A218 , ""auto"", ""ar"")"),"الخدمات المصرفية")</f>
        <v>الخدمات المصرفية</v>
      </c>
    </row>
    <row r="219" ht="15.75" customHeight="1">
      <c r="A219" s="1" t="s">
        <v>523</v>
      </c>
      <c r="B219" s="1" t="s">
        <v>524</v>
      </c>
      <c r="C219" s="2" t="s">
        <v>525</v>
      </c>
      <c r="D219" s="1" t="str">
        <f>IFERROR(__xludf.DUMMYFUNCTION("GOOGLETRANSLATE(A219 , ""auto"", ""ar"")"),"محظور")</f>
        <v>محظور</v>
      </c>
    </row>
    <row r="220" ht="15.75" customHeight="1">
      <c r="A220" s="1" t="s">
        <v>523</v>
      </c>
      <c r="B220" s="1" t="s">
        <v>526</v>
      </c>
      <c r="C220" s="1"/>
      <c r="D220" s="1" t="str">
        <f>IFERROR(__xludf.DUMMYFUNCTION("GOOGLETRANSLATE(A220 , ""auto"", ""ar"")"),"محظور")</f>
        <v>محظور</v>
      </c>
    </row>
    <row r="221" ht="15.75" customHeight="1">
      <c r="A221" s="1" t="s">
        <v>523</v>
      </c>
      <c r="B221" s="1" t="s">
        <v>527</v>
      </c>
      <c r="C221" s="2" t="s">
        <v>528</v>
      </c>
      <c r="D221" s="1" t="str">
        <f>IFERROR(__xludf.DUMMYFUNCTION("GOOGLETRANSLATE(A221 , ""auto"", ""ar"")"),"محظور")</f>
        <v>محظور</v>
      </c>
    </row>
    <row r="222" ht="15.75" customHeight="1">
      <c r="A222" s="1" t="s">
        <v>529</v>
      </c>
      <c r="B222" s="1" t="s">
        <v>530</v>
      </c>
      <c r="C222" s="1"/>
      <c r="D222" s="1" t="str">
        <f>IFERROR(__xludf.DUMMYFUNCTION("GOOGLETRANSLATE(A222 , ""auto"", ""ar"")"),"الشواء")</f>
        <v>الشواء</v>
      </c>
    </row>
    <row r="223" ht="15.75" customHeight="1">
      <c r="A223" s="1" t="s">
        <v>531</v>
      </c>
      <c r="B223" s="1" t="s">
        <v>532</v>
      </c>
      <c r="C223" s="2" t="s">
        <v>533</v>
      </c>
      <c r="D223" s="1" t="str">
        <f>IFERROR(__xludf.DUMMYFUNCTION("GOOGLETRANSLATE(A223 , ""auto"", ""ar"")"),"نباح")</f>
        <v>نباح</v>
      </c>
    </row>
    <row r="224" ht="15.75" customHeight="1">
      <c r="A224" s="1" t="s">
        <v>534</v>
      </c>
      <c r="B224" s="1" t="s">
        <v>535</v>
      </c>
      <c r="C224" s="2" t="s">
        <v>536</v>
      </c>
      <c r="D224" s="1" t="str">
        <f>IFERROR(__xludf.DUMMYFUNCTION("GOOGLETRANSLATE(A224 , ""auto"", ""ar"")"),"شعير")</f>
        <v>شعير</v>
      </c>
    </row>
    <row r="225" ht="15.75" customHeight="1">
      <c r="A225" s="1" t="s">
        <v>537</v>
      </c>
      <c r="B225" s="1" t="s">
        <v>538</v>
      </c>
      <c r="C225" s="2" t="s">
        <v>539</v>
      </c>
      <c r="D225" s="1" t="str">
        <f>IFERROR(__xludf.DUMMYFUNCTION("GOOGLETRANSLATE(A225 , ""auto"", ""ar"")"),"قاعدة")</f>
        <v>قاعدة</v>
      </c>
    </row>
    <row r="226" ht="15.75" customHeight="1">
      <c r="A226" s="1" t="s">
        <v>540</v>
      </c>
      <c r="B226" s="1" t="s">
        <v>541</v>
      </c>
      <c r="C226" s="2" t="s">
        <v>542</v>
      </c>
      <c r="D226" s="1" t="str">
        <f>IFERROR(__xludf.DUMMYFUNCTION("GOOGLETRANSLATE(A226 , ""auto"", ""ar"")"),"قبو")</f>
        <v>قبو</v>
      </c>
    </row>
    <row r="227" ht="15.75" customHeight="1">
      <c r="A227" s="1" t="s">
        <v>543</v>
      </c>
      <c r="B227" s="1" t="s">
        <v>544</v>
      </c>
      <c r="C227" s="2" t="s">
        <v>545</v>
      </c>
      <c r="D227" s="1" t="str">
        <f>IFERROR(__xludf.DUMMYFUNCTION("GOOGLETRANSLATE(A227 , ""auto"", ""ar"")"),"رَيحان")</f>
        <v>رَيحان</v>
      </c>
    </row>
    <row r="228" ht="15.75" customHeight="1">
      <c r="A228" s="1" t="s">
        <v>546</v>
      </c>
      <c r="B228" s="1" t="s">
        <v>547</v>
      </c>
      <c r="C228" s="2" t="s">
        <v>548</v>
      </c>
      <c r="D228" s="1" t="str">
        <f>IFERROR(__xludf.DUMMYFUNCTION("GOOGLETRANSLATE(A228 , ""auto"", ""ar"")"),"حوض")</f>
        <v>حوض</v>
      </c>
    </row>
    <row r="229" ht="15.75" customHeight="1">
      <c r="A229" s="1" t="s">
        <v>546</v>
      </c>
      <c r="B229" s="1" t="s">
        <v>549</v>
      </c>
      <c r="C229" s="2" t="s">
        <v>550</v>
      </c>
      <c r="D229" s="1" t="str">
        <f>IFERROR(__xludf.DUMMYFUNCTION("GOOGLETRANSLATE(A229 , ""auto"", ""ar"")"),"حوض")</f>
        <v>حوض</v>
      </c>
    </row>
    <row r="230" ht="15.75" customHeight="1">
      <c r="A230" s="1" t="s">
        <v>546</v>
      </c>
      <c r="B230" s="1" t="s">
        <v>551</v>
      </c>
      <c r="C230" s="2" t="s">
        <v>552</v>
      </c>
      <c r="D230" s="1" t="str">
        <f>IFERROR(__xludf.DUMMYFUNCTION("GOOGLETRANSLATE(A230 , ""auto"", ""ar"")"),"حوض")</f>
        <v>حوض</v>
      </c>
    </row>
    <row r="231" ht="15.75" customHeight="1">
      <c r="A231" s="1" t="s">
        <v>553</v>
      </c>
      <c r="B231" s="1" t="s">
        <v>554</v>
      </c>
      <c r="C231" s="2" t="s">
        <v>555</v>
      </c>
      <c r="D231" s="1" t="str">
        <f>IFERROR(__xludf.DUMMYFUNCTION("GOOGLETRANSLATE(A231 , ""auto"", ""ar"")"),"سلة")</f>
        <v>سلة</v>
      </c>
    </row>
    <row r="232" ht="15.75" customHeight="1">
      <c r="A232" s="1" t="s">
        <v>553</v>
      </c>
      <c r="B232" s="1" t="s">
        <v>556</v>
      </c>
      <c r="C232" s="1"/>
      <c r="D232" s="1" t="str">
        <f>IFERROR(__xludf.DUMMYFUNCTION("GOOGLETRANSLATE(A232 , ""auto"", ""ar"")"),"سلة")</f>
        <v>سلة</v>
      </c>
    </row>
    <row r="233" ht="15.75" customHeight="1">
      <c r="A233" s="1" t="s">
        <v>553</v>
      </c>
      <c r="B233" s="1" t="s">
        <v>557</v>
      </c>
      <c r="C233" s="2" t="s">
        <v>558</v>
      </c>
      <c r="D233" s="1" t="str">
        <f>IFERROR(__xludf.DUMMYFUNCTION("GOOGLETRANSLATE(A233 , ""auto"", ""ar"")"),"سلة")</f>
        <v>سلة</v>
      </c>
    </row>
    <row r="234" ht="15.75" customHeight="1">
      <c r="A234" s="1" t="s">
        <v>553</v>
      </c>
      <c r="B234" s="1" t="s">
        <v>559</v>
      </c>
      <c r="C234" s="1"/>
      <c r="D234" s="1" t="str">
        <f>IFERROR(__xludf.DUMMYFUNCTION("GOOGLETRANSLATE(A234 , ""auto"", ""ar"")"),"سلة")</f>
        <v>سلة</v>
      </c>
    </row>
    <row r="235" ht="15.75" customHeight="1">
      <c r="A235" s="1" t="s">
        <v>553</v>
      </c>
      <c r="B235" s="1" t="s">
        <v>560</v>
      </c>
      <c r="C235" s="1"/>
      <c r="D235" s="1" t="str">
        <f>IFERROR(__xludf.DUMMYFUNCTION("GOOGLETRANSLATE(A235 , ""auto"", ""ar"")"),"سلة")</f>
        <v>سلة</v>
      </c>
    </row>
    <row r="236" ht="15.75" customHeight="1">
      <c r="A236" s="1" t="s">
        <v>553</v>
      </c>
      <c r="B236" s="1" t="s">
        <v>547</v>
      </c>
      <c r="C236" s="2" t="s">
        <v>561</v>
      </c>
      <c r="D236" s="1" t="str">
        <f>IFERROR(__xludf.DUMMYFUNCTION("GOOGLETRANSLATE(A236 , ""auto"", ""ar"")"),"سلة")</f>
        <v>سلة</v>
      </c>
    </row>
    <row r="237" ht="15.75" customHeight="1">
      <c r="A237" s="1" t="s">
        <v>562</v>
      </c>
      <c r="B237" s="1" t="s">
        <v>493</v>
      </c>
      <c r="C237" s="1"/>
      <c r="D237" s="1" t="str">
        <f>IFERROR(__xludf.DUMMYFUNCTION("GOOGLETRANSLATE(A237 , ""auto"", ""ar"")"),"نذل")</f>
        <v>نذل</v>
      </c>
    </row>
    <row r="238" ht="15.75" customHeight="1">
      <c r="A238" s="1" t="s">
        <v>563</v>
      </c>
      <c r="B238" s="1" t="s">
        <v>547</v>
      </c>
      <c r="C238" s="2" t="s">
        <v>548</v>
      </c>
      <c r="D238" s="1" t="str">
        <f>IFERROR(__xludf.DUMMYFUNCTION("GOOGLETRANSLATE(A238 , ""auto"", ""ar"")"),"حمام")</f>
        <v>حمام</v>
      </c>
    </row>
    <row r="239" ht="15.75" customHeight="1">
      <c r="A239" s="1" t="s">
        <v>564</v>
      </c>
      <c r="B239" s="1" t="s">
        <v>565</v>
      </c>
      <c r="C239" s="2" t="s">
        <v>566</v>
      </c>
      <c r="D239" s="1" t="str">
        <f>IFERROR(__xludf.DUMMYFUNCTION("GOOGLETRANSLATE(A239 , ""auto"", ""ar"")"),"رداء الحمام")</f>
        <v>رداء الحمام</v>
      </c>
    </row>
    <row r="240" ht="15.75" customHeight="1">
      <c r="A240" s="1" t="s">
        <v>567</v>
      </c>
      <c r="B240" s="1" t="s">
        <v>568</v>
      </c>
      <c r="C240" s="2" t="s">
        <v>569</v>
      </c>
      <c r="D240" s="1" t="str">
        <f>IFERROR(__xludf.DUMMYFUNCTION("GOOGLETRANSLATE(A240 , ""auto"", ""ar"")"),"حمام")</f>
        <v>حمام</v>
      </c>
    </row>
    <row r="241" ht="15.75" customHeight="1">
      <c r="A241" s="1" t="s">
        <v>567</v>
      </c>
      <c r="B241" s="1" t="s">
        <v>570</v>
      </c>
      <c r="C241" s="1"/>
      <c r="D241" s="1" t="str">
        <f>IFERROR(__xludf.DUMMYFUNCTION("GOOGLETRANSLATE(A241 , ""auto"", ""ar"")"),"حمام")</f>
        <v>حمام</v>
      </c>
    </row>
    <row r="242" ht="15.75" customHeight="1">
      <c r="A242" s="1" t="s">
        <v>567</v>
      </c>
      <c r="B242" s="1" t="s">
        <v>571</v>
      </c>
      <c r="C242" s="2" t="s">
        <v>572</v>
      </c>
      <c r="D242" s="1" t="str">
        <f>IFERROR(__xludf.DUMMYFUNCTION("GOOGLETRANSLATE(A242 , ""auto"", ""ar"")"),"حمام")</f>
        <v>حمام</v>
      </c>
    </row>
    <row r="243" ht="15.75" customHeight="1">
      <c r="A243" s="1" t="s">
        <v>567</v>
      </c>
      <c r="B243" s="1" t="s">
        <v>568</v>
      </c>
      <c r="C243" s="1"/>
      <c r="D243" s="1" t="str">
        <f>IFERROR(__xludf.DUMMYFUNCTION("GOOGLETRANSLATE(A243 , ""auto"", ""ar"")"),"حمام")</f>
        <v>حمام</v>
      </c>
    </row>
    <row r="244" ht="15.75" customHeight="1">
      <c r="A244" s="1" t="s">
        <v>573</v>
      </c>
      <c r="B244" s="1" t="s">
        <v>547</v>
      </c>
      <c r="C244" s="2" t="s">
        <v>548</v>
      </c>
      <c r="D244" s="1" t="str">
        <f>IFERROR(__xludf.DUMMYFUNCTION("GOOGLETRANSLATE(A244 , ""auto"", ""ar"")"),"حوض الاستحمام")</f>
        <v>حوض الاستحمام</v>
      </c>
    </row>
    <row r="245" ht="15.75" customHeight="1">
      <c r="A245" s="1" t="s">
        <v>574</v>
      </c>
      <c r="B245" s="1" t="s">
        <v>575</v>
      </c>
      <c r="C245" s="2" t="s">
        <v>576</v>
      </c>
      <c r="D245" s="1" t="str">
        <f>IFERROR(__xludf.DUMMYFUNCTION("GOOGLETRANSLATE(A245 , ""auto"", ""ar"")"),"بطارية")</f>
        <v>بطارية</v>
      </c>
    </row>
    <row r="246" ht="15.75" customHeight="1">
      <c r="A246" s="1" t="s">
        <v>574</v>
      </c>
      <c r="B246" s="1" t="s">
        <v>575</v>
      </c>
      <c r="C246" s="2" t="s">
        <v>577</v>
      </c>
      <c r="D246" s="1" t="str">
        <f>IFERROR(__xludf.DUMMYFUNCTION("GOOGLETRANSLATE(A246 , ""auto"", ""ar"")"),"بطارية")</f>
        <v>بطارية</v>
      </c>
    </row>
    <row r="247" ht="15.75" customHeight="1">
      <c r="A247" s="1" t="s">
        <v>578</v>
      </c>
      <c r="B247" s="1" t="s">
        <v>579</v>
      </c>
      <c r="C247" s="2" t="s">
        <v>580</v>
      </c>
      <c r="D247" s="1" t="str">
        <f>IFERROR(__xludf.DUMMYFUNCTION("GOOGLETRANSLATE(A247 , ""auto"", ""ar"")"),"يكون")</f>
        <v>يكون</v>
      </c>
    </row>
    <row r="248" ht="15.75" customHeight="1">
      <c r="A248" s="1" t="s">
        <v>581</v>
      </c>
      <c r="B248" s="1" t="s">
        <v>582</v>
      </c>
      <c r="C248" s="2" t="s">
        <v>583</v>
      </c>
      <c r="D248" s="1" t="str">
        <f>IFERROR(__xludf.DUMMYFUNCTION("GOOGLETRANSLATE(A248 , ""auto"", ""ar"")"),"يكون قادرا على")</f>
        <v>يكون قادرا على</v>
      </c>
    </row>
    <row r="249" ht="15.75" customHeight="1">
      <c r="A249" s="1" t="s">
        <v>581</v>
      </c>
      <c r="B249" s="1" t="s">
        <v>584</v>
      </c>
      <c r="C249" s="2" t="s">
        <v>585</v>
      </c>
      <c r="D249" s="1" t="str">
        <f>IFERROR(__xludf.DUMMYFUNCTION("GOOGLETRANSLATE(A249 , ""auto"", ""ar"")"),"يكون قادرا على")</f>
        <v>يكون قادرا على</v>
      </c>
    </row>
    <row r="250" ht="15.75" customHeight="1">
      <c r="A250" s="1" t="s">
        <v>581</v>
      </c>
      <c r="B250" s="1" t="s">
        <v>586</v>
      </c>
      <c r="C250" s="2" t="s">
        <v>587</v>
      </c>
      <c r="D250" s="1" t="str">
        <f>IFERROR(__xludf.DUMMYFUNCTION("GOOGLETRANSLATE(A250 , ""auto"", ""ar"")"),"يكون قادرا على")</f>
        <v>يكون قادرا على</v>
      </c>
    </row>
    <row r="251" ht="15.75" customHeight="1">
      <c r="A251" s="1" t="s">
        <v>588</v>
      </c>
      <c r="B251" s="1" t="s">
        <v>589</v>
      </c>
      <c r="C251" s="2" t="s">
        <v>590</v>
      </c>
      <c r="D251" s="1" t="str">
        <f>IFERROR(__xludf.DUMMYFUNCTION("GOOGLETRANSLATE(A251 , ""auto"", ""ar"")"),"تعود")</f>
        <v>تعود</v>
      </c>
    </row>
    <row r="252" ht="15.75" customHeight="1">
      <c r="A252" s="1" t="s">
        <v>591</v>
      </c>
      <c r="B252" s="1" t="s">
        <v>592</v>
      </c>
      <c r="C252" s="2" t="s">
        <v>593</v>
      </c>
      <c r="D252" s="1" t="str">
        <f>IFERROR(__xludf.DUMMYFUNCTION("GOOGLETRANSLATE(A252 , ""auto"", ""ar"")"),"عيب عليك")</f>
        <v>عيب عليك</v>
      </c>
    </row>
    <row r="253" ht="15.75" customHeight="1">
      <c r="A253" s="1" t="s">
        <v>594</v>
      </c>
      <c r="B253" s="1" t="s">
        <v>595</v>
      </c>
      <c r="C253" s="1"/>
      <c r="D253" s="1" t="str">
        <f>IFERROR(__xludf.DUMMYFUNCTION("GOOGLETRANSLATE(A253 , ""auto"", ""ar"")"),"ولد")</f>
        <v>ولد</v>
      </c>
    </row>
    <row r="254" ht="15.75" customHeight="1">
      <c r="A254" s="1" t="s">
        <v>596</v>
      </c>
      <c r="B254" s="1" t="s">
        <v>597</v>
      </c>
      <c r="C254" s="2" t="s">
        <v>598</v>
      </c>
      <c r="D254" s="1" t="str">
        <f>IFERROR(__xludf.DUMMYFUNCTION("GOOGLETRANSLATE(A254 , ""auto"", ""ar"")"),"يدعى يسمى")</f>
        <v>يدعى يسمى</v>
      </c>
    </row>
    <row r="255" ht="15.75" customHeight="1">
      <c r="A255" s="1" t="s">
        <v>599</v>
      </c>
      <c r="B255" s="1" t="s">
        <v>293</v>
      </c>
      <c r="C255" s="2" t="s">
        <v>600</v>
      </c>
      <c r="D255" s="1" t="str">
        <f>IFERROR(__xludf.DUMMYFUNCTION("GOOGLETRANSLATE(A255 , ""auto"", ""ar"")"),"احرص")</f>
        <v>احرص</v>
      </c>
    </row>
    <row r="256" ht="15.75" customHeight="1">
      <c r="A256" s="1" t="s">
        <v>599</v>
      </c>
      <c r="B256" s="1" t="s">
        <v>293</v>
      </c>
      <c r="C256" s="2" t="s">
        <v>601</v>
      </c>
      <c r="D256" s="1" t="str">
        <f>IFERROR(__xludf.DUMMYFUNCTION("GOOGLETRANSLATE(A256 , ""auto"", ""ar"")"),"احرص")</f>
        <v>احرص</v>
      </c>
    </row>
    <row r="257" ht="15.75" customHeight="1">
      <c r="A257" s="1" t="s">
        <v>602</v>
      </c>
      <c r="B257" s="1" t="s">
        <v>603</v>
      </c>
      <c r="C257" s="2" t="s">
        <v>604</v>
      </c>
      <c r="D257" s="1" t="str">
        <f>IFERROR(__xludf.DUMMYFUNCTION("GOOGLETRANSLATE(A257 , ""auto"", ""ar"")"),"تخنق")</f>
        <v>تخنق</v>
      </c>
    </row>
    <row r="258" ht="15.75" customHeight="1">
      <c r="A258" s="1" t="s">
        <v>602</v>
      </c>
      <c r="B258" s="1" t="s">
        <v>605</v>
      </c>
      <c r="C258" s="2" t="s">
        <v>65</v>
      </c>
      <c r="D258" s="1" t="str">
        <f>IFERROR(__xludf.DUMMYFUNCTION("GOOGLETRANSLATE(A258 , ""auto"", ""ar"")"),"تخنق")</f>
        <v>تخنق</v>
      </c>
    </row>
    <row r="259" ht="15.75" customHeight="1">
      <c r="A259" s="1" t="s">
        <v>606</v>
      </c>
      <c r="B259" s="1" t="s">
        <v>607</v>
      </c>
      <c r="C259" s="2" t="s">
        <v>608</v>
      </c>
      <c r="D259" s="1" t="str">
        <f>IFERROR(__xludf.DUMMYFUNCTION("GOOGLETRANSLATE(A259 , ""auto"", ""ar"")"),"كن لطيفا")</f>
        <v>كن لطيفا</v>
      </c>
    </row>
    <row r="260" ht="15.75" customHeight="1">
      <c r="A260" s="1" t="s">
        <v>609</v>
      </c>
      <c r="B260" s="1" t="s">
        <v>610</v>
      </c>
      <c r="C260" s="2" t="s">
        <v>611</v>
      </c>
      <c r="D260" s="1" t="str">
        <f>IFERROR(__xludf.DUMMYFUNCTION("GOOGLETRANSLATE(A260 , ""auto"", ""ar"")"),"تتحقق")</f>
        <v>تتحقق</v>
      </c>
    </row>
    <row r="261" ht="15.75" customHeight="1">
      <c r="A261" s="1" t="s">
        <v>612</v>
      </c>
      <c r="B261" s="1" t="s">
        <v>613</v>
      </c>
      <c r="C261" s="2" t="s">
        <v>614</v>
      </c>
      <c r="D261" s="1" t="str">
        <f>IFERROR(__xludf.DUMMYFUNCTION("GOOGLETRANSLATE(A261 , ""auto"", ""ar"")"),"كن مهتمًا")</f>
        <v>كن مهتمًا</v>
      </c>
    </row>
    <row r="262" ht="15.75" customHeight="1">
      <c r="A262" s="1" t="s">
        <v>615</v>
      </c>
      <c r="B262" s="1" t="s">
        <v>616</v>
      </c>
      <c r="C262" s="2" t="s">
        <v>617</v>
      </c>
      <c r="D262" s="1" t="str">
        <f>IFERROR(__xludf.DUMMYFUNCTION("GOOGLETRANSLATE(A262 , ""auto"", ""ar"")"),"كن هادئاً")</f>
        <v>كن هادئاً</v>
      </c>
    </row>
    <row r="263" ht="15.75" customHeight="1">
      <c r="A263" s="1" t="s">
        <v>615</v>
      </c>
      <c r="B263" s="1" t="s">
        <v>618</v>
      </c>
      <c r="C263" s="1"/>
      <c r="D263" s="1" t="str">
        <f>IFERROR(__xludf.DUMMYFUNCTION("GOOGLETRANSLATE(A263 , ""auto"", ""ar"")"),"كن هادئاً")</f>
        <v>كن هادئاً</v>
      </c>
    </row>
    <row r="264" ht="15.75" customHeight="1">
      <c r="A264" s="1" t="s">
        <v>619</v>
      </c>
      <c r="B264" s="1" t="s">
        <v>620</v>
      </c>
      <c r="C264" s="2" t="s">
        <v>621</v>
      </c>
      <c r="D264" s="1" t="str">
        <f>IFERROR(__xludf.DUMMYFUNCTION("GOOGLETRANSLATE(A264 , ""auto"", ""ar"")"),"كن صحيحا")</f>
        <v>كن صحيحا</v>
      </c>
    </row>
    <row r="265" ht="15.75" customHeight="1">
      <c r="A265" s="1" t="s">
        <v>619</v>
      </c>
      <c r="B265" s="1" t="s">
        <v>620</v>
      </c>
      <c r="C265" s="2" t="s">
        <v>622</v>
      </c>
      <c r="D265" s="1" t="str">
        <f>IFERROR(__xludf.DUMMYFUNCTION("GOOGLETRANSLATE(A265 , ""auto"", ""ar"")"),"كن صحيحا")</f>
        <v>كن صحيحا</v>
      </c>
    </row>
    <row r="266" ht="15.75" customHeight="1">
      <c r="A266" s="1" t="s">
        <v>623</v>
      </c>
      <c r="B266" s="1" t="s">
        <v>589</v>
      </c>
      <c r="C266" s="2" t="s">
        <v>590</v>
      </c>
      <c r="D266" s="1" t="str">
        <f>IFERROR(__xludf.DUMMYFUNCTION("GOOGLETRANSLATE(A266 , ""auto"", ""ar"")"),"استخدمت ل")</f>
        <v>استخدمت ل</v>
      </c>
    </row>
    <row r="267" ht="15.75" customHeight="1">
      <c r="A267" s="1" t="s">
        <v>624</v>
      </c>
      <c r="B267" s="1" t="s">
        <v>625</v>
      </c>
      <c r="C267" s="2" t="s">
        <v>626</v>
      </c>
      <c r="D267" s="1" t="str">
        <f>IFERROR(__xludf.DUMMYFUNCTION("GOOGLETRANSLATE(A267 , ""auto"", ""ar"")"),"دُبٌّ")</f>
        <v>دُبٌّ</v>
      </c>
    </row>
    <row r="268" ht="15.75" customHeight="1">
      <c r="A268" s="1" t="s">
        <v>627</v>
      </c>
      <c r="B268" s="1" t="s">
        <v>628</v>
      </c>
      <c r="C268" s="2" t="s">
        <v>629</v>
      </c>
      <c r="D268" s="1" t="str">
        <f>IFERROR(__xludf.DUMMYFUNCTION("GOOGLETRANSLATE(A268 , ""auto"", ""ar"")"),"لحية")</f>
        <v>لحية</v>
      </c>
    </row>
    <row r="269" ht="15.75" customHeight="1">
      <c r="A269" s="1" t="s">
        <v>630</v>
      </c>
      <c r="B269" s="1" t="s">
        <v>631</v>
      </c>
      <c r="C269" s="2" t="s">
        <v>632</v>
      </c>
      <c r="D269" s="1" t="str">
        <f>IFERROR(__xludf.DUMMYFUNCTION("GOOGLETRANSLATE(A269 , ""auto"", ""ar"")"),"يهزم")</f>
        <v>يهزم</v>
      </c>
    </row>
    <row r="270" ht="15.75" customHeight="1">
      <c r="A270" s="1" t="s">
        <v>630</v>
      </c>
      <c r="B270" s="1" t="s">
        <v>633</v>
      </c>
      <c r="C270" s="2" t="s">
        <v>634</v>
      </c>
      <c r="D270" s="1" t="str">
        <f>IFERROR(__xludf.DUMMYFUNCTION("GOOGLETRANSLATE(A270 , ""auto"", ""ar"")"),"يهزم")</f>
        <v>يهزم</v>
      </c>
    </row>
    <row r="271" ht="15.75" customHeight="1">
      <c r="A271" s="1" t="s">
        <v>635</v>
      </c>
      <c r="B271" s="1" t="s">
        <v>636</v>
      </c>
      <c r="C271" s="2" t="s">
        <v>637</v>
      </c>
      <c r="D271" s="1" t="str">
        <f>IFERROR(__xludf.DUMMYFUNCTION("GOOGLETRANSLATE(A271 , ""auto"", ""ar"")"),"جميل")</f>
        <v>جميل</v>
      </c>
    </row>
    <row r="272" ht="15.75" customHeight="1">
      <c r="A272" s="1" t="s">
        <v>638</v>
      </c>
      <c r="B272" s="1" t="s">
        <v>639</v>
      </c>
      <c r="C272" s="1"/>
      <c r="D272" s="1" t="str">
        <f>IFERROR(__xludf.DUMMYFUNCTION("GOOGLETRANSLATE(A272 , ""auto"", ""ar"")"),"جمال")</f>
        <v>جمال</v>
      </c>
    </row>
    <row r="273" ht="15.75" customHeight="1">
      <c r="A273" s="1" t="s">
        <v>638</v>
      </c>
      <c r="B273" s="1" t="s">
        <v>640</v>
      </c>
      <c r="C273" s="2" t="s">
        <v>641</v>
      </c>
      <c r="D273" s="1" t="str">
        <f>IFERROR(__xludf.DUMMYFUNCTION("GOOGLETRANSLATE(A273 , ""auto"", ""ar"")"),"جمال")</f>
        <v>جمال</v>
      </c>
    </row>
    <row r="274" ht="15.75" customHeight="1">
      <c r="A274" s="1" t="s">
        <v>638</v>
      </c>
      <c r="B274" s="1" t="s">
        <v>642</v>
      </c>
      <c r="C274" s="1"/>
      <c r="D274" s="1" t="str">
        <f>IFERROR(__xludf.DUMMYFUNCTION("GOOGLETRANSLATE(A274 , ""auto"", ""ar"")"),"جمال")</f>
        <v>جمال</v>
      </c>
    </row>
    <row r="275" ht="15.75" customHeight="1">
      <c r="A275" s="1" t="s">
        <v>638</v>
      </c>
      <c r="B275" s="1" t="s">
        <v>643</v>
      </c>
      <c r="C275" s="1"/>
      <c r="D275" s="1" t="str">
        <f>IFERROR(__xludf.DUMMYFUNCTION("GOOGLETRANSLATE(A275 , ""auto"", ""ar"")"),"جمال")</f>
        <v>جمال</v>
      </c>
    </row>
    <row r="276" ht="15.75" customHeight="1">
      <c r="A276" s="1" t="s">
        <v>644</v>
      </c>
      <c r="B276" s="1" t="s">
        <v>645</v>
      </c>
      <c r="C276" s="2" t="s">
        <v>646</v>
      </c>
      <c r="D276" s="1" t="str">
        <f>IFERROR(__xludf.DUMMYFUNCTION("GOOGLETRANSLATE(A276 , ""auto"", ""ar"")"),"لأن")</f>
        <v>لأن</v>
      </c>
    </row>
    <row r="277" ht="15.75" customHeight="1">
      <c r="A277" s="1" t="s">
        <v>644</v>
      </c>
      <c r="B277" s="1" t="s">
        <v>647</v>
      </c>
      <c r="C277" s="2" t="s">
        <v>648</v>
      </c>
      <c r="D277" s="1" t="str">
        <f>IFERROR(__xludf.DUMMYFUNCTION("GOOGLETRANSLATE(A277 , ""auto"", ""ar"")"),"لأن")</f>
        <v>لأن</v>
      </c>
    </row>
    <row r="278" ht="15.75" customHeight="1">
      <c r="A278" s="1" t="s">
        <v>649</v>
      </c>
      <c r="B278" s="1" t="s">
        <v>650</v>
      </c>
      <c r="C278" s="2" t="s">
        <v>651</v>
      </c>
      <c r="D278" s="1" t="str">
        <f>IFERROR(__xludf.DUMMYFUNCTION("GOOGLETRANSLATE(A278 , ""auto"", ""ar"")"),"يصبح")</f>
        <v>يصبح</v>
      </c>
    </row>
    <row r="279" ht="15.75" customHeight="1">
      <c r="A279" s="1" t="s">
        <v>652</v>
      </c>
      <c r="B279" s="1" t="s">
        <v>653</v>
      </c>
      <c r="C279" s="2" t="s">
        <v>654</v>
      </c>
      <c r="D279" s="1" t="str">
        <f>IFERROR(__xludf.DUMMYFUNCTION("GOOGLETRANSLATE(A279 , ""auto"", ""ar"")"),"سرير")</f>
        <v>سرير</v>
      </c>
    </row>
    <row r="280" ht="15.75" customHeight="1">
      <c r="A280" s="1" t="s">
        <v>655</v>
      </c>
      <c r="B280" s="1" t="s">
        <v>568</v>
      </c>
      <c r="C280" s="1"/>
      <c r="D280" s="1" t="str">
        <f>IFERROR(__xludf.DUMMYFUNCTION("GOOGLETRANSLATE(A280 , ""auto"", ""ar"")"),"غرفة نوم")</f>
        <v>غرفة نوم</v>
      </c>
    </row>
    <row r="281" ht="15.75" customHeight="1">
      <c r="A281" s="1" t="s">
        <v>655</v>
      </c>
      <c r="B281" s="1" t="s">
        <v>568</v>
      </c>
      <c r="C281" s="1"/>
      <c r="D281" s="1" t="str">
        <f>IFERROR(__xludf.DUMMYFUNCTION("GOOGLETRANSLATE(A281 , ""auto"", ""ar"")"),"غرفة نوم")</f>
        <v>غرفة نوم</v>
      </c>
    </row>
    <row r="282" ht="15.75" customHeight="1">
      <c r="A282" s="1" t="s">
        <v>656</v>
      </c>
      <c r="B282" s="1" t="s">
        <v>657</v>
      </c>
      <c r="C282" s="2" t="s">
        <v>658</v>
      </c>
      <c r="D282" s="1" t="str">
        <f>IFERROR(__xludf.DUMMYFUNCTION("GOOGLETRANSLATE(A282 , ""auto"", ""ar"")"),"نحلة")</f>
        <v>نحلة</v>
      </c>
    </row>
    <row r="283" ht="15.75" customHeight="1">
      <c r="A283" s="1" t="s">
        <v>659</v>
      </c>
      <c r="B283" s="1" t="s">
        <v>660</v>
      </c>
      <c r="C283" s="2" t="s">
        <v>661</v>
      </c>
      <c r="D283" s="1" t="str">
        <f>IFERROR(__xludf.DUMMYFUNCTION("GOOGLETRANSLATE(A283 , ""auto"", ""ar"")"),"لحم")</f>
        <v>لحم</v>
      </c>
    </row>
    <row r="284" ht="15.75" customHeight="1">
      <c r="A284" s="1" t="s">
        <v>662</v>
      </c>
      <c r="B284" s="1" t="s">
        <v>663</v>
      </c>
      <c r="C284" s="2" t="s">
        <v>664</v>
      </c>
      <c r="D284" s="1" t="str">
        <f>IFERROR(__xludf.DUMMYFUNCTION("GOOGLETRANSLATE(A284 , ""auto"", ""ar"")"),"جعة")</f>
        <v>جعة</v>
      </c>
    </row>
    <row r="285" ht="15.75" customHeight="1">
      <c r="A285" s="1" t="s">
        <v>568</v>
      </c>
      <c r="B285" s="1" t="s">
        <v>665</v>
      </c>
      <c r="C285" s="2" t="s">
        <v>666</v>
      </c>
      <c r="D285" s="1" t="str">
        <f>IFERROR(__xludf.DUMMYFUNCTION("GOOGLETRANSLATE(A285 , ""auto"", ""ar"")"),"الشمندر")</f>
        <v>الشمندر</v>
      </c>
    </row>
    <row r="286" ht="15.75" customHeight="1">
      <c r="A286" s="1" t="s">
        <v>667</v>
      </c>
      <c r="B286" s="1" t="s">
        <v>668</v>
      </c>
      <c r="C286" s="2" t="s">
        <v>669</v>
      </c>
      <c r="D286" s="1" t="str">
        <f>IFERROR(__xludf.DUMMYFUNCTION("GOOGLETRANSLATE(A286 , ""auto"", ""ar"")"),"خنفساء")</f>
        <v>خنفساء</v>
      </c>
    </row>
    <row r="287" ht="15.75" customHeight="1">
      <c r="A287" s="1" t="s">
        <v>670</v>
      </c>
      <c r="B287" s="1" t="s">
        <v>665</v>
      </c>
      <c r="C287" s="2" t="s">
        <v>666</v>
      </c>
      <c r="D287" s="1" t="str">
        <f>IFERROR(__xludf.DUMMYFUNCTION("GOOGLETRANSLATE(A287 , ""auto"", ""ar"")"),"جذور الشمندر")</f>
        <v>جذور الشمندر</v>
      </c>
    </row>
    <row r="288" ht="15.75" customHeight="1">
      <c r="A288" s="1" t="s">
        <v>671</v>
      </c>
      <c r="B288" s="1" t="s">
        <v>39</v>
      </c>
      <c r="C288" s="2" t="s">
        <v>40</v>
      </c>
      <c r="D288" s="1" t="str">
        <f>IFERROR(__xludf.DUMMYFUNCTION("GOOGLETRANSLATE(A288 , ""auto"", ""ar"")"),"قبل")</f>
        <v>قبل</v>
      </c>
    </row>
    <row r="289" ht="15.75" customHeight="1">
      <c r="A289" s="1" t="s">
        <v>671</v>
      </c>
      <c r="B289" s="1" t="s">
        <v>359</v>
      </c>
      <c r="C289" s="2" t="s">
        <v>360</v>
      </c>
      <c r="D289" s="1" t="str">
        <f>IFERROR(__xludf.DUMMYFUNCTION("GOOGLETRANSLATE(A289 , ""auto"", ""ar"")"),"قبل")</f>
        <v>قبل</v>
      </c>
    </row>
    <row r="290" ht="15.75" customHeight="1">
      <c r="A290" s="1" t="s">
        <v>671</v>
      </c>
      <c r="B290" s="1" t="s">
        <v>230</v>
      </c>
      <c r="C290" s="2" t="s">
        <v>231</v>
      </c>
      <c r="D290" s="1" t="str">
        <f>IFERROR(__xludf.DUMMYFUNCTION("GOOGLETRANSLATE(A290 , ""auto"", ""ar"")"),"قبل")</f>
        <v>قبل</v>
      </c>
    </row>
    <row r="291" ht="15.75" customHeight="1">
      <c r="A291" s="1" t="s">
        <v>672</v>
      </c>
      <c r="B291" s="1" t="s">
        <v>230</v>
      </c>
      <c r="C291" s="2" t="s">
        <v>231</v>
      </c>
      <c r="D291" s="1" t="str">
        <f>IFERROR(__xludf.DUMMYFUNCTION("GOOGLETRANSLATE(A291 , ""auto"", ""ar"")"),"مسبقا")</f>
        <v>مسبقا</v>
      </c>
    </row>
    <row r="292" ht="15.75" customHeight="1">
      <c r="A292" s="1" t="s">
        <v>673</v>
      </c>
      <c r="B292" s="1" t="s">
        <v>394</v>
      </c>
      <c r="C292" s="2" t="s">
        <v>395</v>
      </c>
      <c r="D292" s="1" t="str">
        <f>IFERROR(__xludf.DUMMYFUNCTION("GOOGLETRANSLATE(A292 , ""auto"", ""ar"")"),"إفترض جدلا")</f>
        <v>إفترض جدلا</v>
      </c>
    </row>
    <row r="293" ht="15.75" customHeight="1">
      <c r="A293" s="1" t="s">
        <v>674</v>
      </c>
      <c r="B293" s="1" t="s">
        <v>675</v>
      </c>
      <c r="C293" s="2" t="s">
        <v>676</v>
      </c>
      <c r="D293" s="1" t="str">
        <f>IFERROR(__xludf.DUMMYFUNCTION("GOOGLETRANSLATE(A293 , ""auto"", ""ar"")"),"يبدأ")</f>
        <v>يبدأ</v>
      </c>
    </row>
    <row r="294" ht="15.75" customHeight="1">
      <c r="A294" s="1" t="s">
        <v>677</v>
      </c>
      <c r="B294" s="1" t="s">
        <v>678</v>
      </c>
      <c r="C294" s="2" t="s">
        <v>679</v>
      </c>
      <c r="D294" s="1" t="str">
        <f>IFERROR(__xludf.DUMMYFUNCTION("GOOGLETRANSLATE(A294 , ""auto"", ""ar"")"),"بداية")</f>
        <v>بداية</v>
      </c>
    </row>
    <row r="295" ht="15.75" customHeight="1">
      <c r="A295" s="1" t="s">
        <v>677</v>
      </c>
      <c r="B295" s="1" t="s">
        <v>680</v>
      </c>
      <c r="C295" s="2" t="s">
        <v>681</v>
      </c>
      <c r="D295" s="1" t="str">
        <f>IFERROR(__xludf.DUMMYFUNCTION("GOOGLETRANSLATE(A295 , ""auto"", ""ar"")"),"بداية")</f>
        <v>بداية</v>
      </c>
    </row>
    <row r="296" ht="15.75" customHeight="1">
      <c r="A296" s="1" t="s">
        <v>682</v>
      </c>
      <c r="B296" s="1" t="s">
        <v>138</v>
      </c>
      <c r="C296" s="2" t="s">
        <v>683</v>
      </c>
      <c r="D296" s="1" t="str">
        <f>IFERROR(__xludf.DUMMYFUNCTION("GOOGLETRANSLATE(A296 , ""auto"", ""ar"")"),"خلف")</f>
        <v>خلف</v>
      </c>
    </row>
    <row r="297" ht="15.75" customHeight="1">
      <c r="A297" s="1" t="s">
        <v>682</v>
      </c>
      <c r="B297" s="1" t="s">
        <v>684</v>
      </c>
      <c r="C297" s="2" t="s">
        <v>685</v>
      </c>
      <c r="D297" s="1" t="str">
        <f>IFERROR(__xludf.DUMMYFUNCTION("GOOGLETRANSLATE(A297 , ""auto"", ""ar"")"),"خلف")</f>
        <v>خلف</v>
      </c>
    </row>
    <row r="298" ht="15.75" customHeight="1">
      <c r="A298" s="1" t="s">
        <v>682</v>
      </c>
      <c r="B298" s="1" t="s">
        <v>686</v>
      </c>
      <c r="C298" s="1"/>
      <c r="D298" s="1" t="str">
        <f>IFERROR(__xludf.DUMMYFUNCTION("GOOGLETRANSLATE(A298 , ""auto"", ""ar"")"),"خلف")</f>
        <v>خلف</v>
      </c>
    </row>
    <row r="299" ht="15.75" customHeight="1">
      <c r="A299" s="1" t="s">
        <v>687</v>
      </c>
      <c r="B299" s="1" t="s">
        <v>688</v>
      </c>
      <c r="C299" s="1"/>
      <c r="D299" s="1" t="str">
        <f>IFERROR(__xludf.DUMMYFUNCTION("GOOGLETRANSLATE(A299 , ""auto"", ""ar"")"),"اللون البيج")</f>
        <v>اللون البيج</v>
      </c>
    </row>
    <row r="300" ht="15.75" customHeight="1">
      <c r="A300" s="1" t="s">
        <v>689</v>
      </c>
      <c r="B300" s="1" t="s">
        <v>690</v>
      </c>
      <c r="C300" s="2" t="s">
        <v>691</v>
      </c>
      <c r="D300" s="1" t="str">
        <f>IFERROR(__xludf.DUMMYFUNCTION("GOOGLETRANSLATE(A300 , ""auto"", ""ar"")"),"يعتقد")</f>
        <v>يعتقد</v>
      </c>
    </row>
    <row r="301" ht="15.75" customHeight="1">
      <c r="A301" s="1" t="s">
        <v>689</v>
      </c>
      <c r="B301" s="1" t="s">
        <v>692</v>
      </c>
      <c r="C301" s="2" t="s">
        <v>693</v>
      </c>
      <c r="D301" s="1" t="str">
        <f>IFERROR(__xludf.DUMMYFUNCTION("GOOGLETRANSLATE(A301 , ""auto"", ""ar"")"),"يعتقد")</f>
        <v>يعتقد</v>
      </c>
    </row>
    <row r="302" ht="15.75" customHeight="1">
      <c r="A302" s="1" t="s">
        <v>689</v>
      </c>
      <c r="B302" s="1" t="s">
        <v>694</v>
      </c>
      <c r="C302" s="2" t="s">
        <v>695</v>
      </c>
      <c r="D302" s="1" t="str">
        <f>IFERROR(__xludf.DUMMYFUNCTION("GOOGLETRANSLATE(A302 , ""auto"", ""ar"")"),"يعتقد")</f>
        <v>يعتقد</v>
      </c>
    </row>
    <row r="303" ht="15.75" customHeight="1">
      <c r="A303" s="1" t="s">
        <v>689</v>
      </c>
      <c r="B303" s="1" t="s">
        <v>696</v>
      </c>
      <c r="C303" s="2" t="s">
        <v>697</v>
      </c>
      <c r="D303" s="1" t="str">
        <f>IFERROR(__xludf.DUMMYFUNCTION("GOOGLETRANSLATE(A303 , ""auto"", ""ar"")"),"يعتقد")</f>
        <v>يعتقد</v>
      </c>
    </row>
    <row r="304" ht="15.75" customHeight="1">
      <c r="A304" s="1" t="s">
        <v>698</v>
      </c>
      <c r="B304" s="1" t="s">
        <v>699</v>
      </c>
      <c r="C304" s="2" t="s">
        <v>700</v>
      </c>
      <c r="D304" s="1" t="str">
        <f>IFERROR(__xludf.DUMMYFUNCTION("GOOGLETRANSLATE(A304 , ""auto"", ""ar"")"),"منفاخ")</f>
        <v>منفاخ</v>
      </c>
    </row>
    <row r="305" ht="15.75" customHeight="1">
      <c r="A305" s="1" t="s">
        <v>701</v>
      </c>
      <c r="B305" s="1" t="s">
        <v>702</v>
      </c>
      <c r="C305" s="2" t="s">
        <v>703</v>
      </c>
      <c r="D305" s="1" t="str">
        <f>IFERROR(__xludf.DUMMYFUNCTION("GOOGLETRANSLATE(A305 , ""auto"", ""ar"")"),"بطن")</f>
        <v>بطن</v>
      </c>
    </row>
    <row r="306" ht="15.75" customHeight="1">
      <c r="A306" s="1" t="s">
        <v>704</v>
      </c>
      <c r="B306" s="1" t="s">
        <v>705</v>
      </c>
      <c r="C306" s="2" t="s">
        <v>706</v>
      </c>
      <c r="D306" s="1" t="str">
        <f>IFERROR(__xludf.DUMMYFUNCTION("GOOGLETRANSLATE(A306 , ""auto"", ""ar"")"),"آلام البطن")</f>
        <v>آلام البطن</v>
      </c>
    </row>
    <row r="307" ht="15.75" customHeight="1">
      <c r="A307" s="1" t="s">
        <v>707</v>
      </c>
      <c r="B307" s="1" t="s">
        <v>708</v>
      </c>
      <c r="C307" s="2" t="s">
        <v>709</v>
      </c>
      <c r="D307" s="1" t="str">
        <f>IFERROR(__xludf.DUMMYFUNCTION("GOOGLETRANSLATE(A307 , ""auto"", ""ar"")"),"ينتمي إلى")</f>
        <v>ينتمي إلى</v>
      </c>
    </row>
    <row r="308" ht="15.75" customHeight="1">
      <c r="A308" s="1" t="s">
        <v>710</v>
      </c>
      <c r="B308" s="1" t="s">
        <v>711</v>
      </c>
      <c r="C308" s="2" t="s">
        <v>712</v>
      </c>
      <c r="D308" s="1" t="str">
        <f>IFERROR(__xludf.DUMMYFUNCTION("GOOGLETRANSLATE(A308 , ""auto"", ""ar"")"),"محبوب")</f>
        <v>محبوب</v>
      </c>
    </row>
    <row r="309" ht="15.75" customHeight="1">
      <c r="A309" s="1" t="s">
        <v>713</v>
      </c>
      <c r="B309" s="1" t="s">
        <v>714</v>
      </c>
      <c r="C309" s="2" t="s">
        <v>715</v>
      </c>
      <c r="D309" s="1" t="str">
        <f>IFERROR(__xludf.DUMMYFUNCTION("GOOGLETRANSLATE(A309 , ""auto"", ""ar"")"),"أقل")</f>
        <v>أقل</v>
      </c>
    </row>
    <row r="310" ht="15.75" customHeight="1">
      <c r="A310" s="1" t="s">
        <v>716</v>
      </c>
      <c r="B310" s="1" t="s">
        <v>717</v>
      </c>
      <c r="C310" s="2" t="s">
        <v>718</v>
      </c>
      <c r="D310" s="1" t="str">
        <f>IFERROR(__xludf.DUMMYFUNCTION("GOOGLETRANSLATE(A310 , ""auto"", ""ar"")"),"حزام")</f>
        <v>حزام</v>
      </c>
    </row>
    <row r="311" ht="15.75" customHeight="1">
      <c r="A311" s="1" t="s">
        <v>719</v>
      </c>
      <c r="B311" s="1" t="s">
        <v>720</v>
      </c>
      <c r="C311" s="2" t="s">
        <v>721</v>
      </c>
      <c r="D311" s="1" t="str">
        <f>IFERROR(__xludf.DUMMYFUNCTION("GOOGLETRANSLATE(A311 , ""auto"", ""ar"")"),"مقعد")</f>
        <v>مقعد</v>
      </c>
    </row>
    <row r="312" ht="15.75" customHeight="1">
      <c r="A312" s="1" t="s">
        <v>722</v>
      </c>
      <c r="B312" s="1" t="s">
        <v>723</v>
      </c>
      <c r="C312" s="2" t="s">
        <v>724</v>
      </c>
      <c r="D312" s="1" t="str">
        <f>IFERROR(__xludf.DUMMYFUNCTION("GOOGLETRANSLATE(A312 , ""auto"", ""ar"")"),"يلوي")</f>
        <v>يلوي</v>
      </c>
    </row>
    <row r="313" ht="15.75" customHeight="1">
      <c r="A313" s="1" t="s">
        <v>722</v>
      </c>
      <c r="B313" s="1" t="s">
        <v>725</v>
      </c>
      <c r="C313" s="2" t="s">
        <v>726</v>
      </c>
      <c r="D313" s="1" t="str">
        <f>IFERROR(__xludf.DUMMYFUNCTION("GOOGLETRANSLATE(A313 , ""auto"", ""ar"")"),"يلوي")</f>
        <v>يلوي</v>
      </c>
    </row>
    <row r="314" ht="15.75" customHeight="1">
      <c r="A314" s="1" t="s">
        <v>727</v>
      </c>
      <c r="B314" s="1" t="s">
        <v>728</v>
      </c>
      <c r="C314" s="2" t="s">
        <v>729</v>
      </c>
      <c r="D314" s="1" t="str">
        <f>IFERROR(__xludf.DUMMYFUNCTION("GOOGLETRANSLATE(A314 , ""auto"", ""ar"")"),"ينحني")</f>
        <v>ينحني</v>
      </c>
    </row>
    <row r="315" ht="15.75" customHeight="1">
      <c r="A315" s="1" t="s">
        <v>730</v>
      </c>
      <c r="B315" s="1" t="s">
        <v>731</v>
      </c>
      <c r="C315" s="2" t="s">
        <v>732</v>
      </c>
      <c r="D315" s="1" t="str">
        <f>IFERROR(__xludf.DUMMYFUNCTION("GOOGLETRANSLATE(A315 , ""auto"", ""ar"")"),"أسفل")</f>
        <v>أسفل</v>
      </c>
    </row>
    <row r="316" ht="15.75" customHeight="1">
      <c r="A316" s="1" t="s">
        <v>733</v>
      </c>
      <c r="B316" s="1" t="s">
        <v>734</v>
      </c>
      <c r="C316" s="2" t="s">
        <v>65</v>
      </c>
      <c r="D316" s="1" t="str">
        <f>IFERROR(__xludf.DUMMYFUNCTION("GOOGLETRANSLATE(A316 , ""auto"", ""ar"")"),"عازمة")</f>
        <v>عازمة</v>
      </c>
    </row>
    <row r="317" ht="15.75" customHeight="1">
      <c r="A317" s="1" t="s">
        <v>735</v>
      </c>
      <c r="B317" s="1" t="s">
        <v>680</v>
      </c>
      <c r="C317" s="2" t="s">
        <v>681</v>
      </c>
      <c r="D317" s="1" t="str">
        <f>IFERROR(__xludf.DUMMYFUNCTION("GOOGLETRANSLATE(A317 , ""auto"", ""ar"")"),"أفضل")</f>
        <v>أفضل</v>
      </c>
    </row>
    <row r="318" ht="15.75" customHeight="1">
      <c r="A318" s="1" t="s">
        <v>735</v>
      </c>
      <c r="B318" s="1" t="s">
        <v>736</v>
      </c>
      <c r="C318" s="2" t="s">
        <v>737</v>
      </c>
      <c r="D318" s="1" t="str">
        <f>IFERROR(__xludf.DUMMYFUNCTION("GOOGLETRANSLATE(A318 , ""auto"", ""ar"")"),"أفضل")</f>
        <v>أفضل</v>
      </c>
    </row>
    <row r="319" ht="15.75" customHeight="1">
      <c r="A319" s="1" t="s">
        <v>738</v>
      </c>
      <c r="B319" s="1" t="s">
        <v>739</v>
      </c>
      <c r="C319" s="2" t="s">
        <v>740</v>
      </c>
      <c r="D319" s="1" t="str">
        <f>IFERROR(__xludf.DUMMYFUNCTION("GOOGLETRANSLATE(A319 , ""auto"", ""ar"")"),"أحسن")</f>
        <v>أحسن</v>
      </c>
    </row>
    <row r="320" ht="15.75" customHeight="1">
      <c r="A320" s="1" t="s">
        <v>741</v>
      </c>
      <c r="B320" s="1" t="s">
        <v>742</v>
      </c>
      <c r="C320" s="1"/>
      <c r="D320" s="1" t="str">
        <f>IFERROR(__xludf.DUMMYFUNCTION("GOOGLETRANSLATE(A320 , ""auto"", ""ar"")"),"الرهان")</f>
        <v>الرهان</v>
      </c>
    </row>
    <row r="321" ht="15.75" customHeight="1">
      <c r="A321" s="1" t="s">
        <v>743</v>
      </c>
      <c r="B321" s="1" t="s">
        <v>744</v>
      </c>
      <c r="C321" s="2" t="s">
        <v>745</v>
      </c>
      <c r="D321" s="1" t="str">
        <f>IFERROR(__xludf.DUMMYFUNCTION("GOOGLETRANSLATE(A321 , ""auto"", ""ar"")"),"بين")</f>
        <v>بين</v>
      </c>
    </row>
    <row r="322" ht="15.75" customHeight="1">
      <c r="A322" s="1" t="s">
        <v>743</v>
      </c>
      <c r="B322" s="1" t="s">
        <v>746</v>
      </c>
      <c r="C322" s="1"/>
      <c r="D322" s="1" t="str">
        <f>IFERROR(__xludf.DUMMYFUNCTION("GOOGLETRANSLATE(A322 , ""auto"", ""ar"")"),"بين")</f>
        <v>بين</v>
      </c>
    </row>
    <row r="323" ht="15.75" customHeight="1">
      <c r="A323" s="1" t="s">
        <v>747</v>
      </c>
      <c r="B323" s="1" t="s">
        <v>748</v>
      </c>
      <c r="C323" s="2" t="s">
        <v>749</v>
      </c>
      <c r="D323" s="1" t="str">
        <f>IFERROR(__xludf.DUMMYFUNCTION("GOOGLETRANSLATE(A323 , ""auto"", ""ar"")"),"محير")</f>
        <v>محير</v>
      </c>
    </row>
    <row r="324" ht="15.75" customHeight="1">
      <c r="A324" s="1" t="s">
        <v>750</v>
      </c>
      <c r="B324" s="1" t="s">
        <v>751</v>
      </c>
      <c r="C324" s="2" t="s">
        <v>752</v>
      </c>
      <c r="D324" s="1" t="str">
        <f>IFERROR(__xludf.DUMMYFUNCTION("GOOGLETRANSLATE(A324 , ""auto"", ""ar"")"),"دراجة")</f>
        <v>دراجة</v>
      </c>
    </row>
    <row r="325" ht="15.75" customHeight="1">
      <c r="A325" s="1" t="s">
        <v>750</v>
      </c>
      <c r="B325" s="1" t="s">
        <v>753</v>
      </c>
      <c r="C325" s="1"/>
      <c r="D325" s="1" t="str">
        <f>IFERROR(__xludf.DUMMYFUNCTION("GOOGLETRANSLATE(A325 , ""auto"", ""ar"")"),"دراجة")</f>
        <v>دراجة</v>
      </c>
    </row>
    <row r="326" ht="15.75" customHeight="1">
      <c r="A326" s="1" t="s">
        <v>754</v>
      </c>
      <c r="B326" s="1" t="s">
        <v>755</v>
      </c>
      <c r="C326" s="2" t="s">
        <v>756</v>
      </c>
      <c r="D326" s="1" t="str">
        <f>IFERROR(__xludf.DUMMYFUNCTION("GOOGLETRANSLATE(A326 , ""auto"", ""ar"")"),"كبير")</f>
        <v>كبير</v>
      </c>
    </row>
    <row r="327" ht="15.75" customHeight="1">
      <c r="A327" s="1" t="s">
        <v>757</v>
      </c>
      <c r="B327" s="1" t="s">
        <v>758</v>
      </c>
      <c r="C327" s="2" t="s">
        <v>759</v>
      </c>
      <c r="D327" s="1" t="str">
        <f>IFERROR(__xludf.DUMMYFUNCTION("GOOGLETRANSLATE(A327 , ""auto"", ""ar"")"),"أكبر")</f>
        <v>أكبر</v>
      </c>
    </row>
    <row r="328" ht="15.75" customHeight="1">
      <c r="A328" s="1" t="s">
        <v>760</v>
      </c>
      <c r="B328" s="1" t="s">
        <v>761</v>
      </c>
      <c r="C328" s="2" t="s">
        <v>762</v>
      </c>
      <c r="D328" s="1" t="str">
        <f>IFERROR(__xludf.DUMMYFUNCTION("GOOGLETRANSLATE(A328 , ""auto"", ""ar"")"),"الأكبر")</f>
        <v>الأكبر</v>
      </c>
    </row>
    <row r="329" ht="15.75" customHeight="1">
      <c r="A329" s="1" t="s">
        <v>763</v>
      </c>
      <c r="B329" s="1" t="s">
        <v>751</v>
      </c>
      <c r="C329" s="2" t="s">
        <v>752</v>
      </c>
      <c r="D329" s="1" t="str">
        <f>IFERROR(__xludf.DUMMYFUNCTION("GOOGLETRANSLATE(A329 , ""auto"", ""ar"")"),"دراجة هوائية")</f>
        <v>دراجة هوائية</v>
      </c>
    </row>
    <row r="330" ht="15.75" customHeight="1">
      <c r="A330" s="1" t="s">
        <v>763</v>
      </c>
      <c r="B330" s="1" t="s">
        <v>764</v>
      </c>
      <c r="C330" s="1"/>
      <c r="D330" s="1" t="str">
        <f>IFERROR(__xludf.DUMMYFUNCTION("GOOGLETRANSLATE(A330 , ""auto"", ""ar"")"),"دراجة هوائية")</f>
        <v>دراجة هوائية</v>
      </c>
    </row>
    <row r="331" ht="15.75" customHeight="1">
      <c r="A331" s="1" t="s">
        <v>765</v>
      </c>
      <c r="B331" s="1" t="s">
        <v>54</v>
      </c>
      <c r="C331" s="2" t="s">
        <v>55</v>
      </c>
      <c r="D331" s="1" t="str">
        <f>IFERROR(__xludf.DUMMYFUNCTION("GOOGLETRANSLATE(A331 , ""auto"", ""ar"")"),"فاتورة")</f>
        <v>فاتورة</v>
      </c>
    </row>
    <row r="332" ht="15.75" customHeight="1">
      <c r="A332" s="1" t="s">
        <v>766</v>
      </c>
      <c r="B332" s="1" t="s">
        <v>767</v>
      </c>
      <c r="C332" s="2" t="s">
        <v>768</v>
      </c>
      <c r="D332" s="1" t="str">
        <f>IFERROR(__xludf.DUMMYFUNCTION("GOOGLETRANSLATE(A332 , ""auto"", ""ar"")"),"مليار")</f>
        <v>مليار</v>
      </c>
    </row>
    <row r="333" ht="15.75" customHeight="1">
      <c r="A333" s="1" t="s">
        <v>769</v>
      </c>
      <c r="B333" s="1" t="s">
        <v>770</v>
      </c>
      <c r="C333" s="1"/>
      <c r="D333" s="1" t="str">
        <f>IFERROR(__xludf.DUMMYFUNCTION("GOOGLETRANSLATE(A333 , ""auto"", ""ar"")"),"سلة مهملات")</f>
        <v>سلة مهملات</v>
      </c>
    </row>
    <row r="334" ht="15.75" customHeight="1">
      <c r="A334" s="1" t="s">
        <v>769</v>
      </c>
      <c r="B334" s="1" t="s">
        <v>771</v>
      </c>
      <c r="C334" s="1"/>
      <c r="D334" s="1" t="str">
        <f>IFERROR(__xludf.DUMMYFUNCTION("GOOGLETRANSLATE(A334 , ""auto"", ""ar"")"),"سلة مهملات")</f>
        <v>سلة مهملات</v>
      </c>
    </row>
    <row r="335" ht="15.75" customHeight="1">
      <c r="A335" s="1" t="s">
        <v>772</v>
      </c>
      <c r="B335" s="1" t="s">
        <v>773</v>
      </c>
      <c r="C335" s="2" t="s">
        <v>774</v>
      </c>
      <c r="D335" s="1" t="str">
        <f>IFERROR(__xludf.DUMMYFUNCTION("GOOGLETRANSLATE(A335 , ""auto"", ""ar"")"),"طائر")</f>
        <v>طائر</v>
      </c>
    </row>
    <row r="336" ht="15.75" customHeight="1">
      <c r="A336" s="1" t="s">
        <v>772</v>
      </c>
      <c r="B336" s="1" t="s">
        <v>775</v>
      </c>
      <c r="C336" s="1"/>
      <c r="D336" s="1" t="str">
        <f>IFERROR(__xludf.DUMMYFUNCTION("GOOGLETRANSLATE(A336 , ""auto"", ""ar"")"),"طائر")</f>
        <v>طائر</v>
      </c>
    </row>
    <row r="337" ht="15.75" customHeight="1">
      <c r="A337" s="1" t="s">
        <v>776</v>
      </c>
      <c r="B337" s="1" t="s">
        <v>777</v>
      </c>
      <c r="C337" s="2" t="s">
        <v>778</v>
      </c>
      <c r="D337" s="1" t="str">
        <f>IFERROR(__xludf.DUMMYFUNCTION("GOOGLETRANSLATE(A337 , ""auto"", ""ar"")"),"ولادة")</f>
        <v>ولادة</v>
      </c>
    </row>
    <row r="338" ht="15.75" customHeight="1">
      <c r="A338" s="1" t="s">
        <v>779</v>
      </c>
      <c r="B338" s="1" t="s">
        <v>780</v>
      </c>
      <c r="C338" s="2" t="s">
        <v>781</v>
      </c>
      <c r="D338" s="1" t="str">
        <f>IFERROR(__xludf.DUMMYFUNCTION("GOOGLETRANSLATE(A338 , ""auto"", ""ar"")"),"عيد ميلاد")</f>
        <v>عيد ميلاد</v>
      </c>
    </row>
    <row r="339" ht="15.75" customHeight="1">
      <c r="A339" s="1" t="s">
        <v>782</v>
      </c>
      <c r="B339" s="1" t="s">
        <v>783</v>
      </c>
      <c r="C339" s="2" t="s">
        <v>784</v>
      </c>
      <c r="D339" s="1" t="str">
        <f>IFERROR(__xludf.DUMMYFUNCTION("GOOGLETRANSLATE(A339 , ""auto"", ""ar"")"),"بسكويت")</f>
        <v>بسكويت</v>
      </c>
    </row>
    <row r="340" ht="15.75" customHeight="1">
      <c r="A340" s="1" t="s">
        <v>782</v>
      </c>
      <c r="B340" s="1" t="s">
        <v>785</v>
      </c>
      <c r="C340" s="2" t="s">
        <v>786</v>
      </c>
      <c r="D340" s="1" t="str">
        <f>IFERROR(__xludf.DUMMYFUNCTION("GOOGLETRANSLATE(A340 , ""auto"", ""ar"")"),"بسكويت")</f>
        <v>بسكويت</v>
      </c>
    </row>
    <row r="341" ht="15.75" customHeight="1">
      <c r="A341" s="1" t="s">
        <v>787</v>
      </c>
      <c r="B341" s="1" t="s">
        <v>788</v>
      </c>
      <c r="C341" s="2" t="s">
        <v>789</v>
      </c>
      <c r="D341" s="1" t="str">
        <f>IFERROR(__xludf.DUMMYFUNCTION("GOOGLETRANSLATE(A341 , ""auto"", ""ar"")"),"يعض")</f>
        <v>يعض</v>
      </c>
    </row>
    <row r="342" ht="15.75" customHeight="1">
      <c r="A342" s="1" t="s">
        <v>790</v>
      </c>
      <c r="B342" s="1" t="s">
        <v>791</v>
      </c>
      <c r="C342" s="2" t="s">
        <v>792</v>
      </c>
      <c r="D342" s="1" t="str">
        <f>IFERROR(__xludf.DUMMYFUNCTION("GOOGLETRANSLATE(A342 , ""auto"", ""ar"")"),"أسود")</f>
        <v>أسود</v>
      </c>
    </row>
    <row r="343" ht="15.75" customHeight="1">
      <c r="A343" s="1" t="s">
        <v>793</v>
      </c>
      <c r="B343" s="1" t="s">
        <v>794</v>
      </c>
      <c r="C343" s="1"/>
      <c r="D343" s="1" t="str">
        <f>IFERROR(__xludf.DUMMYFUNCTION("GOOGLETRANSLATE(A343 , ""auto"", ""ar"")"),"بلاك بورد")</f>
        <v>بلاك بورد</v>
      </c>
    </row>
    <row r="344" ht="15.75" customHeight="1">
      <c r="A344" s="1" t="s">
        <v>795</v>
      </c>
      <c r="B344" s="1" t="s">
        <v>796</v>
      </c>
      <c r="C344" s="2" t="s">
        <v>797</v>
      </c>
      <c r="D344" s="1" t="str">
        <f>IFERROR(__xludf.DUMMYFUNCTION("GOOGLETRANSLATE(A344 , ""auto"", ""ar"")"),"لوم")</f>
        <v>لوم</v>
      </c>
    </row>
    <row r="345" ht="15.75" customHeight="1">
      <c r="A345" s="1" t="s">
        <v>795</v>
      </c>
      <c r="B345" s="1" t="s">
        <v>798</v>
      </c>
      <c r="C345" s="1"/>
      <c r="D345" s="1" t="str">
        <f>IFERROR(__xludf.DUMMYFUNCTION("GOOGLETRANSLATE(A345 , ""auto"", ""ar"")"),"لوم")</f>
        <v>لوم</v>
      </c>
    </row>
    <row r="346" ht="15.75" customHeight="1">
      <c r="A346" s="1" t="s">
        <v>799</v>
      </c>
      <c r="B346" s="1" t="s">
        <v>800</v>
      </c>
      <c r="C346" s="2" t="s">
        <v>801</v>
      </c>
      <c r="D346" s="1" t="str">
        <f>IFERROR(__xludf.DUMMYFUNCTION("GOOGLETRANSLATE(A346 , ""auto"", ""ar"")"),"ضمن")</f>
        <v>ضمن</v>
      </c>
    </row>
    <row r="347" ht="15.75" customHeight="1">
      <c r="A347" s="1" t="s">
        <v>802</v>
      </c>
      <c r="B347" s="1" t="s">
        <v>803</v>
      </c>
      <c r="C347" s="2" t="s">
        <v>804</v>
      </c>
      <c r="D347" s="1" t="str">
        <f>IFERROR(__xludf.DUMMYFUNCTION("GOOGLETRANSLATE(A347 , ""auto"", ""ar"")"),"بطانية")</f>
        <v>بطانية</v>
      </c>
    </row>
    <row r="348" ht="15.75" customHeight="1">
      <c r="A348" s="1" t="s">
        <v>805</v>
      </c>
      <c r="B348" s="1" t="s">
        <v>806</v>
      </c>
      <c r="C348" s="2" t="s">
        <v>807</v>
      </c>
      <c r="D348" s="1" t="str">
        <f>IFERROR(__xludf.DUMMYFUNCTION("GOOGLETRANSLATE(A348 , ""auto"", ""ar"")"),"مبيض")</f>
        <v>مبيض</v>
      </c>
    </row>
    <row r="349" ht="15.75" customHeight="1">
      <c r="A349" s="1" t="s">
        <v>808</v>
      </c>
      <c r="B349" s="1" t="s">
        <v>809</v>
      </c>
      <c r="C349" s="1"/>
      <c r="D349" s="1" t="str">
        <f>IFERROR(__xludf.DUMMYFUNCTION("GOOGLETRANSLATE(A349 , ""auto"", ""ar"")"),"الخلاط")</f>
        <v>الخلاط</v>
      </c>
    </row>
    <row r="350" ht="15.75" customHeight="1">
      <c r="A350" s="1" t="s">
        <v>810</v>
      </c>
      <c r="B350" s="1" t="s">
        <v>811</v>
      </c>
      <c r="C350" s="2" t="s">
        <v>812</v>
      </c>
      <c r="D350" s="1" t="str">
        <f>IFERROR(__xludf.DUMMYFUNCTION("GOOGLETRANSLATE(A350 , ""auto"", ""ar"")"),"مبروك")</f>
        <v>مبروك</v>
      </c>
    </row>
    <row r="351" ht="15.75" customHeight="1">
      <c r="A351" s="1" t="s">
        <v>810</v>
      </c>
      <c r="B351" s="1" t="s">
        <v>813</v>
      </c>
      <c r="C351" s="2" t="s">
        <v>814</v>
      </c>
      <c r="D351" s="1" t="str">
        <f>IFERROR(__xludf.DUMMYFUNCTION("GOOGLETRANSLATE(A351 , ""auto"", ""ar"")"),"مبروك")</f>
        <v>مبروك</v>
      </c>
    </row>
    <row r="352" ht="15.75" customHeight="1">
      <c r="A352" s="1" t="s">
        <v>815</v>
      </c>
      <c r="B352" s="1" t="s">
        <v>816</v>
      </c>
      <c r="C352" s="2" t="s">
        <v>817</v>
      </c>
      <c r="D352" s="1" t="str">
        <f>IFERROR(__xludf.DUMMYFUNCTION("GOOGLETRANSLATE(A352 , ""auto"", ""ar"")"),"بركة")</f>
        <v>بركة</v>
      </c>
    </row>
    <row r="353" ht="15.75" customHeight="1">
      <c r="A353" s="1" t="s">
        <v>818</v>
      </c>
      <c r="B353" s="1" t="s">
        <v>819</v>
      </c>
      <c r="C353" s="2" t="s">
        <v>65</v>
      </c>
      <c r="D353" s="1" t="str">
        <f>IFERROR(__xludf.DUMMYFUNCTION("GOOGLETRANSLATE(A353 , ""auto"", ""ar"")"),"أعمى")</f>
        <v>أعمى</v>
      </c>
    </row>
    <row r="354" ht="15.75" customHeight="1">
      <c r="A354" s="1" t="s">
        <v>820</v>
      </c>
      <c r="B354" s="1" t="s">
        <v>821</v>
      </c>
      <c r="C354" s="1"/>
      <c r="D354" s="1" t="str">
        <f>IFERROR(__xludf.DUMMYFUNCTION("GOOGLETRANSLATE(A354 , ""auto"", ""ar"")"),"العمى")</f>
        <v>العمى</v>
      </c>
    </row>
    <row r="355" ht="15.75" customHeight="1">
      <c r="A355" s="1" t="s">
        <v>822</v>
      </c>
      <c r="B355" s="1" t="s">
        <v>823</v>
      </c>
      <c r="C355" s="2" t="s">
        <v>824</v>
      </c>
      <c r="D355" s="1" t="str">
        <f>IFERROR(__xludf.DUMMYFUNCTION("GOOGLETRANSLATE(A355 , ""auto"", ""ar"")"),"حاجز")</f>
        <v>حاجز</v>
      </c>
    </row>
    <row r="356" ht="15.75" customHeight="1">
      <c r="A356" s="1" t="s">
        <v>822</v>
      </c>
      <c r="B356" s="1" t="s">
        <v>363</v>
      </c>
      <c r="C356" s="2" t="s">
        <v>364</v>
      </c>
      <c r="D356" s="1" t="str">
        <f>IFERROR(__xludf.DUMMYFUNCTION("GOOGLETRANSLATE(A356 , ""auto"", ""ar"")"),"حاجز")</f>
        <v>حاجز</v>
      </c>
    </row>
    <row r="357" ht="15.75" customHeight="1">
      <c r="A357" s="1" t="s">
        <v>822</v>
      </c>
      <c r="B357" s="1" t="s">
        <v>605</v>
      </c>
      <c r="C357" s="2" t="s">
        <v>825</v>
      </c>
      <c r="D357" s="1" t="str">
        <f>IFERROR(__xludf.DUMMYFUNCTION("GOOGLETRANSLATE(A357 , ""auto"", ""ar"")"),"حاجز")</f>
        <v>حاجز</v>
      </c>
    </row>
    <row r="358" ht="15.75" customHeight="1">
      <c r="A358" s="1" t="s">
        <v>826</v>
      </c>
      <c r="B358" s="1" t="s">
        <v>827</v>
      </c>
      <c r="C358" s="2" t="s">
        <v>828</v>
      </c>
      <c r="D358" s="1" t="str">
        <f>IFERROR(__xludf.DUMMYFUNCTION("GOOGLETRANSLATE(A358 , ""auto"", ""ar"")"),"محظور")</f>
        <v>محظور</v>
      </c>
    </row>
    <row r="359" ht="15.75" customHeight="1">
      <c r="A359" s="1" t="s">
        <v>826</v>
      </c>
      <c r="B359" s="1" t="s">
        <v>829</v>
      </c>
      <c r="C359" s="2" t="s">
        <v>65</v>
      </c>
      <c r="D359" s="1" t="str">
        <f>IFERROR(__xludf.DUMMYFUNCTION("GOOGLETRANSLATE(A359 , ""auto"", ""ar"")"),"محظور")</f>
        <v>محظور</v>
      </c>
    </row>
    <row r="360" ht="15.75" customHeight="1">
      <c r="A360" s="1" t="s">
        <v>830</v>
      </c>
      <c r="B360" s="1" t="s">
        <v>831</v>
      </c>
      <c r="C360" s="2" t="s">
        <v>832</v>
      </c>
      <c r="D360" s="1" t="str">
        <f>IFERROR(__xludf.DUMMYFUNCTION("GOOGLETRANSLATE(A360 , ""auto"", ""ar"")"),"دم")</f>
        <v>دم</v>
      </c>
    </row>
    <row r="361" ht="15.75" customHeight="1">
      <c r="A361" s="1" t="s">
        <v>833</v>
      </c>
      <c r="B361" s="1" t="s">
        <v>834</v>
      </c>
      <c r="C361" s="1"/>
      <c r="D361" s="1" t="str">
        <f>IFERROR(__xludf.DUMMYFUNCTION("GOOGLETRANSLATE(A361 , ""auto"", ""ar"")"),"ضغط الدم")</f>
        <v>ضغط الدم</v>
      </c>
    </row>
    <row r="362" ht="15.75" customHeight="1">
      <c r="A362" s="1" t="s">
        <v>833</v>
      </c>
      <c r="B362" s="1" t="s">
        <v>835</v>
      </c>
      <c r="C362" s="1"/>
      <c r="D362" s="1" t="str">
        <f>IFERROR(__xludf.DUMMYFUNCTION("GOOGLETRANSLATE(A362 , ""auto"", ""ar"")"),"ضغط الدم")</f>
        <v>ضغط الدم</v>
      </c>
    </row>
    <row r="363" ht="15.75" customHeight="1">
      <c r="A363" s="1" t="s">
        <v>836</v>
      </c>
      <c r="B363" s="1" t="s">
        <v>837</v>
      </c>
      <c r="C363" s="2" t="s">
        <v>838</v>
      </c>
      <c r="D363" s="1" t="str">
        <f>IFERROR(__xludf.DUMMYFUNCTION("GOOGLETRANSLATE(A363 , ""auto"", ""ar"")"),"ضربة واحدة في الأنف")</f>
        <v>ضربة واحدة في الأنف</v>
      </c>
    </row>
    <row r="364" ht="15.75" customHeight="1">
      <c r="A364" s="1" t="s">
        <v>839</v>
      </c>
      <c r="B364" s="1" t="s">
        <v>840</v>
      </c>
      <c r="C364" s="2" t="s">
        <v>841</v>
      </c>
      <c r="D364" s="1" t="str">
        <f>IFERROR(__xludf.DUMMYFUNCTION("GOOGLETRANSLATE(A364 , ""auto"", ""ar"")"),"أزرق")</f>
        <v>أزرق</v>
      </c>
    </row>
    <row r="365" ht="15.75" customHeight="1">
      <c r="A365" s="1" t="s">
        <v>842</v>
      </c>
      <c r="B365" s="1" t="s">
        <v>843</v>
      </c>
      <c r="C365" s="2" t="s">
        <v>844</v>
      </c>
      <c r="D365" s="1" t="str">
        <f>IFERROR(__xludf.DUMMYFUNCTION("GOOGLETRANSLATE(A365 , ""auto"", ""ar"")"),"صريح")</f>
        <v>صريح</v>
      </c>
    </row>
    <row r="366" ht="15.75" customHeight="1">
      <c r="A366" s="1" t="s">
        <v>845</v>
      </c>
      <c r="B366" s="1" t="s">
        <v>846</v>
      </c>
      <c r="C366" s="2" t="s">
        <v>847</v>
      </c>
      <c r="D366" s="1" t="str">
        <f>IFERROR(__xludf.DUMMYFUNCTION("GOOGLETRANSLATE(A366 , ""auto"", ""ar"")"),"قارب")</f>
        <v>قارب</v>
      </c>
    </row>
    <row r="367" ht="15.75" customHeight="1">
      <c r="A367" s="1" t="s">
        <v>845</v>
      </c>
      <c r="B367" s="1" t="s">
        <v>848</v>
      </c>
      <c r="C367" s="2" t="s">
        <v>849</v>
      </c>
      <c r="D367" s="1" t="str">
        <f>IFERROR(__xludf.DUMMYFUNCTION("GOOGLETRANSLATE(A367 , ""auto"", ""ar"")"),"قارب")</f>
        <v>قارب</v>
      </c>
    </row>
    <row r="368" ht="15.75" customHeight="1">
      <c r="A368" s="1" t="s">
        <v>850</v>
      </c>
      <c r="B368" s="1" t="s">
        <v>851</v>
      </c>
      <c r="C368" s="2" t="s">
        <v>852</v>
      </c>
      <c r="D368" s="1" t="str">
        <f>IFERROR(__xludf.DUMMYFUNCTION("GOOGLETRANSLATE(A368 , ""auto"", ""ar"")"),"جسم")</f>
        <v>جسم</v>
      </c>
    </row>
    <row r="369" ht="15.75" customHeight="1">
      <c r="A369" s="1" t="s">
        <v>850</v>
      </c>
      <c r="B369" s="1" t="s">
        <v>853</v>
      </c>
      <c r="C369" s="2" t="s">
        <v>854</v>
      </c>
      <c r="D369" s="1" t="str">
        <f>IFERROR(__xludf.DUMMYFUNCTION("GOOGLETRANSLATE(A369 , ""auto"", ""ar"")"),"جسم")</f>
        <v>جسم</v>
      </c>
    </row>
    <row r="370" ht="15.75" customHeight="1">
      <c r="A370" s="1" t="s">
        <v>855</v>
      </c>
      <c r="B370" s="1" t="s">
        <v>856</v>
      </c>
      <c r="C370" s="2" t="s">
        <v>857</v>
      </c>
      <c r="D370" s="1" t="str">
        <f>IFERROR(__xludf.DUMMYFUNCTION("GOOGLETRANSLATE(A370 , ""auto"", ""ar"")"),"دمل")</f>
        <v>دمل</v>
      </c>
    </row>
    <row r="371" ht="15.75" customHeight="1">
      <c r="A371" s="1" t="s">
        <v>855</v>
      </c>
      <c r="B371" s="1" t="s">
        <v>858</v>
      </c>
      <c r="C371" s="1"/>
      <c r="D371" s="1" t="str">
        <f>IFERROR(__xludf.DUMMYFUNCTION("GOOGLETRANSLATE(A371 , ""auto"", ""ar"")"),"دمل")</f>
        <v>دمل</v>
      </c>
    </row>
    <row r="372" ht="15.75" customHeight="1">
      <c r="A372" s="1" t="s">
        <v>855</v>
      </c>
      <c r="B372" s="1" t="s">
        <v>859</v>
      </c>
      <c r="C372" s="2" t="s">
        <v>860</v>
      </c>
      <c r="D372" s="1" t="str">
        <f>IFERROR(__xludf.DUMMYFUNCTION("GOOGLETRANSLATE(A372 , ""auto"", ""ar"")"),"دمل")</f>
        <v>دمل</v>
      </c>
    </row>
    <row r="373" ht="15.75" customHeight="1">
      <c r="A373" s="1" t="s">
        <v>855</v>
      </c>
      <c r="B373" s="1" t="s">
        <v>861</v>
      </c>
      <c r="C373" s="2" t="s">
        <v>862</v>
      </c>
      <c r="D373" s="1" t="str">
        <f>IFERROR(__xludf.DUMMYFUNCTION("GOOGLETRANSLATE(A373 , ""auto"", ""ar"")"),"دمل")</f>
        <v>دمل</v>
      </c>
    </row>
    <row r="374" ht="15.75" customHeight="1">
      <c r="A374" s="1" t="s">
        <v>855</v>
      </c>
      <c r="B374" s="1" t="s">
        <v>863</v>
      </c>
      <c r="C374" s="2" t="s">
        <v>864</v>
      </c>
      <c r="D374" s="1" t="str">
        <f>IFERROR(__xludf.DUMMYFUNCTION("GOOGLETRANSLATE(A374 , ""auto"", ""ar"")"),"دمل")</f>
        <v>دمل</v>
      </c>
    </row>
    <row r="375" ht="15.75" customHeight="1">
      <c r="A375" s="1" t="s">
        <v>865</v>
      </c>
      <c r="B375" s="1" t="s">
        <v>866</v>
      </c>
      <c r="C375" s="2" t="s">
        <v>867</v>
      </c>
      <c r="D375" s="1" t="str">
        <f>IFERROR(__xludf.DUMMYFUNCTION("GOOGLETRANSLATE(A375 , ""auto"", ""ar"")"),"مغلي")</f>
        <v>مغلي</v>
      </c>
    </row>
    <row r="376" ht="15.75" customHeight="1">
      <c r="A376" s="1" t="s">
        <v>868</v>
      </c>
      <c r="B376" s="1" t="s">
        <v>869</v>
      </c>
      <c r="C376" s="2" t="s">
        <v>870</v>
      </c>
      <c r="D376" s="1" t="str">
        <f>IFERROR(__xludf.DUMMYFUNCTION("GOOGLETRANSLATE(A376 , ""auto"", ""ar"")"),"الترباس")</f>
        <v>الترباس</v>
      </c>
    </row>
    <row r="377" ht="15.75" customHeight="1">
      <c r="A377" s="1" t="s">
        <v>868</v>
      </c>
      <c r="B377" s="1" t="s">
        <v>871</v>
      </c>
      <c r="C377" s="2" t="s">
        <v>872</v>
      </c>
      <c r="D377" s="1" t="str">
        <f>IFERROR(__xludf.DUMMYFUNCTION("GOOGLETRANSLATE(A377 , ""auto"", ""ar"")"),"الترباس")</f>
        <v>الترباس</v>
      </c>
    </row>
    <row r="378" ht="15.75" customHeight="1">
      <c r="A378" s="1" t="s">
        <v>873</v>
      </c>
      <c r="B378" s="1" t="s">
        <v>643</v>
      </c>
      <c r="C378" s="1"/>
      <c r="D378" s="1" t="str">
        <f>IFERROR(__xludf.DUMMYFUNCTION("GOOGLETRANSLATE(A378 , ""auto"", ""ar"")"),"قنبلة")</f>
        <v>قنبلة</v>
      </c>
    </row>
    <row r="379" ht="15.75" customHeight="1">
      <c r="A379" s="1" t="s">
        <v>874</v>
      </c>
      <c r="B379" s="1" t="s">
        <v>875</v>
      </c>
      <c r="C379" s="2" t="s">
        <v>876</v>
      </c>
      <c r="D379" s="1" t="str">
        <f>IFERROR(__xludf.DUMMYFUNCTION("GOOGLETRANSLATE(A379 , ""auto"", ""ar"")"),"شهية طيبة")</f>
        <v>شهية طيبة</v>
      </c>
    </row>
    <row r="380" ht="15.75" customHeight="1">
      <c r="A380" s="1" t="s">
        <v>877</v>
      </c>
      <c r="B380" s="1" t="s">
        <v>878</v>
      </c>
      <c r="C380" s="2" t="s">
        <v>879</v>
      </c>
      <c r="D380" s="1" t="str">
        <f>IFERROR(__xludf.DUMMYFUNCTION("GOOGLETRANSLATE(A380 , ""auto"", ""ar"")"),"عظم")</f>
        <v>عظم</v>
      </c>
    </row>
    <row r="381" ht="15.75" customHeight="1">
      <c r="A381" s="1" t="s">
        <v>880</v>
      </c>
      <c r="B381" s="1" t="s">
        <v>881</v>
      </c>
      <c r="C381" s="2" t="s">
        <v>882</v>
      </c>
      <c r="D381" s="1" t="str">
        <f>IFERROR(__xludf.DUMMYFUNCTION("GOOGLETRANSLATE(A381 , ""auto"", ""ar"")"),"لحوم عظم")</f>
        <v>لحوم عظم</v>
      </c>
    </row>
    <row r="382" ht="15.75" customHeight="1">
      <c r="A382" s="1" t="s">
        <v>883</v>
      </c>
      <c r="B382" s="1" t="s">
        <v>884</v>
      </c>
      <c r="C382" s="2" t="s">
        <v>885</v>
      </c>
      <c r="D382" s="1" t="str">
        <f>IFERROR(__xludf.DUMMYFUNCTION("GOOGLETRANSLATE(A382 , ""auto"", ""ar"")"),"كتاب")</f>
        <v>كتاب</v>
      </c>
    </row>
    <row r="383" ht="15.75" customHeight="1">
      <c r="A383" s="1" t="s">
        <v>886</v>
      </c>
      <c r="B383" s="1" t="s">
        <v>887</v>
      </c>
      <c r="C383" s="2" t="s">
        <v>888</v>
      </c>
      <c r="D383" s="1" t="str">
        <f>IFERROR(__xludf.DUMMYFUNCTION("GOOGLETRANSLATE(A383 , ""auto"", ""ar"")"),"مكتبة")</f>
        <v>مكتبة</v>
      </c>
    </row>
    <row r="384" ht="15.75" customHeight="1">
      <c r="A384" s="1" t="s">
        <v>889</v>
      </c>
      <c r="B384" s="1" t="s">
        <v>887</v>
      </c>
      <c r="C384" s="2" t="s">
        <v>888</v>
      </c>
      <c r="D384" s="1" t="str">
        <f>IFERROR(__xludf.DUMMYFUNCTION("GOOGLETRANSLATE(A384 , ""auto"", ""ar"")"),"مكتبة لبيع الكتب")</f>
        <v>مكتبة لبيع الكتب</v>
      </c>
    </row>
    <row r="385" ht="15.75" customHeight="1">
      <c r="A385" s="1" t="s">
        <v>890</v>
      </c>
      <c r="B385" s="1" t="s">
        <v>891</v>
      </c>
      <c r="C385" s="2" t="s">
        <v>892</v>
      </c>
      <c r="D385" s="1" t="str">
        <f>IFERROR(__xludf.DUMMYFUNCTION("GOOGLETRANSLATE(A385 , ""auto"", ""ar"")"),"حذاء طويل")</f>
        <v>حذاء طويل</v>
      </c>
    </row>
    <row r="386" ht="15.75" customHeight="1">
      <c r="A386" s="1" t="s">
        <v>890</v>
      </c>
      <c r="B386" s="1" t="s">
        <v>893</v>
      </c>
      <c r="C386" s="2" t="s">
        <v>894</v>
      </c>
      <c r="D386" s="1" t="str">
        <f>IFERROR(__xludf.DUMMYFUNCTION("GOOGLETRANSLATE(A386 , ""auto"", ""ar"")"),"حذاء طويل")</f>
        <v>حذاء طويل</v>
      </c>
    </row>
    <row r="387" ht="15.75" customHeight="1">
      <c r="A387" s="1" t="s">
        <v>890</v>
      </c>
      <c r="B387" s="1" t="s">
        <v>895</v>
      </c>
      <c r="C387" s="2" t="s">
        <v>896</v>
      </c>
      <c r="D387" s="1" t="str">
        <f>IFERROR(__xludf.DUMMYFUNCTION("GOOGLETRANSLATE(A387 , ""auto"", ""ar"")"),"حذاء طويل")</f>
        <v>حذاء طويل</v>
      </c>
    </row>
    <row r="388" ht="15.75" customHeight="1">
      <c r="A388" s="1" t="s">
        <v>897</v>
      </c>
      <c r="B388" s="1" t="s">
        <v>898</v>
      </c>
      <c r="C388" s="2" t="s">
        <v>899</v>
      </c>
      <c r="D388" s="1" t="str">
        <f>IFERROR(__xludf.DUMMYFUNCTION("GOOGLETRANSLATE(A388 , ""auto"", ""ar"")"),"حدود")</f>
        <v>حدود</v>
      </c>
    </row>
    <row r="389" ht="15.75" customHeight="1">
      <c r="A389" s="1" t="s">
        <v>900</v>
      </c>
      <c r="B389" s="1" t="s">
        <v>901</v>
      </c>
      <c r="C389" s="1"/>
      <c r="D389" s="1" t="str">
        <f>IFERROR(__xludf.DUMMYFUNCTION("GOOGLETRANSLATE(A389 , ""auto"", ""ar"")"),"ملل")</f>
        <v>ملل</v>
      </c>
    </row>
    <row r="390" ht="15.75" customHeight="1">
      <c r="A390" s="1" t="s">
        <v>902</v>
      </c>
      <c r="B390" s="1" t="s">
        <v>903</v>
      </c>
      <c r="C390" s="2" t="s">
        <v>904</v>
      </c>
      <c r="D390" s="1" t="str">
        <f>IFERROR(__xludf.DUMMYFUNCTION("GOOGLETRANSLATE(A390 , ""auto"", ""ar"")"),"ممل")</f>
        <v>ممل</v>
      </c>
    </row>
    <row r="391" ht="15.75" customHeight="1">
      <c r="A391" s="1" t="s">
        <v>905</v>
      </c>
      <c r="B391" s="1" t="s">
        <v>906</v>
      </c>
      <c r="C391" s="2" t="s">
        <v>907</v>
      </c>
      <c r="D391" s="1" t="str">
        <f>IFERROR(__xludf.DUMMYFUNCTION("GOOGLETRANSLATE(A391 , ""auto"", ""ar"")"),"يستعير")</f>
        <v>يستعير</v>
      </c>
    </row>
    <row r="392" ht="15.75" customHeight="1">
      <c r="A392" s="1" t="s">
        <v>908</v>
      </c>
      <c r="B392" s="1" t="s">
        <v>909</v>
      </c>
      <c r="C392" s="1"/>
      <c r="D392" s="1" t="str">
        <f>IFERROR(__xludf.DUMMYFUNCTION("GOOGLETRANSLATE(A392 , ""auto"", ""ar"")"),"رئيس")</f>
        <v>رئيس</v>
      </c>
    </row>
    <row r="393" ht="15.75" customHeight="1">
      <c r="A393" s="1" t="s">
        <v>910</v>
      </c>
      <c r="B393" s="1" t="s">
        <v>911</v>
      </c>
      <c r="C393" s="2" t="s">
        <v>912</v>
      </c>
      <c r="D393" s="1" t="str">
        <f>IFERROR(__xludf.DUMMYFUNCTION("GOOGLETRANSLATE(A393 , ""auto"", ""ar"")"),"كلاهما")</f>
        <v>كلاهما</v>
      </c>
    </row>
    <row r="394" ht="15.75" customHeight="1">
      <c r="A394" s="1" t="s">
        <v>913</v>
      </c>
      <c r="B394" s="1" t="s">
        <v>914</v>
      </c>
      <c r="C394" s="2" t="s">
        <v>915</v>
      </c>
      <c r="D394" s="1" t="str">
        <f>IFERROR(__xludf.DUMMYFUNCTION("GOOGLETRANSLATE(A394 , ""auto"", ""ar"")"),"زجاجة")</f>
        <v>زجاجة</v>
      </c>
    </row>
    <row r="395" ht="15.75" customHeight="1">
      <c r="A395" s="1" t="s">
        <v>913</v>
      </c>
      <c r="B395" s="1" t="s">
        <v>916</v>
      </c>
      <c r="C395" s="2" t="s">
        <v>917</v>
      </c>
      <c r="D395" s="1" t="str">
        <f>IFERROR(__xludf.DUMMYFUNCTION("GOOGLETRANSLATE(A395 , ""auto"", ""ar"")"),"زجاجة")</f>
        <v>زجاجة</v>
      </c>
    </row>
    <row r="396" ht="15.75" customHeight="1">
      <c r="A396" s="1" t="s">
        <v>918</v>
      </c>
      <c r="B396" s="1" t="s">
        <v>919</v>
      </c>
      <c r="C396" s="1"/>
      <c r="D396" s="1" t="str">
        <f>IFERROR(__xludf.DUMMYFUNCTION("GOOGLETRANSLATE(A396 , ""auto"", ""ar"")"),"أعلى القنينة")</f>
        <v>أعلى القنينة</v>
      </c>
    </row>
    <row r="397" ht="15.75" customHeight="1">
      <c r="A397" s="1" t="s">
        <v>918</v>
      </c>
      <c r="B397" s="1" t="s">
        <v>920</v>
      </c>
      <c r="C397" s="1"/>
      <c r="D397" s="1" t="str">
        <f>IFERROR(__xludf.DUMMYFUNCTION("GOOGLETRANSLATE(A397 , ""auto"", ""ar"")"),"أعلى القنينة")</f>
        <v>أعلى القنينة</v>
      </c>
    </row>
    <row r="398" ht="15.75" customHeight="1">
      <c r="A398" s="1" t="s">
        <v>921</v>
      </c>
      <c r="B398" s="1" t="s">
        <v>538</v>
      </c>
      <c r="C398" s="2" t="s">
        <v>539</v>
      </c>
      <c r="D398" s="1" t="str">
        <f>IFERROR(__xludf.DUMMYFUNCTION("GOOGLETRANSLATE(A398 , ""auto"", ""ar"")"),"قاع")</f>
        <v>قاع</v>
      </c>
    </row>
    <row r="399" ht="15.75" customHeight="1">
      <c r="A399" s="1" t="s">
        <v>922</v>
      </c>
      <c r="B399" s="1" t="s">
        <v>923</v>
      </c>
      <c r="C399" s="2" t="s">
        <v>924</v>
      </c>
      <c r="D399" s="1" t="str">
        <f>IFERROR(__xludf.DUMMYFUNCTION("GOOGLETRANSLATE(A399 , ""auto"", ""ar"")"),"باقة القرني")</f>
        <v>باقة القرني</v>
      </c>
    </row>
    <row r="400" ht="15.75" customHeight="1">
      <c r="A400" s="1" t="s">
        <v>922</v>
      </c>
      <c r="B400" s="1" t="s">
        <v>925</v>
      </c>
      <c r="C400" s="1"/>
      <c r="D400" s="1" t="str">
        <f>IFERROR(__xludf.DUMMYFUNCTION("GOOGLETRANSLATE(A400 , ""auto"", ""ar"")"),"باقة القرني")</f>
        <v>باقة القرني</v>
      </c>
    </row>
    <row r="401" ht="15.75" customHeight="1">
      <c r="A401" s="1" t="s">
        <v>926</v>
      </c>
      <c r="B401" s="1" t="s">
        <v>927</v>
      </c>
      <c r="C401" s="1"/>
      <c r="D401" s="1" t="str">
        <f>IFERROR(__xludf.DUMMYFUNCTION("GOOGLETRANSLATE(A401 , ""auto"", ""ar"")"),"المعكرونة على شكل القوس")</f>
        <v>المعكرونة على شكل القوس</v>
      </c>
    </row>
    <row r="402" ht="15.75" customHeight="1">
      <c r="A402" s="1" t="s">
        <v>928</v>
      </c>
      <c r="B402" s="1" t="s">
        <v>929</v>
      </c>
      <c r="C402" s="2" t="s">
        <v>930</v>
      </c>
      <c r="D402" s="1" t="str">
        <f>IFERROR(__xludf.DUMMYFUNCTION("GOOGLETRANSLATE(A402 , ""auto"", ""ar"")"),"صَحن")</f>
        <v>صَحن</v>
      </c>
    </row>
    <row r="403" ht="15.75" customHeight="1">
      <c r="A403" s="1" t="s">
        <v>928</v>
      </c>
      <c r="B403" s="1" t="s">
        <v>547</v>
      </c>
      <c r="C403" s="2" t="s">
        <v>548</v>
      </c>
      <c r="D403" s="1" t="str">
        <f>IFERROR(__xludf.DUMMYFUNCTION("GOOGLETRANSLATE(A403 , ""auto"", ""ar"")"),"صَحن")</f>
        <v>صَحن</v>
      </c>
    </row>
    <row r="404" ht="15.75" customHeight="1">
      <c r="A404" s="1" t="s">
        <v>931</v>
      </c>
      <c r="B404" s="1" t="s">
        <v>932</v>
      </c>
      <c r="C404" s="1"/>
      <c r="D404" s="1" t="str">
        <f>IFERROR(__xludf.DUMMYFUNCTION("GOOGLETRANSLATE(A404 , ""auto"", ""ar"")"),"ربطة القوس")</f>
        <v>ربطة القوس</v>
      </c>
    </row>
    <row r="405" ht="15.75" customHeight="1">
      <c r="A405" s="1" t="s">
        <v>933</v>
      </c>
      <c r="B405" s="1" t="s">
        <v>934</v>
      </c>
      <c r="C405" s="2" t="s">
        <v>935</v>
      </c>
      <c r="D405" s="1" t="str">
        <f>IFERROR(__xludf.DUMMYFUNCTION("GOOGLETRANSLATE(A405 , ""auto"", ""ar"")"),"صندوق")</f>
        <v>صندوق</v>
      </c>
    </row>
    <row r="406" ht="15.75" customHeight="1">
      <c r="A406" s="1" t="s">
        <v>933</v>
      </c>
      <c r="B406" s="1" t="s">
        <v>936</v>
      </c>
      <c r="C406" s="2" t="s">
        <v>937</v>
      </c>
      <c r="D406" s="1" t="str">
        <f>IFERROR(__xludf.DUMMYFUNCTION("GOOGLETRANSLATE(A406 , ""auto"", ""ar"")"),"صندوق")</f>
        <v>صندوق</v>
      </c>
    </row>
    <row r="407" ht="15.75" customHeight="1">
      <c r="A407" s="1" t="s">
        <v>938</v>
      </c>
      <c r="B407" s="1" t="s">
        <v>493</v>
      </c>
      <c r="C407" s="2" t="s">
        <v>939</v>
      </c>
      <c r="D407" s="1" t="str">
        <f>IFERROR(__xludf.DUMMYFUNCTION("GOOGLETRANSLATE(A407 , ""auto"", ""ar"")"),"ولد")</f>
        <v>ولد</v>
      </c>
    </row>
    <row r="408" ht="15.75" customHeight="1">
      <c r="A408" s="1" t="s">
        <v>938</v>
      </c>
      <c r="B408" s="1" t="s">
        <v>940</v>
      </c>
      <c r="C408" s="2" t="s">
        <v>941</v>
      </c>
      <c r="D408" s="1" t="str">
        <f>IFERROR(__xludf.DUMMYFUNCTION("GOOGLETRANSLATE(A408 , ""auto"", ""ar"")"),"ولد")</f>
        <v>ولد</v>
      </c>
    </row>
    <row r="409" ht="15.75" customHeight="1">
      <c r="A409" s="1" t="s">
        <v>942</v>
      </c>
      <c r="B409" s="1" t="s">
        <v>943</v>
      </c>
      <c r="C409" s="2" t="s">
        <v>944</v>
      </c>
      <c r="D409" s="1" t="str">
        <f>IFERROR(__xludf.DUMMYFUNCTION("GOOGLETRANSLATE(A409 , ""auto"", ""ar"")"),"جيد")</f>
        <v>جيد</v>
      </c>
    </row>
    <row r="410" ht="15.75" customHeight="1">
      <c r="A410" s="1" t="s">
        <v>942</v>
      </c>
      <c r="B410" s="1" t="s">
        <v>943</v>
      </c>
      <c r="C410" s="2" t="s">
        <v>944</v>
      </c>
      <c r="D410" s="1" t="str">
        <f>IFERROR(__xludf.DUMMYFUNCTION("GOOGLETRANSLATE(A410 , ""auto"", ""ar"")"),"جيد")</f>
        <v>جيد</v>
      </c>
    </row>
    <row r="411" ht="15.75" customHeight="1">
      <c r="A411" s="1" t="s">
        <v>945</v>
      </c>
      <c r="B411" s="1" t="s">
        <v>946</v>
      </c>
      <c r="C411" s="1"/>
      <c r="D411" s="1" t="str">
        <f>IFERROR(__xludf.DUMMYFUNCTION("GOOGLETRANSLATE(A411 , ""auto"", ""ar"")"),"إسورة")</f>
        <v>إسورة</v>
      </c>
    </row>
    <row r="412" ht="15.75" customHeight="1">
      <c r="A412" s="1" t="s">
        <v>945</v>
      </c>
      <c r="B412" s="1" t="s">
        <v>947</v>
      </c>
      <c r="C412" s="2" t="s">
        <v>948</v>
      </c>
      <c r="D412" s="1" t="str">
        <f>IFERROR(__xludf.DUMMYFUNCTION("GOOGLETRANSLATE(A412 , ""auto"", ""ar"")"),"إسورة")</f>
        <v>إسورة</v>
      </c>
    </row>
    <row r="413" ht="15.75" customHeight="1">
      <c r="A413" s="1" t="s">
        <v>945</v>
      </c>
      <c r="B413" s="1" t="s">
        <v>949</v>
      </c>
      <c r="C413" s="1"/>
      <c r="D413" s="1" t="str">
        <f>IFERROR(__xludf.DUMMYFUNCTION("GOOGLETRANSLATE(A413 , ""auto"", ""ar"")"),"إسورة")</f>
        <v>إسورة</v>
      </c>
    </row>
    <row r="414" ht="15.75" customHeight="1">
      <c r="A414" s="1" t="s">
        <v>950</v>
      </c>
      <c r="B414" s="1" t="s">
        <v>951</v>
      </c>
      <c r="C414" s="2" t="s">
        <v>952</v>
      </c>
      <c r="D414" s="1" t="str">
        <f>IFERROR(__xludf.DUMMYFUNCTION("GOOGLETRANSLATE(A414 , ""auto"", ""ar"")"),"مخ")</f>
        <v>مخ</v>
      </c>
    </row>
    <row r="415" ht="15.75" customHeight="1">
      <c r="A415" s="1" t="s">
        <v>950</v>
      </c>
      <c r="B415" s="1" t="s">
        <v>953</v>
      </c>
      <c r="C415" s="2" t="s">
        <v>954</v>
      </c>
      <c r="D415" s="1" t="str">
        <f>IFERROR(__xludf.DUMMYFUNCTION("GOOGLETRANSLATE(A415 , ""auto"", ""ar"")"),"مخ")</f>
        <v>مخ</v>
      </c>
    </row>
    <row r="416" ht="15.75" customHeight="1">
      <c r="A416" s="1" t="s">
        <v>955</v>
      </c>
      <c r="B416" s="1" t="s">
        <v>956</v>
      </c>
      <c r="C416" s="1"/>
      <c r="D416" s="1" t="str">
        <f>IFERROR(__xludf.DUMMYFUNCTION("GOOGLETRANSLATE(A416 , ""auto"", ""ar"")"),"برامبلز")</f>
        <v>برامبلز</v>
      </c>
    </row>
    <row r="417" ht="15.75" customHeight="1">
      <c r="A417" s="1" t="s">
        <v>957</v>
      </c>
      <c r="B417" s="1" t="s">
        <v>958</v>
      </c>
      <c r="C417" s="2" t="s">
        <v>959</v>
      </c>
      <c r="D417" s="1" t="str">
        <f>IFERROR(__xludf.DUMMYFUNCTION("GOOGLETRANSLATE(A417 , ""auto"", ""ar"")"),"فرع")</f>
        <v>فرع</v>
      </c>
    </row>
    <row r="418" ht="15.75" customHeight="1">
      <c r="A418" s="1" t="s">
        <v>960</v>
      </c>
      <c r="B418" s="1" t="s">
        <v>961</v>
      </c>
      <c r="C418" s="1"/>
      <c r="D418" s="1" t="str">
        <f>IFERROR(__xludf.DUMMYFUNCTION("GOOGLETRANSLATE(A418 , ""auto"", ""ar"")"),"ماركة")</f>
        <v>ماركة</v>
      </c>
    </row>
    <row r="419" ht="15.75" customHeight="1">
      <c r="A419" s="1" t="s">
        <v>962</v>
      </c>
      <c r="B419" s="1" t="s">
        <v>963</v>
      </c>
      <c r="C419" s="2" t="s">
        <v>964</v>
      </c>
      <c r="D419" s="1" t="str">
        <f>IFERROR(__xludf.DUMMYFUNCTION("GOOGLETRANSLATE(A419 , ""auto"", ""ar"")"),"نحاس")</f>
        <v>نحاس</v>
      </c>
    </row>
    <row r="420" ht="15.75" customHeight="1">
      <c r="A420" s="1" t="s">
        <v>965</v>
      </c>
      <c r="B420" s="1" t="s">
        <v>966</v>
      </c>
      <c r="C420" s="2" t="s">
        <v>967</v>
      </c>
      <c r="D420" s="1" t="str">
        <f>IFERROR(__xludf.DUMMYFUNCTION("GOOGLETRANSLATE(A420 , ""auto"", ""ar"")"),"البرازيل")</f>
        <v>البرازيل</v>
      </c>
    </row>
    <row r="421" ht="15.75" customHeight="1">
      <c r="A421" s="1" t="s">
        <v>968</v>
      </c>
      <c r="B421" s="1" t="s">
        <v>969</v>
      </c>
      <c r="C421" s="2" t="s">
        <v>970</v>
      </c>
      <c r="D421" s="1" t="str">
        <f>IFERROR(__xludf.DUMMYFUNCTION("GOOGLETRANSLATE(A421 , ""auto"", ""ar"")"),"البرازيلي")</f>
        <v>البرازيلي</v>
      </c>
    </row>
    <row r="422" ht="15.75" customHeight="1">
      <c r="A422" s="1" t="s">
        <v>971</v>
      </c>
      <c r="B422" s="1" t="s">
        <v>972</v>
      </c>
      <c r="C422" s="2" t="s">
        <v>973</v>
      </c>
      <c r="D422" s="1" t="str">
        <f>IFERROR(__xludf.DUMMYFUNCTION("GOOGLETRANSLATE(A422 , ""auto"", ""ar"")"),"خبز")</f>
        <v>خبز</v>
      </c>
    </row>
    <row r="423" ht="15.75" customHeight="1">
      <c r="A423" s="1" t="s">
        <v>974</v>
      </c>
      <c r="B423" s="1" t="s">
        <v>975</v>
      </c>
      <c r="C423" s="2" t="s">
        <v>976</v>
      </c>
      <c r="D423" s="1" t="str">
        <f>IFERROR(__xludf.DUMMYFUNCTION("GOOGLETRANSLATE(A423 , ""auto"", ""ar"")"),"الخبز المطبوخ في مقلاة")</f>
        <v>الخبز المطبوخ في مقلاة</v>
      </c>
    </row>
    <row r="424" ht="15.75" customHeight="1">
      <c r="A424" s="1" t="s">
        <v>977</v>
      </c>
      <c r="B424" s="1" t="s">
        <v>978</v>
      </c>
      <c r="C424" s="1"/>
      <c r="D424" s="1" t="str">
        <f>IFERROR(__xludf.DUMMYFUNCTION("GOOGLETRANSLATE(A424 , ""auto"", ""ar"")"),"آلة الخبز")</f>
        <v>آلة الخبز</v>
      </c>
    </row>
    <row r="425" ht="15.75" customHeight="1">
      <c r="A425" s="1" t="s">
        <v>979</v>
      </c>
      <c r="B425" s="1" t="s">
        <v>980</v>
      </c>
      <c r="C425" s="2" t="s">
        <v>981</v>
      </c>
      <c r="D425" s="1" t="str">
        <f>IFERROR(__xludf.DUMMYFUNCTION("GOOGLETRANSLATE(A425 , ""auto"", ""ar"")"),"استراحة")</f>
        <v>استراحة</v>
      </c>
    </row>
    <row r="426" ht="15.75" customHeight="1">
      <c r="A426" s="1" t="s">
        <v>979</v>
      </c>
      <c r="B426" s="1" t="s">
        <v>982</v>
      </c>
      <c r="C426" s="2" t="s">
        <v>983</v>
      </c>
      <c r="D426" s="1" t="str">
        <f>IFERROR(__xludf.DUMMYFUNCTION("GOOGLETRANSLATE(A426 , ""auto"", ""ar"")"),"استراحة")</f>
        <v>استراحة</v>
      </c>
    </row>
    <row r="427" ht="15.75" customHeight="1">
      <c r="A427" s="1" t="s">
        <v>979</v>
      </c>
      <c r="B427" s="1" t="s">
        <v>984</v>
      </c>
      <c r="C427" s="2" t="s">
        <v>985</v>
      </c>
      <c r="D427" s="1" t="str">
        <f>IFERROR(__xludf.DUMMYFUNCTION("GOOGLETRANSLATE(A427 , ""auto"", ""ar"")"),"استراحة")</f>
        <v>استراحة</v>
      </c>
    </row>
    <row r="428" ht="15.75" customHeight="1">
      <c r="A428" s="1" t="s">
        <v>979</v>
      </c>
      <c r="B428" s="1" t="s">
        <v>986</v>
      </c>
      <c r="C428" s="2" t="s">
        <v>987</v>
      </c>
      <c r="D428" s="1" t="str">
        <f>IFERROR(__xludf.DUMMYFUNCTION("GOOGLETRANSLATE(A428 , ""auto"", ""ar"")"),"استراحة")</f>
        <v>استراحة</v>
      </c>
    </row>
    <row r="429" ht="15.75" customHeight="1">
      <c r="A429" s="1" t="s">
        <v>988</v>
      </c>
      <c r="B429" s="1" t="s">
        <v>986</v>
      </c>
      <c r="C429" s="2" t="s">
        <v>987</v>
      </c>
      <c r="D429" s="1" t="str">
        <f>IFERROR(__xludf.DUMMYFUNCTION("GOOGLETRANSLATE(A429 , ""auto"", ""ar"")"),"انفصال")</f>
        <v>انفصال</v>
      </c>
    </row>
    <row r="430" ht="15.75" customHeight="1">
      <c r="A430" s="1" t="s">
        <v>989</v>
      </c>
      <c r="B430" s="1" t="s">
        <v>990</v>
      </c>
      <c r="C430" s="1"/>
      <c r="D430" s="1" t="str">
        <f>IFERROR(__xludf.DUMMYFUNCTION("GOOGLETRANSLATE(A430 , ""auto"", ""ar"")"),"تفطر الصائم")</f>
        <v>تفطر الصائم</v>
      </c>
    </row>
    <row r="431" ht="15.75" customHeight="1">
      <c r="A431" s="1" t="s">
        <v>991</v>
      </c>
      <c r="B431" s="1" t="s">
        <v>992</v>
      </c>
      <c r="C431" s="2" t="s">
        <v>993</v>
      </c>
      <c r="D431" s="1" t="str">
        <f>IFERROR(__xludf.DUMMYFUNCTION("GOOGLETRANSLATE(A431 , ""auto"", ""ar"")"),"إفطار")</f>
        <v>إفطار</v>
      </c>
    </row>
    <row r="432" ht="15.75" customHeight="1">
      <c r="A432" s="1" t="s">
        <v>991</v>
      </c>
      <c r="B432" s="1" t="s">
        <v>994</v>
      </c>
      <c r="C432" s="2" t="s">
        <v>995</v>
      </c>
      <c r="D432" s="1" t="str">
        <f>IFERROR(__xludf.DUMMYFUNCTION("GOOGLETRANSLATE(A432 , ""auto"", ""ar"")"),"إفطار")</f>
        <v>إفطار</v>
      </c>
    </row>
    <row r="433" ht="15.75" customHeight="1">
      <c r="A433" s="1" t="s">
        <v>996</v>
      </c>
      <c r="B433" s="1" t="s">
        <v>997</v>
      </c>
      <c r="C433" s="1"/>
      <c r="D433" s="1" t="str">
        <f>IFERROR(__xludf.DUMMYFUNCTION("GOOGLETRANSLATE(A433 , ""auto"", ""ar"")"),"فترة إستراحة")</f>
        <v>فترة إستراحة</v>
      </c>
    </row>
    <row r="434" ht="15.75" customHeight="1">
      <c r="A434" s="1" t="s">
        <v>998</v>
      </c>
      <c r="B434" s="1" t="s">
        <v>999</v>
      </c>
      <c r="C434" s="2" t="s">
        <v>1000</v>
      </c>
      <c r="D434" s="1" t="str">
        <f>IFERROR(__xludf.DUMMYFUNCTION("GOOGLETRANSLATE(A434 , ""auto"", ""ar"")"),"صدر")</f>
        <v>صدر</v>
      </c>
    </row>
    <row r="435" ht="15.75" customHeight="1">
      <c r="A435" s="1" t="s">
        <v>1001</v>
      </c>
      <c r="B435" s="1" t="s">
        <v>1002</v>
      </c>
      <c r="C435" s="2" t="s">
        <v>1003</v>
      </c>
      <c r="D435" s="1" t="str">
        <f>IFERROR(__xludf.DUMMYFUNCTION("GOOGLETRANSLATE(A435 , ""auto"", ""ar"")"),"يتنفس")</f>
        <v>يتنفس</v>
      </c>
    </row>
    <row r="436" ht="15.75" customHeight="1">
      <c r="A436" s="1" t="s">
        <v>1004</v>
      </c>
      <c r="B436" s="1" t="s">
        <v>1005</v>
      </c>
      <c r="C436" s="2" t="s">
        <v>1006</v>
      </c>
      <c r="D436" s="1" t="str">
        <f>IFERROR(__xludf.DUMMYFUNCTION("GOOGLETRANSLATE(A436 , ""auto"", ""ar"")"),"يتنفس")</f>
        <v>يتنفس</v>
      </c>
    </row>
    <row r="437" ht="15.75" customHeight="1">
      <c r="A437" s="1" t="s">
        <v>1007</v>
      </c>
      <c r="B437" s="1" t="s">
        <v>1008</v>
      </c>
      <c r="C437" s="1"/>
      <c r="D437" s="1" t="str">
        <f>IFERROR(__xludf.DUMMYFUNCTION("GOOGLETRANSLATE(A437 , ""auto"", ""ar"")"),"نسيم")</f>
        <v>نسيم</v>
      </c>
    </row>
    <row r="438" ht="15.75" customHeight="1">
      <c r="A438" s="1" t="s">
        <v>1009</v>
      </c>
      <c r="B438" s="1" t="s">
        <v>1010</v>
      </c>
      <c r="C438" s="2" t="s">
        <v>1011</v>
      </c>
      <c r="D438" s="1" t="str">
        <f>IFERROR(__xludf.DUMMYFUNCTION("GOOGLETRANSLATE(A438 , ""auto"", ""ar"")"),"قالب طوب")</f>
        <v>قالب طوب</v>
      </c>
    </row>
    <row r="439" ht="15.75" customHeight="1">
      <c r="A439" s="1" t="s">
        <v>1009</v>
      </c>
      <c r="B439" s="1" t="s">
        <v>1012</v>
      </c>
      <c r="C439" s="2" t="s">
        <v>1013</v>
      </c>
      <c r="D439" s="1" t="str">
        <f>IFERROR(__xludf.DUMMYFUNCTION("GOOGLETRANSLATE(A439 , ""auto"", ""ar"")"),"قالب طوب")</f>
        <v>قالب طوب</v>
      </c>
    </row>
    <row r="440" ht="15.75" customHeight="1">
      <c r="A440" s="1" t="s">
        <v>1009</v>
      </c>
      <c r="B440" s="1" t="s">
        <v>1014</v>
      </c>
      <c r="C440" s="2" t="s">
        <v>1015</v>
      </c>
      <c r="D440" s="1" t="str">
        <f>IFERROR(__xludf.DUMMYFUNCTION("GOOGLETRANSLATE(A440 , ""auto"", ""ar"")"),"قالب طوب")</f>
        <v>قالب طوب</v>
      </c>
    </row>
    <row r="441" ht="15.75" customHeight="1">
      <c r="A441" s="1" t="s">
        <v>1016</v>
      </c>
      <c r="B441" s="1" t="s">
        <v>1017</v>
      </c>
      <c r="C441" s="2" t="s">
        <v>1018</v>
      </c>
      <c r="D441" s="1" t="str">
        <f>IFERROR(__xludf.DUMMYFUNCTION("GOOGLETRANSLATE(A441 , ""auto"", ""ar"")"),"زوجة")</f>
        <v>زوجة</v>
      </c>
    </row>
    <row r="442" ht="15.75" customHeight="1">
      <c r="A442" s="1" t="s">
        <v>1016</v>
      </c>
      <c r="B442" s="1" t="s">
        <v>1019</v>
      </c>
      <c r="C442" s="2" t="s">
        <v>1020</v>
      </c>
      <c r="D442" s="1" t="str">
        <f>IFERROR(__xludf.DUMMYFUNCTION("GOOGLETRANSLATE(A442 , ""auto"", ""ar"")"),"زوجة")</f>
        <v>زوجة</v>
      </c>
    </row>
    <row r="443" ht="15.75" customHeight="1">
      <c r="A443" s="1" t="s">
        <v>1021</v>
      </c>
      <c r="B443" s="1" t="s">
        <v>1022</v>
      </c>
      <c r="C443" s="2" t="s">
        <v>1023</v>
      </c>
      <c r="D443" s="1" t="str">
        <f>IFERROR(__xludf.DUMMYFUNCTION("GOOGLETRANSLATE(A443 , ""auto"", ""ar"")"),"كوبري")</f>
        <v>كوبري</v>
      </c>
    </row>
    <row r="444" ht="15.75" customHeight="1">
      <c r="A444" s="1" t="s">
        <v>1024</v>
      </c>
      <c r="B444" s="1" t="s">
        <v>1025</v>
      </c>
      <c r="C444" s="2" t="s">
        <v>1026</v>
      </c>
      <c r="D444" s="1" t="str">
        <f>IFERROR(__xludf.DUMMYFUNCTION("GOOGLETRANSLATE(A444 , ""auto"", ""ar"")"),"ملخصات")</f>
        <v>ملخصات</v>
      </c>
    </row>
    <row r="445" ht="15.75" customHeight="1">
      <c r="A445" s="1" t="s">
        <v>1027</v>
      </c>
      <c r="B445" s="1" t="s">
        <v>1028</v>
      </c>
      <c r="C445" s="2" t="s">
        <v>1029</v>
      </c>
      <c r="D445" s="1" t="str">
        <f>IFERROR(__xludf.DUMMYFUNCTION("GOOGLETRANSLATE(A445 , ""auto"", ""ar"")"),"يحضر")</f>
        <v>يحضر</v>
      </c>
    </row>
    <row r="446" ht="15.75" customHeight="1">
      <c r="A446" s="1" t="s">
        <v>1030</v>
      </c>
      <c r="B446" s="1" t="s">
        <v>1031</v>
      </c>
      <c r="C446" s="2" t="s">
        <v>1032</v>
      </c>
      <c r="D446" s="1" t="str">
        <f>IFERROR(__xludf.DUMMYFUNCTION("GOOGLETRANSLATE(A446 , ""auto"", ""ar"")"),"واسع")</f>
        <v>واسع</v>
      </c>
    </row>
    <row r="447" ht="15.75" customHeight="1">
      <c r="A447" s="1" t="s">
        <v>1030</v>
      </c>
      <c r="B447" s="1" t="s">
        <v>1033</v>
      </c>
      <c r="C447" s="2" t="s">
        <v>65</v>
      </c>
      <c r="D447" s="1" t="str">
        <f>IFERROR(__xludf.DUMMYFUNCTION("GOOGLETRANSLATE(A447 , ""auto"", ""ar"")"),"واسع")</f>
        <v>واسع</v>
      </c>
    </row>
    <row r="448" ht="15.75" customHeight="1">
      <c r="A448" s="1" t="s">
        <v>1034</v>
      </c>
      <c r="B448" s="1" t="s">
        <v>1035</v>
      </c>
      <c r="C448" s="2" t="s">
        <v>1036</v>
      </c>
      <c r="D448" s="1" t="str">
        <f>IFERROR(__xludf.DUMMYFUNCTION("GOOGLETRANSLATE(A448 , ""auto"", ""ar"")"),"فول")</f>
        <v>فول</v>
      </c>
    </row>
    <row r="449" ht="15.75" customHeight="1">
      <c r="A449" s="1" t="s">
        <v>1037</v>
      </c>
      <c r="B449" s="1" t="s">
        <v>1038</v>
      </c>
      <c r="C449" s="2" t="s">
        <v>1039</v>
      </c>
      <c r="D449" s="1" t="str">
        <f>IFERROR(__xludf.DUMMYFUNCTION("GOOGLETRANSLATE(A449 , ""auto"", ""ar"")"),"مكسور")</f>
        <v>مكسور</v>
      </c>
    </row>
    <row r="450" ht="15.75" customHeight="1">
      <c r="A450" s="1" t="s">
        <v>1040</v>
      </c>
      <c r="B450" s="1" t="s">
        <v>1041</v>
      </c>
      <c r="C450" s="2" t="s">
        <v>1042</v>
      </c>
      <c r="D450" s="1" t="str">
        <f>IFERROR(__xludf.DUMMYFUNCTION("GOOGLETRANSLATE(A450 , ""auto"", ""ar"")"),"معطل")</f>
        <v>معطل</v>
      </c>
    </row>
    <row r="451" ht="15.75" customHeight="1">
      <c r="A451" s="1" t="s">
        <v>1043</v>
      </c>
      <c r="B451" s="1" t="s">
        <v>1044</v>
      </c>
      <c r="C451" s="2" t="s">
        <v>1045</v>
      </c>
      <c r="D451" s="1" t="str">
        <f>IFERROR(__xludf.DUMMYFUNCTION("GOOGLETRANSLATE(A451 , ""auto"", ""ar"")"),"مكنسة")</f>
        <v>مكنسة</v>
      </c>
    </row>
    <row r="452" ht="15.75" customHeight="1">
      <c r="A452" s="1" t="s">
        <v>1046</v>
      </c>
      <c r="B452" s="1" t="s">
        <v>1047</v>
      </c>
      <c r="C452" s="2" t="s">
        <v>1048</v>
      </c>
      <c r="D452" s="1" t="str">
        <f>IFERROR(__xludf.DUMMYFUNCTION("GOOGLETRANSLATE(A452 , ""auto"", ""ar"")"),"أخ")</f>
        <v>أخ</v>
      </c>
    </row>
    <row r="453" ht="15.75" customHeight="1">
      <c r="A453" s="1" t="s">
        <v>1049</v>
      </c>
      <c r="B453" s="1" t="s">
        <v>1050</v>
      </c>
      <c r="C453" s="1"/>
      <c r="D453" s="1" t="str">
        <f>IFERROR(__xludf.DUMMYFUNCTION("GOOGLETRANSLATE(A453 , ""auto"", ""ar"")"),"شقيق الزوج")</f>
        <v>شقيق الزوج</v>
      </c>
    </row>
    <row r="454" ht="15.75" customHeight="1">
      <c r="A454" s="1" t="s">
        <v>1049</v>
      </c>
      <c r="B454" s="1" t="s">
        <v>1051</v>
      </c>
      <c r="C454" s="2" t="s">
        <v>1052</v>
      </c>
      <c r="D454" s="1" t="str">
        <f>IFERROR(__xludf.DUMMYFUNCTION("GOOGLETRANSLATE(A454 , ""auto"", ""ar"")"),"شقيق الزوج")</f>
        <v>شقيق الزوج</v>
      </c>
    </row>
    <row r="455" ht="15.75" customHeight="1">
      <c r="A455" s="1" t="s">
        <v>1049</v>
      </c>
      <c r="B455" s="1" t="s">
        <v>1051</v>
      </c>
      <c r="C455" s="2" t="s">
        <v>1052</v>
      </c>
      <c r="D455" s="1" t="str">
        <f>IFERROR(__xludf.DUMMYFUNCTION("GOOGLETRANSLATE(A455 , ""auto"", ""ar"")"),"شقيق الزوج")</f>
        <v>شقيق الزوج</v>
      </c>
    </row>
    <row r="456" ht="15.75" customHeight="1">
      <c r="A456" s="1" t="s">
        <v>1053</v>
      </c>
      <c r="B456" s="1" t="s">
        <v>1054</v>
      </c>
      <c r="C456" s="2" t="s">
        <v>1055</v>
      </c>
      <c r="D456" s="1" t="str">
        <f>IFERROR(__xludf.DUMMYFUNCTION("GOOGLETRANSLATE(A456 , ""auto"", ""ar"")"),"بني")</f>
        <v>بني</v>
      </c>
    </row>
    <row r="457" ht="15.75" customHeight="1">
      <c r="A457" s="1" t="s">
        <v>1053</v>
      </c>
      <c r="B457" s="1" t="s">
        <v>1056</v>
      </c>
      <c r="C457" s="1"/>
      <c r="D457" s="1" t="str">
        <f>IFERROR(__xludf.DUMMYFUNCTION("GOOGLETRANSLATE(A457 , ""auto"", ""ar"")"),"بني")</f>
        <v>بني</v>
      </c>
    </row>
    <row r="458" ht="15.75" customHeight="1">
      <c r="A458" s="1" t="s">
        <v>1053</v>
      </c>
      <c r="B458" s="1" t="s">
        <v>1057</v>
      </c>
      <c r="C458" s="2" t="s">
        <v>1058</v>
      </c>
      <c r="D458" s="1" t="str">
        <f>IFERROR(__xludf.DUMMYFUNCTION("GOOGLETRANSLATE(A458 , ""auto"", ""ar"")"),"بني")</f>
        <v>بني</v>
      </c>
    </row>
    <row r="459" ht="15.75" customHeight="1">
      <c r="A459" s="1" t="s">
        <v>1059</v>
      </c>
      <c r="B459" s="1" t="s">
        <v>1060</v>
      </c>
      <c r="C459" s="2" t="s">
        <v>1061</v>
      </c>
      <c r="D459" s="1" t="str">
        <f>IFERROR(__xludf.DUMMYFUNCTION("GOOGLETRANSLATE(A459 , ""auto"", ""ar"")"),"فرشاة")</f>
        <v>فرشاة</v>
      </c>
    </row>
    <row r="460" ht="15.75" customHeight="1">
      <c r="A460" s="1" t="s">
        <v>1059</v>
      </c>
      <c r="B460" s="1" t="s">
        <v>1062</v>
      </c>
      <c r="C460" s="2" t="s">
        <v>1063</v>
      </c>
      <c r="D460" s="1" t="str">
        <f>IFERROR(__xludf.DUMMYFUNCTION("GOOGLETRANSLATE(A460 , ""auto"", ""ar"")"),"فرشاة")</f>
        <v>فرشاة</v>
      </c>
    </row>
    <row r="461" ht="15.75" customHeight="1">
      <c r="A461" s="1" t="s">
        <v>1059</v>
      </c>
      <c r="B461" s="1" t="s">
        <v>1064</v>
      </c>
      <c r="C461" s="2" t="s">
        <v>1065</v>
      </c>
      <c r="D461" s="1" t="str">
        <f>IFERROR(__xludf.DUMMYFUNCTION("GOOGLETRANSLATE(A461 , ""auto"", ""ar"")"),"فرشاة")</f>
        <v>فرشاة</v>
      </c>
    </row>
    <row r="462" ht="15.75" customHeight="1">
      <c r="A462" s="1" t="s">
        <v>1066</v>
      </c>
      <c r="B462" s="1" t="s">
        <v>1062</v>
      </c>
      <c r="C462" s="2" t="s">
        <v>1063</v>
      </c>
      <c r="D462" s="1" t="str">
        <f>IFERROR(__xludf.DUMMYFUNCTION("GOOGLETRANSLATE(A462 , ""auto"", ""ar"")"),"يمشط شعر")</f>
        <v>يمشط شعر</v>
      </c>
    </row>
    <row r="463" ht="15.75" customHeight="1">
      <c r="A463" s="1" t="s">
        <v>1067</v>
      </c>
      <c r="B463" s="1" t="s">
        <v>771</v>
      </c>
      <c r="C463" s="2" t="s">
        <v>1068</v>
      </c>
      <c r="D463" s="1" t="str">
        <f>IFERROR(__xludf.DUMMYFUNCTION("GOOGLETRANSLATE(A463 , ""auto"", ""ar"")"),"دلو")</f>
        <v>دلو</v>
      </c>
    </row>
    <row r="464" ht="15.75" customHeight="1">
      <c r="A464" s="1" t="s">
        <v>1069</v>
      </c>
      <c r="B464" s="1" t="s">
        <v>1070</v>
      </c>
      <c r="C464" s="2" t="s">
        <v>1071</v>
      </c>
      <c r="D464" s="1" t="str">
        <f>IFERROR(__xludf.DUMMYFUNCTION("GOOGLETRANSLATE(A464 , ""auto"", ""ar"")"),"يبني")</f>
        <v>يبني</v>
      </c>
    </row>
    <row r="465" ht="15.75" customHeight="1">
      <c r="A465" s="1" t="s">
        <v>1069</v>
      </c>
      <c r="B465" s="1" t="s">
        <v>1072</v>
      </c>
      <c r="C465" s="2" t="s">
        <v>1073</v>
      </c>
      <c r="D465" s="1" t="str">
        <f>IFERROR(__xludf.DUMMYFUNCTION("GOOGLETRANSLATE(A465 , ""auto"", ""ar"")"),"يبني")</f>
        <v>يبني</v>
      </c>
    </row>
    <row r="466" ht="15.75" customHeight="1">
      <c r="A466" s="1" t="s">
        <v>1074</v>
      </c>
      <c r="B466" s="1" t="s">
        <v>1075</v>
      </c>
      <c r="C466" s="1"/>
      <c r="D466" s="1" t="str">
        <f>IFERROR(__xludf.DUMMYFUNCTION("GOOGLETRANSLATE(A466 , ""auto"", ""ar"")"),"باني")</f>
        <v>باني</v>
      </c>
    </row>
    <row r="467" ht="15.75" customHeight="1">
      <c r="A467" s="1" t="s">
        <v>1074</v>
      </c>
      <c r="B467" s="1" t="s">
        <v>1076</v>
      </c>
      <c r="C467" s="2" t="s">
        <v>1077</v>
      </c>
      <c r="D467" s="1" t="str">
        <f>IFERROR(__xludf.DUMMYFUNCTION("GOOGLETRANSLATE(A467 , ""auto"", ""ar"")"),"باني")</f>
        <v>باني</v>
      </c>
    </row>
    <row r="468" ht="15.75" customHeight="1">
      <c r="A468" s="1" t="s">
        <v>1078</v>
      </c>
      <c r="B468" s="1" t="s">
        <v>305</v>
      </c>
      <c r="C468" s="2" t="s">
        <v>306</v>
      </c>
      <c r="D468" s="1" t="str">
        <f>IFERROR(__xludf.DUMMYFUNCTION("GOOGLETRANSLATE(A468 , ""auto"", ""ar"")"),"مبنى")</f>
        <v>مبنى</v>
      </c>
    </row>
    <row r="469" ht="15.75" customHeight="1">
      <c r="A469" s="1" t="s">
        <v>1078</v>
      </c>
      <c r="B469" s="1" t="s">
        <v>1079</v>
      </c>
      <c r="C469" s="1"/>
      <c r="D469" s="1" t="str">
        <f>IFERROR(__xludf.DUMMYFUNCTION("GOOGLETRANSLATE(A469 , ""auto"", ""ar"")"),"مبنى")</f>
        <v>مبنى</v>
      </c>
    </row>
    <row r="470" ht="15.75" customHeight="1">
      <c r="A470" s="1" t="s">
        <v>1078</v>
      </c>
      <c r="B470" s="1" t="s">
        <v>1080</v>
      </c>
      <c r="C470" s="1"/>
      <c r="D470" s="1" t="str">
        <f>IFERROR(__xludf.DUMMYFUNCTION("GOOGLETRANSLATE(A470 , ""auto"", ""ar"")"),"مبنى")</f>
        <v>مبنى</v>
      </c>
    </row>
    <row r="471" ht="15.75" customHeight="1">
      <c r="A471" s="1" t="s">
        <v>1081</v>
      </c>
      <c r="B471" s="1" t="s">
        <v>1082</v>
      </c>
      <c r="C471" s="2" t="s">
        <v>1083</v>
      </c>
      <c r="D471" s="1" t="str">
        <f>IFERROR(__xludf.DUMMYFUNCTION("GOOGLETRANSLATE(A471 , ""auto"", ""ar"")"),"مبني")</f>
        <v>مبني</v>
      </c>
    </row>
    <row r="472" ht="15.75" customHeight="1">
      <c r="A472" s="1" t="s">
        <v>1084</v>
      </c>
      <c r="B472" s="1" t="s">
        <v>642</v>
      </c>
      <c r="C472" s="1"/>
      <c r="D472" s="1" t="str">
        <f>IFERROR(__xludf.DUMMYFUNCTION("GOOGLETRANSLATE(A472 , ""auto"", ""ar"")"),"رصاصة")</f>
        <v>رصاصة</v>
      </c>
    </row>
    <row r="473" ht="15.75" customHeight="1">
      <c r="A473" s="1" t="s">
        <v>1085</v>
      </c>
      <c r="B473" s="1" t="s">
        <v>1086</v>
      </c>
      <c r="C473" s="1"/>
      <c r="D473" s="1" t="str">
        <f>IFERROR(__xludf.DUMMYFUNCTION("GOOGLETRANSLATE(A473 , ""auto"", ""ar"")"),"حزمة")</f>
        <v>حزمة</v>
      </c>
    </row>
    <row r="474" ht="15.75" customHeight="1">
      <c r="A474" s="1" t="s">
        <v>1085</v>
      </c>
      <c r="B474" s="1" t="s">
        <v>923</v>
      </c>
      <c r="C474" s="2" t="s">
        <v>924</v>
      </c>
      <c r="D474" s="1" t="str">
        <f>IFERROR(__xludf.DUMMYFUNCTION("GOOGLETRANSLATE(A474 , ""auto"", ""ar"")"),"حزمة")</f>
        <v>حزمة</v>
      </c>
    </row>
    <row r="475" ht="15.75" customHeight="1">
      <c r="A475" s="1" t="s">
        <v>1087</v>
      </c>
      <c r="B475" s="1" t="s">
        <v>923</v>
      </c>
      <c r="C475" s="2" t="s">
        <v>924</v>
      </c>
      <c r="D475" s="1" t="str">
        <f>IFERROR(__xludf.DUMMYFUNCTION("GOOGLETRANSLATE(A475 , ""auto"", ""ar"")"),"باقة")</f>
        <v>باقة</v>
      </c>
    </row>
    <row r="476" ht="15.75" customHeight="1">
      <c r="A476" s="1" t="s">
        <v>1088</v>
      </c>
      <c r="B476" s="1" t="s">
        <v>1089</v>
      </c>
      <c r="C476" s="1"/>
      <c r="D476" s="1" t="str">
        <f>IFERROR(__xludf.DUMMYFUNCTION("GOOGLETRANSLATE(A476 , ""auto"", ""ar"")"),"بورغوندي")</f>
        <v>بورغوندي</v>
      </c>
    </row>
    <row r="477" ht="15.75" customHeight="1">
      <c r="A477" s="1" t="s">
        <v>1090</v>
      </c>
      <c r="B477" s="1" t="s">
        <v>1091</v>
      </c>
      <c r="C477" s="2" t="s">
        <v>1092</v>
      </c>
      <c r="D477" s="1" t="str">
        <f>IFERROR(__xludf.DUMMYFUNCTION("GOOGLETRANSLATE(A477 , ""auto"", ""ar"")"),"مدفون")</f>
        <v>مدفون</v>
      </c>
    </row>
    <row r="478" ht="15.75" customHeight="1">
      <c r="A478" s="1" t="s">
        <v>1093</v>
      </c>
      <c r="B478" s="1" t="s">
        <v>1094</v>
      </c>
      <c r="C478" s="2" t="s">
        <v>1095</v>
      </c>
      <c r="D478" s="1" t="str">
        <f>IFERROR(__xludf.DUMMYFUNCTION("GOOGLETRANSLATE(A478 , ""auto"", ""ar"")"),"يحرق")</f>
        <v>يحرق</v>
      </c>
    </row>
    <row r="479" ht="15.75" customHeight="1">
      <c r="A479" s="1" t="s">
        <v>1093</v>
      </c>
      <c r="B479" s="1" t="s">
        <v>1096</v>
      </c>
      <c r="C479" s="1"/>
      <c r="D479" s="1" t="str">
        <f>IFERROR(__xludf.DUMMYFUNCTION("GOOGLETRANSLATE(A479 , ""auto"", ""ar"")"),"يحرق")</f>
        <v>يحرق</v>
      </c>
    </row>
    <row r="480" ht="15.75" customHeight="1">
      <c r="A480" s="1" t="s">
        <v>1093</v>
      </c>
      <c r="B480" s="1" t="s">
        <v>1097</v>
      </c>
      <c r="C480" s="2" t="s">
        <v>1098</v>
      </c>
      <c r="D480" s="1" t="str">
        <f>IFERROR(__xludf.DUMMYFUNCTION("GOOGLETRANSLATE(A480 , ""auto"", ""ar"")"),"يحرق")</f>
        <v>يحرق</v>
      </c>
    </row>
    <row r="481" ht="15.75" customHeight="1">
      <c r="A481" s="1" t="s">
        <v>1099</v>
      </c>
      <c r="B481" s="1" t="s">
        <v>1100</v>
      </c>
      <c r="C481" s="2" t="s">
        <v>1101</v>
      </c>
      <c r="D481" s="1" t="str">
        <f>IFERROR(__xludf.DUMMYFUNCTION("GOOGLETRANSLATE(A481 , ""auto"", ""ar"")"),"دفن")</f>
        <v>دفن</v>
      </c>
    </row>
    <row r="482" ht="15.75" customHeight="1">
      <c r="A482" s="1" t="s">
        <v>1102</v>
      </c>
      <c r="B482" s="1" t="s">
        <v>1103</v>
      </c>
      <c r="C482" s="2" t="s">
        <v>1104</v>
      </c>
      <c r="D482" s="1" t="str">
        <f>IFERROR(__xludf.DUMMYFUNCTION("GOOGLETRANSLATE(A482 , ""auto"", ""ar"")"),"حافلة")</f>
        <v>حافلة</v>
      </c>
    </row>
    <row r="483" ht="15.75" customHeight="1">
      <c r="A483" s="1" t="s">
        <v>1105</v>
      </c>
      <c r="B483" s="1" t="s">
        <v>1106</v>
      </c>
      <c r="C483" s="2" t="s">
        <v>1107</v>
      </c>
      <c r="D483" s="1" t="str">
        <f>IFERROR(__xludf.DUMMYFUNCTION("GOOGLETRANSLATE(A483 , ""auto"", ""ar"")"),"محطة الباص")</f>
        <v>محطة الباص</v>
      </c>
    </row>
    <row r="484" ht="15.75" customHeight="1">
      <c r="A484" s="1" t="s">
        <v>1108</v>
      </c>
      <c r="B484" s="1" t="s">
        <v>346</v>
      </c>
      <c r="C484" s="2" t="s">
        <v>1109</v>
      </c>
      <c r="D484" s="1" t="str">
        <f>IFERROR(__xludf.DUMMYFUNCTION("GOOGLETRANSLATE(A484 , ""auto"", ""ar"")"),"موقف باص")</f>
        <v>موقف باص</v>
      </c>
    </row>
    <row r="485" ht="15.75" customHeight="1">
      <c r="A485" s="1" t="s">
        <v>1108</v>
      </c>
      <c r="B485" s="1" t="s">
        <v>1110</v>
      </c>
      <c r="C485" s="2" t="s">
        <v>1111</v>
      </c>
      <c r="D485" s="1" t="str">
        <f>IFERROR(__xludf.DUMMYFUNCTION("GOOGLETRANSLATE(A485 , ""auto"", ""ar"")"),"موقف باص")</f>
        <v>موقف باص</v>
      </c>
    </row>
    <row r="486" ht="15.75" customHeight="1">
      <c r="A486" s="1" t="s">
        <v>1108</v>
      </c>
      <c r="B486" s="1"/>
      <c r="C486" s="1"/>
      <c r="D486" s="1" t="str">
        <f>IFERROR(__xludf.DUMMYFUNCTION("GOOGLETRANSLATE(A486 , ""auto"", ""ar"")"),"موقف باص")</f>
        <v>موقف باص</v>
      </c>
    </row>
    <row r="487" ht="15.75" customHeight="1">
      <c r="A487" s="1" t="s">
        <v>1112</v>
      </c>
      <c r="B487" s="1" t="s">
        <v>1113</v>
      </c>
      <c r="C487" s="2" t="s">
        <v>1114</v>
      </c>
      <c r="D487" s="1" t="str">
        <f>IFERROR(__xludf.DUMMYFUNCTION("GOOGLETRANSLATE(A487 , ""auto"", ""ar"")"),"عمل")</f>
        <v>عمل</v>
      </c>
    </row>
    <row r="488" ht="15.75" customHeight="1">
      <c r="A488" s="1" t="s">
        <v>1115</v>
      </c>
      <c r="B488" s="1" t="s">
        <v>1116</v>
      </c>
      <c r="C488" s="2" t="s">
        <v>1117</v>
      </c>
      <c r="D488" s="1" t="str">
        <f>IFERROR(__xludf.DUMMYFUNCTION("GOOGLETRANSLATE(A488 , ""auto"", ""ar"")"),"مشغول")</f>
        <v>مشغول</v>
      </c>
    </row>
    <row r="489" ht="15.75" customHeight="1">
      <c r="A489" s="1" t="s">
        <v>1118</v>
      </c>
      <c r="B489" s="1" t="s">
        <v>1119</v>
      </c>
      <c r="C489" s="2" t="s">
        <v>1120</v>
      </c>
      <c r="D489" s="1" t="str">
        <f>IFERROR(__xludf.DUMMYFUNCTION("GOOGLETRANSLATE(A489 , ""auto"", ""ar"")"),"لكن")</f>
        <v>لكن</v>
      </c>
    </row>
    <row r="490" ht="15.75" customHeight="1">
      <c r="A490" s="1" t="s">
        <v>1121</v>
      </c>
      <c r="B490" s="1" t="s">
        <v>1122</v>
      </c>
      <c r="C490" s="2" t="s">
        <v>1123</v>
      </c>
      <c r="D490" s="1" t="str">
        <f>IFERROR(__xludf.DUMMYFUNCTION("GOOGLETRANSLATE(A490 , ""auto"", ""ar"")"),"جزار")</f>
        <v>جزار</v>
      </c>
    </row>
    <row r="491" ht="15.75" customHeight="1">
      <c r="A491" s="1" t="s">
        <v>1124</v>
      </c>
      <c r="B491" s="1" t="s">
        <v>1122</v>
      </c>
      <c r="C491" s="2" t="s">
        <v>1123</v>
      </c>
      <c r="D491" s="1" t="str">
        <f>IFERROR(__xludf.DUMMYFUNCTION("GOOGLETRANSLATE(A491 , ""auto"", ""ar"")"),"متجر بوتشر")</f>
        <v>متجر بوتشر</v>
      </c>
    </row>
    <row r="492" ht="15.75" customHeight="1">
      <c r="A492" s="1" t="s">
        <v>1124</v>
      </c>
      <c r="B492" s="1" t="s">
        <v>1125</v>
      </c>
      <c r="C492" s="2" t="s">
        <v>1126</v>
      </c>
      <c r="D492" s="1" t="str">
        <f>IFERROR(__xludf.DUMMYFUNCTION("GOOGLETRANSLATE(A492 , ""auto"", ""ar"")"),"متجر بوتشر")</f>
        <v>متجر بوتشر</v>
      </c>
    </row>
    <row r="493" ht="15.75" customHeight="1">
      <c r="A493" s="1" t="s">
        <v>1127</v>
      </c>
      <c r="B493" s="1" t="s">
        <v>1128</v>
      </c>
      <c r="C493" s="2" t="s">
        <v>1129</v>
      </c>
      <c r="D493" s="1" t="str">
        <f>IFERROR(__xludf.DUMMYFUNCTION("GOOGLETRANSLATE(A493 , ""auto"", ""ar"")"),"سمنة")</f>
        <v>سمنة</v>
      </c>
    </row>
    <row r="494" ht="15.75" customHeight="1">
      <c r="A494" s="1" t="s">
        <v>1130</v>
      </c>
      <c r="B494" s="1" t="s">
        <v>1131</v>
      </c>
      <c r="C494" s="2" t="s">
        <v>1132</v>
      </c>
      <c r="D494" s="1" t="str">
        <f>IFERROR(__xludf.DUMMYFUNCTION("GOOGLETRANSLATE(A494 , ""auto"", ""ar"")"),"فراشة")</f>
        <v>فراشة</v>
      </c>
    </row>
    <row r="495" ht="15.75" customHeight="1">
      <c r="A495" s="1" t="s">
        <v>1133</v>
      </c>
      <c r="B495" s="1" t="s">
        <v>1134</v>
      </c>
      <c r="C495" s="2" t="s">
        <v>1135</v>
      </c>
      <c r="D495" s="1" t="str">
        <f>IFERROR(__xludf.DUMMYFUNCTION("GOOGLETRANSLATE(A495 , ""auto"", ""ar"")"),"يشتري")</f>
        <v>يشتري</v>
      </c>
    </row>
    <row r="496" ht="15.75" customHeight="1">
      <c r="A496" s="1" t="s">
        <v>1133</v>
      </c>
      <c r="B496" s="1" t="s">
        <v>1136</v>
      </c>
      <c r="C496" s="2" t="s">
        <v>1137</v>
      </c>
      <c r="D496" s="1" t="str">
        <f>IFERROR(__xludf.DUMMYFUNCTION("GOOGLETRANSLATE(A496 , ""auto"", ""ar"")"),"يشتري")</f>
        <v>يشتري</v>
      </c>
    </row>
    <row r="497" ht="15.75" customHeight="1">
      <c r="A497" s="1" t="s">
        <v>1133</v>
      </c>
      <c r="B497" s="1" t="s">
        <v>618</v>
      </c>
      <c r="C497" s="2" t="s">
        <v>1138</v>
      </c>
      <c r="D497" s="1" t="str">
        <f>IFERROR(__xludf.DUMMYFUNCTION("GOOGLETRANSLATE(A497 , ""auto"", ""ar"")"),"يشتري")</f>
        <v>يشتري</v>
      </c>
    </row>
    <row r="498" ht="15.75" customHeight="1">
      <c r="A498" s="1" t="s">
        <v>1133</v>
      </c>
      <c r="B498" s="1" t="s">
        <v>1139</v>
      </c>
      <c r="C498" s="2" t="s">
        <v>1140</v>
      </c>
      <c r="D498" s="1" t="str">
        <f>IFERROR(__xludf.DUMMYFUNCTION("GOOGLETRANSLATE(A498 , ""auto"", ""ar"")"),"يشتري")</f>
        <v>يشتري</v>
      </c>
    </row>
    <row r="499" ht="15.75" customHeight="1">
      <c r="A499" s="1" t="s">
        <v>1141</v>
      </c>
      <c r="B499" s="1" t="s">
        <v>1142</v>
      </c>
      <c r="C499" s="2" t="s">
        <v>1143</v>
      </c>
      <c r="D499" s="1" t="str">
        <f>IFERROR(__xludf.DUMMYFUNCTION("GOOGLETRANSLATE(A499 , ""auto"", ""ar"")"),"بواسطة")</f>
        <v>بواسطة</v>
      </c>
    </row>
    <row r="500" ht="15.75" customHeight="1">
      <c r="A500" s="1" t="s">
        <v>1144</v>
      </c>
      <c r="B500" s="1" t="s">
        <v>227</v>
      </c>
      <c r="C500" s="2" t="s">
        <v>228</v>
      </c>
      <c r="D500" s="1" t="str">
        <f>IFERROR(__xludf.DUMMYFUNCTION("GOOGLETRANSLATE(A500 , ""auto"", ""ar"")"),"بنفسه")</f>
        <v>بنفسه</v>
      </c>
    </row>
    <row r="501" ht="15.75" customHeight="1">
      <c r="A501" s="1" t="s">
        <v>466</v>
      </c>
      <c r="B501" s="1" t="s">
        <v>467</v>
      </c>
      <c r="C501" s="2" t="s">
        <v>468</v>
      </c>
      <c r="D501" s="1" t="str">
        <f>IFERROR(__xludf.DUMMYFUNCTION("GOOGLETRANSLATE(A501 , ""auto"", ""ar"")"),"اسم العائلة")</f>
        <v>اسم العائلة</v>
      </c>
    </row>
    <row r="502" ht="15.75" customHeight="1">
      <c r="A502" s="1" t="s">
        <v>43</v>
      </c>
      <c r="B502" s="1" t="s">
        <v>44</v>
      </c>
      <c r="C502" s="2" t="s">
        <v>45</v>
      </c>
      <c r="D502" s="1" t="str">
        <f>IFERROR(__xludf.DUMMYFUNCTION("GOOGLETRANSLATE(A502 , ""auto"", ""ar"")"),"مقبول")</f>
        <v>مقبول</v>
      </c>
    </row>
    <row r="503" ht="15.75" customHeight="1">
      <c r="A503" s="1" t="s">
        <v>469</v>
      </c>
      <c r="B503" s="1" t="s">
        <v>470</v>
      </c>
      <c r="C503" s="2" t="s">
        <v>471</v>
      </c>
      <c r="D503" s="1" t="str">
        <f>IFERROR(__xludf.DUMMYFUNCTION("GOOGLETRANSLATE(A503 , ""auto"", ""ar"")"),"التصالح")</f>
        <v>التصالح</v>
      </c>
    </row>
    <row r="504" ht="15.75" customHeight="1">
      <c r="A504" s="1" t="s">
        <v>472</v>
      </c>
      <c r="B504" s="1" t="s">
        <v>473</v>
      </c>
      <c r="C504" s="2" t="s">
        <v>474</v>
      </c>
      <c r="D504" s="1" t="str">
        <f>IFERROR(__xludf.DUMMYFUNCTION("GOOGLETRANSLATE(A504 , ""auto"", ""ar"")"),"مغفرة")</f>
        <v>مغفرة</v>
      </c>
    </row>
    <row r="505" ht="15.75" customHeight="1">
      <c r="A505" s="1" t="s">
        <v>475</v>
      </c>
      <c r="B505" s="1" t="s">
        <v>476</v>
      </c>
      <c r="C505" s="2" t="s">
        <v>477</v>
      </c>
      <c r="D505" s="1" t="str">
        <f>IFERROR(__xludf.DUMMYFUNCTION("GOOGLETRANSLATE(A505 , ""auto"", ""ar"")"),"يخبر")</f>
        <v>يخبر</v>
      </c>
    </row>
    <row r="506" ht="15.75" customHeight="1">
      <c r="A506" s="1" t="s">
        <v>1145</v>
      </c>
      <c r="B506" s="1" t="s">
        <v>1146</v>
      </c>
      <c r="C506" s="2" t="s">
        <v>1147</v>
      </c>
      <c r="D506" s="1" t="str">
        <f>IFERROR(__xludf.DUMMYFUNCTION("GOOGLETRANSLATE(A506 , ""auto"", ""ar"")"),"كرنب")</f>
        <v>كرنب</v>
      </c>
    </row>
    <row r="507" ht="15.75" customHeight="1">
      <c r="A507" s="1" t="s">
        <v>1148</v>
      </c>
      <c r="B507" s="1" t="s">
        <v>1149</v>
      </c>
      <c r="C507" s="2" t="s">
        <v>1150</v>
      </c>
      <c r="D507" s="1" t="str">
        <f>IFERROR(__xludf.DUMMYFUNCTION("GOOGLETRANSLATE(A507 , ""auto"", ""ar"")"),"كابل")</f>
        <v>كابل</v>
      </c>
    </row>
    <row r="508" ht="15.75" customHeight="1">
      <c r="A508" s="1" t="s">
        <v>1151</v>
      </c>
      <c r="B508" s="1" t="s">
        <v>1152</v>
      </c>
      <c r="C508" s="2" t="s">
        <v>1153</v>
      </c>
      <c r="D508" s="1" t="str">
        <f>IFERROR(__xludf.DUMMYFUNCTION("GOOGLETRANSLATE(A508 , ""auto"", ""ar"")"),"صبار")</f>
        <v>صبار</v>
      </c>
    </row>
    <row r="509" ht="15.75" customHeight="1">
      <c r="A509" s="1" t="s">
        <v>1154</v>
      </c>
      <c r="B509" s="1" t="s">
        <v>1155</v>
      </c>
      <c r="C509" s="2" t="s">
        <v>1156</v>
      </c>
      <c r="D509" s="1" t="str">
        <f>IFERROR(__xludf.DUMMYFUNCTION("GOOGLETRANSLATE(A509 , ""auto"", ""ar"")"),"كافيه")</f>
        <v>كافيه</v>
      </c>
    </row>
    <row r="510" ht="15.75" customHeight="1">
      <c r="A510" s="1" t="s">
        <v>1157</v>
      </c>
      <c r="B510" s="1" t="s">
        <v>1158</v>
      </c>
      <c r="C510" s="2" t="s">
        <v>1159</v>
      </c>
      <c r="D510" s="1" t="str">
        <f>IFERROR(__xludf.DUMMYFUNCTION("GOOGLETRANSLATE(A510 , ""auto"", ""ar"")"),"كيك")</f>
        <v>كيك</v>
      </c>
    </row>
    <row r="511" ht="15.75" customHeight="1">
      <c r="A511" s="1" t="s">
        <v>1157</v>
      </c>
      <c r="B511" s="1" t="s">
        <v>1160</v>
      </c>
      <c r="C511" s="1"/>
      <c r="D511" s="1" t="str">
        <f>IFERROR(__xludf.DUMMYFUNCTION("GOOGLETRANSLATE(A511 , ""auto"", ""ar"")"),"كيك")</f>
        <v>كيك</v>
      </c>
    </row>
    <row r="512" ht="15.75" customHeight="1">
      <c r="A512" s="1" t="s">
        <v>1161</v>
      </c>
      <c r="B512" s="1" t="s">
        <v>1162</v>
      </c>
      <c r="C512" s="1"/>
      <c r="D512" s="1" t="str">
        <f>IFERROR(__xludf.DUMMYFUNCTION("GOOGLETRANSLATE(A512 , ""auto"", ""ar"")"),"عموم كعكة")</f>
        <v>عموم كعكة</v>
      </c>
    </row>
    <row r="513" ht="15.75" customHeight="1">
      <c r="A513" s="1" t="s">
        <v>1161</v>
      </c>
      <c r="B513" s="1" t="s">
        <v>1163</v>
      </c>
      <c r="C513" s="1"/>
      <c r="D513" s="1" t="str">
        <f>IFERROR(__xludf.DUMMYFUNCTION("GOOGLETRANSLATE(A513 , ""auto"", ""ar"")"),"عموم كعكة")</f>
        <v>عموم كعكة</v>
      </c>
    </row>
    <row r="514" ht="15.75" customHeight="1">
      <c r="A514" s="1" t="s">
        <v>1164</v>
      </c>
      <c r="B514" s="1" t="s">
        <v>1162</v>
      </c>
      <c r="C514" s="1"/>
      <c r="D514" s="1" t="str">
        <f>IFERROR(__xludf.DUMMYFUNCTION("GOOGLETRANSLATE(A514 , ""auto"", ""ar"")"),"كعكة القصدير")</f>
        <v>كعكة القصدير</v>
      </c>
    </row>
    <row r="515" ht="15.75" customHeight="1">
      <c r="A515" s="1" t="s">
        <v>1164</v>
      </c>
      <c r="B515" s="1" t="s">
        <v>1163</v>
      </c>
      <c r="C515" s="1"/>
      <c r="D515" s="1" t="str">
        <f>IFERROR(__xludf.DUMMYFUNCTION("GOOGLETRANSLATE(A515 , ""auto"", ""ar"")"),"كعكة القصدير")</f>
        <v>كعكة القصدير</v>
      </c>
    </row>
    <row r="516" ht="15.75" customHeight="1">
      <c r="A516" s="1" t="s">
        <v>1165</v>
      </c>
      <c r="B516" s="1" t="s">
        <v>1166</v>
      </c>
      <c r="C516" s="1"/>
      <c r="D516" s="1" t="str">
        <f>IFERROR(__xludf.DUMMYFUNCTION("GOOGLETRANSLATE(A516 , ""auto"", ""ar"")"),"عجل")</f>
        <v>عجل</v>
      </c>
    </row>
    <row r="517" ht="15.75" customHeight="1">
      <c r="A517" s="1" t="s">
        <v>1167</v>
      </c>
      <c r="B517" s="1" t="s">
        <v>1168</v>
      </c>
      <c r="C517" s="2" t="s">
        <v>1169</v>
      </c>
      <c r="D517" s="1" t="str">
        <f>IFERROR(__xludf.DUMMYFUNCTION("GOOGLETRANSLATE(A517 , ""auto"", ""ar"")"),"يتصل")</f>
        <v>يتصل</v>
      </c>
    </row>
    <row r="518" ht="15.75" customHeight="1">
      <c r="A518" s="1" t="s">
        <v>1167</v>
      </c>
      <c r="B518" s="1" t="s">
        <v>1170</v>
      </c>
      <c r="C518" s="2" t="s">
        <v>1171</v>
      </c>
      <c r="D518" s="1" t="str">
        <f>IFERROR(__xludf.DUMMYFUNCTION("GOOGLETRANSLATE(A518 , ""auto"", ""ar"")"),"يتصل")</f>
        <v>يتصل</v>
      </c>
    </row>
    <row r="519" ht="15.75" customHeight="1">
      <c r="A519" s="1" t="s">
        <v>1167</v>
      </c>
      <c r="B519" s="1" t="s">
        <v>1172</v>
      </c>
      <c r="C519" s="2" t="s">
        <v>1173</v>
      </c>
      <c r="D519" s="1" t="str">
        <f>IFERROR(__xludf.DUMMYFUNCTION("GOOGLETRANSLATE(A519 , ""auto"", ""ar"")"),"يتصل")</f>
        <v>يتصل</v>
      </c>
    </row>
    <row r="520" ht="15.75" customHeight="1">
      <c r="A520" s="1" t="s">
        <v>1167</v>
      </c>
      <c r="B520" s="1" t="s">
        <v>1174</v>
      </c>
      <c r="C520" s="2" t="s">
        <v>1175</v>
      </c>
      <c r="D520" s="1" t="str">
        <f>IFERROR(__xludf.DUMMYFUNCTION("GOOGLETRANSLATE(A520 , ""auto"", ""ar"")"),"يتصل")</f>
        <v>يتصل</v>
      </c>
    </row>
    <row r="521" ht="15.75" customHeight="1">
      <c r="A521" s="1" t="s">
        <v>1176</v>
      </c>
      <c r="B521" s="1" t="s">
        <v>1177</v>
      </c>
      <c r="C521" s="2" t="s">
        <v>1178</v>
      </c>
      <c r="D521" s="1" t="str">
        <f>IFERROR(__xludf.DUMMYFUNCTION("GOOGLETRANSLATE(A521 , ""auto"", ""ar"")"),"أتصل مرة أخرى")</f>
        <v>أتصل مرة أخرى</v>
      </c>
    </row>
    <row r="522" ht="15.75" customHeight="1">
      <c r="A522" s="1" t="s">
        <v>1179</v>
      </c>
      <c r="B522" s="1" t="s">
        <v>1180</v>
      </c>
      <c r="C522" s="2" t="s">
        <v>1181</v>
      </c>
      <c r="D522" s="1" t="str">
        <f>IFERROR(__xludf.DUMMYFUNCTION("GOOGLETRANSLATE(A522 , ""auto"", ""ar"")"),"دعوة للصلاة")</f>
        <v>دعوة للصلاة</v>
      </c>
    </row>
    <row r="523" ht="15.75" customHeight="1">
      <c r="A523" s="1" t="s">
        <v>1182</v>
      </c>
      <c r="B523" s="1" t="s">
        <v>1183</v>
      </c>
      <c r="C523" s="2" t="s">
        <v>65</v>
      </c>
      <c r="D523" s="1" t="str">
        <f>IFERROR(__xludf.DUMMYFUNCTION("GOOGLETRANSLATE(A523 , ""auto"", ""ar"")"),"هادئ")</f>
        <v>هادئ</v>
      </c>
    </row>
    <row r="524" ht="15.75" customHeight="1">
      <c r="A524" s="1" t="s">
        <v>1182</v>
      </c>
      <c r="B524" s="1" t="s">
        <v>1184</v>
      </c>
      <c r="C524" s="2" t="s">
        <v>1185</v>
      </c>
      <c r="D524" s="1" t="str">
        <f>IFERROR(__xludf.DUMMYFUNCTION("GOOGLETRANSLATE(A524 , ""auto"", ""ar"")"),"هادئ")</f>
        <v>هادئ</v>
      </c>
    </row>
    <row r="525" ht="15.75" customHeight="1">
      <c r="A525" s="1" t="s">
        <v>1186</v>
      </c>
      <c r="B525" s="1" t="s">
        <v>1187</v>
      </c>
      <c r="C525" s="2" t="s">
        <v>1188</v>
      </c>
      <c r="D525" s="1" t="str">
        <f>IFERROR(__xludf.DUMMYFUNCTION("GOOGLETRANSLATE(A525 , ""auto"", ""ar"")"),"إهدئ")</f>
        <v>إهدئ</v>
      </c>
    </row>
    <row r="526" ht="15.75" customHeight="1">
      <c r="A526" s="1" t="s">
        <v>1189</v>
      </c>
      <c r="B526" s="1" t="s">
        <v>1190</v>
      </c>
      <c r="C526" s="2" t="s">
        <v>1191</v>
      </c>
      <c r="D526" s="1" t="str">
        <f>IFERROR(__xludf.DUMMYFUNCTION("GOOGLETRANSLATE(A526 , ""auto"", ""ar"")"),"جمل")</f>
        <v>جمل</v>
      </c>
    </row>
    <row r="527" ht="15.75" customHeight="1">
      <c r="A527" s="1" t="s">
        <v>1145</v>
      </c>
      <c r="B527" s="1" t="s">
        <v>1146</v>
      </c>
      <c r="C527" s="2" t="s">
        <v>1147</v>
      </c>
      <c r="D527" s="1" t="str">
        <f>IFERROR(__xludf.DUMMYFUNCTION("GOOGLETRANSLATE(A527 , ""auto"", ""ar"")"),"كرنب")</f>
        <v>كرنب</v>
      </c>
    </row>
    <row r="528" ht="15.75" customHeight="1">
      <c r="A528" s="1" t="s">
        <v>1148</v>
      </c>
      <c r="B528" s="1" t="s">
        <v>1149</v>
      </c>
      <c r="C528" s="2" t="s">
        <v>1150</v>
      </c>
      <c r="D528" s="1" t="str">
        <f>IFERROR(__xludf.DUMMYFUNCTION("GOOGLETRANSLATE(A528 , ""auto"", ""ar"")"),"كابل")</f>
        <v>كابل</v>
      </c>
    </row>
    <row r="529" ht="15.75" customHeight="1">
      <c r="A529" s="1" t="s">
        <v>1151</v>
      </c>
      <c r="B529" s="1" t="s">
        <v>1152</v>
      </c>
      <c r="C529" s="2" t="s">
        <v>1153</v>
      </c>
      <c r="D529" s="1" t="str">
        <f>IFERROR(__xludf.DUMMYFUNCTION("GOOGLETRANSLATE(A529 , ""auto"", ""ar"")"),"صبار")</f>
        <v>صبار</v>
      </c>
    </row>
    <row r="530" ht="15.75" customHeight="1">
      <c r="A530" s="1" t="s">
        <v>1154</v>
      </c>
      <c r="B530" s="1" t="s">
        <v>1155</v>
      </c>
      <c r="C530" s="2" t="s">
        <v>1156</v>
      </c>
      <c r="D530" s="1" t="str">
        <f>IFERROR(__xludf.DUMMYFUNCTION("GOOGLETRANSLATE(A530 , ""auto"", ""ar"")"),"كافيه")</f>
        <v>كافيه</v>
      </c>
    </row>
    <row r="531" ht="15.75" customHeight="1">
      <c r="A531" s="1" t="s">
        <v>1157</v>
      </c>
      <c r="B531" s="1" t="s">
        <v>1158</v>
      </c>
      <c r="C531" s="2" t="s">
        <v>1159</v>
      </c>
      <c r="D531" s="1" t="str">
        <f>IFERROR(__xludf.DUMMYFUNCTION("GOOGLETRANSLATE(A531 , ""auto"", ""ar"")"),"كيك")</f>
        <v>كيك</v>
      </c>
    </row>
    <row r="532" ht="15.75" customHeight="1">
      <c r="A532" s="1" t="s">
        <v>1157</v>
      </c>
      <c r="B532" s="1" t="s">
        <v>1160</v>
      </c>
      <c r="C532" s="1"/>
      <c r="D532" s="1" t="str">
        <f>IFERROR(__xludf.DUMMYFUNCTION("GOOGLETRANSLATE(A532 , ""auto"", ""ar"")"),"كيك")</f>
        <v>كيك</v>
      </c>
    </row>
    <row r="533" ht="15.75" customHeight="1">
      <c r="A533" s="1" t="s">
        <v>1161</v>
      </c>
      <c r="B533" s="1" t="s">
        <v>1162</v>
      </c>
      <c r="C533" s="1"/>
      <c r="D533" s="1" t="str">
        <f>IFERROR(__xludf.DUMMYFUNCTION("GOOGLETRANSLATE(A533 , ""auto"", ""ar"")"),"عموم كعكة")</f>
        <v>عموم كعكة</v>
      </c>
    </row>
    <row r="534" ht="15.75" customHeight="1">
      <c r="A534" s="1" t="s">
        <v>1161</v>
      </c>
      <c r="B534" s="1" t="s">
        <v>1163</v>
      </c>
      <c r="C534" s="1"/>
      <c r="D534" s="1" t="str">
        <f>IFERROR(__xludf.DUMMYFUNCTION("GOOGLETRANSLATE(A534 , ""auto"", ""ar"")"),"عموم كعكة")</f>
        <v>عموم كعكة</v>
      </c>
    </row>
    <row r="535" ht="15.75" customHeight="1">
      <c r="A535" s="1" t="s">
        <v>1164</v>
      </c>
      <c r="B535" s="1" t="s">
        <v>1162</v>
      </c>
      <c r="C535" s="1"/>
      <c r="D535" s="1" t="str">
        <f>IFERROR(__xludf.DUMMYFUNCTION("GOOGLETRANSLATE(A535 , ""auto"", ""ar"")"),"كعكة القصدير")</f>
        <v>كعكة القصدير</v>
      </c>
    </row>
    <row r="536" ht="15.75" customHeight="1">
      <c r="A536" s="1" t="s">
        <v>1164</v>
      </c>
      <c r="B536" s="1" t="s">
        <v>1163</v>
      </c>
      <c r="C536" s="1"/>
      <c r="D536" s="1" t="str">
        <f>IFERROR(__xludf.DUMMYFUNCTION("GOOGLETRANSLATE(A536 , ""auto"", ""ar"")"),"كعكة القصدير")</f>
        <v>كعكة القصدير</v>
      </c>
    </row>
    <row r="537" ht="15.75" customHeight="1">
      <c r="A537" s="1" t="s">
        <v>1165</v>
      </c>
      <c r="B537" s="1" t="s">
        <v>1166</v>
      </c>
      <c r="C537" s="1"/>
      <c r="D537" s="1" t="str">
        <f>IFERROR(__xludf.DUMMYFUNCTION("GOOGLETRANSLATE(A537 , ""auto"", ""ar"")"),"عجل")</f>
        <v>عجل</v>
      </c>
    </row>
    <row r="538" ht="15.75" customHeight="1">
      <c r="A538" s="1" t="s">
        <v>1167</v>
      </c>
      <c r="B538" s="1" t="s">
        <v>1168</v>
      </c>
      <c r="C538" s="2" t="s">
        <v>1169</v>
      </c>
      <c r="D538" s="1" t="str">
        <f>IFERROR(__xludf.DUMMYFUNCTION("GOOGLETRANSLATE(A538 , ""auto"", ""ar"")"),"يتصل")</f>
        <v>يتصل</v>
      </c>
    </row>
    <row r="539" ht="15.75" customHeight="1">
      <c r="A539" s="1" t="s">
        <v>1167</v>
      </c>
      <c r="B539" s="1" t="s">
        <v>1170</v>
      </c>
      <c r="C539" s="2" t="s">
        <v>1171</v>
      </c>
      <c r="D539" s="1" t="str">
        <f>IFERROR(__xludf.DUMMYFUNCTION("GOOGLETRANSLATE(A539 , ""auto"", ""ar"")"),"يتصل")</f>
        <v>يتصل</v>
      </c>
    </row>
    <row r="540" ht="15.75" customHeight="1">
      <c r="A540" s="1" t="s">
        <v>1167</v>
      </c>
      <c r="B540" s="1" t="s">
        <v>1172</v>
      </c>
      <c r="C540" s="2" t="s">
        <v>1173</v>
      </c>
      <c r="D540" s="1" t="str">
        <f>IFERROR(__xludf.DUMMYFUNCTION("GOOGLETRANSLATE(A540 , ""auto"", ""ar"")"),"يتصل")</f>
        <v>يتصل</v>
      </c>
    </row>
    <row r="541" ht="15.75" customHeight="1">
      <c r="A541" s="1" t="s">
        <v>1167</v>
      </c>
      <c r="B541" s="1" t="s">
        <v>1174</v>
      </c>
      <c r="C541" s="2" t="s">
        <v>1175</v>
      </c>
      <c r="D541" s="1" t="str">
        <f>IFERROR(__xludf.DUMMYFUNCTION("GOOGLETRANSLATE(A541 , ""auto"", ""ar"")"),"يتصل")</f>
        <v>يتصل</v>
      </c>
    </row>
    <row r="542" ht="15.75" customHeight="1">
      <c r="A542" s="1" t="s">
        <v>1176</v>
      </c>
      <c r="B542" s="1" t="s">
        <v>1177</v>
      </c>
      <c r="C542" s="2" t="s">
        <v>1178</v>
      </c>
      <c r="D542" s="1" t="str">
        <f>IFERROR(__xludf.DUMMYFUNCTION("GOOGLETRANSLATE(A542 , ""auto"", ""ar"")"),"أتصل مرة أخرى")</f>
        <v>أتصل مرة أخرى</v>
      </c>
    </row>
    <row r="543" ht="15.75" customHeight="1">
      <c r="A543" s="1" t="s">
        <v>1179</v>
      </c>
      <c r="B543" s="1" t="s">
        <v>1180</v>
      </c>
      <c r="C543" s="2" t="s">
        <v>1181</v>
      </c>
      <c r="D543" s="1" t="str">
        <f>IFERROR(__xludf.DUMMYFUNCTION("GOOGLETRANSLATE(A543 , ""auto"", ""ar"")"),"دعوة للصلاة")</f>
        <v>دعوة للصلاة</v>
      </c>
    </row>
    <row r="544" ht="15.75" customHeight="1">
      <c r="A544" s="1" t="s">
        <v>1182</v>
      </c>
      <c r="B544" s="1" t="s">
        <v>1183</v>
      </c>
      <c r="C544" s="2" t="s">
        <v>65</v>
      </c>
      <c r="D544" s="1" t="str">
        <f>IFERROR(__xludf.DUMMYFUNCTION("GOOGLETRANSLATE(A544 , ""auto"", ""ar"")"),"هادئ")</f>
        <v>هادئ</v>
      </c>
    </row>
    <row r="545" ht="15.75" customHeight="1">
      <c r="A545" s="1" t="s">
        <v>1182</v>
      </c>
      <c r="B545" s="1" t="s">
        <v>1184</v>
      </c>
      <c r="C545" s="2" t="s">
        <v>1185</v>
      </c>
      <c r="D545" s="1" t="str">
        <f>IFERROR(__xludf.DUMMYFUNCTION("GOOGLETRANSLATE(A545 , ""auto"", ""ar"")"),"هادئ")</f>
        <v>هادئ</v>
      </c>
    </row>
    <row r="546" ht="15.75" customHeight="1">
      <c r="A546" s="1" t="s">
        <v>1186</v>
      </c>
      <c r="B546" s="1" t="s">
        <v>1187</v>
      </c>
      <c r="C546" s="2" t="s">
        <v>1188</v>
      </c>
      <c r="D546" s="1" t="str">
        <f>IFERROR(__xludf.DUMMYFUNCTION("GOOGLETRANSLATE(A546 , ""auto"", ""ar"")"),"إهدئ")</f>
        <v>إهدئ</v>
      </c>
    </row>
    <row r="547" ht="15.75" customHeight="1">
      <c r="A547" s="1" t="s">
        <v>1189</v>
      </c>
      <c r="B547" s="1" t="s">
        <v>1190</v>
      </c>
      <c r="C547" s="2" t="s">
        <v>1191</v>
      </c>
      <c r="D547" s="1" t="str">
        <f>IFERROR(__xludf.DUMMYFUNCTION("GOOGLETRANSLATE(A547 , ""auto"", ""ar"")"),"جمل")</f>
        <v>جمل</v>
      </c>
    </row>
    <row r="548" ht="15.75" customHeight="1">
      <c r="A548" s="1" t="s">
        <v>1192</v>
      </c>
      <c r="B548" s="1" t="s">
        <v>1193</v>
      </c>
      <c r="C548" s="2" t="s">
        <v>1194</v>
      </c>
      <c r="D548" s="1" t="str">
        <f>IFERROR(__xludf.DUMMYFUNCTION("GOOGLETRANSLATE(A548 , ""auto"", ""ar"")"),"كاموميت")</f>
        <v>كاموميت</v>
      </c>
    </row>
    <row r="549" ht="15.75" customHeight="1">
      <c r="A549" s="1" t="s">
        <v>1195</v>
      </c>
      <c r="B549" s="1" t="s">
        <v>1196</v>
      </c>
      <c r="C549" s="2" t="s">
        <v>1197</v>
      </c>
      <c r="D549" s="1" t="str">
        <f>IFERROR(__xludf.DUMMYFUNCTION("GOOGLETRANSLATE(A549 , ""auto"", ""ar"")"),"معسكر")</f>
        <v>معسكر</v>
      </c>
    </row>
    <row r="550" ht="15.75" customHeight="1">
      <c r="A550" s="1" t="s">
        <v>1198</v>
      </c>
      <c r="B550" s="1" t="s">
        <v>1199</v>
      </c>
      <c r="C550" s="2" t="s">
        <v>1200</v>
      </c>
      <c r="D550" s="1" t="str">
        <f>IFERROR(__xludf.DUMMYFUNCTION("GOOGLETRANSLATE(A550 , ""auto"", ""ar"")"),"موقع التخييم")</f>
        <v>موقع التخييم</v>
      </c>
    </row>
    <row r="551" ht="15.75" customHeight="1">
      <c r="A551" s="1" t="s">
        <v>1201</v>
      </c>
      <c r="B551" s="1" t="s">
        <v>1199</v>
      </c>
      <c r="C551" s="2" t="s">
        <v>1200</v>
      </c>
      <c r="D551" s="1" t="str">
        <f>IFERROR(__xludf.DUMMYFUNCTION("GOOGLETRANSLATE(A551 , ""auto"", ""ar"")"),"موقع المخيم")</f>
        <v>موقع المخيم</v>
      </c>
    </row>
    <row r="552" ht="15.75" customHeight="1">
      <c r="A552" s="1" t="s">
        <v>1202</v>
      </c>
      <c r="B552" s="1" t="s">
        <v>1203</v>
      </c>
      <c r="C552" s="2" t="s">
        <v>1204</v>
      </c>
      <c r="D552" s="1" t="str">
        <f>IFERROR(__xludf.DUMMYFUNCTION("GOOGLETRANSLATE(A552 , ""auto"", ""ar"")"),"يستطيع")</f>
        <v>يستطيع</v>
      </c>
    </row>
    <row r="553" ht="15.75" customHeight="1">
      <c r="A553" s="1" t="s">
        <v>1205</v>
      </c>
      <c r="B553" s="1" t="s">
        <v>1206</v>
      </c>
      <c r="C553" s="2" t="s">
        <v>1207</v>
      </c>
      <c r="D553" s="1" t="str">
        <f>IFERROR(__xludf.DUMMYFUNCTION("GOOGLETRANSLATE(A553 , ""auto"", ""ar"")"),"يلغي")</f>
        <v>يلغي</v>
      </c>
    </row>
    <row r="554" ht="15.75" customHeight="1">
      <c r="A554" s="1" t="s">
        <v>1205</v>
      </c>
      <c r="B554" s="1" t="s">
        <v>1208</v>
      </c>
      <c r="C554" s="2" t="s">
        <v>1209</v>
      </c>
      <c r="D554" s="1" t="str">
        <f>IFERROR(__xludf.DUMMYFUNCTION("GOOGLETRANSLATE(A554 , ""auto"", ""ar"")"),"يلغي")</f>
        <v>يلغي</v>
      </c>
    </row>
    <row r="555" ht="15.75" customHeight="1">
      <c r="A555" s="1" t="s">
        <v>1205</v>
      </c>
      <c r="B555" s="1" t="s">
        <v>1210</v>
      </c>
      <c r="C555" s="1"/>
      <c r="D555" s="1" t="str">
        <f>IFERROR(__xludf.DUMMYFUNCTION("GOOGLETRANSLATE(A555 , ""auto"", ""ar"")"),"يلغي")</f>
        <v>يلغي</v>
      </c>
    </row>
    <row r="556" ht="15.75" customHeight="1">
      <c r="A556" s="1" t="s">
        <v>1211</v>
      </c>
      <c r="B556" s="1" t="s">
        <v>1212</v>
      </c>
      <c r="C556" s="2" t="s">
        <v>1213</v>
      </c>
      <c r="D556" s="1" t="str">
        <f>IFERROR(__xludf.DUMMYFUNCTION("GOOGLETRANSLATE(A556 , ""auto"", ""ar"")"),"سرطان")</f>
        <v>سرطان</v>
      </c>
    </row>
    <row r="557" ht="15.75" customHeight="1">
      <c r="A557" s="1" t="s">
        <v>1214</v>
      </c>
      <c r="B557" s="1" t="s">
        <v>1215</v>
      </c>
      <c r="C557" s="2" t="s">
        <v>1216</v>
      </c>
      <c r="D557" s="1" t="str">
        <f>IFERROR(__xludf.DUMMYFUNCTION("GOOGLETRANSLATE(A557 , ""auto"", ""ar"")"),"شمعة")</f>
        <v>شمعة</v>
      </c>
    </row>
    <row r="558" ht="15.75" customHeight="1">
      <c r="A558" s="1" t="s">
        <v>1217</v>
      </c>
      <c r="B558" s="1" t="s">
        <v>1218</v>
      </c>
      <c r="C558" s="2" t="s">
        <v>1219</v>
      </c>
      <c r="D558" s="1" t="str">
        <f>IFERROR(__xludf.DUMMYFUNCTION("GOOGLETRANSLATE(A558 , ""auto"", ""ar"")"),"حلويات")</f>
        <v>حلويات</v>
      </c>
    </row>
    <row r="559" ht="15.75" customHeight="1">
      <c r="A559" s="1" t="s">
        <v>1220</v>
      </c>
      <c r="B559" s="1" t="s">
        <v>1221</v>
      </c>
      <c r="C559" s="2" t="s">
        <v>1222</v>
      </c>
      <c r="D559" s="1" t="str">
        <f>IFERROR(__xludf.DUMMYFUNCTION("GOOGLETRANSLATE(A559 , ""auto"", ""ar"")"),"قصب")</f>
        <v>قصب</v>
      </c>
    </row>
    <row r="560" ht="15.75" customHeight="1">
      <c r="A560" s="1" t="s">
        <v>1223</v>
      </c>
      <c r="B560" s="1" t="s">
        <v>1224</v>
      </c>
      <c r="C560" s="1"/>
      <c r="D560" s="1" t="str">
        <f>IFERROR(__xludf.DUMMYFUNCTION("GOOGLETRANSLATE(A560 , ""auto"", ""ar"")"),"قبعة")</f>
        <v>قبعة</v>
      </c>
    </row>
    <row r="561" ht="15.75" customHeight="1">
      <c r="A561" s="1" t="s">
        <v>1223</v>
      </c>
      <c r="B561" s="1" t="s">
        <v>1225</v>
      </c>
      <c r="C561" s="1"/>
      <c r="D561" s="1" t="str">
        <f>IFERROR(__xludf.DUMMYFUNCTION("GOOGLETRANSLATE(A561 , ""auto"", ""ar"")"),"قبعة")</f>
        <v>قبعة</v>
      </c>
    </row>
    <row r="562" ht="15.75" customHeight="1">
      <c r="A562" s="1" t="s">
        <v>1226</v>
      </c>
      <c r="B562" s="1" t="s">
        <v>1227</v>
      </c>
      <c r="C562" s="1"/>
      <c r="D562" s="1" t="str">
        <f>IFERROR(__xludf.DUMMYFUNCTION("GOOGLETRANSLATE(A562 , ""auto"", ""ar"")"),"قادر")</f>
        <v>قادر</v>
      </c>
    </row>
    <row r="563" ht="15.75" customHeight="1">
      <c r="A563" s="1" t="s">
        <v>1228</v>
      </c>
      <c r="B563" s="1" t="s">
        <v>1229</v>
      </c>
      <c r="C563" s="1"/>
      <c r="D563" s="1" t="str">
        <f>IFERROR(__xludf.DUMMYFUNCTION("GOOGLETRANSLATE(A563 , ""auto"", ""ar"")"),"عاصمة")</f>
        <v>عاصمة</v>
      </c>
    </row>
    <row r="564" ht="15.75" customHeight="1">
      <c r="A564" s="1" t="s">
        <v>1230</v>
      </c>
      <c r="B564" s="1" t="s">
        <v>1231</v>
      </c>
      <c r="C564" s="1"/>
      <c r="D564" s="1" t="str">
        <f>IFERROR(__xludf.DUMMYFUNCTION("GOOGLETRANSLATE(A564 , ""auto"", ""ar"")"),"كبسولة")</f>
        <v>كبسولة</v>
      </c>
    </row>
    <row r="565" ht="15.75" customHeight="1">
      <c r="A565" s="1" t="s">
        <v>1230</v>
      </c>
      <c r="B565" s="1" t="s">
        <v>1231</v>
      </c>
      <c r="C565" s="1"/>
      <c r="D565" s="1" t="str">
        <f>IFERROR(__xludf.DUMMYFUNCTION("GOOGLETRANSLATE(A565 , ""auto"", ""ar"")"),"كبسولة")</f>
        <v>كبسولة</v>
      </c>
    </row>
    <row r="566" ht="15.75" customHeight="1">
      <c r="A566" s="1" t="s">
        <v>1232</v>
      </c>
      <c r="B566" s="1" t="s">
        <v>1233</v>
      </c>
      <c r="C566" s="2" t="s">
        <v>1234</v>
      </c>
      <c r="D566" s="1" t="str">
        <f>IFERROR(__xludf.DUMMYFUNCTION("GOOGLETRANSLATE(A566 , ""auto"", ""ar"")"),"سيارة")</f>
        <v>سيارة</v>
      </c>
    </row>
    <row r="567" ht="15.75" customHeight="1">
      <c r="A567" s="1" t="s">
        <v>1232</v>
      </c>
      <c r="B567" s="1" t="s">
        <v>1235</v>
      </c>
      <c r="C567" s="2" t="s">
        <v>1236</v>
      </c>
      <c r="D567" s="1" t="str">
        <f>IFERROR(__xludf.DUMMYFUNCTION("GOOGLETRANSLATE(A567 , ""auto"", ""ar"")"),"سيارة")</f>
        <v>سيارة</v>
      </c>
    </row>
    <row r="568" ht="15.75" customHeight="1">
      <c r="A568" s="1" t="s">
        <v>1237</v>
      </c>
      <c r="B568" s="1" t="s">
        <v>1238</v>
      </c>
      <c r="C568" s="1"/>
      <c r="D568" s="1" t="str">
        <f>IFERROR(__xludf.DUMMYFUNCTION("GOOGLETRANSLATE(A568 , ""auto"", ""ar"")"),"حب الهال")</f>
        <v>حب الهال</v>
      </c>
    </row>
    <row r="569" ht="15.75" customHeight="1">
      <c r="A569" s="1" t="s">
        <v>1239</v>
      </c>
      <c r="B569" s="1" t="s">
        <v>1240</v>
      </c>
      <c r="C569" s="2" t="s">
        <v>1241</v>
      </c>
      <c r="D569" s="1" t="str">
        <f>IFERROR(__xludf.DUMMYFUNCTION("GOOGLETRANSLATE(A569 , ""auto"", ""ar"")"),"البطاقات")</f>
        <v>البطاقات</v>
      </c>
    </row>
    <row r="570" ht="15.75" customHeight="1">
      <c r="A570" s="1" t="s">
        <v>1242</v>
      </c>
      <c r="B570" s="1" t="s">
        <v>1243</v>
      </c>
      <c r="C570" s="2" t="s">
        <v>1244</v>
      </c>
      <c r="D570" s="1" t="str">
        <f>IFERROR(__xludf.DUMMYFUNCTION("GOOGLETRANSLATE(A570 , ""auto"", ""ar"")"),"النجار")</f>
        <v>النجار</v>
      </c>
    </row>
    <row r="571" ht="15.75" customHeight="1">
      <c r="A571" s="1" t="s">
        <v>1245</v>
      </c>
      <c r="B571" s="1" t="s">
        <v>1246</v>
      </c>
      <c r="C571" s="2" t="s">
        <v>1247</v>
      </c>
      <c r="D571" s="1" t="str">
        <f>IFERROR(__xludf.DUMMYFUNCTION("GOOGLETRANSLATE(A571 , ""auto"", ""ar"")"),"جزرة")</f>
        <v>جزرة</v>
      </c>
    </row>
    <row r="572" ht="15.75" customHeight="1">
      <c r="A572" s="1" t="s">
        <v>1248</v>
      </c>
      <c r="B572" s="1" t="s">
        <v>1249</v>
      </c>
      <c r="C572" s="2" t="s">
        <v>1250</v>
      </c>
      <c r="D572" s="1" t="str">
        <f>IFERROR(__xludf.DUMMYFUNCTION("GOOGLETRANSLATE(A572 , ""auto"", ""ar"")"),"يحمل")</f>
        <v>يحمل</v>
      </c>
    </row>
    <row r="573" ht="15.75" customHeight="1">
      <c r="A573" s="1" t="s">
        <v>1248</v>
      </c>
      <c r="B573" s="1" t="s">
        <v>1251</v>
      </c>
      <c r="C573" s="2" t="s">
        <v>1252</v>
      </c>
      <c r="D573" s="1" t="str">
        <f>IFERROR(__xludf.DUMMYFUNCTION("GOOGLETRANSLATE(A573 , ""auto"", ""ar"")"),"يحمل")</f>
        <v>يحمل</v>
      </c>
    </row>
    <row r="574" ht="15.75" customHeight="1">
      <c r="A574" s="1" t="s">
        <v>1253</v>
      </c>
      <c r="B574" s="1" t="s">
        <v>51</v>
      </c>
      <c r="C574" s="2" t="s">
        <v>52</v>
      </c>
      <c r="D574" s="1" t="str">
        <f>IFERROR(__xludf.DUMMYFUNCTION("GOOGLETRANSLATE(A574 , ""auto"", ""ar"")"),"تنفيذ")</f>
        <v>تنفيذ</v>
      </c>
    </row>
    <row r="575" ht="15.75" customHeight="1">
      <c r="A575" s="1" t="s">
        <v>1254</v>
      </c>
      <c r="B575" s="1" t="s">
        <v>1255</v>
      </c>
      <c r="C575" s="1"/>
      <c r="D575" s="1" t="str">
        <f>IFERROR(__xludf.DUMMYFUNCTION("GOOGLETRANSLATE(A575 , ""auto"", ""ar"")"),"الدار البيضاء")</f>
        <v>الدار البيضاء</v>
      </c>
    </row>
    <row r="576" ht="15.75" customHeight="1">
      <c r="A576" s="1" t="s">
        <v>1256</v>
      </c>
      <c r="B576" s="1" t="s">
        <v>1257</v>
      </c>
      <c r="C576" s="2" t="s">
        <v>1258</v>
      </c>
      <c r="D576" s="1" t="str">
        <f>IFERROR(__xludf.DUMMYFUNCTION("GOOGLETRANSLATE(A576 , ""auto"", ""ar"")"),"طبق كاسيرول")</f>
        <v>طبق كاسيرول</v>
      </c>
    </row>
    <row r="577" ht="15.75" customHeight="1">
      <c r="A577" s="1" t="s">
        <v>1259</v>
      </c>
      <c r="B577" s="1" t="s">
        <v>1260</v>
      </c>
      <c r="C577" s="2" t="s">
        <v>1261</v>
      </c>
      <c r="D577" s="1" t="str">
        <f>IFERROR(__xludf.DUMMYFUNCTION("GOOGLETRANSLATE(A577 , ""auto"", ""ar"")"),"أطلق تعويذة")</f>
        <v>أطلق تعويذة</v>
      </c>
    </row>
    <row r="578" ht="15.75" customHeight="1">
      <c r="A578" s="1" t="s">
        <v>1262</v>
      </c>
      <c r="B578" s="1" t="s">
        <v>1263</v>
      </c>
      <c r="C578" s="2" t="s">
        <v>1264</v>
      </c>
      <c r="D578" s="1" t="str">
        <f>IFERROR(__xludf.DUMMYFUNCTION("GOOGLETRANSLATE(A578 , ""auto"", ""ar"")"),"قلعة")</f>
        <v>قلعة</v>
      </c>
    </row>
    <row r="579" ht="15.75" customHeight="1">
      <c r="A579" s="1" t="s">
        <v>1265</v>
      </c>
      <c r="B579" s="1" t="s">
        <v>1266</v>
      </c>
      <c r="C579" s="2" t="s">
        <v>1267</v>
      </c>
      <c r="D579" s="1" t="str">
        <f>IFERROR(__xludf.DUMMYFUNCTION("GOOGLETRANSLATE(A579 , ""auto"", ""ar"")"),"قطة")</f>
        <v>قطة</v>
      </c>
    </row>
    <row r="580" ht="15.75" customHeight="1">
      <c r="A580" s="1" t="s">
        <v>1268</v>
      </c>
      <c r="B580" s="1" t="s">
        <v>1269</v>
      </c>
      <c r="C580" s="2" t="s">
        <v>1270</v>
      </c>
      <c r="D580" s="1" t="str">
        <f>IFERROR(__xludf.DUMMYFUNCTION("GOOGLETRANSLATE(A580 , ""auto"", ""ar"")"),"قرنبيط")</f>
        <v>قرنبيط</v>
      </c>
    </row>
    <row r="581" ht="15.75" customHeight="1">
      <c r="A581" s="1" t="s">
        <v>1271</v>
      </c>
      <c r="B581" s="1" t="s">
        <v>1272</v>
      </c>
      <c r="C581" s="2" t="s">
        <v>1273</v>
      </c>
      <c r="D581" s="1" t="str">
        <f>IFERROR(__xludf.DUMMYFUNCTION("GOOGLETRANSLATE(A581 , ""auto"", ""ar"")"),"سبب")</f>
        <v>سبب</v>
      </c>
    </row>
    <row r="582" ht="15.75" customHeight="1">
      <c r="A582" s="1" t="s">
        <v>1271</v>
      </c>
      <c r="B582" s="1" t="s">
        <v>1274</v>
      </c>
      <c r="C582" s="1"/>
      <c r="D582" s="1" t="str">
        <f>IFERROR(__xludf.DUMMYFUNCTION("GOOGLETRANSLATE(A582 , ""auto"", ""ar"")"),"سبب")</f>
        <v>سبب</v>
      </c>
    </row>
    <row r="583" ht="15.75" customHeight="1">
      <c r="A583" s="1" t="s">
        <v>1275</v>
      </c>
      <c r="B583" s="1" t="s">
        <v>1276</v>
      </c>
      <c r="C583" s="2" t="s">
        <v>1277</v>
      </c>
      <c r="D583" s="1" t="str">
        <f>IFERROR(__xludf.DUMMYFUNCTION("GOOGLETRANSLATE(A583 , ""auto"", ""ar"")"),"كهف")</f>
        <v>كهف</v>
      </c>
    </row>
    <row r="584" ht="15.75" customHeight="1">
      <c r="A584" s="1" t="s">
        <v>1275</v>
      </c>
      <c r="B584" s="1" t="s">
        <v>1278</v>
      </c>
      <c r="C584" s="2" t="s">
        <v>1279</v>
      </c>
      <c r="D584" s="1" t="str">
        <f>IFERROR(__xludf.DUMMYFUNCTION("GOOGLETRANSLATE(A584 , ""auto"", ""ar"")"),"كهف")</f>
        <v>كهف</v>
      </c>
    </row>
    <row r="585" ht="15.75" customHeight="1">
      <c r="A585" s="1" t="s">
        <v>1280</v>
      </c>
      <c r="B585" s="1" t="s">
        <v>1276</v>
      </c>
      <c r="C585" s="2" t="s">
        <v>1277</v>
      </c>
      <c r="D585" s="1" t="str">
        <f>IFERROR(__xludf.DUMMYFUNCTION("GOOGLETRANSLATE(A585 , ""auto"", ""ar"")"),"كهف")</f>
        <v>كهف</v>
      </c>
    </row>
    <row r="586" ht="15.75" customHeight="1">
      <c r="A586" s="1" t="s">
        <v>1280</v>
      </c>
      <c r="B586" s="1" t="s">
        <v>1278</v>
      </c>
      <c r="C586" s="2" t="s">
        <v>1279</v>
      </c>
      <c r="D586" s="1" t="str">
        <f>IFERROR(__xludf.DUMMYFUNCTION("GOOGLETRANSLATE(A586 , ""auto"", ""ar"")"),"كهف")</f>
        <v>كهف</v>
      </c>
    </row>
    <row r="587" ht="15.75" customHeight="1">
      <c r="A587" s="1" t="s">
        <v>1281</v>
      </c>
      <c r="B587" s="1" t="s">
        <v>1282</v>
      </c>
      <c r="C587" s="2" t="s">
        <v>1283</v>
      </c>
      <c r="D587" s="1" t="str">
        <f>IFERROR(__xludf.DUMMYFUNCTION("GOOGLETRANSLATE(A587 , ""auto"", ""ar"")"),"سقف")</f>
        <v>سقف</v>
      </c>
    </row>
    <row r="588" ht="15.75" customHeight="1">
      <c r="A588" s="1" t="s">
        <v>1281</v>
      </c>
      <c r="B588" s="1" t="s">
        <v>1284</v>
      </c>
      <c r="C588" s="1"/>
      <c r="D588" s="1" t="str">
        <f>IFERROR(__xludf.DUMMYFUNCTION("GOOGLETRANSLATE(A588 , ""auto"", ""ar"")"),"سقف")</f>
        <v>سقف</v>
      </c>
    </row>
    <row r="589" ht="15.75" customHeight="1">
      <c r="A589" s="1" t="s">
        <v>1285</v>
      </c>
      <c r="B589" s="1" t="s">
        <v>1286</v>
      </c>
      <c r="C589" s="2" t="s">
        <v>1287</v>
      </c>
      <c r="D589" s="1" t="str">
        <f>IFERROR(__xludf.DUMMYFUNCTION("GOOGLETRANSLATE(A589 , ""auto"", ""ar"")"),"احتفل")</f>
        <v>احتفل</v>
      </c>
    </row>
    <row r="590" ht="15.75" customHeight="1">
      <c r="A590" s="1" t="s">
        <v>1288</v>
      </c>
      <c r="B590" s="1" t="s">
        <v>1289</v>
      </c>
      <c r="C590" s="2" t="s">
        <v>1290</v>
      </c>
      <c r="D590" s="1" t="str">
        <f>IFERROR(__xludf.DUMMYFUNCTION("GOOGLETRANSLATE(A590 , ""auto"", ""ar"")"),"كرفس")</f>
        <v>كرفس</v>
      </c>
    </row>
    <row r="591" ht="15.75" customHeight="1">
      <c r="A591" s="1" t="s">
        <v>1291</v>
      </c>
      <c r="B591" s="1" t="s">
        <v>1292</v>
      </c>
      <c r="C591" s="2" t="s">
        <v>1293</v>
      </c>
      <c r="D591" s="1" t="str">
        <f>IFERROR(__xludf.DUMMYFUNCTION("GOOGLETRANSLATE(A591 , ""auto"", ""ar"")"),"الهاتف الخلوي")</f>
        <v>الهاتف الخلوي</v>
      </c>
    </row>
    <row r="592" ht="15.75" customHeight="1">
      <c r="A592" s="1" t="s">
        <v>1291</v>
      </c>
      <c r="B592" s="1" t="s">
        <v>1294</v>
      </c>
      <c r="C592" s="2" t="s">
        <v>1295</v>
      </c>
      <c r="D592" s="1" t="str">
        <f>IFERROR(__xludf.DUMMYFUNCTION("GOOGLETRANSLATE(A592 , ""auto"", ""ar"")"),"الهاتف الخلوي")</f>
        <v>الهاتف الخلوي</v>
      </c>
    </row>
    <row r="593" ht="15.75" customHeight="1">
      <c r="A593" s="1" t="s">
        <v>1296</v>
      </c>
      <c r="B593" s="1" t="s">
        <v>541</v>
      </c>
      <c r="C593" s="2" t="s">
        <v>542</v>
      </c>
      <c r="D593" s="1" t="str">
        <f>IFERROR(__xludf.DUMMYFUNCTION("GOOGLETRANSLATE(A593 , ""auto"", ""ar"")"),"قبو")</f>
        <v>قبو</v>
      </c>
    </row>
    <row r="594" ht="15.75" customHeight="1">
      <c r="A594" s="1" t="s">
        <v>1297</v>
      </c>
      <c r="B594" s="1" t="s">
        <v>1298</v>
      </c>
      <c r="C594" s="1"/>
      <c r="D594" s="1" t="str">
        <f>IFERROR(__xludf.DUMMYFUNCTION("GOOGLETRANSLATE(A594 , ""auto"", ""ar"")"),"يبني")</f>
        <v>يبني</v>
      </c>
    </row>
    <row r="595" ht="15.75" customHeight="1">
      <c r="A595" s="1" t="s">
        <v>1299</v>
      </c>
      <c r="B595" s="1" t="s">
        <v>1300</v>
      </c>
      <c r="C595" s="1"/>
      <c r="D595" s="1" t="str">
        <f>IFERROR(__xludf.DUMMYFUNCTION("GOOGLETRANSLATE(A595 , ""auto"", ""ar"")"),"مقبرة")</f>
        <v>مقبرة</v>
      </c>
    </row>
    <row r="596" ht="15.75" customHeight="1">
      <c r="A596" s="1" t="s">
        <v>1301</v>
      </c>
      <c r="B596" s="1" t="s">
        <v>1302</v>
      </c>
      <c r="C596" s="1"/>
      <c r="D596" s="1" t="str">
        <f>IFERROR(__xludf.DUMMYFUNCTION("GOOGLETRANSLATE(A596 , ""auto"", ""ar"")"),"مركز")</f>
        <v>مركز</v>
      </c>
    </row>
    <row r="597" ht="15.75" customHeight="1">
      <c r="A597" s="1" t="s">
        <v>1301</v>
      </c>
      <c r="B597" s="1" t="s">
        <v>1303</v>
      </c>
      <c r="C597" s="2" t="s">
        <v>1304</v>
      </c>
      <c r="D597" s="1" t="str">
        <f>IFERROR(__xludf.DUMMYFUNCTION("GOOGLETRANSLATE(A597 , ""auto"", ""ar"")"),"مركز")</f>
        <v>مركز</v>
      </c>
    </row>
    <row r="598" ht="15.75" customHeight="1">
      <c r="A598" s="1" t="s">
        <v>1301</v>
      </c>
      <c r="B598" s="1" t="s">
        <v>1305</v>
      </c>
      <c r="C598" s="1"/>
      <c r="D598" s="1" t="str">
        <f>IFERROR(__xludf.DUMMYFUNCTION("GOOGLETRANSLATE(A598 , ""auto"", ""ar"")"),"مركز")</f>
        <v>مركز</v>
      </c>
    </row>
    <row r="599" ht="15.75" customHeight="1">
      <c r="A599" s="1" t="s">
        <v>1306</v>
      </c>
      <c r="B599" s="1" t="s">
        <v>1302</v>
      </c>
      <c r="C599" s="1"/>
      <c r="D599" s="1" t="str">
        <f>IFERROR(__xludf.DUMMYFUNCTION("GOOGLETRANSLATE(A599 , ""auto"", ""ar"")"),"مركز")</f>
        <v>مركز</v>
      </c>
    </row>
    <row r="600" ht="15.75" customHeight="1">
      <c r="A600" s="1" t="s">
        <v>1306</v>
      </c>
      <c r="B600" s="1" t="s">
        <v>1303</v>
      </c>
      <c r="C600" s="2" t="s">
        <v>1304</v>
      </c>
      <c r="D600" s="1" t="str">
        <f>IFERROR(__xludf.DUMMYFUNCTION("GOOGLETRANSLATE(A600 , ""auto"", ""ar"")"),"مركز")</f>
        <v>مركز</v>
      </c>
    </row>
    <row r="601" ht="15.75" customHeight="1">
      <c r="A601" s="1" t="s">
        <v>1306</v>
      </c>
      <c r="B601" s="1" t="s">
        <v>1305</v>
      </c>
      <c r="C601" s="1"/>
      <c r="D601" s="1" t="str">
        <f>IFERROR(__xludf.DUMMYFUNCTION("GOOGLETRANSLATE(A601 , ""auto"", ""ar"")"),"مركز")</f>
        <v>مركز</v>
      </c>
    </row>
    <row r="602" ht="15.75" customHeight="1">
      <c r="A602" s="1" t="s">
        <v>1307</v>
      </c>
      <c r="B602" s="1" t="s">
        <v>1308</v>
      </c>
      <c r="C602" s="1"/>
      <c r="D602" s="1" t="str">
        <f>IFERROR(__xludf.DUMMYFUNCTION("GOOGLETRANSLATE(A602 , ""auto"", ""ar"")"),"احتفال")</f>
        <v>احتفال</v>
      </c>
    </row>
    <row r="603" ht="15.75" customHeight="1">
      <c r="A603" s="1" t="s">
        <v>1309</v>
      </c>
      <c r="B603" s="1" t="s">
        <v>720</v>
      </c>
      <c r="C603" s="2" t="s">
        <v>721</v>
      </c>
      <c r="D603" s="1" t="str">
        <f>IFERROR(__xludf.DUMMYFUNCTION("GOOGLETRANSLATE(A603 , ""auto"", ""ar"")"),"كرسي")</f>
        <v>كرسي</v>
      </c>
    </row>
    <row r="604" ht="15.75" customHeight="1">
      <c r="A604" s="1" t="s">
        <v>1309</v>
      </c>
      <c r="B604" s="1" t="s">
        <v>1310</v>
      </c>
      <c r="C604" s="1"/>
      <c r="D604" s="1" t="str">
        <f>IFERROR(__xludf.DUMMYFUNCTION("GOOGLETRANSLATE(A604 , ""auto"", ""ar"")"),"كرسي")</f>
        <v>كرسي</v>
      </c>
    </row>
    <row r="605" ht="15.75" customHeight="1">
      <c r="A605" s="1" t="s">
        <v>1311</v>
      </c>
      <c r="B605" s="1" t="s">
        <v>1312</v>
      </c>
      <c r="C605" s="2" t="s">
        <v>1313</v>
      </c>
      <c r="D605" s="1" t="str">
        <f>IFERROR(__xludf.DUMMYFUNCTION("GOOGLETRANSLATE(A605 , ""auto"", ""ar"")"),"الطباشير")</f>
        <v>الطباشير</v>
      </c>
    </row>
    <row r="606" ht="15.75" customHeight="1">
      <c r="A606" s="1" t="s">
        <v>1314</v>
      </c>
      <c r="B606" s="1" t="s">
        <v>1315</v>
      </c>
      <c r="C606" s="2" t="s">
        <v>1316</v>
      </c>
      <c r="D606" s="1" t="str">
        <f>IFERROR(__xludf.DUMMYFUNCTION("GOOGLETRANSLATE(A606 , ""auto"", ""ar"")"),"حرباء")</f>
        <v>حرباء</v>
      </c>
    </row>
    <row r="607" ht="15.75" customHeight="1">
      <c r="A607" s="1" t="s">
        <v>1317</v>
      </c>
      <c r="B607" s="1" t="s">
        <v>1318</v>
      </c>
      <c r="C607" s="2" t="s">
        <v>1319</v>
      </c>
      <c r="D607" s="1" t="str">
        <f>IFERROR(__xludf.DUMMYFUNCTION("GOOGLETRANSLATE(A607 , ""auto"", ""ar"")"),"يتغير")</f>
        <v>يتغير</v>
      </c>
    </row>
    <row r="608" ht="15.75" customHeight="1">
      <c r="A608" s="1" t="s">
        <v>1317</v>
      </c>
      <c r="B608" s="1" t="s">
        <v>1320</v>
      </c>
      <c r="C608" s="2" t="s">
        <v>1321</v>
      </c>
      <c r="D608" s="1" t="str">
        <f>IFERROR(__xludf.DUMMYFUNCTION("GOOGLETRANSLATE(A608 , ""auto"", ""ar"")"),"يتغير")</f>
        <v>يتغير</v>
      </c>
    </row>
    <row r="609" ht="15.75" customHeight="1">
      <c r="A609" s="1" t="s">
        <v>1317</v>
      </c>
      <c r="B609" s="1" t="s">
        <v>1322</v>
      </c>
      <c r="C609" s="2" t="s">
        <v>1323</v>
      </c>
      <c r="D609" s="1" t="str">
        <f>IFERROR(__xludf.DUMMYFUNCTION("GOOGLETRANSLATE(A609 , ""auto"", ""ar"")"),"يتغير")</f>
        <v>يتغير</v>
      </c>
    </row>
    <row r="610" ht="15.75" customHeight="1">
      <c r="A610" s="1" t="s">
        <v>1317</v>
      </c>
      <c r="B610" s="1" t="s">
        <v>1324</v>
      </c>
      <c r="C610" s="2" t="s">
        <v>1325</v>
      </c>
      <c r="D610" s="1" t="str">
        <f>IFERROR(__xludf.DUMMYFUNCTION("GOOGLETRANSLATE(A610 , ""auto"", ""ar"")"),"يتغير")</f>
        <v>يتغير</v>
      </c>
    </row>
    <row r="611" ht="15.75" customHeight="1">
      <c r="A611" s="1" t="s">
        <v>1326</v>
      </c>
      <c r="B611" s="1" t="s">
        <v>1327</v>
      </c>
      <c r="C611" s="2" t="s">
        <v>1328</v>
      </c>
      <c r="D611" s="1" t="str">
        <f>IFERROR(__xludf.DUMMYFUNCTION("GOOGLETRANSLATE(A611 , ""auto"", ""ar"")"),"تغيير عملة")</f>
        <v>تغيير عملة</v>
      </c>
    </row>
    <row r="612" ht="15.75" customHeight="1">
      <c r="A612" s="1" t="s">
        <v>1329</v>
      </c>
      <c r="B612" s="1" t="s">
        <v>1330</v>
      </c>
      <c r="C612" s="2" t="s">
        <v>1331</v>
      </c>
      <c r="D612" s="1" t="str">
        <f>IFERROR(__xludf.DUMMYFUNCTION("GOOGLETRANSLATE(A612 , ""auto"", ""ar"")"),"قناة")</f>
        <v>قناة</v>
      </c>
    </row>
    <row r="613" ht="15.75" customHeight="1">
      <c r="A613" s="1" t="s">
        <v>1332</v>
      </c>
      <c r="B613" s="1" t="s">
        <v>403</v>
      </c>
      <c r="C613" s="2" t="s">
        <v>404</v>
      </c>
      <c r="D613" s="1" t="str">
        <f>IFERROR(__xludf.DUMMYFUNCTION("GOOGLETRANSLATE(A613 , ""auto"", ""ar"")"),"صدقة")</f>
        <v>صدقة</v>
      </c>
    </row>
    <row r="614" ht="15.75" customHeight="1">
      <c r="A614" s="1" t="s">
        <v>1333</v>
      </c>
      <c r="B614" s="1" t="s">
        <v>1334</v>
      </c>
      <c r="C614" s="2" t="s">
        <v>1335</v>
      </c>
      <c r="D614" s="1" t="str">
        <f>IFERROR(__xludf.DUMMYFUNCTION("GOOGLETRANSLATE(A614 , ""auto"", ""ar"")"),"رخيص")</f>
        <v>رخيص</v>
      </c>
    </row>
    <row r="615" ht="15.75" customHeight="1">
      <c r="A615" s="1" t="s">
        <v>1336</v>
      </c>
      <c r="B615" s="1" t="s">
        <v>1337</v>
      </c>
      <c r="C615" s="2" t="s">
        <v>1338</v>
      </c>
      <c r="D615" s="1" t="str">
        <f>IFERROR(__xludf.DUMMYFUNCTION("GOOGLETRANSLATE(A615 , ""auto"", ""ar"")"),"أرخص")</f>
        <v>أرخص</v>
      </c>
    </row>
    <row r="616" ht="15.75" customHeight="1">
      <c r="A616" s="1" t="s">
        <v>1339</v>
      </c>
      <c r="B616" s="1" t="s">
        <v>1340</v>
      </c>
      <c r="C616" s="1"/>
      <c r="D616" s="1" t="str">
        <f>IFERROR(__xludf.DUMMYFUNCTION("GOOGLETRANSLATE(A616 , ""auto"", ""ar"")"),"يفحص")</f>
        <v>يفحص</v>
      </c>
    </row>
    <row r="617" ht="15.75" customHeight="1">
      <c r="A617" s="1" t="s">
        <v>1339</v>
      </c>
      <c r="B617" s="1" t="s">
        <v>54</v>
      </c>
      <c r="C617" s="2" t="s">
        <v>55</v>
      </c>
      <c r="D617" s="1" t="str">
        <f>IFERROR(__xludf.DUMMYFUNCTION("GOOGLETRANSLATE(A617 , ""auto"", ""ar"")"),"يفحص")</f>
        <v>يفحص</v>
      </c>
    </row>
    <row r="618" ht="15.75" customHeight="1">
      <c r="A618" s="1" t="s">
        <v>1339</v>
      </c>
      <c r="B618" s="1" t="s">
        <v>1341</v>
      </c>
      <c r="C618" s="1"/>
      <c r="D618" s="1" t="str">
        <f>IFERROR(__xludf.DUMMYFUNCTION("GOOGLETRANSLATE(A618 , ""auto"", ""ar"")"),"يفحص")</f>
        <v>يفحص</v>
      </c>
    </row>
    <row r="619" ht="15.75" customHeight="1">
      <c r="A619" s="1" t="s">
        <v>1342</v>
      </c>
      <c r="B619" s="1" t="s">
        <v>1343</v>
      </c>
      <c r="C619" s="2" t="s">
        <v>1344</v>
      </c>
      <c r="D619" s="1" t="str">
        <f>IFERROR(__xludf.DUMMYFUNCTION("GOOGLETRANSLATE(A619 , ""auto"", ""ar"")"),"خدّ")</f>
        <v>خدّ</v>
      </c>
    </row>
    <row r="620" ht="15.75" customHeight="1">
      <c r="A620" s="1" t="s">
        <v>1345</v>
      </c>
      <c r="B620" s="1" t="s">
        <v>1346</v>
      </c>
      <c r="C620" s="2" t="s">
        <v>1347</v>
      </c>
      <c r="D620" s="1" t="str">
        <f>IFERROR(__xludf.DUMMYFUNCTION("GOOGLETRANSLATE(A620 , ""auto"", ""ar"")"),"جبنه")</f>
        <v>جبنه</v>
      </c>
    </row>
    <row r="621" ht="15.75" customHeight="1">
      <c r="A621" s="1" t="s">
        <v>1348</v>
      </c>
      <c r="B621" s="1" t="s">
        <v>1349</v>
      </c>
      <c r="C621" s="2" t="s">
        <v>1350</v>
      </c>
      <c r="D621" s="1" t="str">
        <f>IFERROR(__xludf.DUMMYFUNCTION("GOOGLETRANSLATE(A621 , ""auto"", ""ar"")"),"طاه")</f>
        <v>طاه</v>
      </c>
    </row>
    <row r="622" ht="15.75" customHeight="1">
      <c r="A622" s="1" t="s">
        <v>1351</v>
      </c>
      <c r="B622" s="1" t="s">
        <v>1340</v>
      </c>
      <c r="C622" s="1"/>
      <c r="D622" s="1" t="str">
        <f>IFERROR(__xludf.DUMMYFUNCTION("GOOGLETRANSLATE(A622 , ""auto"", ""ar"")"),"يفحص")</f>
        <v>يفحص</v>
      </c>
    </row>
    <row r="623" ht="15.75" customHeight="1">
      <c r="A623" s="1" t="s">
        <v>1352</v>
      </c>
      <c r="B623" s="1" t="s">
        <v>1353</v>
      </c>
      <c r="C623" s="2" t="s">
        <v>1354</v>
      </c>
      <c r="D623" s="1" t="str">
        <f>IFERROR(__xludf.DUMMYFUNCTION("GOOGLETRANSLATE(A623 , ""auto"", ""ar"")"),"الكرز")</f>
        <v>الكرز</v>
      </c>
    </row>
    <row r="624" ht="15.75" customHeight="1">
      <c r="A624" s="1" t="s">
        <v>1355</v>
      </c>
      <c r="B624" s="1" t="s">
        <v>1356</v>
      </c>
      <c r="C624" s="2" t="s">
        <v>1357</v>
      </c>
      <c r="D624" s="1" t="str">
        <f>IFERROR(__xludf.DUMMYFUNCTION("GOOGLETRANSLATE(A624 , ""auto"", ""ar"")"),"شطرنج")</f>
        <v>شطرنج</v>
      </c>
    </row>
    <row r="625" ht="15.75" customHeight="1">
      <c r="A625" s="1" t="s">
        <v>1358</v>
      </c>
      <c r="B625" s="1" t="s">
        <v>999</v>
      </c>
      <c r="C625" s="2" t="s">
        <v>1000</v>
      </c>
      <c r="D625" s="1" t="str">
        <f>IFERROR(__xludf.DUMMYFUNCTION("GOOGLETRANSLATE(A625 , ""auto"", ""ar"")"),"صدر")</f>
        <v>صدر</v>
      </c>
    </row>
    <row r="626" ht="15.75" customHeight="1">
      <c r="A626" s="1" t="s">
        <v>1358</v>
      </c>
      <c r="B626" s="1" t="s">
        <v>936</v>
      </c>
      <c r="C626" s="2" t="s">
        <v>937</v>
      </c>
      <c r="D626" s="1" t="str">
        <f>IFERROR(__xludf.DUMMYFUNCTION("GOOGLETRANSLATE(A626 , ""auto"", ""ar"")"),"صدر")</f>
        <v>صدر</v>
      </c>
    </row>
    <row r="627" ht="15.75" customHeight="1">
      <c r="A627" s="1" t="s">
        <v>1359</v>
      </c>
      <c r="B627" s="1" t="s">
        <v>1360</v>
      </c>
      <c r="C627" s="1"/>
      <c r="D627" s="1" t="str">
        <f>IFERROR(__xludf.DUMMYFUNCTION("GOOGLETRANSLATE(A627 , ""auto"", ""ar"")"),"مجموعة ادراج")</f>
        <v>مجموعة ادراج</v>
      </c>
    </row>
    <row r="628" ht="15.75" customHeight="1">
      <c r="A628" s="1" t="s">
        <v>1361</v>
      </c>
      <c r="B628" s="1" t="s">
        <v>1362</v>
      </c>
      <c r="C628" s="2" t="s">
        <v>1363</v>
      </c>
      <c r="D628" s="1" t="str">
        <f>IFERROR(__xludf.DUMMYFUNCTION("GOOGLETRANSLATE(A628 , ""auto"", ""ar"")"),"مضغ")</f>
        <v>مضغ</v>
      </c>
    </row>
    <row r="629" ht="15.75" customHeight="1">
      <c r="A629" s="1" t="s">
        <v>1364</v>
      </c>
      <c r="B629" s="1" t="s">
        <v>1365</v>
      </c>
      <c r="C629" s="2" t="s">
        <v>1366</v>
      </c>
      <c r="D629" s="1" t="str">
        <f>IFERROR(__xludf.DUMMYFUNCTION("GOOGLETRANSLATE(A629 , ""auto"", ""ar"")"),"علكة")</f>
        <v>علكة</v>
      </c>
    </row>
    <row r="630" ht="15.75" customHeight="1">
      <c r="A630" s="1" t="s">
        <v>1367</v>
      </c>
      <c r="B630" s="1" t="s">
        <v>1368</v>
      </c>
      <c r="C630" s="1"/>
      <c r="D630" s="1" t="str">
        <f>IFERROR(__xludf.DUMMYFUNCTION("GOOGLETRANSLATE(A630 , ""auto"", ""ar"")"),"فتاة جميلة")</f>
        <v>فتاة جميلة</v>
      </c>
    </row>
    <row r="631" ht="15.75" customHeight="1">
      <c r="A631" s="1" t="s">
        <v>1367</v>
      </c>
      <c r="B631" s="1" t="s">
        <v>1369</v>
      </c>
      <c r="C631" s="1"/>
      <c r="D631" s="1" t="str">
        <f>IFERROR(__xludf.DUMMYFUNCTION("GOOGLETRANSLATE(A631 , ""auto"", ""ar"")"),"فتاة جميلة")</f>
        <v>فتاة جميلة</v>
      </c>
    </row>
    <row r="632" ht="15.75" customHeight="1">
      <c r="A632" s="1" t="s">
        <v>1370</v>
      </c>
      <c r="B632" s="1" t="s">
        <v>1371</v>
      </c>
      <c r="C632" s="2" t="s">
        <v>1372</v>
      </c>
      <c r="D632" s="1" t="str">
        <f>IFERROR(__xludf.DUMMYFUNCTION("GOOGLETRANSLATE(A632 , ""auto"", ""ar"")"),"فرخة")</f>
        <v>فرخة</v>
      </c>
    </row>
    <row r="633" ht="15.75" customHeight="1">
      <c r="A633" s="1" t="s">
        <v>1373</v>
      </c>
      <c r="B633" s="1" t="s">
        <v>999</v>
      </c>
      <c r="C633" s="1"/>
      <c r="D633" s="1" t="str">
        <f>IFERROR(__xludf.DUMMYFUNCTION("GOOGLETRANSLATE(A633 , ""auto"", ""ar"")"),"صدر دجاج")</f>
        <v>صدر دجاج</v>
      </c>
    </row>
    <row r="634" ht="15.75" customHeight="1">
      <c r="A634" s="1" t="s">
        <v>1374</v>
      </c>
      <c r="B634" s="1" t="s">
        <v>1375</v>
      </c>
      <c r="C634" s="2" t="s">
        <v>1376</v>
      </c>
      <c r="D634" s="1" t="str">
        <f>IFERROR(__xludf.DUMMYFUNCTION("GOOGLETRANSLATE(A634 , ""auto"", ""ar"")"),"الحمص")</f>
        <v>الحمص</v>
      </c>
    </row>
    <row r="635" ht="15.75" customHeight="1">
      <c r="A635" s="1" t="s">
        <v>1377</v>
      </c>
      <c r="B635" s="1" t="s">
        <v>1378</v>
      </c>
      <c r="C635" s="2" t="s">
        <v>1379</v>
      </c>
      <c r="D635" s="1" t="str">
        <f>IFERROR(__xludf.DUMMYFUNCTION("GOOGLETRANSLATE(A635 , ""auto"", ""ar"")"),"طفل")</f>
        <v>طفل</v>
      </c>
    </row>
    <row r="636" ht="15.75" customHeight="1">
      <c r="A636" s="1" t="s">
        <v>1377</v>
      </c>
      <c r="B636" s="1" t="s">
        <v>1380</v>
      </c>
      <c r="C636" s="2" t="s">
        <v>1381</v>
      </c>
      <c r="D636" s="1" t="str">
        <f>IFERROR(__xludf.DUMMYFUNCTION("GOOGLETRANSLATE(A636 , ""auto"", ""ar"")"),"طفل")</f>
        <v>طفل</v>
      </c>
    </row>
    <row r="637" ht="15.75" customHeight="1">
      <c r="A637" s="1" t="s">
        <v>1382</v>
      </c>
      <c r="B637" s="1" t="s">
        <v>1383</v>
      </c>
      <c r="C637" s="2" t="s">
        <v>1384</v>
      </c>
      <c r="D637" s="1" t="str">
        <f>IFERROR(__xludf.DUMMYFUNCTION("GOOGLETRANSLATE(A637 , ""auto"", ""ar"")"),"طفولة")</f>
        <v>طفولة</v>
      </c>
    </row>
    <row r="638" ht="15.75" customHeight="1">
      <c r="A638" s="1" t="s">
        <v>1385</v>
      </c>
      <c r="B638" s="1" t="s">
        <v>1386</v>
      </c>
      <c r="C638" s="2" t="s">
        <v>1387</v>
      </c>
      <c r="D638" s="1" t="str">
        <f>IFERROR(__xludf.DUMMYFUNCTION("GOOGLETRANSLATE(A638 , ""auto"", ""ar"")"),"الفلفل الحار")</f>
        <v>الفلفل الحار</v>
      </c>
    </row>
    <row r="639" ht="15.75" customHeight="1">
      <c r="A639" s="1" t="s">
        <v>1385</v>
      </c>
      <c r="B639" s="1" t="s">
        <v>1386</v>
      </c>
      <c r="C639" s="2" t="s">
        <v>1388</v>
      </c>
      <c r="D639" s="1" t="str">
        <f>IFERROR(__xludf.DUMMYFUNCTION("GOOGLETRANSLATE(A639 , ""auto"", ""ar"")"),"الفلفل الحار")</f>
        <v>الفلفل الحار</v>
      </c>
    </row>
    <row r="640" ht="15.75" customHeight="1">
      <c r="A640" s="1" t="s">
        <v>1389</v>
      </c>
      <c r="B640" s="1" t="s">
        <v>1390</v>
      </c>
      <c r="C640" s="1"/>
      <c r="D640" s="1" t="str">
        <f>IFERROR(__xludf.DUMMYFUNCTION("GOOGLETRANSLATE(A640 , ""auto"", ""ar"")"),"مدخنة")</f>
        <v>مدخنة</v>
      </c>
    </row>
    <row r="641" ht="15.75" customHeight="1">
      <c r="A641" s="1" t="s">
        <v>1389</v>
      </c>
      <c r="B641" s="1" t="s">
        <v>1390</v>
      </c>
      <c r="C641" s="1"/>
      <c r="D641" s="1" t="str">
        <f>IFERROR(__xludf.DUMMYFUNCTION("GOOGLETRANSLATE(A641 , ""auto"", ""ar"")"),"مدخنة")</f>
        <v>مدخنة</v>
      </c>
    </row>
    <row r="642" ht="15.75" customHeight="1">
      <c r="A642" s="1" t="s">
        <v>1391</v>
      </c>
      <c r="B642" s="1" t="s">
        <v>1392</v>
      </c>
      <c r="C642" s="1"/>
      <c r="D642" s="1" t="str">
        <f>IFERROR(__xludf.DUMMYFUNCTION("GOOGLETRANSLATE(A642 , ""auto"", ""ar"")"),"ذقن")</f>
        <v>ذقن</v>
      </c>
    </row>
    <row r="643" ht="15.75" customHeight="1">
      <c r="A643" s="1" t="s">
        <v>1391</v>
      </c>
      <c r="B643" s="1" t="s">
        <v>628</v>
      </c>
      <c r="C643" s="2" t="s">
        <v>629</v>
      </c>
      <c r="D643" s="1" t="str">
        <f>IFERROR(__xludf.DUMMYFUNCTION("GOOGLETRANSLATE(A643 , ""auto"", ""ar"")"),"ذقن")</f>
        <v>ذقن</v>
      </c>
    </row>
    <row r="644" ht="15.75" customHeight="1">
      <c r="A644" s="1" t="s">
        <v>1393</v>
      </c>
      <c r="B644" s="1" t="s">
        <v>1394</v>
      </c>
      <c r="C644" s="1"/>
      <c r="D644" s="1" t="str">
        <f>IFERROR(__xludf.DUMMYFUNCTION("GOOGLETRANSLATE(A644 , ""auto"", ""ar"")"),"صينى")</f>
        <v>صينى</v>
      </c>
    </row>
    <row r="645" ht="15.75" customHeight="1">
      <c r="A645" s="1" t="s">
        <v>1395</v>
      </c>
      <c r="B645" s="1" t="s">
        <v>1396</v>
      </c>
      <c r="C645" s="2" t="s">
        <v>1397</v>
      </c>
      <c r="D645" s="1" t="str">
        <f>IFERROR(__xludf.DUMMYFUNCTION("GOOGLETRANSLATE(A645 , ""auto"", ""ar"")"),"رقائق")</f>
        <v>رقائق</v>
      </c>
    </row>
    <row r="646" ht="15.75" customHeight="1">
      <c r="A646" s="1" t="s">
        <v>1398</v>
      </c>
      <c r="B646" s="1" t="s">
        <v>1399</v>
      </c>
      <c r="C646" s="2" t="s">
        <v>1400</v>
      </c>
      <c r="D646" s="1" t="str">
        <f>IFERROR(__xludf.DUMMYFUNCTION("GOOGLETRANSLATE(A646 , ""auto"", ""ar"")"),"شوكولاتة")</f>
        <v>شوكولاتة</v>
      </c>
    </row>
    <row r="647" ht="15.75" customHeight="1">
      <c r="A647" s="1" t="s">
        <v>1401</v>
      </c>
      <c r="B647" s="1" t="s">
        <v>1402</v>
      </c>
      <c r="C647" s="2" t="s">
        <v>1403</v>
      </c>
      <c r="D647" s="1" t="str">
        <f>IFERROR(__xludf.DUMMYFUNCTION("GOOGLETRANSLATE(A647 , ""auto"", ""ar"")"),"خيار")</f>
        <v>خيار</v>
      </c>
    </row>
    <row r="648" ht="15.75" customHeight="1">
      <c r="A648" s="1" t="s">
        <v>1404</v>
      </c>
      <c r="B648" s="1" t="s">
        <v>829</v>
      </c>
      <c r="C648" s="2" t="s">
        <v>65</v>
      </c>
      <c r="D648" s="1" t="str">
        <f>IFERROR(__xludf.DUMMYFUNCTION("GOOGLETRANSLATE(A648 , ""auto"", ""ar"")"),"اختنق")</f>
        <v>اختنق</v>
      </c>
    </row>
    <row r="649" ht="15.75" customHeight="1">
      <c r="A649" s="1" t="s">
        <v>1405</v>
      </c>
      <c r="B649" s="1" t="s">
        <v>1406</v>
      </c>
      <c r="C649" s="1"/>
      <c r="D649" s="1" t="str">
        <f>IFERROR(__xludf.DUMMYFUNCTION("GOOGLETRANSLATE(A649 , ""auto"", ""ar"")"),"الاختناق")</f>
        <v>الاختناق</v>
      </c>
    </row>
    <row r="650" ht="15.75" customHeight="1">
      <c r="A650" s="1" t="s">
        <v>1407</v>
      </c>
      <c r="B650" s="1" t="s">
        <v>1408</v>
      </c>
      <c r="C650" s="2" t="s">
        <v>1409</v>
      </c>
      <c r="D650" s="1" t="str">
        <f>IFERROR(__xludf.DUMMYFUNCTION("GOOGLETRANSLATE(A650 , ""auto"", ""ar"")"),"يختار")</f>
        <v>يختار</v>
      </c>
    </row>
    <row r="651" ht="15.75" customHeight="1">
      <c r="A651" s="1" t="s">
        <v>1410</v>
      </c>
      <c r="B651" s="1" t="s">
        <v>618</v>
      </c>
      <c r="C651" s="2" t="s">
        <v>1138</v>
      </c>
      <c r="D651" s="1" t="str">
        <f>IFERROR(__xludf.DUMMYFUNCTION("GOOGLETRANSLATE(A651 , ""auto"", ""ar"")"),"يقطع")</f>
        <v>يقطع</v>
      </c>
    </row>
    <row r="652" ht="15.75" customHeight="1">
      <c r="A652" s="1" t="s">
        <v>1410</v>
      </c>
      <c r="B652" s="1" t="s">
        <v>1411</v>
      </c>
      <c r="C652" s="2" t="s">
        <v>1412</v>
      </c>
      <c r="D652" s="1" t="str">
        <f>IFERROR(__xludf.DUMMYFUNCTION("GOOGLETRANSLATE(A652 , ""auto"", ""ar"")"),"يقطع")</f>
        <v>يقطع</v>
      </c>
    </row>
    <row r="653" ht="15.75" customHeight="1">
      <c r="A653" s="1" t="s">
        <v>1413</v>
      </c>
      <c r="B653" s="1" t="s">
        <v>1414</v>
      </c>
      <c r="C653" s="1"/>
      <c r="D653" s="1" t="str">
        <f>IFERROR(__xludf.DUMMYFUNCTION("GOOGLETRANSLATE(A653 , ""auto"", ""ar"")"),"لوح التقطيع")</f>
        <v>لوح التقطيع</v>
      </c>
    </row>
    <row r="654" ht="15.75" customHeight="1">
      <c r="A654" s="1" t="s">
        <v>1415</v>
      </c>
      <c r="B654" s="1" t="s">
        <v>1416</v>
      </c>
      <c r="C654" s="2" t="s">
        <v>65</v>
      </c>
      <c r="D654" s="1" t="str">
        <f>IFERROR(__xludf.DUMMYFUNCTION("GOOGLETRANSLATE(A654 , ""auto"", ""ar"")"),"مسيحي")</f>
        <v>مسيحي</v>
      </c>
    </row>
    <row r="655" ht="15.75" customHeight="1">
      <c r="A655" s="1" t="s">
        <v>1415</v>
      </c>
      <c r="B655" s="1" t="s">
        <v>1417</v>
      </c>
      <c r="C655" s="2" t="s">
        <v>65</v>
      </c>
      <c r="D655" s="1" t="str">
        <f>IFERROR(__xludf.DUMMYFUNCTION("GOOGLETRANSLATE(A655 , ""auto"", ""ar"")"),"مسيحي")</f>
        <v>مسيحي</v>
      </c>
    </row>
    <row r="656" ht="15.75" customHeight="1">
      <c r="A656" s="1" t="s">
        <v>1418</v>
      </c>
      <c r="B656" s="1" t="s">
        <v>1419</v>
      </c>
      <c r="C656" s="2" t="s">
        <v>1420</v>
      </c>
      <c r="D656" s="1" t="str">
        <f>IFERROR(__xludf.DUMMYFUNCTION("GOOGLETRANSLATE(A656 , ""auto"", ""ar"")"),"كنيسة")</f>
        <v>كنيسة</v>
      </c>
    </row>
    <row r="657" ht="15.75" customHeight="1">
      <c r="A657" s="1" t="s">
        <v>1421</v>
      </c>
      <c r="B657" s="1" t="s">
        <v>1422</v>
      </c>
      <c r="C657" s="2" t="s">
        <v>1423</v>
      </c>
      <c r="D657" s="1" t="str">
        <f>IFERROR(__xludf.DUMMYFUNCTION("GOOGLETRANSLATE(A657 , ""auto"", ""ar"")"),"سيجارة")</f>
        <v>سيجارة</v>
      </c>
    </row>
    <row r="658" ht="15.75" customHeight="1">
      <c r="A658" s="1" t="s">
        <v>1424</v>
      </c>
      <c r="B658" s="1" t="s">
        <v>1425</v>
      </c>
      <c r="C658" s="2" t="s">
        <v>1426</v>
      </c>
      <c r="D658" s="1" t="str">
        <f>IFERROR(__xludf.DUMMYFUNCTION("GOOGLETRANSLATE(A658 , ""auto"", ""ar"")"),"سينما")</f>
        <v>سينما</v>
      </c>
    </row>
    <row r="659" ht="15.75" customHeight="1">
      <c r="A659" s="1" t="s">
        <v>1427</v>
      </c>
      <c r="B659" s="1" t="s">
        <v>1428</v>
      </c>
      <c r="C659" s="2" t="s">
        <v>1429</v>
      </c>
      <c r="D659" s="1" t="str">
        <f>IFERROR(__xludf.DUMMYFUNCTION("GOOGLETRANSLATE(A659 , ""auto"", ""ar"")"),"قرفة")</f>
        <v>قرفة</v>
      </c>
    </row>
    <row r="660" ht="15.75" customHeight="1">
      <c r="A660" s="1" t="s">
        <v>1430</v>
      </c>
      <c r="B660" s="1" t="s">
        <v>1431</v>
      </c>
      <c r="C660" s="2" t="s">
        <v>1432</v>
      </c>
      <c r="D660" s="1" t="str">
        <f>IFERROR(__xludf.DUMMYFUNCTION("GOOGLETRANSLATE(A660 , ""auto"", ""ar"")"),"دائرة")</f>
        <v>دائرة</v>
      </c>
    </row>
    <row r="661" ht="15.75" customHeight="1">
      <c r="A661" s="1" t="s">
        <v>1433</v>
      </c>
      <c r="B661" s="1" t="s">
        <v>1434</v>
      </c>
      <c r="C661" s="2" t="s">
        <v>1435</v>
      </c>
      <c r="D661" s="1" t="str">
        <f>IFERROR(__xludf.DUMMYFUNCTION("GOOGLETRANSLATE(A661 , ""auto"", ""ar"")"),"مواطن")</f>
        <v>مواطن</v>
      </c>
    </row>
    <row r="662" ht="15.75" customHeight="1">
      <c r="A662" s="1" t="s">
        <v>1436</v>
      </c>
      <c r="B662" s="1" t="s">
        <v>1437</v>
      </c>
      <c r="C662" s="2" t="s">
        <v>1438</v>
      </c>
      <c r="D662" s="1" t="str">
        <f>IFERROR(__xludf.DUMMYFUNCTION("GOOGLETRANSLATE(A662 , ""auto"", ""ar"")"),"مدينة")</f>
        <v>مدينة</v>
      </c>
    </row>
    <row r="663" ht="15.75" customHeight="1">
      <c r="A663" s="1" t="s">
        <v>1436</v>
      </c>
      <c r="B663" s="1" t="s">
        <v>1439</v>
      </c>
      <c r="C663" s="1"/>
      <c r="D663" s="1" t="str">
        <f>IFERROR(__xludf.DUMMYFUNCTION("GOOGLETRANSLATE(A663 , ""auto"", ""ar"")"),"مدينة")</f>
        <v>مدينة</v>
      </c>
    </row>
    <row r="664" ht="15.75" customHeight="1">
      <c r="A664" s="1" t="s">
        <v>1440</v>
      </c>
      <c r="B664" s="1" t="s">
        <v>1441</v>
      </c>
      <c r="C664" s="2" t="s">
        <v>1442</v>
      </c>
      <c r="D664" s="1" t="str">
        <f>IFERROR(__xludf.DUMMYFUNCTION("GOOGLETRANSLATE(A664 , ""auto"", ""ar"")"),"بلدية")</f>
        <v>بلدية</v>
      </c>
    </row>
    <row r="665" ht="15.75" customHeight="1">
      <c r="A665" s="1" t="s">
        <v>1443</v>
      </c>
      <c r="B665" s="1" t="s">
        <v>1444</v>
      </c>
      <c r="C665" s="2" t="s">
        <v>1445</v>
      </c>
      <c r="D665" s="1" t="str">
        <f>IFERROR(__xludf.DUMMYFUNCTION("GOOGLETRANSLATE(A665 , ""auto"", ""ar"")"),"الخدمة المدنية")</f>
        <v>الخدمة المدنية</v>
      </c>
    </row>
    <row r="666" ht="15.75" customHeight="1">
      <c r="A666" s="1" t="s">
        <v>1446</v>
      </c>
      <c r="B666" s="1" t="s">
        <v>1447</v>
      </c>
      <c r="C666" s="2" t="s">
        <v>1448</v>
      </c>
      <c r="D666" s="1" t="str">
        <f>IFERROR(__xludf.DUMMYFUNCTION("GOOGLETRANSLATE(A666 , ""auto"", ""ar"")"),"الحضارة")</f>
        <v>الحضارة</v>
      </c>
    </row>
    <row r="667" ht="15.75" customHeight="1">
      <c r="A667" s="1" t="s">
        <v>1449</v>
      </c>
      <c r="B667" s="1" t="s">
        <v>314</v>
      </c>
      <c r="C667" s="2" t="s">
        <v>315</v>
      </c>
      <c r="D667" s="1" t="str">
        <f>IFERROR(__xludf.DUMMYFUNCTION("GOOGLETRANSLATE(A667 , ""auto"", ""ar"")"),"التصفيق")</f>
        <v>التصفيق</v>
      </c>
    </row>
    <row r="668" ht="15.75" customHeight="1">
      <c r="A668" s="1" t="s">
        <v>1450</v>
      </c>
      <c r="B668" s="1" t="s">
        <v>1451</v>
      </c>
      <c r="C668" s="2" t="s">
        <v>1452</v>
      </c>
      <c r="D668" s="1" t="str">
        <f>IFERROR(__xludf.DUMMYFUNCTION("GOOGLETRANSLATE(A668 , ""auto"", ""ar"")"),"فصل")</f>
        <v>فصل</v>
      </c>
    </row>
    <row r="669" ht="15.75" customHeight="1">
      <c r="A669" s="1" t="s">
        <v>1453</v>
      </c>
      <c r="B669" s="1" t="s">
        <v>1454</v>
      </c>
      <c r="C669" s="2" t="s">
        <v>65</v>
      </c>
      <c r="D669" s="1" t="str">
        <f>IFERROR(__xludf.DUMMYFUNCTION("GOOGLETRANSLATE(A669 , ""auto"", ""ar"")"),"كلاسيكي")</f>
        <v>كلاسيكي</v>
      </c>
    </row>
    <row r="670" ht="15.75" customHeight="1">
      <c r="A670" s="1" t="s">
        <v>1455</v>
      </c>
      <c r="B670" s="1" t="s">
        <v>1456</v>
      </c>
      <c r="C670" s="2" t="s">
        <v>1457</v>
      </c>
      <c r="D670" s="1" t="str">
        <f>IFERROR(__xludf.DUMMYFUNCTION("GOOGLETRANSLATE(A670 , ""auto"", ""ar"")"),"اللغة العربية الفصحى")</f>
        <v>اللغة العربية الفصحى</v>
      </c>
    </row>
    <row r="671" ht="15.75" customHeight="1">
      <c r="A671" s="1" t="s">
        <v>1458</v>
      </c>
      <c r="B671" s="1" t="s">
        <v>1459</v>
      </c>
      <c r="C671" s="2" t="s">
        <v>1460</v>
      </c>
      <c r="D671" s="1" t="str">
        <f>IFERROR(__xludf.DUMMYFUNCTION("GOOGLETRANSLATE(A671 , ""auto"", ""ar"")"),"قاعة الدراسة")</f>
        <v>قاعة الدراسة</v>
      </c>
    </row>
    <row r="672" ht="15.75" customHeight="1">
      <c r="A672" s="1" t="s">
        <v>1461</v>
      </c>
      <c r="B672" s="1" t="s">
        <v>1462</v>
      </c>
      <c r="C672" s="2" t="s">
        <v>1463</v>
      </c>
      <c r="D672" s="1" t="str">
        <f>IFERROR(__xludf.DUMMYFUNCTION("GOOGLETRANSLATE(A672 , ""auto"", ""ar"")"),"ينظف")</f>
        <v>ينظف</v>
      </c>
    </row>
    <row r="673" ht="15.75" customHeight="1">
      <c r="A673" s="1" t="s">
        <v>1461</v>
      </c>
      <c r="B673" s="1" t="s">
        <v>1464</v>
      </c>
      <c r="C673" s="2" t="s">
        <v>1465</v>
      </c>
      <c r="D673" s="1" t="str">
        <f>IFERROR(__xludf.DUMMYFUNCTION("GOOGLETRANSLATE(A673 , ""auto"", ""ar"")"),"ينظف")</f>
        <v>ينظف</v>
      </c>
    </row>
    <row r="674" ht="15.75" customHeight="1">
      <c r="A674" s="1" t="s">
        <v>1461</v>
      </c>
      <c r="B674" s="1" t="s">
        <v>1466</v>
      </c>
      <c r="C674" s="2" t="s">
        <v>1467</v>
      </c>
      <c r="D674" s="1" t="str">
        <f>IFERROR(__xludf.DUMMYFUNCTION("GOOGLETRANSLATE(A674 , ""auto"", ""ar"")"),"ينظف")</f>
        <v>ينظف</v>
      </c>
    </row>
    <row r="675" ht="15.75" customHeight="1">
      <c r="A675" s="1" t="s">
        <v>1461</v>
      </c>
      <c r="B675" s="1" t="s">
        <v>1468</v>
      </c>
      <c r="C675" s="2" t="s">
        <v>1469</v>
      </c>
      <c r="D675" s="1" t="str">
        <f>IFERROR(__xludf.DUMMYFUNCTION("GOOGLETRANSLATE(A675 , ""auto"", ""ar"")"),"ينظف")</f>
        <v>ينظف</v>
      </c>
    </row>
    <row r="676" ht="15.75" customHeight="1">
      <c r="A676" s="1" t="s">
        <v>1461</v>
      </c>
      <c r="B676" s="1" t="s">
        <v>1064</v>
      </c>
      <c r="C676" s="2" t="s">
        <v>1065</v>
      </c>
      <c r="D676" s="1" t="str">
        <f>IFERROR(__xludf.DUMMYFUNCTION("GOOGLETRANSLATE(A676 , ""auto"", ""ar"")"),"ينظف")</f>
        <v>ينظف</v>
      </c>
    </row>
    <row r="677" ht="15.75" customHeight="1">
      <c r="A677" s="1" t="s">
        <v>1461</v>
      </c>
      <c r="B677" s="1" t="s">
        <v>1470</v>
      </c>
      <c r="C677" s="2" t="s">
        <v>1471</v>
      </c>
      <c r="D677" s="1" t="str">
        <f>IFERROR(__xludf.DUMMYFUNCTION("GOOGLETRANSLATE(A677 , ""auto"", ""ar"")"),"ينظف")</f>
        <v>ينظف</v>
      </c>
    </row>
    <row r="678" ht="15.75" customHeight="1">
      <c r="A678" s="1" t="s">
        <v>1472</v>
      </c>
      <c r="B678" s="1" t="s">
        <v>1473</v>
      </c>
      <c r="C678" s="2" t="s">
        <v>1474</v>
      </c>
      <c r="D678" s="1" t="str">
        <f>IFERROR(__xludf.DUMMYFUNCTION("GOOGLETRANSLATE(A678 , ""auto"", ""ar"")"),"عامله النظافه")</f>
        <v>عامله النظافه</v>
      </c>
    </row>
    <row r="679" ht="15.75" customHeight="1">
      <c r="A679" s="1" t="s">
        <v>1472</v>
      </c>
      <c r="B679" s="1" t="s">
        <v>1475</v>
      </c>
      <c r="C679" s="1"/>
      <c r="D679" s="1" t="str">
        <f>IFERROR(__xludf.DUMMYFUNCTION("GOOGLETRANSLATE(A679 , ""auto"", ""ar"")"),"عامله النظافه")</f>
        <v>عامله النظافه</v>
      </c>
    </row>
    <row r="680" ht="15.75" customHeight="1">
      <c r="A680" s="1" t="s">
        <v>1476</v>
      </c>
      <c r="B680" s="1" t="s">
        <v>1477</v>
      </c>
      <c r="C680" s="2" t="s">
        <v>65</v>
      </c>
      <c r="D680" s="1" t="str">
        <f>IFERROR(__xludf.DUMMYFUNCTION("GOOGLETRANSLATE(A680 , ""auto"", ""ar"")"),"واضح")</f>
        <v>واضح</v>
      </c>
    </row>
    <row r="681" ht="15.75" customHeight="1">
      <c r="A681" s="1" t="s">
        <v>1476</v>
      </c>
      <c r="B681" s="1" t="s">
        <v>1478</v>
      </c>
      <c r="C681" s="1"/>
      <c r="D681" s="1" t="str">
        <f>IFERROR(__xludf.DUMMYFUNCTION("GOOGLETRANSLATE(A681 , ""auto"", ""ar"")"),"واضح")</f>
        <v>واضح</v>
      </c>
    </row>
    <row r="682" ht="15.75" customHeight="1">
      <c r="A682" s="1" t="s">
        <v>1479</v>
      </c>
      <c r="B682" s="1" t="s">
        <v>400</v>
      </c>
      <c r="C682" s="2" t="s">
        <v>1480</v>
      </c>
      <c r="D682" s="1" t="str">
        <f>IFERROR(__xludf.DUMMYFUNCTION("GOOGLETRANSLATE(A682 , ""auto"", ""ar"")"),"امسح الجدول")</f>
        <v>امسح الجدول</v>
      </c>
    </row>
    <row r="683" ht="15.75" customHeight="1">
      <c r="A683" s="1" t="s">
        <v>1481</v>
      </c>
      <c r="B683" s="1" t="s">
        <v>1482</v>
      </c>
      <c r="C683" s="1"/>
      <c r="D683" s="1" t="str">
        <f>IFERROR(__xludf.DUMMYFUNCTION("GOOGLETRANSLATE(A683 , ""auto"", ""ar"")"),"بوضوح")</f>
        <v>بوضوح</v>
      </c>
    </row>
    <row r="684" ht="15.75" customHeight="1">
      <c r="A684" s="1" t="s">
        <v>1483</v>
      </c>
      <c r="B684" s="1" t="s">
        <v>1484</v>
      </c>
      <c r="C684" s="2" t="s">
        <v>1485</v>
      </c>
      <c r="D684" s="1" t="str">
        <f>IFERROR(__xludf.DUMMYFUNCTION("GOOGLETRANSLATE(A684 , ""auto"", ""ar"")"),"ماهر")</f>
        <v>ماهر</v>
      </c>
    </row>
    <row r="685" ht="15.75" customHeight="1">
      <c r="A685" s="1" t="s">
        <v>1486</v>
      </c>
      <c r="B685" s="1" t="s">
        <v>1487</v>
      </c>
      <c r="C685" s="2" t="s">
        <v>1488</v>
      </c>
      <c r="D685" s="1" t="str">
        <f>IFERROR(__xludf.DUMMYFUNCTION("GOOGLETRANSLATE(A685 , ""auto"", ""ar"")"),"عميل")</f>
        <v>عميل</v>
      </c>
    </row>
    <row r="686" ht="15.75" customHeight="1">
      <c r="A686" s="1" t="s">
        <v>1489</v>
      </c>
      <c r="B686" s="1" t="s">
        <v>1490</v>
      </c>
      <c r="C686" s="1"/>
      <c r="D686" s="1" t="str">
        <f>IFERROR(__xludf.DUMMYFUNCTION("GOOGLETRANSLATE(A686 , ""auto"", ""ar"")"),"عيادة")</f>
        <v>عيادة</v>
      </c>
    </row>
    <row r="687" ht="15.75" customHeight="1">
      <c r="A687" s="1" t="s">
        <v>1491</v>
      </c>
      <c r="B687" s="1" t="s">
        <v>823</v>
      </c>
      <c r="C687" s="2" t="s">
        <v>824</v>
      </c>
      <c r="D687" s="1" t="str">
        <f>IFERROR(__xludf.DUMMYFUNCTION("GOOGLETRANSLATE(A687 , ""auto"", ""ar"")"),"يغلق")</f>
        <v>يغلق</v>
      </c>
    </row>
    <row r="688" ht="15.75" customHeight="1">
      <c r="A688" s="1" t="s">
        <v>1491</v>
      </c>
      <c r="B688" s="1" t="s">
        <v>1492</v>
      </c>
      <c r="C688" s="1"/>
      <c r="D688" s="1" t="str">
        <f>IFERROR(__xludf.DUMMYFUNCTION("GOOGLETRANSLATE(A688 , ""auto"", ""ar"")"),"يغلق")</f>
        <v>يغلق</v>
      </c>
    </row>
    <row r="689" ht="15.75" customHeight="1">
      <c r="A689" s="1" t="s">
        <v>1491</v>
      </c>
      <c r="B689" s="1" t="s">
        <v>1493</v>
      </c>
      <c r="C689" s="2" t="s">
        <v>65</v>
      </c>
      <c r="D689" s="1" t="str">
        <f>IFERROR(__xludf.DUMMYFUNCTION("GOOGLETRANSLATE(A689 , ""auto"", ""ar"")"),"يغلق")</f>
        <v>يغلق</v>
      </c>
    </row>
    <row r="690" ht="15.75" customHeight="1">
      <c r="A690" s="1" t="s">
        <v>1491</v>
      </c>
      <c r="B690" s="1" t="s">
        <v>1494</v>
      </c>
      <c r="C690" s="2" t="s">
        <v>1495</v>
      </c>
      <c r="D690" s="1" t="str">
        <f>IFERROR(__xludf.DUMMYFUNCTION("GOOGLETRANSLATE(A690 , ""auto"", ""ar"")"),"يغلق")</f>
        <v>يغلق</v>
      </c>
    </row>
    <row r="691" ht="15.75" customHeight="1">
      <c r="A691" s="1" t="s">
        <v>1491</v>
      </c>
      <c r="B691" s="1" t="s">
        <v>328</v>
      </c>
      <c r="C691" s="2" t="s">
        <v>329</v>
      </c>
      <c r="D691" s="1" t="str">
        <f>IFERROR(__xludf.DUMMYFUNCTION("GOOGLETRANSLATE(A691 , ""auto"", ""ar"")"),"يغلق")</f>
        <v>يغلق</v>
      </c>
    </row>
    <row r="692" ht="15.75" customHeight="1">
      <c r="A692" s="1" t="s">
        <v>1496</v>
      </c>
      <c r="B692" s="1" t="s">
        <v>827</v>
      </c>
      <c r="C692" s="2" t="s">
        <v>828</v>
      </c>
      <c r="D692" s="1" t="str">
        <f>IFERROR(__xludf.DUMMYFUNCTION("GOOGLETRANSLATE(A692 , ""auto"", ""ar"")"),"مغلق")</f>
        <v>مغلق</v>
      </c>
    </row>
    <row r="693" ht="15.75" customHeight="1">
      <c r="A693" s="1" t="s">
        <v>1496</v>
      </c>
      <c r="B693" s="1" t="s">
        <v>1493</v>
      </c>
      <c r="C693" s="2" t="s">
        <v>65</v>
      </c>
      <c r="D693" s="1" t="str">
        <f>IFERROR(__xludf.DUMMYFUNCTION("GOOGLETRANSLATE(A693 , ""auto"", ""ar"")"),"مغلق")</f>
        <v>مغلق</v>
      </c>
    </row>
    <row r="694" ht="15.75" customHeight="1">
      <c r="A694" s="1" t="s">
        <v>1497</v>
      </c>
      <c r="B694" s="1" t="s">
        <v>1498</v>
      </c>
      <c r="C694" s="2" t="s">
        <v>1499</v>
      </c>
      <c r="D694" s="1" t="str">
        <f>IFERROR(__xludf.DUMMYFUNCTION("GOOGLETRANSLATE(A694 , ""auto"", ""ar"")"),"خزانة")</f>
        <v>خزانة</v>
      </c>
    </row>
    <row r="695" ht="15.75" customHeight="1">
      <c r="A695" s="1" t="s">
        <v>1497</v>
      </c>
      <c r="B695" s="1" t="s">
        <v>1500</v>
      </c>
      <c r="C695" s="2" t="s">
        <v>1501</v>
      </c>
      <c r="D695" s="1" t="str">
        <f>IFERROR(__xludf.DUMMYFUNCTION("GOOGLETRANSLATE(A695 , ""auto"", ""ar"")"),"خزانة")</f>
        <v>خزانة</v>
      </c>
    </row>
    <row r="696" ht="15.75" customHeight="1">
      <c r="A696" s="1" t="s">
        <v>1502</v>
      </c>
      <c r="B696" s="1" t="s">
        <v>1503</v>
      </c>
      <c r="C696" s="2" t="s">
        <v>1504</v>
      </c>
      <c r="D696" s="1" t="str">
        <f>IFERROR(__xludf.DUMMYFUNCTION("GOOGLETRANSLATE(A696 , ""auto"", ""ar"")"),"قماش")</f>
        <v>قماش</v>
      </c>
    </row>
    <row r="697" ht="15.75" customHeight="1">
      <c r="A697" s="1" t="s">
        <v>1502</v>
      </c>
      <c r="B697" s="1" t="s">
        <v>1505</v>
      </c>
      <c r="C697" s="1"/>
      <c r="D697" s="1" t="str">
        <f>IFERROR(__xludf.DUMMYFUNCTION("GOOGLETRANSLATE(A697 , ""auto"", ""ar"")"),"قماش")</f>
        <v>قماش</v>
      </c>
    </row>
    <row r="698" ht="15.75" customHeight="1">
      <c r="A698" s="1" t="s">
        <v>1506</v>
      </c>
      <c r="B698" s="1" t="s">
        <v>1507</v>
      </c>
      <c r="C698" s="2" t="s">
        <v>1508</v>
      </c>
      <c r="D698" s="1" t="str">
        <f>IFERROR(__xludf.DUMMYFUNCTION("GOOGLETRANSLATE(A698 , ""auto"", ""ar"")"),"ملابس")</f>
        <v>ملابس</v>
      </c>
    </row>
    <row r="699" ht="15.75" customHeight="1">
      <c r="A699" s="1" t="s">
        <v>1506</v>
      </c>
      <c r="B699" s="1" t="s">
        <v>1509</v>
      </c>
      <c r="C699" s="2" t="s">
        <v>1510</v>
      </c>
      <c r="D699" s="1" t="str">
        <f>IFERROR(__xludf.DUMMYFUNCTION("GOOGLETRANSLATE(A699 , ""auto"", ""ar"")"),"ملابس")</f>
        <v>ملابس</v>
      </c>
    </row>
    <row r="700" ht="15.75" customHeight="1">
      <c r="A700" s="1" t="s">
        <v>1511</v>
      </c>
      <c r="B700" s="1" t="s">
        <v>1500</v>
      </c>
      <c r="C700" s="2" t="s">
        <v>1501</v>
      </c>
      <c r="D700" s="1" t="str">
        <f>IFERROR(__xludf.DUMMYFUNCTION("GOOGLETRANSLATE(A700 , ""auto"", ""ar"")"),"شماعات الملابس")</f>
        <v>شماعات الملابس</v>
      </c>
    </row>
    <row r="701" ht="15.75" customHeight="1">
      <c r="A701" s="1" t="s">
        <v>1512</v>
      </c>
      <c r="B701" s="1" t="s">
        <v>1513</v>
      </c>
      <c r="C701" s="1"/>
      <c r="D701" s="1" t="str">
        <f>IFERROR(__xludf.DUMMYFUNCTION("GOOGLETRANSLATE(A701 , ""auto"", ""ar"")"),"مشبك الغسيل")</f>
        <v>مشبك الغسيل</v>
      </c>
    </row>
    <row r="702" ht="15.75" customHeight="1">
      <c r="A702" s="1" t="s">
        <v>1514</v>
      </c>
      <c r="B702" s="1" t="s">
        <v>1513</v>
      </c>
      <c r="C702" s="1"/>
      <c r="D702" s="1" t="str">
        <f>IFERROR(__xludf.DUMMYFUNCTION("GOOGLETRANSLATE(A702 , ""auto"", ""ar"")"),"دبوس الملابس")</f>
        <v>دبوس الملابس</v>
      </c>
    </row>
    <row r="703" ht="15.75" customHeight="1">
      <c r="A703" s="1" t="s">
        <v>1515</v>
      </c>
      <c r="B703" s="1" t="s">
        <v>1516</v>
      </c>
      <c r="C703" s="1"/>
      <c r="D703" s="1" t="str">
        <f>IFERROR(__xludf.DUMMYFUNCTION("GOOGLETRANSLATE(A703 , ""auto"", ""ar"")"),"متجر الملابس")</f>
        <v>متجر الملابس</v>
      </c>
    </row>
    <row r="704" ht="15.75" customHeight="1">
      <c r="A704" s="1" t="s">
        <v>1517</v>
      </c>
      <c r="B704" s="1" t="s">
        <v>1518</v>
      </c>
      <c r="C704" s="2" t="s">
        <v>1519</v>
      </c>
      <c r="D704" s="1" t="str">
        <f>IFERROR(__xludf.DUMMYFUNCTION("GOOGLETRANSLATE(A704 , ""auto"", ""ar"")"),"سحاب")</f>
        <v>سحاب</v>
      </c>
    </row>
    <row r="705" ht="15.75" customHeight="1">
      <c r="A705" s="1" t="s">
        <v>1517</v>
      </c>
      <c r="B705" s="1" t="s">
        <v>1520</v>
      </c>
      <c r="C705" s="1"/>
      <c r="D705" s="1" t="str">
        <f>IFERROR(__xludf.DUMMYFUNCTION("GOOGLETRANSLATE(A705 , ""auto"", ""ar"")"),"سحاب")</f>
        <v>سحاب</v>
      </c>
    </row>
    <row r="706" ht="15.75" customHeight="1">
      <c r="A706" s="1" t="s">
        <v>1517</v>
      </c>
      <c r="B706" s="1" t="s">
        <v>1521</v>
      </c>
      <c r="C706" s="1"/>
      <c r="D706" s="1" t="str">
        <f>IFERROR(__xludf.DUMMYFUNCTION("GOOGLETRANSLATE(A706 , ""auto"", ""ar"")"),"سحاب")</f>
        <v>سحاب</v>
      </c>
    </row>
    <row r="707" ht="15.75" customHeight="1">
      <c r="A707" s="1" t="s">
        <v>1522</v>
      </c>
      <c r="B707" s="1" t="s">
        <v>1523</v>
      </c>
      <c r="C707" s="2" t="s">
        <v>65</v>
      </c>
      <c r="D707" s="1" t="str">
        <f>IFERROR(__xludf.DUMMYFUNCTION("GOOGLETRANSLATE(A707 , ""auto"", ""ar"")"),"غائم")</f>
        <v>غائم</v>
      </c>
    </row>
    <row r="708" ht="15.75" customHeight="1">
      <c r="A708" s="1" t="s">
        <v>1524</v>
      </c>
      <c r="B708" s="1" t="s">
        <v>1525</v>
      </c>
      <c r="C708" s="2" t="s">
        <v>1526</v>
      </c>
      <c r="D708" s="1" t="str">
        <f>IFERROR(__xludf.DUMMYFUNCTION("GOOGLETRANSLATE(A708 , ""auto"", ""ar"")"),"القرنفل")</f>
        <v>القرنفل</v>
      </c>
    </row>
    <row r="709" ht="15.75" customHeight="1">
      <c r="A709" s="1" t="s">
        <v>1527</v>
      </c>
      <c r="B709" s="1" t="s">
        <v>403</v>
      </c>
      <c r="C709" s="2" t="s">
        <v>404</v>
      </c>
      <c r="D709" s="1" t="str">
        <f>IFERROR(__xludf.DUMMYFUNCTION("GOOGLETRANSLATE(A709 , ""auto"", ""ar"")"),"تعاوني")</f>
        <v>تعاوني</v>
      </c>
    </row>
    <row r="710" ht="15.75" customHeight="1">
      <c r="A710" s="1" t="s">
        <v>1528</v>
      </c>
      <c r="B710" s="1" t="s">
        <v>1529</v>
      </c>
      <c r="C710" s="2" t="s">
        <v>1530</v>
      </c>
      <c r="D710" s="1" t="str">
        <f>IFERROR(__xludf.DUMMYFUNCTION("GOOGLETRANSLATE(A710 , ""auto"", ""ar"")"),"مدرب")</f>
        <v>مدرب</v>
      </c>
    </row>
    <row r="711" ht="15.75" customHeight="1">
      <c r="A711" s="1" t="s">
        <v>1531</v>
      </c>
      <c r="B711" s="1" t="s">
        <v>1106</v>
      </c>
      <c r="C711" s="2" t="s">
        <v>1532</v>
      </c>
      <c r="D711" s="1" t="str">
        <f>IFERROR(__xludf.DUMMYFUNCTION("GOOGLETRANSLATE(A711 , ""auto"", ""ar"")"),"محطة مدرب")</f>
        <v>محطة مدرب</v>
      </c>
    </row>
    <row r="712" ht="15.75" customHeight="1">
      <c r="A712" s="1" t="s">
        <v>1533</v>
      </c>
      <c r="B712" s="1" t="s">
        <v>1534</v>
      </c>
      <c r="C712" s="1"/>
      <c r="D712" s="1" t="str">
        <f>IFERROR(__xludf.DUMMYFUNCTION("GOOGLETRANSLATE(A712 , ""auto"", ""ar"")"),"ساحل")</f>
        <v>ساحل</v>
      </c>
    </row>
    <row r="713" ht="15.75" customHeight="1">
      <c r="A713" s="1" t="s">
        <v>1535</v>
      </c>
      <c r="B713" s="1" t="s">
        <v>1536</v>
      </c>
      <c r="C713" s="1"/>
      <c r="D713" s="1" t="str">
        <f>IFERROR(__xludf.DUMMYFUNCTION("GOOGLETRANSLATE(A713 , ""auto"", ""ar"")"),"معطف")</f>
        <v>معطف</v>
      </c>
    </row>
    <row r="714" ht="15.75" customHeight="1">
      <c r="A714" s="1" t="s">
        <v>1537</v>
      </c>
      <c r="B714" s="1" t="s">
        <v>1500</v>
      </c>
      <c r="C714" s="2" t="s">
        <v>1501</v>
      </c>
      <c r="D714" s="1" t="str">
        <f>IFERROR(__xludf.DUMMYFUNCTION("GOOGLETRANSLATE(A714 , ""auto"", ""ar"")"),"شماعات معطف")</f>
        <v>شماعات معطف</v>
      </c>
    </row>
    <row r="715" ht="15.75" customHeight="1">
      <c r="A715" s="1" t="s">
        <v>1538</v>
      </c>
      <c r="B715" s="1" t="s">
        <v>1539</v>
      </c>
      <c r="C715" s="1"/>
      <c r="D715" s="1" t="str">
        <f>IFERROR(__xludf.DUMMYFUNCTION("GOOGLETRANSLATE(A715 , ""auto"", ""ar"")"),"رف المعاطف")</f>
        <v>رف المعاطف</v>
      </c>
    </row>
    <row r="716" ht="15.75" customHeight="1">
      <c r="A716" s="1" t="s">
        <v>1538</v>
      </c>
      <c r="B716" s="1" t="s">
        <v>1500</v>
      </c>
      <c r="C716" s="2" t="s">
        <v>1501</v>
      </c>
      <c r="D716" s="1" t="str">
        <f>IFERROR(__xludf.DUMMYFUNCTION("GOOGLETRANSLATE(A716 , ""auto"", ""ar"")"),"رف المعاطف")</f>
        <v>رف المعاطف</v>
      </c>
    </row>
    <row r="717" ht="15.75" customHeight="1">
      <c r="A717" s="1" t="s">
        <v>1540</v>
      </c>
      <c r="B717" s="1" t="s">
        <v>1541</v>
      </c>
      <c r="C717" s="2" t="s">
        <v>1542</v>
      </c>
      <c r="D717" s="1" t="str">
        <f>IFERROR(__xludf.DUMMYFUNCTION("GOOGLETRANSLATE(A717 , ""auto"", ""ar"")"),"شراب مسكر")</f>
        <v>شراب مسكر</v>
      </c>
    </row>
    <row r="718" ht="15.75" customHeight="1">
      <c r="A718" s="1" t="s">
        <v>1543</v>
      </c>
      <c r="B718" s="1" t="s">
        <v>1544</v>
      </c>
      <c r="C718" s="2" t="s">
        <v>1545</v>
      </c>
      <c r="D718" s="1" t="str">
        <f>IFERROR(__xludf.DUMMYFUNCTION("GOOGLETRANSLATE(A718 , ""auto"", ""ar"")"),"الديك")</f>
        <v>الديك</v>
      </c>
    </row>
    <row r="719" ht="15.75" customHeight="1">
      <c r="A719" s="1" t="s">
        <v>1546</v>
      </c>
      <c r="B719" s="1" t="s">
        <v>1547</v>
      </c>
      <c r="C719" s="1"/>
      <c r="D719" s="1" t="str">
        <f>IFERROR(__xludf.DUMMYFUNCTION("GOOGLETRANSLATE(A719 , ""auto"", ""ar"")"),"الديك-دودلي دو")</f>
        <v>الديك-دودلي دو</v>
      </c>
    </row>
    <row r="720" ht="15.75" customHeight="1">
      <c r="A720" s="1" t="s">
        <v>1548</v>
      </c>
      <c r="B720" s="1" t="s">
        <v>1549</v>
      </c>
      <c r="C720" s="2" t="s">
        <v>1550</v>
      </c>
      <c r="D720" s="1" t="str">
        <f>IFERROR(__xludf.DUMMYFUNCTION("GOOGLETRANSLATE(A720 , ""auto"", ""ar"")"),"صرصور")</f>
        <v>صرصور</v>
      </c>
    </row>
    <row r="721" ht="15.75" customHeight="1">
      <c r="A721" s="1" t="s">
        <v>1551</v>
      </c>
      <c r="B721" s="1" t="s">
        <v>1552</v>
      </c>
      <c r="C721" s="2" t="s">
        <v>1553</v>
      </c>
      <c r="D721" s="1" t="str">
        <f>IFERROR(__xludf.DUMMYFUNCTION("GOOGLETRANSLATE(A721 , ""auto"", ""ar"")"),"جوزة الهند")</f>
        <v>جوزة الهند</v>
      </c>
    </row>
    <row r="722" ht="15.75" customHeight="1">
      <c r="A722" s="1" t="s">
        <v>1554</v>
      </c>
      <c r="B722" s="1" t="s">
        <v>1155</v>
      </c>
      <c r="C722" s="2" t="s">
        <v>1156</v>
      </c>
      <c r="D722" s="1" t="str">
        <f>IFERROR(__xludf.DUMMYFUNCTION("GOOGLETRANSLATE(A722 , ""auto"", ""ar"")"),"قهوة")</f>
        <v>قهوة</v>
      </c>
    </row>
    <row r="723" ht="15.75" customHeight="1">
      <c r="A723" s="1" t="s">
        <v>1555</v>
      </c>
      <c r="B723" s="1" t="s">
        <v>1556</v>
      </c>
      <c r="C723" s="2" t="s">
        <v>1557</v>
      </c>
      <c r="D723" s="1" t="str">
        <f>IFERROR(__xludf.DUMMYFUNCTION("GOOGLETRANSLATE(A723 , ""auto"", ""ar"")"),"وعاء القهوة")</f>
        <v>وعاء القهوة</v>
      </c>
    </row>
    <row r="724" ht="15.75" customHeight="1">
      <c r="A724" s="1" t="s">
        <v>1558</v>
      </c>
      <c r="B724" s="1" t="s">
        <v>1559</v>
      </c>
      <c r="C724" s="2" t="s">
        <v>1560</v>
      </c>
      <c r="D724" s="1" t="str">
        <f>IFERROR(__xludf.DUMMYFUNCTION("GOOGLETRANSLATE(A724 , ""auto"", ""ar"")"),"الكولا")</f>
        <v>الكولا</v>
      </c>
    </row>
    <row r="725" ht="15.75" customHeight="1">
      <c r="A725" s="1" t="s">
        <v>1561</v>
      </c>
      <c r="B725" s="1" t="s">
        <v>1562</v>
      </c>
      <c r="C725" s="2" t="s">
        <v>1563</v>
      </c>
      <c r="D725" s="1" t="str">
        <f>IFERROR(__xludf.DUMMYFUNCTION("GOOGLETRANSLATE(A725 , ""auto"", ""ar"")"),"مصفاة")</f>
        <v>مصفاة</v>
      </c>
    </row>
    <row r="726" ht="15.75" customHeight="1">
      <c r="A726" s="1" t="s">
        <v>1564</v>
      </c>
      <c r="B726" s="1" t="s">
        <v>1565</v>
      </c>
      <c r="C726" s="2" t="s">
        <v>1566</v>
      </c>
      <c r="D726" s="1" t="str">
        <f>IFERROR(__xludf.DUMMYFUNCTION("GOOGLETRANSLATE(A726 , ""auto"", ""ar"")"),"بارد")</f>
        <v>بارد</v>
      </c>
    </row>
    <row r="727" ht="15.75" customHeight="1">
      <c r="A727" s="1" t="s">
        <v>1564</v>
      </c>
      <c r="B727" s="1" t="s">
        <v>1567</v>
      </c>
      <c r="C727" s="2" t="s">
        <v>1568</v>
      </c>
      <c r="D727" s="1" t="str">
        <f>IFERROR(__xludf.DUMMYFUNCTION("GOOGLETRANSLATE(A727 , ""auto"", ""ar"")"),"بارد")</f>
        <v>بارد</v>
      </c>
    </row>
    <row r="728" ht="15.75" customHeight="1">
      <c r="A728" s="1" t="s">
        <v>1564</v>
      </c>
      <c r="B728" s="1" t="s">
        <v>1569</v>
      </c>
      <c r="C728" s="2" t="s">
        <v>1570</v>
      </c>
      <c r="D728" s="1" t="str">
        <f>IFERROR(__xludf.DUMMYFUNCTION("GOOGLETRANSLATE(A728 , ""auto"", ""ar"")"),"بارد")</f>
        <v>بارد</v>
      </c>
    </row>
    <row r="729" ht="15.75" customHeight="1">
      <c r="A729" s="1" t="s">
        <v>1571</v>
      </c>
      <c r="B729" s="1" t="s">
        <v>946</v>
      </c>
      <c r="C729" s="1"/>
      <c r="D729" s="1" t="str">
        <f>IFERROR(__xludf.DUMMYFUNCTION("GOOGLETRANSLATE(A729 , ""auto"", ""ar"")"),"طوق")</f>
        <v>طوق</v>
      </c>
    </row>
    <row r="730" ht="15.75" customHeight="1">
      <c r="A730" s="1" t="s">
        <v>1572</v>
      </c>
      <c r="B730" s="1" t="s">
        <v>400</v>
      </c>
      <c r="C730" s="2" t="s">
        <v>401</v>
      </c>
      <c r="D730" s="1" t="str">
        <f>IFERROR(__xludf.DUMMYFUNCTION("GOOGLETRANSLATE(A730 , ""auto"", ""ar"")"),"يجمع")</f>
        <v>يجمع</v>
      </c>
    </row>
    <row r="731" ht="15.75" customHeight="1">
      <c r="A731" s="1" t="s">
        <v>1573</v>
      </c>
      <c r="B731" s="1" t="s">
        <v>1574</v>
      </c>
      <c r="C731" s="2" t="s">
        <v>1575</v>
      </c>
      <c r="D731" s="1" t="str">
        <f>IFERROR(__xludf.DUMMYFUNCTION("GOOGLETRANSLATE(A731 , ""auto"", ""ar"")"),"كلية")</f>
        <v>كلية</v>
      </c>
    </row>
    <row r="732" ht="15.75" customHeight="1">
      <c r="A732" s="1" t="s">
        <v>1573</v>
      </c>
      <c r="B732" s="1" t="s">
        <v>1576</v>
      </c>
      <c r="C732" s="1"/>
      <c r="D732" s="1" t="str">
        <f>IFERROR(__xludf.DUMMYFUNCTION("GOOGLETRANSLATE(A732 , ""auto"", ""ar"")"),"كلية")</f>
        <v>كلية</v>
      </c>
    </row>
    <row r="733" ht="15.75" customHeight="1">
      <c r="A733" s="1" t="s">
        <v>1577</v>
      </c>
      <c r="B733" s="1" t="s">
        <v>1578</v>
      </c>
      <c r="C733" s="2" t="s">
        <v>1579</v>
      </c>
      <c r="D733" s="1" t="str">
        <f>IFERROR(__xludf.DUMMYFUNCTION("GOOGLETRANSLATE(A733 , ""auto"", ""ar"")"),"لون")</f>
        <v>لون</v>
      </c>
    </row>
    <row r="734" ht="15.75" customHeight="1">
      <c r="A734" s="1" t="s">
        <v>1580</v>
      </c>
      <c r="B734" s="1" t="s">
        <v>1581</v>
      </c>
      <c r="C734" s="2" t="s">
        <v>1582</v>
      </c>
      <c r="D734" s="1" t="str">
        <f>IFERROR(__xludf.DUMMYFUNCTION("GOOGLETRANSLATE(A734 , ""auto"", ""ar"")"),"يأتي")</f>
        <v>يأتي</v>
      </c>
    </row>
    <row r="735" ht="15.75" customHeight="1">
      <c r="A735" s="1" t="s">
        <v>1580</v>
      </c>
      <c r="B735" s="1" t="s">
        <v>1583</v>
      </c>
      <c r="C735" s="1"/>
      <c r="D735" s="1" t="str">
        <f>IFERROR(__xludf.DUMMYFUNCTION("GOOGLETRANSLATE(A735 , ""auto"", ""ar"")"),"يأتي")</f>
        <v>يأتي</v>
      </c>
    </row>
    <row r="736" ht="15.75" customHeight="1">
      <c r="A736" s="1" t="s">
        <v>1580</v>
      </c>
      <c r="B736" s="1" t="s">
        <v>1584</v>
      </c>
      <c r="C736" s="2" t="s">
        <v>1585</v>
      </c>
      <c r="D736" s="1" t="str">
        <f>IFERROR(__xludf.DUMMYFUNCTION("GOOGLETRANSLATE(A736 , ""auto"", ""ar"")"),"يأتي")</f>
        <v>يأتي</v>
      </c>
    </row>
    <row r="737" ht="15.75" customHeight="1">
      <c r="A737" s="1" t="s">
        <v>1586</v>
      </c>
      <c r="B737" s="1" t="s">
        <v>1587</v>
      </c>
      <c r="C737" s="2" t="s">
        <v>1588</v>
      </c>
      <c r="D737" s="1" t="str">
        <f>IFERROR(__xludf.DUMMYFUNCTION("GOOGLETRANSLATE(A737 , ""auto"", ""ar"")"),"عد")</f>
        <v>عد</v>
      </c>
    </row>
    <row r="738" ht="15.75" customHeight="1">
      <c r="A738" s="1" t="s">
        <v>1589</v>
      </c>
      <c r="B738" s="1" t="s">
        <v>610</v>
      </c>
      <c r="C738" s="2" t="s">
        <v>611</v>
      </c>
      <c r="D738" s="1" t="str">
        <f>IFERROR(__xludf.DUMMYFUNCTION("GOOGLETRANSLATE(A738 , ""auto"", ""ar"")"),"سيتحقق")</f>
        <v>سيتحقق</v>
      </c>
    </row>
    <row r="739" ht="15.75" customHeight="1">
      <c r="A739" s="1" t="s">
        <v>1590</v>
      </c>
      <c r="B739" s="1" t="s">
        <v>1591</v>
      </c>
      <c r="C739" s="2" t="s">
        <v>1592</v>
      </c>
      <c r="D739" s="1" t="str">
        <f>IFERROR(__xludf.DUMMYFUNCTION("GOOGLETRANSLATE(A739 , ""auto"", ""ar"")"),"راحة")</f>
        <v>راحة</v>
      </c>
    </row>
    <row r="740" ht="15.75" customHeight="1">
      <c r="A740" s="1" t="s">
        <v>1593</v>
      </c>
      <c r="B740" s="1" t="s">
        <v>1594</v>
      </c>
      <c r="C740" s="2" t="s">
        <v>1595</v>
      </c>
      <c r="D740" s="1" t="str">
        <f>IFERROR(__xludf.DUMMYFUNCTION("GOOGLETRANSLATE(A740 , ""auto"", ""ar"")"),"مريح")</f>
        <v>مريح</v>
      </c>
    </row>
    <row r="741" ht="15.75" customHeight="1">
      <c r="A741" s="1" t="s">
        <v>1593</v>
      </c>
      <c r="B741" s="1" t="s">
        <v>1596</v>
      </c>
      <c r="C741" s="2" t="s">
        <v>1597</v>
      </c>
      <c r="D741" s="1" t="str">
        <f>IFERROR(__xludf.DUMMYFUNCTION("GOOGLETRANSLATE(A741 , ""auto"", ""ar"")"),"مريح")</f>
        <v>مريح</v>
      </c>
    </row>
    <row r="742" ht="15.75" customHeight="1">
      <c r="A742" s="1" t="s">
        <v>1593</v>
      </c>
      <c r="B742" s="1" t="s">
        <v>1598</v>
      </c>
      <c r="C742" s="2" t="s">
        <v>1599</v>
      </c>
      <c r="D742" s="1" t="str">
        <f>IFERROR(__xludf.DUMMYFUNCTION("GOOGLETRANSLATE(A742 , ""auto"", ""ar"")"),"مريح")</f>
        <v>مريح</v>
      </c>
    </row>
    <row r="743" ht="15.75" customHeight="1">
      <c r="A743" s="1" t="s">
        <v>1600</v>
      </c>
      <c r="B743" s="1" t="s">
        <v>1601</v>
      </c>
      <c r="C743" s="2" t="s">
        <v>1602</v>
      </c>
      <c r="D743" s="1" t="str">
        <f>IFERROR(__xludf.DUMMYFUNCTION("GOOGLETRANSLATE(A743 , ""auto"", ""ar"")"),"تجارة")</f>
        <v>تجارة</v>
      </c>
    </row>
    <row r="744" ht="15.75" customHeight="1">
      <c r="A744" s="1" t="s">
        <v>1603</v>
      </c>
      <c r="B744" s="1" t="s">
        <v>1604</v>
      </c>
      <c r="C744" s="2" t="s">
        <v>1605</v>
      </c>
      <c r="D744" s="1" t="str">
        <f>IFERROR(__xludf.DUMMYFUNCTION("GOOGLETRANSLATE(A744 , ""auto"", ""ar"")"),"الانتحار")</f>
        <v>الانتحار</v>
      </c>
    </row>
    <row r="745" ht="15.75" customHeight="1">
      <c r="A745" s="1" t="s">
        <v>1606</v>
      </c>
      <c r="B745" s="1" t="s">
        <v>1607</v>
      </c>
      <c r="C745" s="2" t="s">
        <v>1608</v>
      </c>
      <c r="D745" s="1" t="str">
        <f>IFERROR(__xludf.DUMMYFUNCTION("GOOGLETRANSLATE(A745 , ""auto"", ""ar"")"),"يتواصل")</f>
        <v>يتواصل</v>
      </c>
    </row>
    <row r="746" ht="15.75" customHeight="1">
      <c r="A746" s="1" t="s">
        <v>1606</v>
      </c>
      <c r="B746" s="1" t="s">
        <v>1609</v>
      </c>
      <c r="C746" s="1"/>
      <c r="D746" s="1" t="str">
        <f>IFERROR(__xludf.DUMMYFUNCTION("GOOGLETRANSLATE(A746 , ""auto"", ""ar"")"),"يتواصل")</f>
        <v>يتواصل</v>
      </c>
    </row>
    <row r="747" ht="15.75" customHeight="1">
      <c r="A747" s="1" t="s">
        <v>1610</v>
      </c>
      <c r="B747" s="1" t="s">
        <v>1113</v>
      </c>
      <c r="C747" s="2" t="s">
        <v>1114</v>
      </c>
      <c r="D747" s="1" t="str">
        <f>IFERROR(__xludf.DUMMYFUNCTION("GOOGLETRANSLATE(A747 , ""auto"", ""ar"")"),"شركة")</f>
        <v>شركة</v>
      </c>
    </row>
    <row r="748" ht="15.75" customHeight="1">
      <c r="A748" s="1" t="s">
        <v>1611</v>
      </c>
      <c r="B748" s="1" t="s">
        <v>1612</v>
      </c>
      <c r="C748" s="2" t="s">
        <v>1613</v>
      </c>
      <c r="D748" s="1" t="str">
        <f>IFERROR(__xludf.DUMMYFUNCTION("GOOGLETRANSLATE(A748 , ""auto"", ""ar"")"),"يقارن")</f>
        <v>يقارن</v>
      </c>
    </row>
    <row r="749" ht="15.75" customHeight="1">
      <c r="A749" s="1" t="s">
        <v>1614</v>
      </c>
      <c r="B749" s="1" t="s">
        <v>1615</v>
      </c>
      <c r="C749" s="2" t="s">
        <v>1616</v>
      </c>
      <c r="D749" s="1" t="str">
        <f>IFERROR(__xludf.DUMMYFUNCTION("GOOGLETRANSLATE(A749 , ""auto"", ""ar"")"),"مقارنة")</f>
        <v>مقارنة</v>
      </c>
    </row>
    <row r="750" ht="15.75" customHeight="1">
      <c r="A750" s="1" t="s">
        <v>1617</v>
      </c>
      <c r="B750" s="1" t="s">
        <v>1618</v>
      </c>
      <c r="C750" s="1"/>
      <c r="D750" s="1" t="str">
        <f>IFERROR(__xludf.DUMMYFUNCTION("GOOGLETRANSLATE(A750 , ""auto"", ""ar"")"),"عطف")</f>
        <v>عطف</v>
      </c>
    </row>
    <row r="751" ht="15.75" customHeight="1">
      <c r="A751" s="1" t="s">
        <v>1619</v>
      </c>
      <c r="B751" s="1" t="s">
        <v>1620</v>
      </c>
      <c r="C751" s="2" t="s">
        <v>1621</v>
      </c>
      <c r="D751" s="1" t="str">
        <f>IFERROR(__xludf.DUMMYFUNCTION("GOOGLETRANSLATE(A751 , ""auto"", ""ar"")"),"مسابقة")</f>
        <v>مسابقة</v>
      </c>
    </row>
    <row r="752" ht="15.75" customHeight="1">
      <c r="A752" s="1" t="s">
        <v>1622</v>
      </c>
      <c r="B752" s="1" t="s">
        <v>1623</v>
      </c>
      <c r="C752" s="2" t="s">
        <v>1624</v>
      </c>
      <c r="D752" s="1" t="str">
        <f>IFERROR(__xludf.DUMMYFUNCTION("GOOGLETRANSLATE(A752 , ""auto"", ""ar"")"),"يشتكي")</f>
        <v>يشتكي</v>
      </c>
    </row>
    <row r="753" ht="15.75" customHeight="1">
      <c r="A753" s="1" t="s">
        <v>1625</v>
      </c>
      <c r="B753" s="1" t="s">
        <v>200</v>
      </c>
      <c r="C753" s="2" t="s">
        <v>1626</v>
      </c>
      <c r="D753" s="1" t="str">
        <f>IFERROR(__xludf.DUMMYFUNCTION("GOOGLETRANSLATE(A753 , ""auto"", ""ar"")"),"مكتمل")</f>
        <v>مكتمل</v>
      </c>
    </row>
    <row r="754" ht="15.75" customHeight="1">
      <c r="A754" s="1" t="s">
        <v>1627</v>
      </c>
      <c r="B754" s="1" t="s">
        <v>1628</v>
      </c>
      <c r="C754" s="1"/>
      <c r="D754" s="1" t="str">
        <f>IFERROR(__xludf.DUMMYFUNCTION("GOOGLETRANSLATE(A754 , ""auto"", ""ar"")"),"بالكامل")</f>
        <v>بالكامل</v>
      </c>
    </row>
    <row r="755" ht="15.75" customHeight="1">
      <c r="A755" s="1" t="s">
        <v>1629</v>
      </c>
      <c r="B755" s="1" t="s">
        <v>1630</v>
      </c>
      <c r="C755" s="2" t="s">
        <v>1631</v>
      </c>
      <c r="D755" s="1" t="str">
        <f>IFERROR(__xludf.DUMMYFUNCTION("GOOGLETRANSLATE(A755 , ""auto"", ""ar"")"),"معقد")</f>
        <v>معقد</v>
      </c>
    </row>
    <row r="756" ht="15.75" customHeight="1">
      <c r="A756" s="1" t="s">
        <v>1632</v>
      </c>
      <c r="B756" s="1" t="s">
        <v>1633</v>
      </c>
      <c r="C756" s="1"/>
      <c r="D756" s="1" t="str">
        <f>IFERROR(__xludf.DUMMYFUNCTION("GOOGLETRANSLATE(A756 , ""auto"", ""ar"")"),"حاسوب")</f>
        <v>حاسوب</v>
      </c>
    </row>
    <row r="757" ht="15.75" customHeight="1">
      <c r="A757" s="1" t="s">
        <v>1634</v>
      </c>
      <c r="B757" s="1" t="s">
        <v>1635</v>
      </c>
      <c r="C757" s="1"/>
      <c r="D757" s="1" t="str">
        <f>IFERROR(__xludf.DUMMYFUNCTION("GOOGLETRANSLATE(A757 , ""auto"", ""ar"")"),"يركز")</f>
        <v>يركز</v>
      </c>
    </row>
    <row r="758" ht="15.75" customHeight="1">
      <c r="A758" s="1" t="s">
        <v>1636</v>
      </c>
      <c r="B758" s="1" t="s">
        <v>1637</v>
      </c>
      <c r="C758" s="2" t="s">
        <v>1638</v>
      </c>
      <c r="D758" s="1" t="str">
        <f>IFERROR(__xludf.DUMMYFUNCTION("GOOGLETRANSLATE(A758 , ""auto"", ""ar"")"),"هَم")</f>
        <v>هَم</v>
      </c>
    </row>
    <row r="759" ht="15.75" customHeight="1">
      <c r="A759" s="1" t="s">
        <v>1639</v>
      </c>
      <c r="B759" s="1" t="s">
        <v>1640</v>
      </c>
      <c r="C759" s="1"/>
      <c r="D759" s="1" t="str">
        <f>IFERROR(__xludf.DUMMYFUNCTION("GOOGLETRANSLATE(A759 , ""auto"", ""ar"")"),"حالة")</f>
        <v>حالة</v>
      </c>
    </row>
    <row r="760" ht="15.75" customHeight="1">
      <c r="A760" s="1" t="s">
        <v>1641</v>
      </c>
      <c r="B760" s="1" t="s">
        <v>1642</v>
      </c>
      <c r="C760" s="2" t="s">
        <v>1643</v>
      </c>
      <c r="D760" s="1" t="str">
        <f>IFERROR(__xludf.DUMMYFUNCTION("GOOGLETRANSLATE(A760 , ""auto"", ""ar"")"),"اعترف")</f>
        <v>اعترف</v>
      </c>
    </row>
    <row r="761" ht="15.75" customHeight="1">
      <c r="A761" s="1" t="s">
        <v>1641</v>
      </c>
      <c r="B761" s="1" t="s">
        <v>1644</v>
      </c>
      <c r="C761" s="2" t="s">
        <v>1645</v>
      </c>
      <c r="D761" s="1" t="str">
        <f>IFERROR(__xludf.DUMMYFUNCTION("GOOGLETRANSLATE(A761 , ""auto"", ""ar"")"),"اعترف")</f>
        <v>اعترف</v>
      </c>
    </row>
    <row r="762" ht="15.75" customHeight="1">
      <c r="A762" s="1" t="s">
        <v>1646</v>
      </c>
      <c r="B762" s="1" t="s">
        <v>1647</v>
      </c>
      <c r="C762" s="2" t="s">
        <v>1648</v>
      </c>
      <c r="D762" s="1" t="str">
        <f>IFERROR(__xludf.DUMMYFUNCTION("GOOGLETRANSLATE(A762 , ""auto"", ""ar"")"),"ثقة")</f>
        <v>ثقة</v>
      </c>
    </row>
    <row r="763" ht="15.75" customHeight="1">
      <c r="A763" s="1" t="s">
        <v>1649</v>
      </c>
      <c r="B763" s="1" t="s">
        <v>1650</v>
      </c>
      <c r="C763" s="2" t="s">
        <v>1651</v>
      </c>
      <c r="D763" s="1" t="str">
        <f>IFERROR(__xludf.DUMMYFUNCTION("GOOGLETRANSLATE(A763 , ""auto"", ""ar"")"),"مشوش")</f>
        <v>مشوش</v>
      </c>
    </row>
    <row r="764" ht="15.75" customHeight="1">
      <c r="A764" s="1" t="s">
        <v>1652</v>
      </c>
      <c r="B764" s="1" t="s">
        <v>1653</v>
      </c>
      <c r="C764" s="2" t="s">
        <v>1654</v>
      </c>
      <c r="D764" s="1" t="str">
        <f>IFERROR(__xludf.DUMMYFUNCTION("GOOGLETRANSLATE(A764 , ""auto"", ""ar"")"),"تهنئ")</f>
        <v>تهنئ</v>
      </c>
    </row>
    <row r="765" ht="15.75" customHeight="1">
      <c r="A765" s="1" t="s">
        <v>1655</v>
      </c>
      <c r="B765" s="1" t="s">
        <v>811</v>
      </c>
      <c r="C765" s="2" t="s">
        <v>812</v>
      </c>
      <c r="D765" s="1" t="str">
        <f>IFERROR(__xludf.DUMMYFUNCTION("GOOGLETRANSLATE(A765 , ""auto"", ""ar"")"),"تهانينا")</f>
        <v>تهانينا</v>
      </c>
    </row>
    <row r="766" ht="15.75" customHeight="1">
      <c r="A766" s="1" t="s">
        <v>1655</v>
      </c>
      <c r="B766" s="1" t="s">
        <v>1656</v>
      </c>
      <c r="C766" s="2" t="s">
        <v>1657</v>
      </c>
      <c r="D766" s="1" t="str">
        <f>IFERROR(__xludf.DUMMYFUNCTION("GOOGLETRANSLATE(A766 , ""auto"", ""ar"")"),"تهانينا")</f>
        <v>تهانينا</v>
      </c>
    </row>
    <row r="767" ht="15.75" customHeight="1">
      <c r="A767" s="1" t="s">
        <v>1658</v>
      </c>
      <c r="B767" s="1" t="s">
        <v>1659</v>
      </c>
      <c r="C767" s="1"/>
      <c r="D767" s="1" t="str">
        <f>IFERROR(__xludf.DUMMYFUNCTION("GOOGLETRANSLATE(A767 , ""auto"", ""ar"")"),"اتصال")</f>
        <v>اتصال</v>
      </c>
    </row>
    <row r="768" ht="15.75" customHeight="1">
      <c r="A768" s="1" t="s">
        <v>1660</v>
      </c>
      <c r="B768" s="1" t="s">
        <v>633</v>
      </c>
      <c r="C768" s="2" t="s">
        <v>634</v>
      </c>
      <c r="D768" s="1" t="str">
        <f>IFERROR(__xludf.DUMMYFUNCTION("GOOGLETRANSLATE(A768 , ""auto"", ""ar"")"),"يغزو")</f>
        <v>يغزو</v>
      </c>
    </row>
    <row r="769" ht="15.75" customHeight="1">
      <c r="A769" s="1" t="s">
        <v>1661</v>
      </c>
      <c r="B769" s="1" t="s">
        <v>1662</v>
      </c>
      <c r="C769" s="2" t="s">
        <v>1663</v>
      </c>
      <c r="D769" s="1" t="str">
        <f>IFERROR(__xludf.DUMMYFUNCTION("GOOGLETRANSLATE(A769 , ""auto"", ""ar"")"),"إمساك")</f>
        <v>إمساك</v>
      </c>
    </row>
    <row r="770" ht="15.75" customHeight="1">
      <c r="A770" s="1" t="s">
        <v>1664</v>
      </c>
      <c r="B770" s="1" t="s">
        <v>1665</v>
      </c>
      <c r="C770" s="1"/>
      <c r="D770" s="1" t="str">
        <f>IFERROR(__xludf.DUMMYFUNCTION("GOOGLETRANSLATE(A770 , ""auto"", ""ar"")"),"اتصال")</f>
        <v>اتصال</v>
      </c>
    </row>
    <row r="771" ht="15.75" customHeight="1">
      <c r="A771" s="1" t="s">
        <v>1664</v>
      </c>
      <c r="B771" s="1" t="s">
        <v>1607</v>
      </c>
      <c r="C771" s="2" t="s">
        <v>1608</v>
      </c>
      <c r="D771" s="1" t="str">
        <f>IFERROR(__xludf.DUMMYFUNCTION("GOOGLETRANSLATE(A771 , ""auto"", ""ar"")"),"اتصال")</f>
        <v>اتصال</v>
      </c>
    </row>
    <row r="772" ht="15.75" customHeight="1">
      <c r="A772" s="1" t="s">
        <v>1666</v>
      </c>
      <c r="B772" s="1" t="s">
        <v>1667</v>
      </c>
      <c r="C772" s="2" t="s">
        <v>1668</v>
      </c>
      <c r="D772" s="1" t="str">
        <f>IFERROR(__xludf.DUMMYFUNCTION("GOOGLETRANSLATE(A772 , ""auto"", ""ar"")"),"معدي")</f>
        <v>معدي</v>
      </c>
    </row>
    <row r="773" ht="15.75" customHeight="1">
      <c r="A773" s="1" t="s">
        <v>1669</v>
      </c>
      <c r="B773" s="1" t="s">
        <v>1667</v>
      </c>
      <c r="C773" s="2" t="s">
        <v>1668</v>
      </c>
      <c r="D773" s="1" t="str">
        <f>IFERROR(__xludf.DUMMYFUNCTION("GOOGLETRANSLATE(A773 , ""auto"", ""ar"")"),"تلوث")</f>
        <v>تلوث</v>
      </c>
    </row>
    <row r="774" ht="15.75" customHeight="1">
      <c r="A774" s="1" t="s">
        <v>1669</v>
      </c>
      <c r="B774" s="1" t="s">
        <v>1670</v>
      </c>
      <c r="C774" s="1"/>
      <c r="D774" s="1" t="str">
        <f>IFERROR(__xludf.DUMMYFUNCTION("GOOGLETRANSLATE(A774 , ""auto"", ""ar"")"),"تلوث")</f>
        <v>تلوث</v>
      </c>
    </row>
    <row r="775" ht="15.75" customHeight="1">
      <c r="A775" s="1" t="s">
        <v>1671</v>
      </c>
      <c r="B775" s="1" t="s">
        <v>1672</v>
      </c>
      <c r="C775" s="2" t="s">
        <v>1673</v>
      </c>
      <c r="D775" s="1" t="str">
        <f>IFERROR(__xludf.DUMMYFUNCTION("GOOGLETRANSLATE(A775 , ""auto"", ""ar"")"),"قارة")</f>
        <v>قارة</v>
      </c>
    </row>
    <row r="776" ht="15.75" customHeight="1">
      <c r="A776" s="1" t="s">
        <v>1674</v>
      </c>
      <c r="B776" s="1" t="s">
        <v>1675</v>
      </c>
      <c r="C776" s="2" t="s">
        <v>1676</v>
      </c>
      <c r="D776" s="1" t="str">
        <f>IFERROR(__xludf.DUMMYFUNCTION("GOOGLETRANSLATE(A776 , ""auto"", ""ar"")"),"يكمل")</f>
        <v>يكمل</v>
      </c>
    </row>
    <row r="777" ht="15.75" customHeight="1">
      <c r="A777" s="1" t="s">
        <v>1677</v>
      </c>
      <c r="B777" s="1" t="s">
        <v>1678</v>
      </c>
      <c r="C777" s="2" t="s">
        <v>1679</v>
      </c>
      <c r="D777" s="1" t="str">
        <f>IFERROR(__xludf.DUMMYFUNCTION("GOOGLETRANSLATE(A777 , ""auto"", ""ar"")"),"عقد")</f>
        <v>عقد</v>
      </c>
    </row>
    <row r="778" ht="15.75" customHeight="1">
      <c r="A778" s="1" t="s">
        <v>1680</v>
      </c>
      <c r="B778" s="1" t="s">
        <v>1681</v>
      </c>
      <c r="C778" s="1"/>
      <c r="D778" s="1" t="str">
        <f>IFERROR(__xludf.DUMMYFUNCTION("GOOGLETRANSLATE(A778 , ""auto"", ""ar"")"),"يتحكم")</f>
        <v>يتحكم</v>
      </c>
    </row>
    <row r="779" ht="15.75" customHeight="1">
      <c r="A779" s="1" t="s">
        <v>1680</v>
      </c>
      <c r="B779" s="1" t="s">
        <v>1682</v>
      </c>
      <c r="C779" s="1"/>
      <c r="D779" s="1" t="str">
        <f>IFERROR(__xludf.DUMMYFUNCTION("GOOGLETRANSLATE(A779 , ""auto"", ""ar"")"),"يتحكم")</f>
        <v>يتحكم</v>
      </c>
    </row>
    <row r="780" ht="15.75" customHeight="1">
      <c r="A780" s="1" t="s">
        <v>1680</v>
      </c>
      <c r="B780" s="1" t="s">
        <v>1683</v>
      </c>
      <c r="C780" s="2" t="s">
        <v>1684</v>
      </c>
      <c r="D780" s="1" t="str">
        <f>IFERROR(__xludf.DUMMYFUNCTION("GOOGLETRANSLATE(A780 , ""auto"", ""ar"")"),"يتحكم")</f>
        <v>يتحكم</v>
      </c>
    </row>
    <row r="781" ht="15.75" customHeight="1">
      <c r="A781" s="1" t="s">
        <v>1685</v>
      </c>
      <c r="B781" s="1" t="s">
        <v>1683</v>
      </c>
      <c r="C781" s="2" t="s">
        <v>1686</v>
      </c>
      <c r="D781" s="1" t="str">
        <f>IFERROR(__xludf.DUMMYFUNCTION("GOOGLETRANSLATE(A781 , ""auto"", ""ar"")"),"كبح جماح نفسه")</f>
        <v>كبح جماح نفسه</v>
      </c>
    </row>
    <row r="782" ht="15.75" customHeight="1">
      <c r="A782" s="1" t="s">
        <v>1687</v>
      </c>
      <c r="B782" s="1" t="s">
        <v>1688</v>
      </c>
      <c r="C782" s="2" t="s">
        <v>1689</v>
      </c>
      <c r="D782" s="1" t="str">
        <f>IFERROR(__xludf.DUMMYFUNCTION("GOOGLETRANSLATE(A782 , ""auto"", ""ar"")"),"يطبخ")</f>
        <v>يطبخ</v>
      </c>
    </row>
    <row r="783" ht="15.75" customHeight="1">
      <c r="A783" s="1" t="s">
        <v>1687</v>
      </c>
      <c r="B783" s="1" t="s">
        <v>856</v>
      </c>
      <c r="C783" s="2" t="s">
        <v>857</v>
      </c>
      <c r="D783" s="1" t="str">
        <f>IFERROR(__xludf.DUMMYFUNCTION("GOOGLETRANSLATE(A783 , ""auto"", ""ar"")"),"يطبخ")</f>
        <v>يطبخ</v>
      </c>
    </row>
    <row r="784" ht="15.75" customHeight="1">
      <c r="A784" s="1" t="s">
        <v>1687</v>
      </c>
      <c r="B784" s="1" t="s">
        <v>1349</v>
      </c>
      <c r="C784" s="2" t="s">
        <v>1350</v>
      </c>
      <c r="D784" s="1" t="str">
        <f>IFERROR(__xludf.DUMMYFUNCTION("GOOGLETRANSLATE(A784 , ""auto"", ""ar"")"),"يطبخ")</f>
        <v>يطبخ</v>
      </c>
    </row>
    <row r="785" ht="15.75" customHeight="1">
      <c r="A785" s="1" t="s">
        <v>1690</v>
      </c>
      <c r="B785" s="1" t="s">
        <v>1691</v>
      </c>
      <c r="C785" s="2" t="s">
        <v>1692</v>
      </c>
      <c r="D785" s="1" t="str">
        <f>IFERROR(__xludf.DUMMYFUNCTION("GOOGLETRANSLATE(A785 , ""auto"", ""ar"")"),"مطبوخ")</f>
        <v>مطبوخ</v>
      </c>
    </row>
    <row r="786" ht="15.75" customHeight="1">
      <c r="A786" s="1" t="s">
        <v>1693</v>
      </c>
      <c r="B786" s="1" t="s">
        <v>1694</v>
      </c>
      <c r="C786" s="2" t="s">
        <v>1695</v>
      </c>
      <c r="D786" s="1" t="str">
        <f>IFERROR(__xludf.DUMMYFUNCTION("GOOGLETRANSLATE(A786 , ""auto"", ""ar"")"),"فرن")</f>
        <v>فرن</v>
      </c>
    </row>
    <row r="787" ht="15.75" customHeight="1">
      <c r="A787" s="1" t="s">
        <v>1696</v>
      </c>
      <c r="B787" s="1" t="s">
        <v>1697</v>
      </c>
      <c r="C787" s="2" t="s">
        <v>1698</v>
      </c>
      <c r="D787" s="1" t="str">
        <f>IFERROR(__xludf.DUMMYFUNCTION("GOOGLETRANSLATE(A787 , ""auto"", ""ar"")"),"فن الطبخ")</f>
        <v>فن الطبخ</v>
      </c>
    </row>
    <row r="788" ht="15.75" customHeight="1">
      <c r="A788" s="1" t="s">
        <v>1699</v>
      </c>
      <c r="B788" s="1" t="s">
        <v>1700</v>
      </c>
      <c r="C788" s="2" t="s">
        <v>1701</v>
      </c>
      <c r="D788" s="1" t="str">
        <f>IFERROR(__xludf.DUMMYFUNCTION("GOOGLETRANSLATE(A788 , ""auto"", ""ar"")"),"وعاء الطبخ")</f>
        <v>وعاء الطبخ</v>
      </c>
    </row>
    <row r="789" ht="15.75" customHeight="1">
      <c r="A789" s="1" t="s">
        <v>1702</v>
      </c>
      <c r="B789" s="1" t="s">
        <v>1569</v>
      </c>
      <c r="C789" s="2" t="s">
        <v>1570</v>
      </c>
      <c r="D789" s="1" t="str">
        <f>IFERROR(__xludf.DUMMYFUNCTION("GOOGLETRANSLATE(A789 , ""auto"", ""ar"")"),"رائع")</f>
        <v>رائع</v>
      </c>
    </row>
    <row r="790" ht="15.75" customHeight="1">
      <c r="A790" s="1" t="s">
        <v>1703</v>
      </c>
      <c r="B790" s="1" t="s">
        <v>1704</v>
      </c>
      <c r="C790" s="2" t="s">
        <v>1705</v>
      </c>
      <c r="D790" s="1" t="str">
        <f>IFERROR(__xludf.DUMMYFUNCTION("GOOGLETRANSLATE(A790 , ""auto"", ""ar"")"),"يَتَصدَّى")</f>
        <v>يَتَصدَّى</v>
      </c>
    </row>
    <row r="791" ht="15.75" customHeight="1">
      <c r="A791" s="1" t="s">
        <v>1706</v>
      </c>
      <c r="B791" s="1" t="s">
        <v>963</v>
      </c>
      <c r="C791" s="2" t="s">
        <v>1707</v>
      </c>
      <c r="D791" s="1" t="str">
        <f>IFERROR(__xludf.DUMMYFUNCTION("GOOGLETRANSLATE(A791 , ""auto"", ""ar"")"),"نحاس")</f>
        <v>نحاس</v>
      </c>
    </row>
    <row r="792" ht="15.75" customHeight="1">
      <c r="A792" s="1" t="s">
        <v>1708</v>
      </c>
      <c r="B792" s="1" t="s">
        <v>1709</v>
      </c>
      <c r="C792" s="2" t="s">
        <v>1710</v>
      </c>
      <c r="D792" s="1" t="str">
        <f>IFERROR(__xludf.DUMMYFUNCTION("GOOGLETRANSLATE(A792 , ""auto"", ""ar"")"),"كسبرة")</f>
        <v>كسبرة</v>
      </c>
    </row>
    <row r="793" ht="15.75" customHeight="1">
      <c r="A793" s="1" t="s">
        <v>1711</v>
      </c>
      <c r="B793" s="1" t="s">
        <v>919</v>
      </c>
      <c r="C793" s="1"/>
      <c r="D793" s="1" t="str">
        <f>IFERROR(__xludf.DUMMYFUNCTION("GOOGLETRANSLATE(A793 , ""auto"", ""ar"")"),"الفلين")</f>
        <v>الفلين</v>
      </c>
    </row>
    <row r="794" ht="15.75" customHeight="1">
      <c r="A794" s="1" t="s">
        <v>1711</v>
      </c>
      <c r="B794" s="1" t="s">
        <v>920</v>
      </c>
      <c r="C794" s="1"/>
      <c r="D794" s="1" t="str">
        <f>IFERROR(__xludf.DUMMYFUNCTION("GOOGLETRANSLATE(A794 , ""auto"", ""ar"")"),"الفلين")</f>
        <v>الفلين</v>
      </c>
    </row>
    <row r="795" ht="15.75" customHeight="1">
      <c r="A795" s="1" t="s">
        <v>1712</v>
      </c>
      <c r="B795" s="1" t="s">
        <v>1713</v>
      </c>
      <c r="C795" s="1"/>
      <c r="D795" s="1" t="str">
        <f>IFERROR(__xludf.DUMMYFUNCTION("GOOGLETRANSLATE(A795 , ""auto"", ""ar"")"),"ركن")</f>
        <v>ركن</v>
      </c>
    </row>
    <row r="796" ht="15.75" customHeight="1">
      <c r="A796" s="1" t="s">
        <v>1712</v>
      </c>
      <c r="B796" s="1" t="s">
        <v>1714</v>
      </c>
      <c r="C796" s="1"/>
      <c r="D796" s="1" t="str">
        <f>IFERROR(__xludf.DUMMYFUNCTION("GOOGLETRANSLATE(A796 , ""auto"", ""ar"")"),"ركن")</f>
        <v>ركن</v>
      </c>
    </row>
    <row r="797" ht="15.75" customHeight="1">
      <c r="A797" s="1" t="s">
        <v>1712</v>
      </c>
      <c r="B797" s="1" t="s">
        <v>1715</v>
      </c>
      <c r="C797" s="2" t="s">
        <v>1716</v>
      </c>
      <c r="D797" s="1" t="str">
        <f>IFERROR(__xludf.DUMMYFUNCTION("GOOGLETRANSLATE(A797 , ""auto"", ""ar"")"),"ركن")</f>
        <v>ركن</v>
      </c>
    </row>
    <row r="798" ht="15.75" customHeight="1">
      <c r="A798" s="1" t="s">
        <v>1717</v>
      </c>
      <c r="B798" s="1" t="s">
        <v>1718</v>
      </c>
      <c r="C798" s="2" t="s">
        <v>1719</v>
      </c>
      <c r="D798" s="1" t="str">
        <f>IFERROR(__xludf.DUMMYFUNCTION("GOOGLETRANSLATE(A798 , ""auto"", ""ar"")"),"صحيح")</f>
        <v>صحيح</v>
      </c>
    </row>
    <row r="799" ht="15.75" customHeight="1">
      <c r="A799" s="1" t="s">
        <v>1720</v>
      </c>
      <c r="B799" s="1" t="s">
        <v>1721</v>
      </c>
      <c r="C799" s="1"/>
      <c r="D799" s="1" t="str">
        <f>IFERROR(__xludf.DUMMYFUNCTION("GOOGLETRANSLATE(A799 , ""auto"", ""ar"")"),"الرواق")</f>
        <v>الرواق</v>
      </c>
    </row>
    <row r="800" ht="15.75" customHeight="1">
      <c r="A800" s="1" t="s">
        <v>1722</v>
      </c>
      <c r="B800" s="1" t="s">
        <v>1723</v>
      </c>
      <c r="C800" s="2" t="s">
        <v>1724</v>
      </c>
      <c r="D800" s="1" t="str">
        <f>IFERROR(__xludf.DUMMYFUNCTION("GOOGLETRANSLATE(A800 , ""auto"", ""ar"")"),"فساد")</f>
        <v>فساد</v>
      </c>
    </row>
    <row r="801" ht="15.75" customHeight="1">
      <c r="A801" s="1" t="s">
        <v>1725</v>
      </c>
      <c r="B801" s="1" t="s">
        <v>209</v>
      </c>
      <c r="C801" s="1"/>
      <c r="D801" s="1" t="str">
        <f>IFERROR(__xludf.DUMMYFUNCTION("GOOGLETRANSLATE(A801 , ""auto"", ""ar"")"),"يكلف")</f>
        <v>يكلف</v>
      </c>
    </row>
    <row r="802" ht="15.75" customHeight="1">
      <c r="A802" s="1" t="s">
        <v>1726</v>
      </c>
      <c r="B802" s="1" t="s">
        <v>1727</v>
      </c>
      <c r="C802" s="1"/>
      <c r="D802" s="1" t="str">
        <f>IFERROR(__xludf.DUMMYFUNCTION("GOOGLETRANSLATE(A802 , ""auto"", ""ar"")"),"مريح")</f>
        <v>مريح</v>
      </c>
    </row>
    <row r="803" ht="15.75" customHeight="1">
      <c r="A803" s="1" t="s">
        <v>1728</v>
      </c>
      <c r="B803" s="1" t="s">
        <v>1729</v>
      </c>
      <c r="C803" s="2" t="s">
        <v>1730</v>
      </c>
      <c r="D803" s="1" t="str">
        <f>IFERROR(__xludf.DUMMYFUNCTION("GOOGLETRANSLATE(A803 , ""auto"", ""ar"")"),"سعال")</f>
        <v>سعال</v>
      </c>
    </row>
    <row r="804" ht="15.75" customHeight="1">
      <c r="A804" s="1" t="s">
        <v>1731</v>
      </c>
      <c r="B804" s="1" t="s">
        <v>1732</v>
      </c>
      <c r="C804" s="2" t="s">
        <v>1733</v>
      </c>
      <c r="D804" s="1" t="str">
        <f>IFERROR(__xludf.DUMMYFUNCTION("GOOGLETRANSLATE(A804 , ""auto"", ""ar"")"),"عدد")</f>
        <v>عدد</v>
      </c>
    </row>
    <row r="805" ht="15.75" customHeight="1">
      <c r="A805" s="1" t="s">
        <v>1734</v>
      </c>
      <c r="B805" s="1" t="s">
        <v>1735</v>
      </c>
      <c r="C805" s="2" t="s">
        <v>1736</v>
      </c>
      <c r="D805" s="1" t="str">
        <f>IFERROR(__xludf.DUMMYFUNCTION("GOOGLETRANSLATE(A805 , ""auto"", ""ar"")"),"دولة")</f>
        <v>دولة</v>
      </c>
    </row>
    <row r="806" ht="15.75" customHeight="1">
      <c r="A806" s="1" t="s">
        <v>1734</v>
      </c>
      <c r="B806" s="1" t="s">
        <v>1735</v>
      </c>
      <c r="C806" s="2" t="s">
        <v>1736</v>
      </c>
      <c r="D806" s="1" t="str">
        <f>IFERROR(__xludf.DUMMYFUNCTION("GOOGLETRANSLATE(A806 , ""auto"", ""ar"")"),"دولة")</f>
        <v>دولة</v>
      </c>
    </row>
    <row r="807" ht="15.75" customHeight="1">
      <c r="A807" s="1" t="s">
        <v>1734</v>
      </c>
      <c r="B807" s="1" t="s">
        <v>1737</v>
      </c>
      <c r="C807" s="2" t="s">
        <v>1738</v>
      </c>
      <c r="D807" s="1" t="str">
        <f>IFERROR(__xludf.DUMMYFUNCTION("GOOGLETRANSLATE(A807 , ""auto"", ""ar"")"),"دولة")</f>
        <v>دولة</v>
      </c>
    </row>
    <row r="808" ht="15.75" customHeight="1">
      <c r="A808" s="1" t="s">
        <v>1739</v>
      </c>
      <c r="B808" s="1" t="s">
        <v>1735</v>
      </c>
      <c r="C808" s="2" t="s">
        <v>1736</v>
      </c>
      <c r="D808" s="1" t="str">
        <f>IFERROR(__xludf.DUMMYFUNCTION("GOOGLETRANSLATE(A808 , ""auto"", ""ar"")"),"الريف")</f>
        <v>الريف</v>
      </c>
    </row>
    <row r="809" ht="15.75" customHeight="1">
      <c r="A809" s="1" t="s">
        <v>1739</v>
      </c>
      <c r="B809" s="1" t="s">
        <v>1737</v>
      </c>
      <c r="C809" s="2" t="s">
        <v>1738</v>
      </c>
      <c r="D809" s="1" t="str">
        <f>IFERROR(__xludf.DUMMYFUNCTION("GOOGLETRANSLATE(A809 , ""auto"", ""ar"")"),"الريف")</f>
        <v>الريف</v>
      </c>
    </row>
    <row r="810" ht="15.75" customHeight="1">
      <c r="A810" s="1" t="s">
        <v>1740</v>
      </c>
      <c r="B810" s="1" t="s">
        <v>1741</v>
      </c>
      <c r="C810" s="1"/>
      <c r="D810" s="1" t="str">
        <f>IFERROR(__xludf.DUMMYFUNCTION("GOOGLETRANSLATE(A810 , ""auto"", ""ar"")"),"زوج")</f>
        <v>زوج</v>
      </c>
    </row>
    <row r="811" ht="15.75" customHeight="1">
      <c r="A811" s="1" t="s">
        <v>1740</v>
      </c>
      <c r="B811" s="1" t="s">
        <v>1742</v>
      </c>
      <c r="C811" s="1"/>
      <c r="D811" s="1" t="str">
        <f>IFERROR(__xludf.DUMMYFUNCTION("GOOGLETRANSLATE(A811 , ""auto"", ""ar"")"),"زوج")</f>
        <v>زوج</v>
      </c>
    </row>
    <row r="812" ht="15.75" customHeight="1">
      <c r="A812" s="1" t="s">
        <v>1740</v>
      </c>
      <c r="B812" s="1" t="s">
        <v>1743</v>
      </c>
      <c r="C812" s="1"/>
      <c r="D812" s="1" t="str">
        <f>IFERROR(__xludf.DUMMYFUNCTION("GOOGLETRANSLATE(A812 , ""auto"", ""ar"")"),"زوج")</f>
        <v>زوج</v>
      </c>
    </row>
    <row r="813" ht="15.75" customHeight="1">
      <c r="A813" s="1" t="s">
        <v>1744</v>
      </c>
      <c r="B813" s="1" t="s">
        <v>1745</v>
      </c>
      <c r="C813" s="2" t="s">
        <v>1746</v>
      </c>
      <c r="D813" s="1" t="str">
        <f>IFERROR(__xludf.DUMMYFUNCTION("GOOGLETRANSLATE(A813 , ""auto"", ""ar"")"),"الكوسة")</f>
        <v>الكوسة</v>
      </c>
    </row>
    <row r="814" ht="15.75" customHeight="1">
      <c r="A814" s="1" t="s">
        <v>1744</v>
      </c>
      <c r="B814" s="1" t="s">
        <v>1747</v>
      </c>
      <c r="C814" s="2" t="s">
        <v>1748</v>
      </c>
      <c r="D814" s="1" t="str">
        <f>IFERROR(__xludf.DUMMYFUNCTION("GOOGLETRANSLATE(A814 , ""auto"", ""ar"")"),"الكوسة")</f>
        <v>الكوسة</v>
      </c>
    </row>
    <row r="815" ht="15.75" customHeight="1">
      <c r="A815" s="1" t="s">
        <v>1749</v>
      </c>
      <c r="B815" s="1" t="s">
        <v>1750</v>
      </c>
      <c r="C815" s="2" t="s">
        <v>1751</v>
      </c>
      <c r="D815" s="1" t="str">
        <f>IFERROR(__xludf.DUMMYFUNCTION("GOOGLETRANSLATE(A815 , ""auto"", ""ar"")"),"محكمة")</f>
        <v>محكمة</v>
      </c>
    </row>
    <row r="816" ht="15.75" customHeight="1">
      <c r="A816" s="1" t="s">
        <v>1752</v>
      </c>
      <c r="B816" s="1" t="s">
        <v>538</v>
      </c>
      <c r="C816" s="1"/>
      <c r="D816" s="1" t="str">
        <f>IFERROR(__xludf.DUMMYFUNCTION("GOOGLETRANSLATE(A816 , ""auto"", ""ar"")"),"فناء")</f>
        <v>فناء</v>
      </c>
    </row>
    <row r="817" ht="15.75" customHeight="1">
      <c r="A817" s="1" t="s">
        <v>1753</v>
      </c>
      <c r="B817" s="1" t="s">
        <v>1754</v>
      </c>
      <c r="C817" s="2" t="s">
        <v>1755</v>
      </c>
      <c r="D817" s="1" t="str">
        <f>IFERROR(__xludf.DUMMYFUNCTION("GOOGLETRANSLATE(A817 , ""auto"", ""ar"")"),"الكسكس")</f>
        <v>الكسكس</v>
      </c>
    </row>
    <row r="818" ht="15.75" customHeight="1">
      <c r="A818" s="1" t="s">
        <v>1753</v>
      </c>
      <c r="B818" s="1" t="s">
        <v>1756</v>
      </c>
      <c r="C818" s="2" t="s">
        <v>1757</v>
      </c>
      <c r="D818" s="1" t="str">
        <f>IFERROR(__xludf.DUMMYFUNCTION("GOOGLETRANSLATE(A818 , ""auto"", ""ar"")"),"الكسكس")</f>
        <v>الكسكس</v>
      </c>
    </row>
    <row r="819" ht="15.75" customHeight="1">
      <c r="A819" s="1" t="s">
        <v>1758</v>
      </c>
      <c r="B819" s="1" t="s">
        <v>1759</v>
      </c>
      <c r="C819" s="2" t="s">
        <v>1760</v>
      </c>
      <c r="D819" s="1" t="str">
        <f>IFERROR(__xludf.DUMMYFUNCTION("GOOGLETRANSLATE(A819 , ""auto"", ""ar"")"),"وعاء الكسكس")</f>
        <v>وعاء الكسكس</v>
      </c>
    </row>
    <row r="820" ht="15.75" customHeight="1">
      <c r="A820" s="1" t="s">
        <v>1761</v>
      </c>
      <c r="B820" s="1" t="s">
        <v>493</v>
      </c>
      <c r="C820" s="2" t="s">
        <v>1762</v>
      </c>
      <c r="D820" s="1" t="str">
        <f>IFERROR(__xludf.DUMMYFUNCTION("GOOGLETRANSLATE(A820 , ""auto"", ""ar"")"),"ابن عم")</f>
        <v>ابن عم</v>
      </c>
    </row>
    <row r="821" ht="15.75" customHeight="1">
      <c r="A821" s="1" t="s">
        <v>1761</v>
      </c>
      <c r="B821" s="1" t="s">
        <v>493</v>
      </c>
      <c r="C821" s="2" t="s">
        <v>1763</v>
      </c>
      <c r="D821" s="1" t="str">
        <f>IFERROR(__xludf.DUMMYFUNCTION("GOOGLETRANSLATE(A821 , ""auto"", ""ar"")"),"ابن عم")</f>
        <v>ابن عم</v>
      </c>
    </row>
    <row r="822" ht="15.75" customHeight="1">
      <c r="A822" s="1" t="s">
        <v>1761</v>
      </c>
      <c r="B822" s="1" t="s">
        <v>493</v>
      </c>
      <c r="C822" s="2" t="s">
        <v>1764</v>
      </c>
      <c r="D822" s="1" t="str">
        <f>IFERROR(__xludf.DUMMYFUNCTION("GOOGLETRANSLATE(A822 , ""auto"", ""ar"")"),"ابن عم")</f>
        <v>ابن عم</v>
      </c>
    </row>
    <row r="823" ht="15.75" customHeight="1">
      <c r="A823" s="1" t="s">
        <v>1761</v>
      </c>
      <c r="B823" s="1" t="s">
        <v>493</v>
      </c>
      <c r="C823" s="2" t="s">
        <v>1765</v>
      </c>
      <c r="D823" s="1" t="str">
        <f>IFERROR(__xludf.DUMMYFUNCTION("GOOGLETRANSLATE(A823 , ""auto"", ""ar"")"),"ابن عم")</f>
        <v>ابن عم</v>
      </c>
    </row>
    <row r="824" ht="15.75" customHeight="1">
      <c r="A824" s="1" t="s">
        <v>1761</v>
      </c>
      <c r="B824" s="1" t="s">
        <v>1766</v>
      </c>
      <c r="C824" s="2" t="s">
        <v>1767</v>
      </c>
      <c r="D824" s="1" t="str">
        <f>IFERROR(__xludf.DUMMYFUNCTION("GOOGLETRANSLATE(A824 , ""auto"", ""ar"")"),"ابن عم")</f>
        <v>ابن عم</v>
      </c>
    </row>
    <row r="825" ht="15.75" customHeight="1">
      <c r="A825" s="1" t="s">
        <v>1761</v>
      </c>
      <c r="B825" s="1" t="s">
        <v>1766</v>
      </c>
      <c r="C825" s="2" t="s">
        <v>1768</v>
      </c>
      <c r="D825" s="1" t="str">
        <f>IFERROR(__xludf.DUMMYFUNCTION("GOOGLETRANSLATE(A825 , ""auto"", ""ar"")"),"ابن عم")</f>
        <v>ابن عم</v>
      </c>
    </row>
    <row r="826" ht="15.75" customHeight="1">
      <c r="A826" s="1" t="s">
        <v>1761</v>
      </c>
      <c r="B826" s="1" t="s">
        <v>1766</v>
      </c>
      <c r="C826" s="2" t="s">
        <v>1769</v>
      </c>
      <c r="D826" s="1" t="str">
        <f>IFERROR(__xludf.DUMMYFUNCTION("GOOGLETRANSLATE(A826 , ""auto"", ""ar"")"),"ابن عم")</f>
        <v>ابن عم</v>
      </c>
    </row>
    <row r="827" ht="15.75" customHeight="1">
      <c r="A827" s="1" t="s">
        <v>1761</v>
      </c>
      <c r="B827" s="1" t="s">
        <v>1766</v>
      </c>
      <c r="C827" s="2" t="s">
        <v>1770</v>
      </c>
      <c r="D827" s="1" t="str">
        <f>IFERROR(__xludf.DUMMYFUNCTION("GOOGLETRANSLATE(A827 , ""auto"", ""ar"")"),"ابن عم")</f>
        <v>ابن عم</v>
      </c>
    </row>
    <row r="828" ht="15.75" customHeight="1">
      <c r="A828" s="1" t="s">
        <v>1771</v>
      </c>
      <c r="B828" s="1" t="s">
        <v>1772</v>
      </c>
      <c r="C828" s="2" t="s">
        <v>1773</v>
      </c>
      <c r="D828" s="1" t="str">
        <f>IFERROR(__xludf.DUMMYFUNCTION("GOOGLETRANSLATE(A828 , ""auto"", ""ar"")"),"غطاء")</f>
        <v>غطاء</v>
      </c>
    </row>
    <row r="829" ht="15.75" customHeight="1">
      <c r="A829" s="1" t="s">
        <v>1774</v>
      </c>
      <c r="B829" s="1" t="s">
        <v>1775</v>
      </c>
      <c r="C829" s="2" t="s">
        <v>1776</v>
      </c>
      <c r="D829" s="1" t="str">
        <f>IFERROR(__xludf.DUMMYFUNCTION("GOOGLETRANSLATE(A829 , ""auto"", ""ar"")"),"مغطى")</f>
        <v>مغطى</v>
      </c>
    </row>
    <row r="830" ht="15.75" customHeight="1">
      <c r="A830" s="1" t="s">
        <v>1774</v>
      </c>
      <c r="B830" s="1" t="s">
        <v>1777</v>
      </c>
      <c r="C830" s="2" t="s">
        <v>1778</v>
      </c>
      <c r="D830" s="1" t="str">
        <f>IFERROR(__xludf.DUMMYFUNCTION("GOOGLETRANSLATE(A830 , ""auto"", ""ar"")"),"مغطى")</f>
        <v>مغطى</v>
      </c>
    </row>
    <row r="831" ht="15.75" customHeight="1">
      <c r="A831" s="1" t="s">
        <v>1779</v>
      </c>
      <c r="B831" s="1" t="s">
        <v>1780</v>
      </c>
      <c r="C831" s="2" t="s">
        <v>1781</v>
      </c>
      <c r="D831" s="1" t="str">
        <f>IFERROR(__xludf.DUMMYFUNCTION("GOOGLETRANSLATE(A831 , ""auto"", ""ar"")"),"طمع")</f>
        <v>طمع</v>
      </c>
    </row>
    <row r="832" ht="15.75" customHeight="1">
      <c r="A832" s="1" t="s">
        <v>1782</v>
      </c>
      <c r="B832" s="1" t="s">
        <v>1783</v>
      </c>
      <c r="C832" s="2" t="s">
        <v>1784</v>
      </c>
      <c r="D832" s="1" t="str">
        <f>IFERROR(__xludf.DUMMYFUNCTION("GOOGLETRANSLATE(A832 , ""auto"", ""ar"")"),"بقرة")</f>
        <v>بقرة</v>
      </c>
    </row>
    <row r="833" ht="15.75" customHeight="1">
      <c r="A833" s="1" t="s">
        <v>1785</v>
      </c>
      <c r="B833" s="1" t="s">
        <v>1786</v>
      </c>
      <c r="C833" s="1"/>
      <c r="D833" s="1" t="str">
        <f>IFERROR(__xludf.DUMMYFUNCTION("GOOGLETRANSLATE(A833 , ""auto"", ""ar"")"),"مجمع الحرف")</f>
        <v>مجمع الحرف</v>
      </c>
    </row>
    <row r="834" ht="15.75" customHeight="1">
      <c r="A834" s="1" t="s">
        <v>1787</v>
      </c>
      <c r="B834" s="1" t="s">
        <v>1788</v>
      </c>
      <c r="C834" s="2" t="s">
        <v>1789</v>
      </c>
      <c r="D834" s="1" t="str">
        <f>IFERROR(__xludf.DUMMYFUNCTION("GOOGLETRANSLATE(A834 , ""auto"", ""ar"")"),"مجنون")</f>
        <v>مجنون</v>
      </c>
    </row>
    <row r="835" ht="15.75" customHeight="1">
      <c r="A835" s="1" t="s">
        <v>1787</v>
      </c>
      <c r="B835" s="1" t="s">
        <v>1790</v>
      </c>
      <c r="C835" s="2" t="s">
        <v>65</v>
      </c>
      <c r="D835" s="1" t="str">
        <f>IFERROR(__xludf.DUMMYFUNCTION("GOOGLETRANSLATE(A835 , ""auto"", ""ar"")"),"مجنون")</f>
        <v>مجنون</v>
      </c>
    </row>
    <row r="836" ht="15.75" customHeight="1">
      <c r="A836" s="1" t="s">
        <v>1787</v>
      </c>
      <c r="B836" s="1" t="s">
        <v>1791</v>
      </c>
      <c r="C836" s="2" t="s">
        <v>1792</v>
      </c>
      <c r="D836" s="1" t="str">
        <f>IFERROR(__xludf.DUMMYFUNCTION("GOOGLETRANSLATE(A836 , ""auto"", ""ar"")"),"مجنون")</f>
        <v>مجنون</v>
      </c>
    </row>
    <row r="837" ht="15.75" customHeight="1">
      <c r="A837" s="1" t="s">
        <v>1787</v>
      </c>
      <c r="B837" s="1" t="s">
        <v>1793</v>
      </c>
      <c r="C837" s="1"/>
      <c r="D837" s="1" t="str">
        <f>IFERROR(__xludf.DUMMYFUNCTION("GOOGLETRANSLATE(A837 , ""auto"", ""ar"")"),"مجنون")</f>
        <v>مجنون</v>
      </c>
    </row>
    <row r="838" ht="15.75" customHeight="1">
      <c r="A838" s="1" t="s">
        <v>1794</v>
      </c>
      <c r="B838" s="1" t="s">
        <v>1795</v>
      </c>
      <c r="C838" s="1"/>
      <c r="D838" s="1" t="str">
        <f>IFERROR(__xludf.DUMMYFUNCTION("GOOGLETRANSLATE(A838 , ""auto"", ""ar"")"),"كريم")</f>
        <v>كريم</v>
      </c>
    </row>
    <row r="839" ht="15.75" customHeight="1">
      <c r="A839" s="1" t="s">
        <v>1794</v>
      </c>
      <c r="B839" s="1" t="s">
        <v>1796</v>
      </c>
      <c r="C839" s="2" t="s">
        <v>1797</v>
      </c>
      <c r="D839" s="1" t="str">
        <f>IFERROR(__xludf.DUMMYFUNCTION("GOOGLETRANSLATE(A839 , ""auto"", ""ar"")"),"كريم")</f>
        <v>كريم</v>
      </c>
    </row>
    <row r="840" ht="15.75" customHeight="1">
      <c r="A840" s="1" t="s">
        <v>1798</v>
      </c>
      <c r="B840" s="1" t="s">
        <v>1799</v>
      </c>
      <c r="C840" s="2" t="s">
        <v>1800</v>
      </c>
      <c r="D840" s="1" t="str">
        <f>IFERROR(__xludf.DUMMYFUNCTION("GOOGLETRANSLATE(A840 , ""auto"", ""ar"")"),"يخلق")</f>
        <v>يخلق</v>
      </c>
    </row>
    <row r="841" ht="15.75" customHeight="1">
      <c r="A841" s="1" t="s">
        <v>1801</v>
      </c>
      <c r="B841" s="1" t="s">
        <v>1802</v>
      </c>
      <c r="C841" s="2" t="s">
        <v>1803</v>
      </c>
      <c r="D841" s="1" t="str">
        <f>IFERROR(__xludf.DUMMYFUNCTION("GOOGLETRANSLATE(A841 , ""auto"", ""ar"")"),"هلال")</f>
        <v>هلال</v>
      </c>
    </row>
    <row r="842" ht="15.75" customHeight="1">
      <c r="A842" s="1" t="s">
        <v>1804</v>
      </c>
      <c r="B842" s="1" t="s">
        <v>1802</v>
      </c>
      <c r="C842" s="2" t="s">
        <v>1803</v>
      </c>
      <c r="D842" s="1" t="str">
        <f>IFERROR(__xludf.DUMMYFUNCTION("GOOGLETRANSLATE(A842 , ""auto"", ""ar"")"),"الهلال")</f>
        <v>الهلال</v>
      </c>
    </row>
    <row r="843" ht="15.75" customHeight="1">
      <c r="A843" s="1" t="s">
        <v>1805</v>
      </c>
      <c r="B843" s="1" t="s">
        <v>1806</v>
      </c>
      <c r="C843" s="2" t="s">
        <v>1807</v>
      </c>
      <c r="D843" s="1" t="str">
        <f>IFERROR(__xludf.DUMMYFUNCTION("GOOGLETRANSLATE(A843 , ""auto"", ""ar"")"),"جريمة")</f>
        <v>جريمة</v>
      </c>
    </row>
    <row r="844" ht="15.75" customHeight="1">
      <c r="A844" s="1" t="s">
        <v>1808</v>
      </c>
      <c r="B844" s="1" t="s">
        <v>1809</v>
      </c>
      <c r="C844" s="2" t="s">
        <v>1810</v>
      </c>
      <c r="D844" s="1" t="str">
        <f>IFERROR(__xludf.DUMMYFUNCTION("GOOGLETRANSLATE(A844 , ""auto"", ""ar"")"),"مجرم")</f>
        <v>مجرم</v>
      </c>
    </row>
    <row r="845" ht="15.75" customHeight="1">
      <c r="A845" s="1" t="s">
        <v>1808</v>
      </c>
      <c r="B845" s="1" t="s">
        <v>1811</v>
      </c>
      <c r="C845" s="1"/>
      <c r="D845" s="1" t="str">
        <f>IFERROR(__xludf.DUMMYFUNCTION("GOOGLETRANSLATE(A845 , ""auto"", ""ar"")"),"مجرم")</f>
        <v>مجرم</v>
      </c>
    </row>
    <row r="846" ht="15.75" customHeight="1">
      <c r="A846" s="1" t="s">
        <v>1812</v>
      </c>
      <c r="B846" s="1" t="s">
        <v>1640</v>
      </c>
      <c r="C846" s="1"/>
      <c r="D846" s="1" t="str">
        <f>IFERROR(__xludf.DUMMYFUNCTION("GOOGLETRANSLATE(A846 , ""auto"", ""ar"")"),"معايير")</f>
        <v>معايير</v>
      </c>
    </row>
    <row r="847" ht="15.75" customHeight="1">
      <c r="A847" s="1" t="s">
        <v>1813</v>
      </c>
      <c r="B847" s="1" t="s">
        <v>1814</v>
      </c>
      <c r="C847" s="1"/>
      <c r="D847" s="1" t="str">
        <f>IFERROR(__xludf.DUMMYFUNCTION("GOOGLETRANSLATE(A847 , ""auto"", ""ar"")"),"تمساح")</f>
        <v>تمساح</v>
      </c>
    </row>
    <row r="848" ht="15.75" customHeight="1">
      <c r="A848" s="1" t="s">
        <v>1815</v>
      </c>
      <c r="B848" s="1" t="s">
        <v>1816</v>
      </c>
      <c r="C848" s="2" t="s">
        <v>1817</v>
      </c>
      <c r="D848" s="1" t="str">
        <f>IFERROR(__xludf.DUMMYFUNCTION("GOOGLETRANSLATE(A848 , ""auto"", ""ar"")"),"يعبر")</f>
        <v>يعبر</v>
      </c>
    </row>
    <row r="849" ht="15.75" customHeight="1">
      <c r="A849" s="1" t="s">
        <v>1815</v>
      </c>
      <c r="B849" s="1" t="s">
        <v>1818</v>
      </c>
      <c r="C849" s="2" t="s">
        <v>1819</v>
      </c>
      <c r="D849" s="1" t="str">
        <f>IFERROR(__xludf.DUMMYFUNCTION("GOOGLETRANSLATE(A849 , ""auto"", ""ar"")"),"يعبر")</f>
        <v>يعبر</v>
      </c>
    </row>
    <row r="850" ht="15.75" customHeight="1">
      <c r="A850" s="1" t="s">
        <v>1815</v>
      </c>
      <c r="B850" s="1" t="s">
        <v>618</v>
      </c>
      <c r="C850" s="2" t="s">
        <v>1138</v>
      </c>
      <c r="D850" s="1" t="str">
        <f>IFERROR(__xludf.DUMMYFUNCTION("GOOGLETRANSLATE(A850 , ""auto"", ""ar"")"),"يعبر")</f>
        <v>يعبر</v>
      </c>
    </row>
    <row r="851" ht="15.75" customHeight="1">
      <c r="A851" s="1" t="s">
        <v>1820</v>
      </c>
      <c r="B851" s="1" t="s">
        <v>1821</v>
      </c>
      <c r="C851" s="1"/>
      <c r="D851" s="1" t="str">
        <f>IFERROR(__xludf.DUMMYFUNCTION("GOOGLETRANSLATE(A851 , ""auto"", ""ar"")"),"يحشد")</f>
        <v>يحشد</v>
      </c>
    </row>
    <row r="852" ht="15.75" customHeight="1">
      <c r="A852" s="1" t="s">
        <v>1822</v>
      </c>
      <c r="B852" s="1" t="s">
        <v>1823</v>
      </c>
      <c r="C852" s="2" t="s">
        <v>1824</v>
      </c>
      <c r="D852" s="1" t="str">
        <f>IFERROR(__xludf.DUMMYFUNCTION("GOOGLETRANSLATE(A852 , ""auto"", ""ar"")"),"تاج")</f>
        <v>تاج</v>
      </c>
    </row>
    <row r="853" ht="15.75" customHeight="1">
      <c r="A853" s="1" t="s">
        <v>1825</v>
      </c>
      <c r="B853" s="1" t="s">
        <v>1826</v>
      </c>
      <c r="C853" s="1"/>
      <c r="D853" s="1" t="str">
        <f>IFERROR(__xludf.DUMMYFUNCTION("GOOGLETRANSLATE(A853 , ""auto"", ""ar"")"),"مقدد")</f>
        <v>مقدد</v>
      </c>
    </row>
    <row r="854" ht="15.75" customHeight="1">
      <c r="A854" s="1" t="s">
        <v>1827</v>
      </c>
      <c r="B854" s="1" t="s">
        <v>1828</v>
      </c>
      <c r="C854" s="2" t="s">
        <v>1829</v>
      </c>
      <c r="D854" s="1" t="str">
        <f>IFERROR(__xludf.DUMMYFUNCTION("GOOGLETRANSLATE(A854 , ""auto"", ""ar"")"),"يبكي")</f>
        <v>يبكي</v>
      </c>
    </row>
    <row r="855" ht="15.75" customHeight="1">
      <c r="A855" s="1" t="s">
        <v>1830</v>
      </c>
      <c r="B855" s="1" t="s">
        <v>1831</v>
      </c>
      <c r="C855" s="2" t="s">
        <v>1832</v>
      </c>
      <c r="D855" s="1" t="str">
        <f>IFERROR(__xludf.DUMMYFUNCTION("GOOGLETRANSLATE(A855 , ""auto"", ""ar"")"),"CTM")</f>
        <v>CTM</v>
      </c>
    </row>
    <row r="856" ht="15.75" customHeight="1">
      <c r="A856" s="1" t="s">
        <v>1833</v>
      </c>
      <c r="B856" s="1" t="s">
        <v>1834</v>
      </c>
      <c r="C856" s="2" t="s">
        <v>1835</v>
      </c>
      <c r="D856" s="1" t="str">
        <f>IFERROR(__xludf.DUMMYFUNCTION("GOOGLETRANSLATE(A856 , ""auto"", ""ar"")"),"خيار")</f>
        <v>خيار</v>
      </c>
    </row>
    <row r="857" ht="15.75" customHeight="1">
      <c r="A857" s="1" t="s">
        <v>1836</v>
      </c>
      <c r="B857" s="1" t="s">
        <v>1837</v>
      </c>
      <c r="C857" s="1"/>
      <c r="D857" s="1" t="str">
        <f>IFERROR(__xludf.DUMMYFUNCTION("GOOGLETRANSLATE(A857 , ""auto"", ""ar"")"),"يحضن")</f>
        <v>يحضن</v>
      </c>
    </row>
    <row r="858" ht="15.75" customHeight="1">
      <c r="A858" s="1" t="s">
        <v>1836</v>
      </c>
      <c r="B858" s="1" t="s">
        <v>1838</v>
      </c>
      <c r="C858" s="2" t="s">
        <v>1839</v>
      </c>
      <c r="D858" s="1" t="str">
        <f>IFERROR(__xludf.DUMMYFUNCTION("GOOGLETRANSLATE(A858 , ""auto"", ""ar"")"),"يحضن")</f>
        <v>يحضن</v>
      </c>
    </row>
    <row r="859" ht="15.75" customHeight="1">
      <c r="A859" s="1" t="s">
        <v>1836</v>
      </c>
      <c r="B859" s="1" t="s">
        <v>1840</v>
      </c>
      <c r="C859" s="2" t="s">
        <v>1841</v>
      </c>
      <c r="D859" s="1" t="str">
        <f>IFERROR(__xludf.DUMMYFUNCTION("GOOGLETRANSLATE(A859 , ""auto"", ""ar"")"),"يحضن")</f>
        <v>يحضن</v>
      </c>
    </row>
    <row r="860" ht="15.75" customHeight="1">
      <c r="A860" s="1" t="s">
        <v>1836</v>
      </c>
      <c r="B860" s="1" t="s">
        <v>209</v>
      </c>
      <c r="C860" s="1"/>
      <c r="D860" s="1" t="str">
        <f>IFERROR(__xludf.DUMMYFUNCTION("GOOGLETRANSLATE(A860 , ""auto"", ""ar"")"),"يحضن")</f>
        <v>يحضن</v>
      </c>
    </row>
    <row r="861" ht="15.75" customHeight="1">
      <c r="A861" s="1" t="s">
        <v>1842</v>
      </c>
      <c r="B861" s="1" t="s">
        <v>1843</v>
      </c>
      <c r="C861" s="2" t="s">
        <v>1844</v>
      </c>
      <c r="D861" s="1" t="str">
        <f>IFERROR(__xludf.DUMMYFUNCTION("GOOGLETRANSLATE(A861 , ""auto"", ""ar"")"),"ثقافي")</f>
        <v>ثقافي</v>
      </c>
    </row>
    <row r="862" ht="15.75" customHeight="1">
      <c r="A862" s="1" t="s">
        <v>1845</v>
      </c>
      <c r="B862" s="1" t="s">
        <v>1846</v>
      </c>
      <c r="C862" s="2" t="s">
        <v>1847</v>
      </c>
      <c r="D862" s="1" t="str">
        <f>IFERROR(__xludf.DUMMYFUNCTION("GOOGLETRANSLATE(A862 , ""auto"", ""ar"")"),"ثقافة")</f>
        <v>ثقافة</v>
      </c>
    </row>
    <row r="863" ht="15.75" customHeight="1">
      <c r="A863" s="1" t="s">
        <v>1848</v>
      </c>
      <c r="B863" s="1" t="s">
        <v>1849</v>
      </c>
      <c r="C863" s="1"/>
      <c r="D863" s="1" t="str">
        <f>IFERROR(__xludf.DUMMYFUNCTION("GOOGLETRANSLATE(A863 , ""auto"", ""ar"")"),"كمون")</f>
        <v>كمون</v>
      </c>
    </row>
    <row r="864" ht="15.75" customHeight="1">
      <c r="A864" s="1" t="s">
        <v>1850</v>
      </c>
      <c r="B864" s="1" t="s">
        <v>549</v>
      </c>
      <c r="C864" s="2" t="s">
        <v>550</v>
      </c>
      <c r="D864" s="1" t="str">
        <f>IFERROR(__xludf.DUMMYFUNCTION("GOOGLETRANSLATE(A864 , ""auto"", ""ar"")"),"كوب")</f>
        <v>كوب</v>
      </c>
    </row>
    <row r="865" ht="15.75" customHeight="1">
      <c r="A865" s="1" t="s">
        <v>1850</v>
      </c>
      <c r="B865" s="1" t="s">
        <v>1851</v>
      </c>
      <c r="C865" s="2" t="s">
        <v>1852</v>
      </c>
      <c r="D865" s="1" t="str">
        <f>IFERROR(__xludf.DUMMYFUNCTION("GOOGLETRANSLATE(A865 , ""auto"", ""ar"")"),"كوب")</f>
        <v>كوب</v>
      </c>
    </row>
    <row r="866" ht="15.75" customHeight="1">
      <c r="A866" s="1" t="s">
        <v>1853</v>
      </c>
      <c r="B866" s="1" t="s">
        <v>1854</v>
      </c>
      <c r="C866" s="1"/>
      <c r="D866" s="1" t="str">
        <f>IFERROR(__xludf.DUMMYFUNCTION("GOOGLETRANSLATE(A866 , ""auto"", ""ar"")"),"مخزنة")</f>
        <v>مخزنة</v>
      </c>
    </row>
    <row r="867" ht="15.75" customHeight="1">
      <c r="A867" s="1" t="s">
        <v>1853</v>
      </c>
      <c r="B867" s="1" t="s">
        <v>1855</v>
      </c>
      <c r="C867" s="2" t="s">
        <v>1856</v>
      </c>
      <c r="D867" s="1" t="str">
        <f>IFERROR(__xludf.DUMMYFUNCTION("GOOGLETRANSLATE(A867 , ""auto"", ""ar"")"),"مخزنة")</f>
        <v>مخزنة</v>
      </c>
    </row>
    <row r="868" ht="15.75" customHeight="1">
      <c r="A868" s="1" t="s">
        <v>1857</v>
      </c>
      <c r="B868" s="1" t="s">
        <v>1858</v>
      </c>
      <c r="C868" s="2" t="s">
        <v>1859</v>
      </c>
      <c r="D868" s="1" t="str">
        <f>IFERROR(__xludf.DUMMYFUNCTION("GOOGLETRANSLATE(A868 , ""auto"", ""ar"")"),"دواء")</f>
        <v>دواء</v>
      </c>
    </row>
    <row r="869" ht="15.75" customHeight="1">
      <c r="A869" s="1" t="s">
        <v>1857</v>
      </c>
      <c r="B869" s="1" t="s">
        <v>1860</v>
      </c>
      <c r="C869" s="2" t="s">
        <v>1861</v>
      </c>
      <c r="D869" s="1" t="str">
        <f>IFERROR(__xludf.DUMMYFUNCTION("GOOGLETRANSLATE(A869 , ""auto"", ""ar"")"),"دواء")</f>
        <v>دواء</v>
      </c>
    </row>
    <row r="870" ht="15.75" customHeight="1">
      <c r="A870" s="1" t="s">
        <v>1857</v>
      </c>
      <c r="B870" s="1" t="s">
        <v>1862</v>
      </c>
      <c r="C870" s="2" t="s">
        <v>1863</v>
      </c>
      <c r="D870" s="1" t="str">
        <f>IFERROR(__xludf.DUMMYFUNCTION("GOOGLETRANSLATE(A870 , ""auto"", ""ar"")"),"دواء")</f>
        <v>دواء</v>
      </c>
    </row>
    <row r="871" ht="15.75" customHeight="1">
      <c r="A871" s="1" t="s">
        <v>1864</v>
      </c>
      <c r="B871" s="1" t="s">
        <v>1865</v>
      </c>
      <c r="C871" s="2" t="s">
        <v>1866</v>
      </c>
      <c r="D871" s="1" t="str">
        <f>IFERROR(__xludf.DUMMYFUNCTION("GOOGLETRANSLATE(A871 , ""auto"", ""ar"")"),"فضول")</f>
        <v>فضول</v>
      </c>
    </row>
    <row r="872" ht="15.75" customHeight="1">
      <c r="A872" s="1" t="s">
        <v>1867</v>
      </c>
      <c r="B872" s="1" t="s">
        <v>1868</v>
      </c>
      <c r="C872" s="2" t="s">
        <v>1869</v>
      </c>
      <c r="D872" s="1" t="str">
        <f>IFERROR(__xludf.DUMMYFUNCTION("GOOGLETRANSLATE(A872 , ""auto"", ""ar"")"),"فضولي")</f>
        <v>فضولي</v>
      </c>
    </row>
    <row r="873" ht="15.75" customHeight="1">
      <c r="A873" s="1" t="s">
        <v>1870</v>
      </c>
      <c r="B873" s="1" t="s">
        <v>1871</v>
      </c>
      <c r="C873" s="2" t="s">
        <v>1872</v>
      </c>
      <c r="D873" s="1" t="str">
        <f>IFERROR(__xludf.DUMMYFUNCTION("GOOGLETRANSLATE(A873 , ""auto"", ""ar"")"),"ستارة")</f>
        <v>ستارة</v>
      </c>
    </row>
    <row r="874" ht="15.75" customHeight="1">
      <c r="A874" s="1" t="s">
        <v>1870</v>
      </c>
      <c r="B874" s="1" t="s">
        <v>1873</v>
      </c>
      <c r="C874" s="2" t="s">
        <v>1874</v>
      </c>
      <c r="D874" s="1" t="str">
        <f>IFERROR(__xludf.DUMMYFUNCTION("GOOGLETRANSLATE(A874 , ""auto"", ""ar"")"),"ستارة")</f>
        <v>ستارة</v>
      </c>
    </row>
    <row r="875" ht="15.75" customHeight="1">
      <c r="A875" s="1" t="s">
        <v>1875</v>
      </c>
      <c r="B875" s="1" t="s">
        <v>1876</v>
      </c>
      <c r="C875" s="1"/>
      <c r="D875" s="1" t="str">
        <f>IFERROR(__xludf.DUMMYFUNCTION("GOOGLETRANSLATE(A875 , ""auto"", ""ar"")"),"قطب الستار")</f>
        <v>قطب الستار</v>
      </c>
    </row>
    <row r="876" ht="15.75" customHeight="1">
      <c r="A876" s="1" t="s">
        <v>1875</v>
      </c>
      <c r="B876" s="1" t="s">
        <v>1500</v>
      </c>
      <c r="C876" s="1"/>
      <c r="D876" s="1" t="str">
        <f>IFERROR(__xludf.DUMMYFUNCTION("GOOGLETRANSLATE(A876 , ""auto"", ""ar"")"),"قطب الستار")</f>
        <v>قطب الستار</v>
      </c>
    </row>
    <row r="877" ht="15.75" customHeight="1">
      <c r="A877" s="1" t="s">
        <v>1877</v>
      </c>
      <c r="B877" s="1" t="s">
        <v>1876</v>
      </c>
      <c r="C877" s="1"/>
      <c r="D877" s="1" t="str">
        <f>IFERROR(__xludf.DUMMYFUNCTION("GOOGLETRANSLATE(A877 , ""auto"", ""ar"")"),"ستارة السكك الحديدية")</f>
        <v>ستارة السكك الحديدية</v>
      </c>
    </row>
    <row r="878" ht="15.75" customHeight="1">
      <c r="A878" s="1" t="s">
        <v>1877</v>
      </c>
      <c r="B878" s="1" t="s">
        <v>1500</v>
      </c>
      <c r="C878" s="1"/>
      <c r="D878" s="1" t="str">
        <f>IFERROR(__xludf.DUMMYFUNCTION("GOOGLETRANSLATE(A878 , ""auto"", ""ar"")"),"ستارة السكك الحديدية")</f>
        <v>ستارة السكك الحديدية</v>
      </c>
    </row>
    <row r="879" ht="15.75" customHeight="1">
      <c r="A879" s="1" t="s">
        <v>1878</v>
      </c>
      <c r="B879" s="1" t="s">
        <v>1876</v>
      </c>
      <c r="C879" s="1"/>
      <c r="D879" s="1" t="str">
        <f>IFERROR(__xludf.DUMMYFUNCTION("GOOGLETRANSLATE(A879 , ""auto"", ""ar"")"),"قضيب الستارة")</f>
        <v>قضيب الستارة</v>
      </c>
    </row>
    <row r="880" ht="15.75" customHeight="1">
      <c r="A880" s="1" t="s">
        <v>1878</v>
      </c>
      <c r="B880" s="1" t="s">
        <v>1500</v>
      </c>
      <c r="C880" s="1"/>
      <c r="D880" s="1" t="str">
        <f>IFERROR(__xludf.DUMMYFUNCTION("GOOGLETRANSLATE(A880 , ""auto"", ""ar"")"),"قضيب الستارة")</f>
        <v>قضيب الستارة</v>
      </c>
    </row>
    <row r="881" ht="15.75" customHeight="1">
      <c r="A881" s="1" t="s">
        <v>1879</v>
      </c>
      <c r="B881" s="1" t="s">
        <v>1880</v>
      </c>
      <c r="C881" s="2" t="s">
        <v>1881</v>
      </c>
      <c r="D881" s="1" t="str">
        <f>IFERROR(__xludf.DUMMYFUNCTION("GOOGLETRANSLATE(A881 , ""auto"", ""ar"")"),"وسادة")</f>
        <v>وسادة</v>
      </c>
    </row>
    <row r="882" ht="15.75" customHeight="1">
      <c r="A882" s="1" t="s">
        <v>1879</v>
      </c>
      <c r="B882" s="1" t="s">
        <v>1882</v>
      </c>
      <c r="C882" s="2" t="s">
        <v>1883</v>
      </c>
      <c r="D882" s="1" t="str">
        <f>IFERROR(__xludf.DUMMYFUNCTION("GOOGLETRANSLATE(A882 , ""auto"", ""ar"")"),"وسادة")</f>
        <v>وسادة</v>
      </c>
    </row>
    <row r="883" ht="15.75" customHeight="1">
      <c r="A883" s="1" t="s">
        <v>1884</v>
      </c>
      <c r="B883" s="1" t="s">
        <v>1885</v>
      </c>
      <c r="C883" s="1"/>
      <c r="D883" s="1" t="str">
        <f>IFERROR(__xludf.DUMMYFUNCTION("GOOGLETRANSLATE(A883 , ""auto"", ""ar"")"),"جمارك")</f>
        <v>جمارك</v>
      </c>
    </row>
    <row r="884" ht="15.75" customHeight="1">
      <c r="A884" s="1" t="s">
        <v>1886</v>
      </c>
      <c r="B884" s="1" t="s">
        <v>618</v>
      </c>
      <c r="C884" s="2" t="s">
        <v>1138</v>
      </c>
      <c r="D884" s="1" t="str">
        <f>IFERROR(__xludf.DUMMYFUNCTION("GOOGLETRANSLATE(A884 , ""auto"", ""ar"")"),"يقطع")</f>
        <v>يقطع</v>
      </c>
    </row>
    <row r="885" ht="15.75" customHeight="1">
      <c r="A885" s="1" t="s">
        <v>1886</v>
      </c>
      <c r="B885" s="1" t="s">
        <v>1887</v>
      </c>
      <c r="C885" s="2" t="s">
        <v>1888</v>
      </c>
      <c r="D885" s="1" t="str">
        <f>IFERROR(__xludf.DUMMYFUNCTION("GOOGLETRANSLATE(A885 , ""auto"", ""ar"")"),"يقطع")</f>
        <v>يقطع</v>
      </c>
    </row>
    <row r="886" ht="15.75" customHeight="1">
      <c r="A886" s="1" t="s">
        <v>1886</v>
      </c>
      <c r="B886" s="1" t="s">
        <v>1889</v>
      </c>
      <c r="C886" s="1"/>
      <c r="D886" s="1" t="str">
        <f>IFERROR(__xludf.DUMMYFUNCTION("GOOGLETRANSLATE(A886 , ""auto"", ""ar"")"),"يقطع")</f>
        <v>يقطع</v>
      </c>
    </row>
    <row r="887" ht="15.75" customHeight="1">
      <c r="A887" s="1" t="s">
        <v>1890</v>
      </c>
      <c r="B887" s="1" t="s">
        <v>1891</v>
      </c>
      <c r="C887" s="2" t="s">
        <v>1892</v>
      </c>
      <c r="D887" s="1" t="str">
        <f>IFERROR(__xludf.DUMMYFUNCTION("GOOGLETRANSLATE(A887 , ""auto"", ""ar"")"),"مقهى انترنت")</f>
        <v>مقهى انترنت</v>
      </c>
    </row>
    <row r="888" ht="15.75" customHeight="1">
      <c r="A888" s="1" t="s">
        <v>1893</v>
      </c>
      <c r="B888" s="1" t="s">
        <v>751</v>
      </c>
      <c r="C888" s="2" t="s">
        <v>752</v>
      </c>
      <c r="D888" s="1" t="str">
        <f>IFERROR(__xludf.DUMMYFUNCTION("GOOGLETRANSLATE(A888 , ""auto"", ""ar"")"),"دورة")</f>
        <v>دورة</v>
      </c>
    </row>
    <row r="889" ht="15.75" customHeight="1">
      <c r="A889" s="1" t="s">
        <v>1893</v>
      </c>
      <c r="B889" s="1" t="s">
        <v>764</v>
      </c>
      <c r="C889" s="1"/>
      <c r="D889" s="1" t="str">
        <f>IFERROR(__xludf.DUMMYFUNCTION("GOOGLETRANSLATE(A889 , ""auto"", ""ar"")"),"دورة")</f>
        <v>دورة</v>
      </c>
    </row>
    <row r="890" ht="15.75" customHeight="1">
      <c r="A890" s="1" t="s">
        <v>466</v>
      </c>
      <c r="B890" s="1" t="s">
        <v>467</v>
      </c>
      <c r="C890" s="2" t="s">
        <v>468</v>
      </c>
      <c r="D890" s="1" t="str">
        <f>IFERROR(__xludf.DUMMYFUNCTION("GOOGLETRANSLATE(A890 , ""auto"", ""ar"")"),"اسم العائلة")</f>
        <v>اسم العائلة</v>
      </c>
    </row>
    <row r="891" ht="15.75" customHeight="1">
      <c r="A891" s="1" t="s">
        <v>43</v>
      </c>
      <c r="B891" s="1" t="s">
        <v>44</v>
      </c>
      <c r="C891" s="2" t="s">
        <v>45</v>
      </c>
      <c r="D891" s="1" t="str">
        <f>IFERROR(__xludf.DUMMYFUNCTION("GOOGLETRANSLATE(A891 , ""auto"", ""ar"")"),"مقبول")</f>
        <v>مقبول</v>
      </c>
    </row>
    <row r="892" ht="15.75" customHeight="1">
      <c r="A892" s="1" t="s">
        <v>469</v>
      </c>
      <c r="B892" s="1" t="s">
        <v>470</v>
      </c>
      <c r="C892" s="2" t="s">
        <v>471</v>
      </c>
      <c r="D892" s="1" t="str">
        <f>IFERROR(__xludf.DUMMYFUNCTION("GOOGLETRANSLATE(A892 , ""auto"", ""ar"")"),"التصالح")</f>
        <v>التصالح</v>
      </c>
    </row>
    <row r="893" ht="15.75" customHeight="1">
      <c r="A893" s="1" t="s">
        <v>472</v>
      </c>
      <c r="B893" s="1" t="s">
        <v>473</v>
      </c>
      <c r="C893" s="2" t="s">
        <v>474</v>
      </c>
      <c r="D893" s="1" t="str">
        <f>IFERROR(__xludf.DUMMYFUNCTION("GOOGLETRANSLATE(A893 , ""auto"", ""ar"")"),"مغفرة")</f>
        <v>مغفرة</v>
      </c>
    </row>
    <row r="894" ht="15.75" customHeight="1">
      <c r="A894" s="1" t="s">
        <v>475</v>
      </c>
      <c r="B894" s="1" t="s">
        <v>476</v>
      </c>
      <c r="C894" s="2" t="s">
        <v>477</v>
      </c>
      <c r="D894" s="1" t="str">
        <f>IFERROR(__xludf.DUMMYFUNCTION("GOOGLETRANSLATE(A894 , ""auto"", ""ar"")"),"يخبر")</f>
        <v>يخبر</v>
      </c>
    </row>
    <row r="895" ht="15.75" customHeight="1">
      <c r="A895" s="1" t="s">
        <v>1894</v>
      </c>
      <c r="B895" s="1" t="s">
        <v>1895</v>
      </c>
      <c r="C895" s="2" t="s">
        <v>1896</v>
      </c>
      <c r="D895" s="1" t="str">
        <f>IFERROR(__xludf.DUMMYFUNCTION("GOOGLETRANSLATE(A895 , ""auto"", ""ar"")"),"أب")</f>
        <v>أب</v>
      </c>
    </row>
    <row r="896" ht="15.75" customHeight="1">
      <c r="A896" s="1" t="s">
        <v>1897</v>
      </c>
      <c r="B896" s="1" t="s">
        <v>1898</v>
      </c>
      <c r="C896" s="2" t="s">
        <v>1899</v>
      </c>
      <c r="D896" s="1" t="str">
        <f>IFERROR(__xludf.DUMMYFUNCTION("GOOGLETRANSLATE(A896 , ""auto"", ""ar"")"),"يوميًا")</f>
        <v>يوميًا</v>
      </c>
    </row>
    <row r="897" ht="15.75" customHeight="1">
      <c r="A897" s="1" t="s">
        <v>1900</v>
      </c>
      <c r="B897" s="1" t="s">
        <v>1901</v>
      </c>
      <c r="C897" s="2" t="s">
        <v>1902</v>
      </c>
      <c r="D897" s="1" t="str">
        <f>IFERROR(__xludf.DUMMYFUNCTION("GOOGLETRANSLATE(A897 , ""auto"", ""ar"")"),"الرقص")</f>
        <v>الرقص</v>
      </c>
    </row>
    <row r="898" ht="15.75" customHeight="1">
      <c r="A898" s="1" t="s">
        <v>1903</v>
      </c>
      <c r="B898" s="1" t="s">
        <v>1904</v>
      </c>
      <c r="C898" s="2" t="s">
        <v>1905</v>
      </c>
      <c r="D898" s="1" t="str">
        <f>IFERROR(__xludf.DUMMYFUNCTION("GOOGLETRANSLATE(A898 , ""auto"", ""ar"")"),"خطر")</f>
        <v>خطر</v>
      </c>
    </row>
    <row r="899" ht="15.75" customHeight="1">
      <c r="A899" s="1" t="s">
        <v>1906</v>
      </c>
      <c r="B899" s="1" t="s">
        <v>1907</v>
      </c>
      <c r="C899" s="2" t="s">
        <v>1908</v>
      </c>
      <c r="D899" s="1" t="str">
        <f>IFERROR(__xludf.DUMMYFUNCTION("GOOGLETRANSLATE(A899 , ""auto"", ""ar"")"),"خطير")</f>
        <v>خطير</v>
      </c>
    </row>
    <row r="900" ht="15.75" customHeight="1">
      <c r="A900" s="1" t="s">
        <v>1909</v>
      </c>
      <c r="B900" s="1" t="s">
        <v>1910</v>
      </c>
      <c r="C900" s="2" t="s">
        <v>1911</v>
      </c>
      <c r="D900" s="1" t="str">
        <f>IFERROR(__xludf.DUMMYFUNCTION("GOOGLETRANSLATE(A900 , ""auto"", ""ar"")"),"مظلم")</f>
        <v>مظلم</v>
      </c>
    </row>
    <row r="901" ht="15.75" customHeight="1">
      <c r="A901" s="1" t="s">
        <v>1909</v>
      </c>
      <c r="B901" s="1" t="s">
        <v>1912</v>
      </c>
      <c r="C901" s="2" t="s">
        <v>1913</v>
      </c>
      <c r="D901" s="1" t="str">
        <f>IFERROR(__xludf.DUMMYFUNCTION("GOOGLETRANSLATE(A901 , ""auto"", ""ar"")"),"مظلم")</f>
        <v>مظلم</v>
      </c>
    </row>
    <row r="902" ht="15.75" customHeight="1">
      <c r="A902" s="1" t="s">
        <v>1909</v>
      </c>
      <c r="B902" s="1" t="s">
        <v>1914</v>
      </c>
      <c r="C902" s="2" t="s">
        <v>1915</v>
      </c>
      <c r="D902" s="1" t="str">
        <f>IFERROR(__xludf.DUMMYFUNCTION("GOOGLETRANSLATE(A902 , ""auto"", ""ar"")"),"مظلم")</f>
        <v>مظلم</v>
      </c>
    </row>
    <row r="903" ht="15.75" customHeight="1">
      <c r="A903" s="1" t="s">
        <v>1916</v>
      </c>
      <c r="B903" s="1" t="s">
        <v>1910</v>
      </c>
      <c r="C903" s="2" t="s">
        <v>1911</v>
      </c>
      <c r="D903" s="1" t="str">
        <f>IFERROR(__xludf.DUMMYFUNCTION("GOOGLETRANSLATE(A903 , ""auto"", ""ar"")"),"الظلام")</f>
        <v>الظلام</v>
      </c>
    </row>
    <row r="904" ht="15.75" customHeight="1">
      <c r="A904" s="1" t="s">
        <v>1917</v>
      </c>
      <c r="B904" s="1" t="s">
        <v>1918</v>
      </c>
      <c r="C904" s="2" t="s">
        <v>1919</v>
      </c>
      <c r="D904" s="1" t="str">
        <f>IFERROR(__xludf.DUMMYFUNCTION("GOOGLETRANSLATE(A904 , ""auto"", ""ar"")"),"تاريخ")</f>
        <v>تاريخ</v>
      </c>
    </row>
    <row r="905" ht="15.75" customHeight="1">
      <c r="A905" s="1" t="s">
        <v>1917</v>
      </c>
      <c r="B905" s="1" t="s">
        <v>1920</v>
      </c>
      <c r="C905" s="2" t="s">
        <v>1921</v>
      </c>
      <c r="D905" s="1" t="str">
        <f>IFERROR(__xludf.DUMMYFUNCTION("GOOGLETRANSLATE(A905 , ""auto"", ""ar"")"),"تاريخ")</f>
        <v>تاريخ</v>
      </c>
    </row>
    <row r="906" ht="15.75" customHeight="1">
      <c r="A906" s="1" t="s">
        <v>1922</v>
      </c>
      <c r="B906" s="1" t="s">
        <v>1766</v>
      </c>
      <c r="C906" s="2" t="s">
        <v>1923</v>
      </c>
      <c r="D906" s="1" t="str">
        <f>IFERROR(__xludf.DUMMYFUNCTION("GOOGLETRANSLATE(A906 , ""auto"", ""ar"")"),"بنت")</f>
        <v>بنت</v>
      </c>
    </row>
    <row r="907" ht="15.75" customHeight="1">
      <c r="A907" s="1" t="s">
        <v>1924</v>
      </c>
      <c r="B907" s="1" t="s">
        <v>1925</v>
      </c>
      <c r="C907" s="2" t="s">
        <v>1926</v>
      </c>
      <c r="D907" s="1" t="str">
        <f>IFERROR(__xludf.DUMMYFUNCTION("GOOGLETRANSLATE(A907 , ""auto"", ""ar"")"),"يوم")</f>
        <v>يوم</v>
      </c>
    </row>
    <row r="908" ht="15.75" customHeight="1">
      <c r="A908" s="1" t="s">
        <v>1924</v>
      </c>
      <c r="B908" s="1" t="s">
        <v>1927</v>
      </c>
      <c r="C908" s="2" t="s">
        <v>1928</v>
      </c>
      <c r="D908" s="1" t="str">
        <f>IFERROR(__xludf.DUMMYFUNCTION("GOOGLETRANSLATE(A908 , ""auto"", ""ar"")"),"يوم")</f>
        <v>يوم</v>
      </c>
    </row>
    <row r="909" ht="15.75" customHeight="1">
      <c r="A909" s="1" t="s">
        <v>1929</v>
      </c>
      <c r="B909" s="1" t="s">
        <v>1930</v>
      </c>
      <c r="C909" s="2" t="s">
        <v>1931</v>
      </c>
      <c r="D909" s="1" t="str">
        <f>IFERROR(__xludf.DUMMYFUNCTION("GOOGLETRANSLATE(A909 , ""auto"", ""ar"")"),"ميت")</f>
        <v>ميت</v>
      </c>
    </row>
    <row r="910" ht="15.75" customHeight="1">
      <c r="A910" s="1" t="s">
        <v>1932</v>
      </c>
      <c r="B910" s="1" t="s">
        <v>1933</v>
      </c>
      <c r="C910" s="2" t="s">
        <v>1934</v>
      </c>
      <c r="D910" s="1" t="str">
        <f>IFERROR(__xludf.DUMMYFUNCTION("GOOGLETRANSLATE(A910 , ""auto"", ""ar"")"),"أصم")</f>
        <v>أصم</v>
      </c>
    </row>
    <row r="911" ht="15.75" customHeight="1">
      <c r="A911" s="1" t="s">
        <v>1935</v>
      </c>
      <c r="B911" s="1" t="s">
        <v>711</v>
      </c>
      <c r="C911" s="2" t="s">
        <v>712</v>
      </c>
      <c r="D911" s="1" t="str">
        <f>IFERROR(__xludf.DUMMYFUNCTION("GOOGLETRANSLATE(A911 , ""auto"", ""ar"")"),"عزيزي")</f>
        <v>عزيزي</v>
      </c>
    </row>
    <row r="912" ht="15.75" customHeight="1">
      <c r="A912" s="1" t="s">
        <v>1936</v>
      </c>
      <c r="B912" s="1" t="s">
        <v>1937</v>
      </c>
      <c r="C912" s="2" t="s">
        <v>1938</v>
      </c>
      <c r="D912" s="1" t="str">
        <f>IFERROR(__xludf.DUMMYFUNCTION("GOOGLETRANSLATE(A912 , ""auto"", ""ar"")"),"موت")</f>
        <v>موت</v>
      </c>
    </row>
    <row r="913" ht="15.75" customHeight="1">
      <c r="A913" s="1" t="s">
        <v>1939</v>
      </c>
      <c r="B913" s="1" t="s">
        <v>1930</v>
      </c>
      <c r="C913" s="2" t="s">
        <v>1931</v>
      </c>
      <c r="D913" s="1" t="str">
        <f>IFERROR(__xludf.DUMMYFUNCTION("GOOGLETRANSLATE(A913 , ""auto"", ""ar"")"),"فقيد")</f>
        <v>فقيد</v>
      </c>
    </row>
    <row r="914" ht="15.75" customHeight="1">
      <c r="A914" s="1" t="s">
        <v>1940</v>
      </c>
      <c r="B914" s="1" t="s">
        <v>1941</v>
      </c>
      <c r="C914" s="2" t="s">
        <v>1942</v>
      </c>
      <c r="D914" s="1" t="str">
        <f>IFERROR(__xludf.DUMMYFUNCTION("GOOGLETRANSLATE(A914 , ""auto"", ""ar"")"),"ديسمبر")</f>
        <v>ديسمبر</v>
      </c>
    </row>
    <row r="915" ht="15.75" customHeight="1">
      <c r="A915" s="1" t="s">
        <v>1940</v>
      </c>
      <c r="B915" s="1" t="s">
        <v>1943</v>
      </c>
      <c r="C915" s="1"/>
      <c r="D915" s="1" t="str">
        <f>IFERROR(__xludf.DUMMYFUNCTION("GOOGLETRANSLATE(A915 , ""auto"", ""ar"")"),"ديسمبر")</f>
        <v>ديسمبر</v>
      </c>
    </row>
    <row r="916" ht="15.75" customHeight="1">
      <c r="A916" s="1" t="s">
        <v>1940</v>
      </c>
      <c r="B916" s="1" t="s">
        <v>1944</v>
      </c>
      <c r="C916" s="2" t="s">
        <v>1945</v>
      </c>
      <c r="D916" s="1" t="str">
        <f>IFERROR(__xludf.DUMMYFUNCTION("GOOGLETRANSLATE(A916 , ""auto"", ""ar"")"),"ديسمبر")</f>
        <v>ديسمبر</v>
      </c>
    </row>
    <row r="917" ht="15.75" customHeight="1">
      <c r="A917" s="1" t="s">
        <v>1946</v>
      </c>
      <c r="B917" s="1" t="s">
        <v>1947</v>
      </c>
      <c r="C917" s="2" t="s">
        <v>1948</v>
      </c>
      <c r="D917" s="1" t="str">
        <f>IFERROR(__xludf.DUMMYFUNCTION("GOOGLETRANSLATE(A917 , ""auto"", ""ar"")"),"يقرر")</f>
        <v>يقرر</v>
      </c>
    </row>
    <row r="918" ht="15.75" customHeight="1">
      <c r="A918" s="1" t="s">
        <v>1949</v>
      </c>
      <c r="B918" s="1" t="s">
        <v>1950</v>
      </c>
      <c r="C918" s="2" t="s">
        <v>1951</v>
      </c>
      <c r="D918" s="1" t="str">
        <f>IFERROR(__xludf.DUMMYFUNCTION("GOOGLETRANSLATE(A918 , ""auto"", ""ar"")"),"يعلن")</f>
        <v>يعلن</v>
      </c>
    </row>
    <row r="919" ht="15.75" customHeight="1">
      <c r="A919" s="1" t="s">
        <v>1952</v>
      </c>
      <c r="B919" s="1" t="s">
        <v>1953</v>
      </c>
      <c r="C919" s="1"/>
      <c r="D919" s="1" t="str">
        <f>IFERROR(__xludf.DUMMYFUNCTION("GOOGLETRANSLATE(A919 , ""auto"", ""ar"")"),"ديكور")</f>
        <v>ديكور</v>
      </c>
    </row>
    <row r="920" ht="15.75" customHeight="1">
      <c r="A920" s="1" t="s">
        <v>1954</v>
      </c>
      <c r="B920" s="1" t="s">
        <v>1955</v>
      </c>
      <c r="C920" s="2" t="s">
        <v>1956</v>
      </c>
      <c r="D920" s="1" t="str">
        <f>IFERROR(__xludf.DUMMYFUNCTION("GOOGLETRANSLATE(A920 , ""auto"", ""ar"")"),"تزيين")</f>
        <v>تزيين</v>
      </c>
    </row>
    <row r="921" ht="15.75" customHeight="1">
      <c r="A921" s="1" t="s">
        <v>1954</v>
      </c>
      <c r="B921" s="1" t="s">
        <v>1957</v>
      </c>
      <c r="C921" s="2" t="s">
        <v>1958</v>
      </c>
      <c r="D921" s="1" t="str">
        <f>IFERROR(__xludf.DUMMYFUNCTION("GOOGLETRANSLATE(A921 , ""auto"", ""ar"")"),"تزيين")</f>
        <v>تزيين</v>
      </c>
    </row>
    <row r="922" ht="15.75" customHeight="1">
      <c r="A922" s="1" t="s">
        <v>1959</v>
      </c>
      <c r="B922" s="1" t="s">
        <v>1960</v>
      </c>
      <c r="C922" s="2" t="s">
        <v>65</v>
      </c>
      <c r="D922" s="1" t="str">
        <f>IFERROR(__xludf.DUMMYFUNCTION("GOOGLETRANSLATE(A922 , ""auto"", ""ar"")"),"مزين")</f>
        <v>مزين</v>
      </c>
    </row>
    <row r="923" ht="15.75" customHeight="1">
      <c r="A923" s="1" t="s">
        <v>1961</v>
      </c>
      <c r="B923" s="1" t="s">
        <v>1962</v>
      </c>
      <c r="C923" s="1"/>
      <c r="D923" s="1" t="str">
        <f>IFERROR(__xludf.DUMMYFUNCTION("GOOGLETRANSLATE(A923 , ""auto"", ""ar"")"),"زخرفة")</f>
        <v>زخرفة</v>
      </c>
    </row>
    <row r="924" ht="15.75" customHeight="1">
      <c r="A924" s="1" t="s">
        <v>1961</v>
      </c>
      <c r="B924" s="1" t="s">
        <v>1953</v>
      </c>
      <c r="C924" s="1"/>
      <c r="D924" s="1" t="str">
        <f>IFERROR(__xludf.DUMMYFUNCTION("GOOGLETRANSLATE(A924 , ""auto"", ""ar"")"),"زخرفة")</f>
        <v>زخرفة</v>
      </c>
    </row>
    <row r="925" ht="15.75" customHeight="1">
      <c r="A925" s="1" t="s">
        <v>1961</v>
      </c>
      <c r="B925" s="1" t="s">
        <v>1963</v>
      </c>
      <c r="C925" s="1"/>
      <c r="D925" s="1" t="str">
        <f>IFERROR(__xludf.DUMMYFUNCTION("GOOGLETRANSLATE(A925 , ""auto"", ""ar"")"),"زخرفة")</f>
        <v>زخرفة</v>
      </c>
    </row>
    <row r="926" ht="15.75" customHeight="1">
      <c r="A926" s="1" t="s">
        <v>1964</v>
      </c>
      <c r="B926" s="1" t="s">
        <v>1965</v>
      </c>
      <c r="C926" s="2" t="s">
        <v>1966</v>
      </c>
      <c r="D926" s="1" t="str">
        <f>IFERROR(__xludf.DUMMYFUNCTION("GOOGLETRANSLATE(A926 , ""auto"", ""ar"")"),"عميق")</f>
        <v>عميق</v>
      </c>
    </row>
    <row r="927" ht="15.75" customHeight="1">
      <c r="A927" s="1" t="s">
        <v>1964</v>
      </c>
      <c r="B927" s="1" t="s">
        <v>1967</v>
      </c>
      <c r="C927" s="2" t="s">
        <v>1968</v>
      </c>
      <c r="D927" s="1" t="str">
        <f>IFERROR(__xludf.DUMMYFUNCTION("GOOGLETRANSLATE(A927 , ""auto"", ""ar"")"),"عميق")</f>
        <v>عميق</v>
      </c>
    </row>
    <row r="928" ht="15.75" customHeight="1">
      <c r="A928" s="1" t="s">
        <v>1964</v>
      </c>
      <c r="B928" s="1" t="s">
        <v>1967</v>
      </c>
      <c r="C928" s="2" t="s">
        <v>1968</v>
      </c>
      <c r="D928" s="1" t="str">
        <f>IFERROR(__xludf.DUMMYFUNCTION("GOOGLETRANSLATE(A928 , ""auto"", ""ar"")"),"عميق")</f>
        <v>عميق</v>
      </c>
    </row>
    <row r="929" ht="15.75" customHeight="1">
      <c r="A929" s="1" t="s">
        <v>1969</v>
      </c>
      <c r="B929" s="1" t="s">
        <v>633</v>
      </c>
      <c r="C929" s="2" t="s">
        <v>634</v>
      </c>
      <c r="D929" s="1" t="str">
        <f>IFERROR(__xludf.DUMMYFUNCTION("GOOGLETRANSLATE(A929 , ""auto"", ""ar"")"),"هزيمة")</f>
        <v>هزيمة</v>
      </c>
    </row>
    <row r="930" ht="15.75" customHeight="1">
      <c r="A930" s="1" t="s">
        <v>1970</v>
      </c>
      <c r="B930" s="1" t="s">
        <v>1971</v>
      </c>
      <c r="C930" s="2" t="s">
        <v>1972</v>
      </c>
      <c r="D930" s="1" t="str">
        <f>IFERROR(__xludf.DUMMYFUNCTION("GOOGLETRANSLATE(A930 , ""auto"", ""ar"")"),"الدفاع")</f>
        <v>الدفاع</v>
      </c>
    </row>
    <row r="931" ht="15.75" customHeight="1">
      <c r="A931" s="1" t="s">
        <v>1973</v>
      </c>
      <c r="B931" s="1" t="s">
        <v>1974</v>
      </c>
      <c r="C931" s="2" t="s">
        <v>1975</v>
      </c>
      <c r="D931" s="1" t="str">
        <f>IFERROR(__xludf.DUMMYFUNCTION("GOOGLETRANSLATE(A931 , ""auto"", ""ar"")"),"دفاع")</f>
        <v>دفاع</v>
      </c>
    </row>
    <row r="932" ht="15.75" customHeight="1">
      <c r="A932" s="1" t="s">
        <v>1976</v>
      </c>
      <c r="B932" s="1" t="s">
        <v>1977</v>
      </c>
      <c r="C932" s="1"/>
      <c r="D932" s="1" t="str">
        <f>IFERROR(__xludf.DUMMYFUNCTION("GOOGLETRANSLATE(A932 , ""auto"", ""ar"")"),"صقيع")</f>
        <v>صقيع</v>
      </c>
    </row>
    <row r="933" ht="15.75" customHeight="1">
      <c r="A933" s="1" t="s">
        <v>1976</v>
      </c>
      <c r="B933" s="1" t="s">
        <v>1978</v>
      </c>
      <c r="C933" s="2" t="s">
        <v>1979</v>
      </c>
      <c r="D933" s="1" t="str">
        <f>IFERROR(__xludf.DUMMYFUNCTION("GOOGLETRANSLATE(A933 , ""auto"", ""ar"")"),"صقيع")</f>
        <v>صقيع</v>
      </c>
    </row>
    <row r="934" ht="15.75" customHeight="1">
      <c r="A934" s="1" t="s">
        <v>1980</v>
      </c>
      <c r="B934" s="1" t="s">
        <v>1981</v>
      </c>
      <c r="C934" s="2" t="s">
        <v>1982</v>
      </c>
      <c r="D934" s="1" t="str">
        <f>IFERROR(__xludf.DUMMYFUNCTION("GOOGLETRANSLATE(A934 , ""auto"", ""ar"")"),"درجة")</f>
        <v>درجة</v>
      </c>
    </row>
    <row r="935" ht="15.75" customHeight="1">
      <c r="A935" s="1" t="s">
        <v>1983</v>
      </c>
      <c r="B935" s="1" t="s">
        <v>1984</v>
      </c>
      <c r="C935" s="2" t="s">
        <v>1985</v>
      </c>
      <c r="D935" s="1" t="str">
        <f>IFERROR(__xludf.DUMMYFUNCTION("GOOGLETRANSLATE(A935 , ""auto"", ""ar"")"),"يمسح")</f>
        <v>يمسح</v>
      </c>
    </row>
    <row r="936" ht="15.75" customHeight="1">
      <c r="A936" s="1" t="s">
        <v>1986</v>
      </c>
      <c r="B936" s="1" t="s">
        <v>1987</v>
      </c>
      <c r="C936" s="2" t="s">
        <v>1988</v>
      </c>
      <c r="D936" s="1" t="str">
        <f>IFERROR(__xludf.DUMMYFUNCTION("GOOGLETRANSLATE(A936 , ""auto"", ""ar"")"),"لذيذ")</f>
        <v>لذيذ</v>
      </c>
    </row>
    <row r="937" ht="15.75" customHeight="1">
      <c r="A937" s="1" t="s">
        <v>1989</v>
      </c>
      <c r="B937" s="1" t="s">
        <v>1990</v>
      </c>
      <c r="C937" s="1"/>
      <c r="D937" s="1" t="str">
        <f>IFERROR(__xludf.DUMMYFUNCTION("GOOGLETRANSLATE(A937 , ""auto"", ""ar"")"),"طلب المال مملوكة")</f>
        <v>طلب المال مملوكة</v>
      </c>
    </row>
    <row r="938" ht="15.75" customHeight="1">
      <c r="A938" s="1" t="s">
        <v>1991</v>
      </c>
      <c r="B938" s="1" t="s">
        <v>1992</v>
      </c>
      <c r="C938" s="2" t="s">
        <v>1993</v>
      </c>
      <c r="D938" s="1" t="str">
        <f>IFERROR(__xludf.DUMMYFUNCTION("GOOGLETRANSLATE(A938 , ""auto"", ""ar"")"),"طبيب أسنان")</f>
        <v>طبيب أسنان</v>
      </c>
    </row>
    <row r="939" ht="15.75" customHeight="1">
      <c r="A939" s="1" t="s">
        <v>1994</v>
      </c>
      <c r="B939" s="1" t="s">
        <v>1995</v>
      </c>
      <c r="C939" s="2" t="s">
        <v>1996</v>
      </c>
      <c r="D939" s="1" t="str">
        <f>IFERROR(__xludf.DUMMYFUNCTION("GOOGLETRANSLATE(A939 , ""auto"", ""ar"")"),"تنحدر")</f>
        <v>تنحدر</v>
      </c>
    </row>
    <row r="940" ht="15.75" customHeight="1">
      <c r="A940" s="1" t="s">
        <v>1994</v>
      </c>
      <c r="B940" s="1" t="s">
        <v>1997</v>
      </c>
      <c r="C940" s="2" t="s">
        <v>1998</v>
      </c>
      <c r="D940" s="1" t="str">
        <f>IFERROR(__xludf.DUMMYFUNCTION("GOOGLETRANSLATE(A940 , ""auto"", ""ar"")"),"تنحدر")</f>
        <v>تنحدر</v>
      </c>
    </row>
    <row r="941" ht="15.75" customHeight="1">
      <c r="A941" s="1" t="s">
        <v>1999</v>
      </c>
      <c r="B941" s="1" t="s">
        <v>2000</v>
      </c>
      <c r="C941" s="2" t="s">
        <v>2001</v>
      </c>
      <c r="D941" s="1" t="str">
        <f>IFERROR(__xludf.DUMMYFUNCTION("GOOGLETRANSLATE(A941 , ""auto"", ""ar"")"),"نزل")</f>
        <v>نزل</v>
      </c>
    </row>
    <row r="942" ht="15.75" customHeight="1">
      <c r="A942" s="1" t="s">
        <v>1999</v>
      </c>
      <c r="B942" s="1" t="s">
        <v>2002</v>
      </c>
      <c r="C942" s="2" t="s">
        <v>2003</v>
      </c>
      <c r="D942" s="1" t="str">
        <f>IFERROR(__xludf.DUMMYFUNCTION("GOOGLETRANSLATE(A942 , ""auto"", ""ar"")"),"نزل")</f>
        <v>نزل</v>
      </c>
    </row>
    <row r="943" ht="15.75" customHeight="1">
      <c r="A943" s="1" t="s">
        <v>2004</v>
      </c>
      <c r="B943" s="1" t="s">
        <v>2005</v>
      </c>
      <c r="C943" s="2" t="s">
        <v>2006</v>
      </c>
      <c r="D943" s="1" t="str">
        <f>IFERROR(__xludf.DUMMYFUNCTION("GOOGLETRANSLATE(A943 , ""auto"", ""ar"")"),"يصف")</f>
        <v>يصف</v>
      </c>
    </row>
    <row r="944" ht="15.75" customHeight="1">
      <c r="A944" s="1" t="s">
        <v>2007</v>
      </c>
      <c r="B944" s="1" t="s">
        <v>2008</v>
      </c>
      <c r="C944" s="1"/>
      <c r="D944" s="1" t="str">
        <f>IFERROR(__xludf.DUMMYFUNCTION("GOOGLETRANSLATE(A944 , ""auto"", ""ar"")"),"وصف")</f>
        <v>وصف</v>
      </c>
    </row>
    <row r="945" ht="15.75" customHeight="1">
      <c r="A945" s="1" t="s">
        <v>2009</v>
      </c>
      <c r="B945" s="1" t="s">
        <v>2010</v>
      </c>
      <c r="C945" s="2" t="s">
        <v>2011</v>
      </c>
      <c r="D945" s="1" t="str">
        <f>IFERROR(__xludf.DUMMYFUNCTION("GOOGLETRANSLATE(A945 , ""auto"", ""ar"")"),"صحراء")</f>
        <v>صحراء</v>
      </c>
    </row>
    <row r="946" ht="15.75" customHeight="1">
      <c r="A946" s="1" t="s">
        <v>2012</v>
      </c>
      <c r="B946" s="1" t="s">
        <v>2013</v>
      </c>
      <c r="C946" s="2" t="s">
        <v>2014</v>
      </c>
      <c r="D946" s="1" t="str">
        <f>IFERROR(__xludf.DUMMYFUNCTION("GOOGLETRANSLATE(A946 , ""auto"", ""ar"")"),"يستحق")</f>
        <v>يستحق</v>
      </c>
    </row>
    <row r="947" ht="15.75" customHeight="1">
      <c r="A947" s="1" t="s">
        <v>2015</v>
      </c>
      <c r="B947" s="1" t="s">
        <v>2016</v>
      </c>
      <c r="C947" s="2" t="s">
        <v>2017</v>
      </c>
      <c r="D947" s="1" t="str">
        <f>IFERROR(__xludf.DUMMYFUNCTION("GOOGLETRANSLATE(A947 , ""auto"", ""ar"")"),"يرغب")</f>
        <v>يرغب</v>
      </c>
    </row>
    <row r="948" ht="15.75" customHeight="1">
      <c r="A948" s="1" t="s">
        <v>2018</v>
      </c>
      <c r="B948" s="1" t="s">
        <v>2019</v>
      </c>
      <c r="C948" s="2" t="s">
        <v>2020</v>
      </c>
      <c r="D948" s="1" t="str">
        <f>IFERROR(__xludf.DUMMYFUNCTION("GOOGLETRANSLATE(A948 , ""auto"", ""ar"")"),"مكتب")</f>
        <v>مكتب</v>
      </c>
    </row>
    <row r="949" ht="15.75" customHeight="1">
      <c r="A949" s="1" t="s">
        <v>2018</v>
      </c>
      <c r="B949" s="1" t="s">
        <v>2021</v>
      </c>
      <c r="C949" s="2" t="s">
        <v>2022</v>
      </c>
      <c r="D949" s="1" t="str">
        <f>IFERROR(__xludf.DUMMYFUNCTION("GOOGLETRANSLATE(A949 , ""auto"", ""ar"")"),"مكتب")</f>
        <v>مكتب</v>
      </c>
    </row>
    <row r="950" ht="15.75" customHeight="1">
      <c r="A950" s="1" t="s">
        <v>2018</v>
      </c>
      <c r="B950" s="1" t="s">
        <v>2023</v>
      </c>
      <c r="C950" s="2" t="s">
        <v>2024</v>
      </c>
      <c r="D950" s="1" t="str">
        <f>IFERROR(__xludf.DUMMYFUNCTION("GOOGLETRANSLATE(A950 , ""auto"", ""ar"")"),"مكتب")</f>
        <v>مكتب</v>
      </c>
    </row>
    <row r="951" ht="15.75" customHeight="1">
      <c r="A951" s="1" t="s">
        <v>2025</v>
      </c>
      <c r="B951" s="1" t="s">
        <v>2026</v>
      </c>
      <c r="C951" s="2" t="s">
        <v>2027</v>
      </c>
      <c r="D951" s="1" t="str">
        <f>IFERROR(__xludf.DUMMYFUNCTION("GOOGLETRANSLATE(A951 , ""auto"", ""ar"")"),"بالرغم من")</f>
        <v>بالرغم من</v>
      </c>
    </row>
    <row r="952" ht="15.75" customHeight="1">
      <c r="A952" s="1" t="s">
        <v>2028</v>
      </c>
      <c r="B952" s="1" t="s">
        <v>2029</v>
      </c>
      <c r="C952" s="2" t="s">
        <v>2030</v>
      </c>
      <c r="D952" s="1" t="str">
        <f>IFERROR(__xludf.DUMMYFUNCTION("GOOGLETRANSLATE(A952 , ""auto"", ""ar"")"),"حَلوَى")</f>
        <v>حَلوَى</v>
      </c>
    </row>
    <row r="953" ht="15.75" customHeight="1">
      <c r="A953" s="1" t="s">
        <v>2031</v>
      </c>
      <c r="B953" s="1" t="s">
        <v>2032</v>
      </c>
      <c r="C953" s="2" t="s">
        <v>2033</v>
      </c>
      <c r="D953" s="1" t="str">
        <f>IFERROR(__xludf.DUMMYFUNCTION("GOOGLETRANSLATE(A953 , ""auto"", ""ar"")"),"هدم")</f>
        <v>هدم</v>
      </c>
    </row>
    <row r="954" ht="15.75" customHeight="1">
      <c r="A954" s="1" t="s">
        <v>2034</v>
      </c>
      <c r="B954" s="1" t="s">
        <v>2035</v>
      </c>
      <c r="C954" s="2" t="s">
        <v>2036</v>
      </c>
      <c r="D954" s="1" t="str">
        <f>IFERROR(__xludf.DUMMYFUNCTION("GOOGLETRANSLATE(A954 , ""auto"", ""ar"")"),"منظف")</f>
        <v>منظف</v>
      </c>
    </row>
    <row r="955" ht="15.75" customHeight="1">
      <c r="A955" s="1" t="s">
        <v>2037</v>
      </c>
      <c r="B955" s="1" t="s">
        <v>2038</v>
      </c>
      <c r="C955" s="2" t="s">
        <v>2039</v>
      </c>
      <c r="D955" s="1" t="str">
        <f>IFERROR(__xludf.DUMMYFUNCTION("GOOGLETRANSLATE(A955 , ""auto"", ""ar"")"),"السكري")</f>
        <v>السكري</v>
      </c>
    </row>
    <row r="956" ht="15.75" customHeight="1">
      <c r="A956" s="1" t="s">
        <v>2040</v>
      </c>
      <c r="B956" s="1" t="s">
        <v>409</v>
      </c>
      <c r="C956" s="2" t="s">
        <v>2041</v>
      </c>
      <c r="D956" s="1" t="str">
        <f>IFERROR(__xludf.DUMMYFUNCTION("GOOGLETRANSLATE(A956 , ""auto"", ""ar"")"),"مريض بالسكر")</f>
        <v>مريض بالسكر</v>
      </c>
    </row>
    <row r="957" ht="15.75" customHeight="1">
      <c r="A957" s="1" t="s">
        <v>2042</v>
      </c>
      <c r="B957" s="1" t="s">
        <v>2043</v>
      </c>
      <c r="C957" s="2" t="s">
        <v>2044</v>
      </c>
      <c r="D957" s="1" t="str">
        <f>IFERROR(__xludf.DUMMYFUNCTION("GOOGLETRANSLATE(A957 , ""auto"", ""ar"")"),"إسهال")</f>
        <v>إسهال</v>
      </c>
    </row>
    <row r="958" ht="15.75" customHeight="1">
      <c r="A958" s="1" t="s">
        <v>2042</v>
      </c>
      <c r="B958" s="1" t="s">
        <v>2045</v>
      </c>
      <c r="C958" s="2" t="s">
        <v>2046</v>
      </c>
      <c r="D958" s="1" t="str">
        <f>IFERROR(__xludf.DUMMYFUNCTION("GOOGLETRANSLATE(A958 , ""auto"", ""ar"")"),"إسهال")</f>
        <v>إسهال</v>
      </c>
    </row>
    <row r="959" ht="15.75" customHeight="1">
      <c r="A959" s="1" t="s">
        <v>2047</v>
      </c>
      <c r="B959" s="1" t="s">
        <v>2043</v>
      </c>
      <c r="C959" s="2" t="s">
        <v>2044</v>
      </c>
      <c r="D959" s="1" t="str">
        <f>IFERROR(__xludf.DUMMYFUNCTION("GOOGLETRANSLATE(A959 , ""auto"", ""ar"")"),"إسهال")</f>
        <v>إسهال</v>
      </c>
    </row>
    <row r="960" ht="15.75" customHeight="1">
      <c r="A960" s="1" t="s">
        <v>2047</v>
      </c>
      <c r="B960" s="1" t="s">
        <v>2045</v>
      </c>
      <c r="C960" s="2" t="s">
        <v>2046</v>
      </c>
      <c r="D960" s="1" t="str">
        <f>IFERROR(__xludf.DUMMYFUNCTION("GOOGLETRANSLATE(A960 , ""auto"", ""ar"")"),"إسهال")</f>
        <v>إسهال</v>
      </c>
    </row>
    <row r="961" ht="15.75" customHeight="1">
      <c r="A961" s="1" t="s">
        <v>2048</v>
      </c>
      <c r="B961" s="1" t="s">
        <v>2049</v>
      </c>
      <c r="C961" s="2" t="s">
        <v>2050</v>
      </c>
      <c r="D961" s="1" t="str">
        <f>IFERROR(__xludf.DUMMYFUNCTION("GOOGLETRANSLATE(A961 , ""auto"", ""ar"")"),"قاموس")</f>
        <v>قاموس</v>
      </c>
    </row>
    <row r="962" ht="15.75" customHeight="1">
      <c r="A962" s="1" t="s">
        <v>2051</v>
      </c>
      <c r="B962" s="1" t="s">
        <v>2052</v>
      </c>
      <c r="C962" s="2" t="s">
        <v>2053</v>
      </c>
      <c r="D962" s="1" t="str">
        <f>IFERROR(__xludf.DUMMYFUNCTION("GOOGLETRANSLATE(A962 , ""auto"", ""ar"")"),"ال")</f>
        <v>ال</v>
      </c>
    </row>
    <row r="963" ht="15.75" customHeight="1">
      <c r="A963" s="1" t="s">
        <v>2051</v>
      </c>
      <c r="B963" s="1" t="s">
        <v>1930</v>
      </c>
      <c r="C963" s="2" t="s">
        <v>1931</v>
      </c>
      <c r="D963" s="1" t="str">
        <f>IFERROR(__xludf.DUMMYFUNCTION("GOOGLETRANSLATE(A963 , ""auto"", ""ar"")"),"ال")</f>
        <v>ال</v>
      </c>
    </row>
    <row r="964" ht="15.75" customHeight="1">
      <c r="A964" s="1" t="s">
        <v>2051</v>
      </c>
      <c r="B964" s="1" t="s">
        <v>1930</v>
      </c>
      <c r="C964" s="2" t="s">
        <v>1931</v>
      </c>
      <c r="D964" s="1" t="str">
        <f>IFERROR(__xludf.DUMMYFUNCTION("GOOGLETRANSLATE(A964 , ""auto"", ""ar"")"),"ال")</f>
        <v>ال</v>
      </c>
    </row>
    <row r="965" ht="15.75" customHeight="1">
      <c r="A965" s="1" t="s">
        <v>2054</v>
      </c>
      <c r="B965" s="1" t="s">
        <v>2055</v>
      </c>
      <c r="C965" s="2" t="s">
        <v>2056</v>
      </c>
      <c r="D965" s="1" t="str">
        <f>IFERROR(__xludf.DUMMYFUNCTION("GOOGLETRANSLATE(A965 , ""auto"", ""ar"")"),"نظام عذائي")</f>
        <v>نظام عذائي</v>
      </c>
    </row>
    <row r="966" ht="15.75" customHeight="1">
      <c r="A966" s="1" t="s">
        <v>2057</v>
      </c>
      <c r="B966" s="1" t="s">
        <v>990</v>
      </c>
      <c r="C966" s="1"/>
      <c r="D966" s="1" t="str">
        <f>IFERROR(__xludf.DUMMYFUNCTION("GOOGLETRANSLATE(A966 , ""auto"", ""ar"")"),"اختلاف")</f>
        <v>اختلاف</v>
      </c>
    </row>
    <row r="967" ht="15.75" customHeight="1">
      <c r="A967" s="1" t="s">
        <v>2058</v>
      </c>
      <c r="B967" s="1" t="s">
        <v>2059</v>
      </c>
      <c r="C967" s="2" t="s">
        <v>2060</v>
      </c>
      <c r="D967" s="1" t="str">
        <f>IFERROR(__xludf.DUMMYFUNCTION("GOOGLETRANSLATE(A967 , ""auto"", ""ar"")"),"مختلف")</f>
        <v>مختلف</v>
      </c>
    </row>
    <row r="968" ht="15.75" customHeight="1">
      <c r="A968" s="1" t="s">
        <v>2061</v>
      </c>
      <c r="B968" s="1" t="s">
        <v>2062</v>
      </c>
      <c r="C968" s="2" t="s">
        <v>2063</v>
      </c>
      <c r="D968" s="1" t="str">
        <f>IFERROR(__xludf.DUMMYFUNCTION("GOOGLETRANSLATE(A968 , ""auto"", ""ar"")"),"صعب")</f>
        <v>صعب</v>
      </c>
    </row>
    <row r="969" ht="15.75" customHeight="1">
      <c r="A969" s="1" t="s">
        <v>2064</v>
      </c>
      <c r="B969" s="1" t="s">
        <v>2065</v>
      </c>
      <c r="C969" s="2" t="s">
        <v>2066</v>
      </c>
      <c r="D969" s="1" t="str">
        <f>IFERROR(__xludf.DUMMYFUNCTION("GOOGLETRANSLATE(A969 , ""auto"", ""ar"")"),"أنت")</f>
        <v>أنت</v>
      </c>
    </row>
    <row r="970" ht="15.75" customHeight="1">
      <c r="A970" s="1" t="s">
        <v>2067</v>
      </c>
      <c r="B970" s="1" t="s">
        <v>2068</v>
      </c>
      <c r="C970" s="2" t="s">
        <v>2069</v>
      </c>
      <c r="D970" s="1" t="str">
        <f>IFERROR(__xludf.DUMMYFUNCTION("GOOGLETRANSLATE(A970 , ""auto"", ""ar"")"),"استوعب")</f>
        <v>استوعب</v>
      </c>
    </row>
    <row r="971" ht="15.75" customHeight="1">
      <c r="A971" s="1" t="s">
        <v>2070</v>
      </c>
      <c r="B971" s="1" t="s">
        <v>2071</v>
      </c>
      <c r="C971" s="2" t="s">
        <v>2072</v>
      </c>
      <c r="D971" s="1" t="str">
        <f>IFERROR(__xludf.DUMMYFUNCTION("GOOGLETRANSLATE(A971 , ""auto"", ""ar"")"),"عشاء")</f>
        <v>عشاء</v>
      </c>
    </row>
    <row r="972" ht="15.75" customHeight="1">
      <c r="A972" s="1" t="s">
        <v>2070</v>
      </c>
      <c r="B972" s="1" t="s">
        <v>2073</v>
      </c>
      <c r="C972" s="2" t="s">
        <v>2074</v>
      </c>
      <c r="D972" s="1" t="str">
        <f>IFERROR(__xludf.DUMMYFUNCTION("GOOGLETRANSLATE(A972 , ""auto"", ""ar"")"),"عشاء")</f>
        <v>عشاء</v>
      </c>
    </row>
    <row r="973" ht="15.75" customHeight="1">
      <c r="A973" s="1" t="s">
        <v>2075</v>
      </c>
      <c r="B973" s="1" t="s">
        <v>2076</v>
      </c>
      <c r="C973" s="1"/>
      <c r="D973" s="1" t="str">
        <f>IFERROR(__xludf.DUMMYFUNCTION("GOOGLETRANSLATE(A973 , ""auto"", ""ar"")"),"مباشر")</f>
        <v>مباشر</v>
      </c>
    </row>
    <row r="974" ht="15.75" customHeight="1">
      <c r="A974" s="1" t="s">
        <v>2077</v>
      </c>
      <c r="B974" s="1" t="s">
        <v>2078</v>
      </c>
      <c r="C974" s="2" t="s">
        <v>2079</v>
      </c>
      <c r="D974" s="1" t="str">
        <f>IFERROR(__xludf.DUMMYFUNCTION("GOOGLETRANSLATE(A974 , ""auto"", ""ar"")"),"اتجاه")</f>
        <v>اتجاه</v>
      </c>
    </row>
    <row r="975" ht="15.75" customHeight="1">
      <c r="A975" s="1" t="s">
        <v>2077</v>
      </c>
      <c r="B975" s="1" t="s">
        <v>2080</v>
      </c>
      <c r="C975" s="1"/>
      <c r="D975" s="1" t="str">
        <f>IFERROR(__xludf.DUMMYFUNCTION("GOOGLETRANSLATE(A975 , ""auto"", ""ar"")"),"اتجاه")</f>
        <v>اتجاه</v>
      </c>
    </row>
    <row r="976" ht="15.75" customHeight="1">
      <c r="A976" s="1" t="s">
        <v>2081</v>
      </c>
      <c r="B976" s="1" t="s">
        <v>2082</v>
      </c>
      <c r="C976" s="2" t="s">
        <v>2083</v>
      </c>
      <c r="D976" s="1" t="str">
        <f>IFERROR(__xludf.DUMMYFUNCTION("GOOGLETRANSLATE(A976 , ""auto"", ""ar"")"),"مخرج")</f>
        <v>مخرج</v>
      </c>
    </row>
    <row r="977" ht="15.75" customHeight="1">
      <c r="A977" s="1" t="s">
        <v>2081</v>
      </c>
      <c r="B977" s="1" t="s">
        <v>2084</v>
      </c>
      <c r="C977" s="2" t="s">
        <v>2085</v>
      </c>
      <c r="D977" s="1" t="str">
        <f>IFERROR(__xludf.DUMMYFUNCTION("GOOGLETRANSLATE(A977 , ""auto"", ""ar"")"),"مخرج")</f>
        <v>مخرج</v>
      </c>
    </row>
    <row r="978" ht="15.75" customHeight="1">
      <c r="A978" s="1" t="s">
        <v>2086</v>
      </c>
      <c r="B978" s="1" t="s">
        <v>2087</v>
      </c>
      <c r="C978" s="2" t="s">
        <v>2088</v>
      </c>
      <c r="D978" s="1" t="str">
        <f>IFERROR(__xludf.DUMMYFUNCTION("GOOGLETRANSLATE(A978 , ""auto"", ""ar"")"),"درهم")</f>
        <v>درهم</v>
      </c>
    </row>
    <row r="979" ht="15.75" customHeight="1">
      <c r="A979" s="1" t="s">
        <v>2089</v>
      </c>
      <c r="B979" s="1" t="s">
        <v>2090</v>
      </c>
      <c r="C979" s="2" t="s">
        <v>2091</v>
      </c>
      <c r="D979" s="1" t="str">
        <f>IFERROR(__xludf.DUMMYFUNCTION("GOOGLETRANSLATE(A979 , ""auto"", ""ar"")"),"متسخ")</f>
        <v>متسخ</v>
      </c>
    </row>
    <row r="980" ht="15.75" customHeight="1">
      <c r="A980" s="1" t="s">
        <v>2092</v>
      </c>
      <c r="B980" s="1" t="s">
        <v>2093</v>
      </c>
      <c r="C980" s="2" t="s">
        <v>2094</v>
      </c>
      <c r="D980" s="1" t="str">
        <f>IFERROR(__xludf.DUMMYFUNCTION("GOOGLETRANSLATE(A980 , ""auto"", ""ar"")"),"عاجز")</f>
        <v>عاجز</v>
      </c>
    </row>
    <row r="981" ht="15.75" customHeight="1">
      <c r="A981" s="1" t="s">
        <v>2095</v>
      </c>
      <c r="B981" s="1" t="s">
        <v>2096</v>
      </c>
      <c r="C981" s="2" t="s">
        <v>2097</v>
      </c>
      <c r="D981" s="1" t="str">
        <f>IFERROR(__xludf.DUMMYFUNCTION("GOOGLETRANSLATE(A981 , ""auto"", ""ar"")"),"يختفي")</f>
        <v>يختفي</v>
      </c>
    </row>
    <row r="982" ht="15.75" customHeight="1">
      <c r="A982" s="1" t="s">
        <v>2098</v>
      </c>
      <c r="B982" s="1" t="s">
        <v>2099</v>
      </c>
      <c r="C982" s="2" t="s">
        <v>2100</v>
      </c>
      <c r="D982" s="1" t="str">
        <f>IFERROR(__xludf.DUMMYFUNCTION("GOOGLETRANSLATE(A982 , ""auto"", ""ar"")"),"يكتشف")</f>
        <v>يكتشف</v>
      </c>
    </row>
    <row r="983" ht="15.75" customHeight="1">
      <c r="A983" s="1" t="s">
        <v>2101</v>
      </c>
      <c r="B983" s="1" t="s">
        <v>2102</v>
      </c>
      <c r="C983" s="2" t="s">
        <v>2103</v>
      </c>
      <c r="D983" s="1" t="str">
        <f>IFERROR(__xludf.DUMMYFUNCTION("GOOGLETRANSLATE(A983 , ""auto"", ""ar"")"),"يناقش")</f>
        <v>يناقش</v>
      </c>
    </row>
    <row r="984" ht="15.75" customHeight="1">
      <c r="A984" s="1" t="s">
        <v>2101</v>
      </c>
      <c r="B984" s="1" t="s">
        <v>2104</v>
      </c>
      <c r="C984" s="1"/>
      <c r="D984" s="1" t="str">
        <f>IFERROR(__xludf.DUMMYFUNCTION("GOOGLETRANSLATE(A984 , ""auto"", ""ar"")"),"يناقش")</f>
        <v>يناقش</v>
      </c>
    </row>
    <row r="985" ht="15.75" customHeight="1">
      <c r="A985" s="1" t="s">
        <v>2105</v>
      </c>
      <c r="B985" s="1" t="s">
        <v>2106</v>
      </c>
      <c r="C985" s="2" t="s">
        <v>2107</v>
      </c>
      <c r="D985" s="1" t="str">
        <f>IFERROR(__xludf.DUMMYFUNCTION("GOOGLETRANSLATE(A985 , ""auto"", ""ar"")"),"طبق")</f>
        <v>طبق</v>
      </c>
    </row>
    <row r="986" ht="15.75" customHeight="1">
      <c r="A986" s="1" t="s">
        <v>2105</v>
      </c>
      <c r="B986" s="1" t="s">
        <v>2108</v>
      </c>
      <c r="C986" s="1"/>
      <c r="D986" s="1" t="str">
        <f>IFERROR(__xludf.DUMMYFUNCTION("GOOGLETRANSLATE(A986 , ""auto"", ""ar"")"),"طبق")</f>
        <v>طبق</v>
      </c>
    </row>
    <row r="987" ht="15.75" customHeight="1">
      <c r="A987" s="1" t="s">
        <v>2109</v>
      </c>
      <c r="B987" s="1" t="s">
        <v>2110</v>
      </c>
      <c r="C987" s="2" t="s">
        <v>2111</v>
      </c>
      <c r="D987" s="1" t="str">
        <f>IFERROR(__xludf.DUMMYFUNCTION("GOOGLETRANSLATE(A987 , ""auto"", ""ar"")"),"أطباق")</f>
        <v>أطباق</v>
      </c>
    </row>
    <row r="988" ht="15.75" customHeight="1">
      <c r="A988" s="1" t="s">
        <v>2112</v>
      </c>
      <c r="B988" s="1" t="s">
        <v>2113</v>
      </c>
      <c r="C988" s="2" t="s">
        <v>2114</v>
      </c>
      <c r="D988" s="1" t="str">
        <f>IFERROR(__xludf.DUMMYFUNCTION("GOOGLETRANSLATE(A988 , ""auto"", ""ar"")"),"شتت")</f>
        <v>شتت</v>
      </c>
    </row>
    <row r="989" ht="15.75" customHeight="1">
      <c r="A989" s="1" t="s">
        <v>2115</v>
      </c>
      <c r="B989" s="1" t="s">
        <v>2116</v>
      </c>
      <c r="C989" s="1"/>
      <c r="D989" s="1" t="str">
        <f>IFERROR(__xludf.DUMMYFUNCTION("GOOGLETRANSLATE(A989 , ""auto"", ""ar"")"),"مسافة")</f>
        <v>مسافة</v>
      </c>
    </row>
    <row r="990" ht="15.75" customHeight="1">
      <c r="A990" s="1" t="s">
        <v>2117</v>
      </c>
      <c r="B990" s="1" t="s">
        <v>2118</v>
      </c>
      <c r="C990" s="2" t="s">
        <v>2119</v>
      </c>
      <c r="D990" s="1" t="str">
        <f>IFERROR(__xludf.DUMMYFUNCTION("GOOGLETRANSLATE(A990 , ""auto"", ""ar"")"),"يميز")</f>
        <v>يميز</v>
      </c>
    </row>
    <row r="991" ht="15.75" customHeight="1">
      <c r="A991" s="1" t="s">
        <v>2120</v>
      </c>
      <c r="B991" s="1" t="s">
        <v>990</v>
      </c>
      <c r="C991" s="2" t="s">
        <v>2121</v>
      </c>
      <c r="D991" s="1" t="str">
        <f>IFERROR(__xludf.DUMMYFUNCTION("GOOGLETRANSLATE(A991 , ""auto"", ""ar"")"),"نشر")</f>
        <v>نشر</v>
      </c>
    </row>
    <row r="992" ht="15.75" customHeight="1">
      <c r="A992" s="1" t="s">
        <v>2122</v>
      </c>
      <c r="B992" s="1" t="s">
        <v>2123</v>
      </c>
      <c r="C992" s="2" t="s">
        <v>2124</v>
      </c>
      <c r="D992" s="1" t="str">
        <f>IFERROR(__xludf.DUMMYFUNCTION("GOOGLETRANSLATE(A992 , ""auto"", ""ar"")"),"يصرف")</f>
        <v>يصرف</v>
      </c>
    </row>
    <row r="993" ht="15.75" customHeight="1">
      <c r="A993" s="1" t="s">
        <v>2122</v>
      </c>
      <c r="B993" s="1" t="s">
        <v>2125</v>
      </c>
      <c r="C993" s="1"/>
      <c r="D993" s="1" t="str">
        <f>IFERROR(__xludf.DUMMYFUNCTION("GOOGLETRANSLATE(A993 , ""auto"", ""ar"")"),"يصرف")</f>
        <v>يصرف</v>
      </c>
    </row>
    <row r="994" ht="15.75" customHeight="1">
      <c r="A994" s="1" t="s">
        <v>2126</v>
      </c>
      <c r="B994" s="1" t="s">
        <v>2127</v>
      </c>
      <c r="C994" s="2" t="s">
        <v>2128</v>
      </c>
      <c r="D994" s="1" t="str">
        <f>IFERROR(__xludf.DUMMYFUNCTION("GOOGLETRANSLATE(A994 , ""auto"", ""ar"")"),"يزعج")</f>
        <v>يزعج</v>
      </c>
    </row>
    <row r="995" ht="15.75" customHeight="1">
      <c r="A995" s="1" t="s">
        <v>2126</v>
      </c>
      <c r="B995" s="1" t="s">
        <v>2129</v>
      </c>
      <c r="C995" s="2" t="s">
        <v>2130</v>
      </c>
      <c r="D995" s="1" t="str">
        <f>IFERROR(__xludf.DUMMYFUNCTION("GOOGLETRANSLATE(A995 , ""auto"", ""ar"")"),"يزعج")</f>
        <v>يزعج</v>
      </c>
    </row>
    <row r="996" ht="15.75" customHeight="1">
      <c r="A996" s="1" t="s">
        <v>2131</v>
      </c>
      <c r="B996" s="1" t="s">
        <v>2132</v>
      </c>
      <c r="C996" s="2" t="s">
        <v>2133</v>
      </c>
      <c r="D996" s="1" t="str">
        <f>IFERROR(__xludf.DUMMYFUNCTION("GOOGLETRANSLATE(A996 , ""auto"", ""ar"")"),"يقسم")</f>
        <v>يقسم</v>
      </c>
    </row>
    <row r="997" ht="15.75" customHeight="1">
      <c r="A997" s="1" t="s">
        <v>2134</v>
      </c>
      <c r="B997" s="1" t="s">
        <v>2135</v>
      </c>
      <c r="C997" s="2" t="s">
        <v>2136</v>
      </c>
      <c r="D997" s="1" t="str">
        <f>IFERROR(__xludf.DUMMYFUNCTION("GOOGLETRANSLATE(A997 , ""auto"", ""ar"")"),"مقسم")</f>
        <v>مقسم</v>
      </c>
    </row>
    <row r="998" ht="15.75" customHeight="1">
      <c r="A998" s="1" t="s">
        <v>2137</v>
      </c>
      <c r="B998" s="1" t="s">
        <v>2138</v>
      </c>
      <c r="C998" s="2" t="s">
        <v>2139</v>
      </c>
      <c r="D998" s="1" t="str">
        <f>IFERROR(__xludf.DUMMYFUNCTION("GOOGLETRANSLATE(A998 , ""auto"", ""ar"")"),"الطلاق")</f>
        <v>الطلاق</v>
      </c>
    </row>
    <row r="999" ht="15.75" customHeight="1">
      <c r="A999" s="1" t="s">
        <v>2140</v>
      </c>
      <c r="B999" s="1" t="s">
        <v>2141</v>
      </c>
      <c r="C999" s="2" t="s">
        <v>2142</v>
      </c>
      <c r="D999" s="1" t="str">
        <f>IFERROR(__xludf.DUMMYFUNCTION("GOOGLETRANSLATE(A999 , ""auto"", ""ar"")"),"دوخة")</f>
        <v>دوخة</v>
      </c>
    </row>
    <row r="1000" ht="15.75" customHeight="1">
      <c r="A1000" s="1" t="s">
        <v>2143</v>
      </c>
      <c r="B1000" s="1" t="s">
        <v>2144</v>
      </c>
      <c r="C1000" s="2" t="s">
        <v>2145</v>
      </c>
      <c r="D1000" s="1" t="str">
        <f>IFERROR(__xludf.DUMMYFUNCTION("GOOGLETRANSLATE(A1000 , ""auto"", ""ar"")"),"دائِخ")</f>
        <v>دائِخ</v>
      </c>
    </row>
    <row r="1001" ht="15.75" customHeight="1">
      <c r="A1001" s="1" t="s">
        <v>2143</v>
      </c>
      <c r="B1001" s="1" t="s">
        <v>2146</v>
      </c>
      <c r="C1001" s="2" t="s">
        <v>2147</v>
      </c>
      <c r="D1001" s="1" t="str">
        <f>IFERROR(__xludf.DUMMYFUNCTION("GOOGLETRANSLATE(A1001 , ""auto"", ""ar"")"),"دائِخ")</f>
        <v>دائِخ</v>
      </c>
    </row>
    <row r="1002" ht="15.75" customHeight="1">
      <c r="A1002" s="1" t="s">
        <v>2148</v>
      </c>
      <c r="B1002" s="1" t="s">
        <v>2149</v>
      </c>
      <c r="C1002" s="2" t="s">
        <v>2150</v>
      </c>
      <c r="D1002" s="1" t="str">
        <f>IFERROR(__xludf.DUMMYFUNCTION("GOOGLETRANSLATE(A1002 , ""auto"", ""ar"")"),"جيلابا")</f>
        <v>جيلابا</v>
      </c>
    </row>
    <row r="1003" ht="15.75" customHeight="1">
      <c r="A1003" s="1" t="s">
        <v>2151</v>
      </c>
      <c r="B1003" s="1" t="s">
        <v>209</v>
      </c>
      <c r="C1003" s="2" t="s">
        <v>2152</v>
      </c>
      <c r="D1003" s="1" t="str">
        <f>IFERROR(__xludf.DUMMYFUNCTION("GOOGLETRANSLATE(A1003 , ""auto"", ""ar"")"),"يفعل")</f>
        <v>يفعل</v>
      </c>
    </row>
    <row r="1004" ht="15.75" customHeight="1">
      <c r="A1004" s="1" t="s">
        <v>2151</v>
      </c>
      <c r="B1004" s="1" t="s">
        <v>2153</v>
      </c>
      <c r="C1004" s="1"/>
      <c r="D1004" s="1" t="str">
        <f>IFERROR(__xludf.DUMMYFUNCTION("GOOGLETRANSLATE(A1004 , ""auto"", ""ar"")"),"يفعل")</f>
        <v>يفعل</v>
      </c>
    </row>
    <row r="1005" ht="15.75" customHeight="1">
      <c r="A1005" s="1" t="s">
        <v>2151</v>
      </c>
      <c r="B1005" s="1" t="s">
        <v>2154</v>
      </c>
      <c r="C1005" s="1"/>
      <c r="D1005" s="1" t="str">
        <f>IFERROR(__xludf.DUMMYFUNCTION("GOOGLETRANSLATE(A1005 , ""auto"", ""ar"")"),"يفعل")</f>
        <v>يفعل</v>
      </c>
    </row>
    <row r="1006" ht="15.75" customHeight="1">
      <c r="A1006" s="1" t="s">
        <v>2151</v>
      </c>
      <c r="B1006" s="1" t="s">
        <v>2155</v>
      </c>
      <c r="C1006" s="2" t="s">
        <v>2156</v>
      </c>
      <c r="D1006" s="1" t="str">
        <f>IFERROR(__xludf.DUMMYFUNCTION("GOOGLETRANSLATE(A1006 , ""auto"", ""ar"")"),"يفعل")</f>
        <v>يفعل</v>
      </c>
    </row>
    <row r="1007" ht="15.75" customHeight="1">
      <c r="A1007" s="1" t="s">
        <v>2157</v>
      </c>
      <c r="B1007" s="1" t="s">
        <v>2158</v>
      </c>
      <c r="C1007" s="2" t="s">
        <v>2159</v>
      </c>
      <c r="D1007" s="1" t="str">
        <f>IFERROR(__xludf.DUMMYFUNCTION("GOOGLETRANSLATE(A1007 , ""auto"", ""ar"")"),"يفعل ….؟")</f>
        <v>يفعل ….؟</v>
      </c>
    </row>
    <row r="1008" ht="15.75" customHeight="1">
      <c r="A1008" s="1" t="s">
        <v>2157</v>
      </c>
      <c r="B1008" s="1" t="s">
        <v>2160</v>
      </c>
      <c r="C1008" s="1"/>
      <c r="D1008" s="1" t="str">
        <f>IFERROR(__xludf.DUMMYFUNCTION("GOOGLETRANSLATE(A1008 , ""auto"", ""ar"")"),"يفعل ….؟")</f>
        <v>يفعل ….؟</v>
      </c>
    </row>
    <row r="1009" ht="15.75" customHeight="1">
      <c r="A1009" s="1" t="s">
        <v>2161</v>
      </c>
      <c r="B1009" s="1" t="s">
        <v>1260</v>
      </c>
      <c r="C1009" s="2" t="s">
        <v>1261</v>
      </c>
      <c r="D1009" s="1" t="str">
        <f>IFERROR(__xludf.DUMMYFUNCTION("GOOGLETRANSLATE(A1009 , ""auto"", ""ar"")"),"فعل السحر")</f>
        <v>فعل السحر</v>
      </c>
    </row>
    <row r="1010" ht="15.75" customHeight="1">
      <c r="A1010" s="1" t="s">
        <v>2162</v>
      </c>
      <c r="B1010" s="1" t="s">
        <v>209</v>
      </c>
      <c r="C1010" s="1"/>
      <c r="D1010" s="1" t="str">
        <f>IFERROR(__xludf.DUMMYFUNCTION("GOOGLETRANSLATE(A1010 , ""auto"", ""ar"")"),"أفعل ما تستطيع")</f>
        <v>أفعل ما تستطيع</v>
      </c>
    </row>
    <row r="1011" ht="15.75" customHeight="1">
      <c r="A1011" s="1" t="s">
        <v>2163</v>
      </c>
      <c r="B1011" s="1" t="s">
        <v>1136</v>
      </c>
      <c r="C1011" s="2" t="s">
        <v>1137</v>
      </c>
      <c r="D1011" s="1" t="str">
        <f>IFERROR(__xludf.DUMMYFUNCTION("GOOGLETRANSLATE(A1011 , ""auto"", ""ar"")"),"تبضع")</f>
        <v>تبضع</v>
      </c>
    </row>
    <row r="1012" ht="15.75" customHeight="1">
      <c r="A1012" s="1" t="s">
        <v>2163</v>
      </c>
      <c r="B1012" s="1" t="s">
        <v>209</v>
      </c>
      <c r="C1012" s="1"/>
      <c r="D1012" s="1" t="str">
        <f>IFERROR(__xludf.DUMMYFUNCTION("GOOGLETRANSLATE(A1012 , ""auto"", ""ar"")"),"تبضع")</f>
        <v>تبضع</v>
      </c>
    </row>
    <row r="1013" ht="15.75" customHeight="1">
      <c r="A1013" s="1" t="s">
        <v>2164</v>
      </c>
      <c r="B1013" s="1" t="s">
        <v>1992</v>
      </c>
      <c r="C1013" s="2" t="s">
        <v>2165</v>
      </c>
      <c r="D1013" s="1" t="str">
        <f>IFERROR(__xludf.DUMMYFUNCTION("GOOGLETRANSLATE(A1013 , ""auto"", ""ar"")"),"طبيب")</f>
        <v>طبيب</v>
      </c>
    </row>
    <row r="1014" ht="15.75" customHeight="1">
      <c r="A1014" s="1" t="s">
        <v>2166</v>
      </c>
      <c r="B1014" s="1" t="s">
        <v>2167</v>
      </c>
      <c r="C1014" s="2" t="s">
        <v>2168</v>
      </c>
      <c r="D1014" s="1" t="str">
        <f>IFERROR(__xludf.DUMMYFUNCTION("GOOGLETRANSLATE(A1014 , ""auto"", ""ar"")"),"مكتب الطبيب")</f>
        <v>مكتب الطبيب</v>
      </c>
    </row>
    <row r="1015" ht="15.75" customHeight="1">
      <c r="A1015" s="1" t="s">
        <v>2169</v>
      </c>
      <c r="B1015" s="1" t="s">
        <v>2170</v>
      </c>
      <c r="C1015" s="2" t="s">
        <v>2171</v>
      </c>
      <c r="D1015" s="1" t="str">
        <f>IFERROR(__xludf.DUMMYFUNCTION("GOOGLETRANSLATE(A1015 , ""auto"", ""ar"")"),"كلب")</f>
        <v>كلب</v>
      </c>
    </row>
    <row r="1016" ht="15.75" customHeight="1">
      <c r="A1016" s="1" t="s">
        <v>2172</v>
      </c>
      <c r="B1016" s="1" t="s">
        <v>2173</v>
      </c>
      <c r="C1016" s="2" t="s">
        <v>2174</v>
      </c>
      <c r="D1016" s="1" t="str">
        <f>IFERROR(__xludf.DUMMYFUNCTION("GOOGLETRANSLATE(A1016 , ""auto"", ""ar"")"),"لعبة")</f>
        <v>لعبة</v>
      </c>
    </row>
    <row r="1017" ht="15.75" customHeight="1">
      <c r="A1017" s="1" t="s">
        <v>2175</v>
      </c>
      <c r="B1017" s="1" t="s">
        <v>2176</v>
      </c>
      <c r="C1017" s="2" t="s">
        <v>2177</v>
      </c>
      <c r="D1017" s="1" t="str">
        <f>IFERROR(__xludf.DUMMYFUNCTION("GOOGLETRANSLATE(A1017 , ""auto"", ""ar"")"),"دولفين")</f>
        <v>دولفين</v>
      </c>
    </row>
    <row r="1018" ht="15.75" customHeight="1">
      <c r="A1018" s="1" t="s">
        <v>2178</v>
      </c>
      <c r="B1018" s="1" t="s">
        <v>2179</v>
      </c>
      <c r="C1018" s="1"/>
      <c r="D1018" s="1" t="str">
        <f>IFERROR(__xludf.DUMMYFUNCTION("GOOGLETRANSLATE(A1018 , ""auto"", ""ar"")"),"لا تهتم")</f>
        <v>لا تهتم</v>
      </c>
    </row>
    <row r="1019" ht="15.75" customHeight="1">
      <c r="A1019" s="1" t="s">
        <v>2180</v>
      </c>
      <c r="B1019" s="1" t="s">
        <v>2181</v>
      </c>
      <c r="C1019" s="2" t="s">
        <v>2182</v>
      </c>
      <c r="D1019" s="1" t="str">
        <f>IFERROR(__xludf.DUMMYFUNCTION("GOOGLETRANSLATE(A1019 , ""auto"", ""ar"")"),"لا تذكرها")</f>
        <v>لا تذكرها</v>
      </c>
    </row>
    <row r="1020" ht="15.75" customHeight="1">
      <c r="A1020" s="1" t="s">
        <v>2180</v>
      </c>
      <c r="B1020" s="1" t="s">
        <v>2183</v>
      </c>
      <c r="C1020" s="2" t="s">
        <v>2184</v>
      </c>
      <c r="D1020" s="1" t="str">
        <f>IFERROR(__xludf.DUMMYFUNCTION("GOOGLETRANSLATE(A1020 , ""auto"", ""ar"")"),"لا تذكرها")</f>
        <v>لا تذكرها</v>
      </c>
    </row>
    <row r="1021" ht="15.75" customHeight="1">
      <c r="A1021" s="1" t="s">
        <v>2185</v>
      </c>
      <c r="B1021" s="1" t="s">
        <v>2186</v>
      </c>
      <c r="C1021" s="2" t="s">
        <v>2187</v>
      </c>
      <c r="D1021" s="1" t="str">
        <f>IFERROR(__xludf.DUMMYFUNCTION("GOOGLETRANSLATE(A1021 , ""auto"", ""ar"")"),"لا تقلق")</f>
        <v>لا تقلق</v>
      </c>
    </row>
    <row r="1022" ht="15.75" customHeight="1">
      <c r="A1022" s="1" t="s">
        <v>2188</v>
      </c>
      <c r="B1022" s="1" t="s">
        <v>2189</v>
      </c>
      <c r="C1022" s="2" t="s">
        <v>2190</v>
      </c>
      <c r="D1022" s="1" t="str">
        <f>IFERROR(__xludf.DUMMYFUNCTION("GOOGLETRANSLATE(A1022 , ""auto"", ""ar"")"),"حمار")</f>
        <v>حمار</v>
      </c>
    </row>
    <row r="1023" ht="15.75" customHeight="1">
      <c r="A1023" s="1" t="s">
        <v>2191</v>
      </c>
      <c r="B1023" s="1" t="s">
        <v>2192</v>
      </c>
      <c r="C1023" s="2" t="s">
        <v>2193</v>
      </c>
      <c r="D1023" s="1" t="str">
        <f>IFERROR(__xludf.DUMMYFUNCTION("GOOGLETRANSLATE(A1023 , ""auto"", ""ar"")"),"باب")</f>
        <v>باب</v>
      </c>
    </row>
    <row r="1024" ht="15.75" customHeight="1">
      <c r="A1024" s="1" t="s">
        <v>2194</v>
      </c>
      <c r="B1024" s="1" t="s">
        <v>2195</v>
      </c>
      <c r="C1024" s="1"/>
      <c r="D1024" s="1" t="str">
        <f>IFERROR(__xludf.DUMMYFUNCTION("GOOGLETRANSLATE(A1024 , ""auto"", ""ar"")"),"هيكل الباب")</f>
        <v>هيكل الباب</v>
      </c>
    </row>
    <row r="1025" ht="15.75" customHeight="1">
      <c r="A1025" s="1" t="s">
        <v>2196</v>
      </c>
      <c r="B1025" s="1" t="s">
        <v>2197</v>
      </c>
      <c r="C1025" s="1"/>
      <c r="D1025" s="1" t="str">
        <f>IFERROR(__xludf.DUMMYFUNCTION("GOOGLETRANSLATE(A1025 , ""auto"", ""ar"")"),"مقبض الباب")</f>
        <v>مقبض الباب</v>
      </c>
    </row>
    <row r="1026" ht="15.75" customHeight="1">
      <c r="A1026" s="1" t="s">
        <v>2198</v>
      </c>
      <c r="B1026" s="1" t="s">
        <v>2195</v>
      </c>
      <c r="C1026" s="1"/>
      <c r="D1026" s="1" t="str">
        <f>IFERROR(__xludf.DUMMYFUNCTION("GOOGLETRANSLATE(A1026 , ""auto"", ""ar"")"),"هيكل الباب")</f>
        <v>هيكل الباب</v>
      </c>
    </row>
    <row r="1027" ht="15.75" customHeight="1">
      <c r="A1027" s="1" t="s">
        <v>2199</v>
      </c>
      <c r="B1027" s="1" t="s">
        <v>2200</v>
      </c>
      <c r="C1027" s="2" t="s">
        <v>2201</v>
      </c>
      <c r="D1027" s="1" t="str">
        <f>IFERROR(__xludf.DUMMYFUNCTION("GOOGLETRANSLATE(A1027 , ""auto"", ""ar"")"),"عجين")</f>
        <v>عجين</v>
      </c>
    </row>
    <row r="1028" ht="15.75" customHeight="1">
      <c r="A1028" s="1" t="s">
        <v>2202</v>
      </c>
      <c r="B1028" s="1" t="s">
        <v>2203</v>
      </c>
      <c r="C1028" s="2" t="s">
        <v>2204</v>
      </c>
      <c r="D1028" s="1" t="str">
        <f>IFERROR(__xludf.DUMMYFUNCTION("GOOGLETRANSLATE(A1028 , ""auto"", ""ar"")"),"كعكة محلاة")</f>
        <v>كعكة محلاة</v>
      </c>
    </row>
    <row r="1029" ht="15.75" customHeight="1">
      <c r="A1029" s="1" t="s">
        <v>2205</v>
      </c>
      <c r="B1029" s="1" t="s">
        <v>2206</v>
      </c>
      <c r="C1029" s="1"/>
      <c r="D1029" s="1" t="str">
        <f>IFERROR(__xludf.DUMMYFUNCTION("GOOGLETRANSLATE(A1029 , ""auto"", ""ar"")"),"التنين")</f>
        <v>التنين</v>
      </c>
    </row>
    <row r="1030" ht="15.75" customHeight="1">
      <c r="A1030" s="1" t="s">
        <v>2207</v>
      </c>
      <c r="B1030" s="1" t="s">
        <v>2208</v>
      </c>
      <c r="C1030" s="2" t="s">
        <v>2209</v>
      </c>
      <c r="D1030" s="1" t="str">
        <f>IFERROR(__xludf.DUMMYFUNCTION("GOOGLETRANSLATE(A1030 , ""auto"", ""ar"")"),"بالُوعَة")</f>
        <v>بالُوعَة</v>
      </c>
    </row>
    <row r="1031" ht="15.75" customHeight="1">
      <c r="A1031" s="1" t="s">
        <v>2210</v>
      </c>
      <c r="B1031" s="1" t="s">
        <v>2211</v>
      </c>
      <c r="C1031" s="2" t="s">
        <v>2212</v>
      </c>
      <c r="D1031" s="1" t="str">
        <f>IFERROR(__xludf.DUMMYFUNCTION("GOOGLETRANSLATE(A1031 , ""auto"", ""ar"")"),"رف تجفيف")</f>
        <v>رف تجفيف</v>
      </c>
    </row>
    <row r="1032" ht="15.75" customHeight="1">
      <c r="A1032" s="1" t="s">
        <v>2213</v>
      </c>
      <c r="B1032" s="1" t="s">
        <v>2214</v>
      </c>
      <c r="C1032" s="2" t="s">
        <v>2215</v>
      </c>
      <c r="D1032" s="1" t="str">
        <f>IFERROR(__xludf.DUMMYFUNCTION("GOOGLETRANSLATE(A1032 , ""auto"", ""ar"")"),"يرسم")</f>
        <v>يرسم</v>
      </c>
    </row>
    <row r="1033" ht="15.75" customHeight="1">
      <c r="A1033" s="1" t="s">
        <v>2216</v>
      </c>
      <c r="B1033" s="1" t="s">
        <v>2217</v>
      </c>
      <c r="C1033" s="2" t="s">
        <v>2218</v>
      </c>
      <c r="D1033" s="1" t="str">
        <f>IFERROR(__xludf.DUMMYFUNCTION("GOOGLETRANSLATE(A1033 , ""auto"", ""ar"")"),"ارسم خطا")</f>
        <v>ارسم خطا</v>
      </c>
    </row>
    <row r="1034" ht="15.75" customHeight="1">
      <c r="A1034" s="1" t="s">
        <v>2219</v>
      </c>
      <c r="B1034" s="1" t="s">
        <v>2220</v>
      </c>
      <c r="C1034" s="2" t="s">
        <v>2221</v>
      </c>
      <c r="D1034" s="1" t="str">
        <f>IFERROR(__xludf.DUMMYFUNCTION("GOOGLETRANSLATE(A1034 , ""auto"", ""ar"")"),"الدرج")</f>
        <v>الدرج</v>
      </c>
    </row>
    <row r="1035" ht="15.75" customHeight="1">
      <c r="A1035" s="1" t="s">
        <v>2219</v>
      </c>
      <c r="B1035" s="1" t="s">
        <v>2222</v>
      </c>
      <c r="C1035" s="1"/>
      <c r="D1035" s="1" t="str">
        <f>IFERROR(__xludf.DUMMYFUNCTION("GOOGLETRANSLATE(A1035 , ""auto"", ""ar"")"),"الدرج")</f>
        <v>الدرج</v>
      </c>
    </row>
    <row r="1036" ht="15.75" customHeight="1">
      <c r="A1036" s="1" t="s">
        <v>2223</v>
      </c>
      <c r="B1036" s="1" t="s">
        <v>2224</v>
      </c>
      <c r="C1036" s="2" t="s">
        <v>2225</v>
      </c>
      <c r="D1036" s="1" t="str">
        <f>IFERROR(__xludf.DUMMYFUNCTION("GOOGLETRANSLATE(A1036 , ""auto"", ""ar"")"),"رسم")</f>
        <v>رسم</v>
      </c>
    </row>
    <row r="1037" ht="15.75" customHeight="1">
      <c r="A1037" s="1" t="s">
        <v>2226</v>
      </c>
      <c r="B1037" s="1" t="s">
        <v>2227</v>
      </c>
      <c r="C1037" s="2" t="s">
        <v>2228</v>
      </c>
      <c r="D1037" s="1" t="str">
        <f>IFERROR(__xludf.DUMMYFUNCTION("GOOGLETRANSLATE(A1037 , ""auto"", ""ar"")"),"حلم")</f>
        <v>حلم</v>
      </c>
    </row>
    <row r="1038" ht="15.75" customHeight="1">
      <c r="A1038" s="1" t="s">
        <v>2226</v>
      </c>
      <c r="B1038" s="1" t="s">
        <v>2229</v>
      </c>
      <c r="C1038" s="2" t="s">
        <v>2230</v>
      </c>
      <c r="D1038" s="1" t="str">
        <f>IFERROR(__xludf.DUMMYFUNCTION("GOOGLETRANSLATE(A1038 , ""auto"", ""ar"")"),"حلم")</f>
        <v>حلم</v>
      </c>
    </row>
    <row r="1039" ht="15.75" customHeight="1">
      <c r="A1039" s="1" t="s">
        <v>2226</v>
      </c>
      <c r="B1039" s="1" t="s">
        <v>2231</v>
      </c>
      <c r="C1039" s="2" t="s">
        <v>2232</v>
      </c>
      <c r="D1039" s="1" t="str">
        <f>IFERROR(__xludf.DUMMYFUNCTION("GOOGLETRANSLATE(A1039 , ""auto"", ""ar"")"),"حلم")</f>
        <v>حلم</v>
      </c>
    </row>
    <row r="1040" ht="15.75" customHeight="1">
      <c r="A1040" s="1" t="s">
        <v>2233</v>
      </c>
      <c r="B1040" s="1" t="s">
        <v>2234</v>
      </c>
      <c r="C1040" s="1"/>
      <c r="D1040" s="1" t="str">
        <f>IFERROR(__xludf.DUMMYFUNCTION("GOOGLETRANSLATE(A1040 , ""auto"", ""ar"")"),"دريغ")</f>
        <v>دريغ</v>
      </c>
    </row>
    <row r="1041" ht="15.75" customHeight="1">
      <c r="A1041" s="1" t="s">
        <v>2235</v>
      </c>
      <c r="B1041" s="1" t="s">
        <v>1509</v>
      </c>
      <c r="C1041" s="2" t="s">
        <v>1510</v>
      </c>
      <c r="D1041" s="1" t="str">
        <f>IFERROR(__xludf.DUMMYFUNCTION("GOOGLETRANSLATE(A1041 , ""auto"", ""ar"")"),"فستان")</f>
        <v>فستان</v>
      </c>
    </row>
    <row r="1042" ht="15.75" customHeight="1">
      <c r="A1042" s="1" t="s">
        <v>2235</v>
      </c>
      <c r="B1042" s="1" t="s">
        <v>2236</v>
      </c>
      <c r="C1042" s="1"/>
      <c r="D1042" s="1" t="str">
        <f>IFERROR(__xludf.DUMMYFUNCTION("GOOGLETRANSLATE(A1042 , ""auto"", ""ar"")"),"فستان")</f>
        <v>فستان</v>
      </c>
    </row>
    <row r="1043" ht="15.75" customHeight="1">
      <c r="A1043" s="1" t="s">
        <v>2237</v>
      </c>
      <c r="B1043" s="1" t="s">
        <v>1855</v>
      </c>
      <c r="C1043" s="2" t="s">
        <v>1856</v>
      </c>
      <c r="D1043" s="1" t="str">
        <f>IFERROR(__xludf.DUMMYFUNCTION("GOOGLETRANSLATE(A1043 , ""auto"", ""ar"")"),"مضمد")</f>
        <v>مضمد</v>
      </c>
    </row>
    <row r="1044" ht="15.75" customHeight="1">
      <c r="A1044" s="1" t="s">
        <v>2238</v>
      </c>
      <c r="B1044" s="1" t="s">
        <v>565</v>
      </c>
      <c r="C1044" s="2" t="s">
        <v>566</v>
      </c>
      <c r="D1044" s="1" t="str">
        <f>IFERROR(__xludf.DUMMYFUNCTION("GOOGLETRANSLATE(A1044 , ""auto"", ""ar"")"),"ثوب النوم")</f>
        <v>ثوب النوم</v>
      </c>
    </row>
    <row r="1045" ht="15.75" customHeight="1">
      <c r="A1045" s="1" t="s">
        <v>2239</v>
      </c>
      <c r="B1045" s="1" t="s">
        <v>2240</v>
      </c>
      <c r="C1045" s="2" t="s">
        <v>2241</v>
      </c>
      <c r="D1045" s="1" t="str">
        <f>IFERROR(__xludf.DUMMYFUNCTION("GOOGLETRANSLATE(A1045 , ""auto"", ""ar"")"),"خياطة")</f>
        <v>خياطة</v>
      </c>
    </row>
    <row r="1046" ht="15.75" customHeight="1">
      <c r="A1046" s="1" t="s">
        <v>2242</v>
      </c>
      <c r="B1046" s="1" t="s">
        <v>2243</v>
      </c>
      <c r="C1046" s="2" t="s">
        <v>2244</v>
      </c>
      <c r="D1046" s="1" t="str">
        <f>IFERROR(__xludf.DUMMYFUNCTION("GOOGLETRANSLATE(A1046 , ""auto"", ""ar"")"),"تدريبات")</f>
        <v>تدريبات</v>
      </c>
    </row>
    <row r="1047" ht="15.75" customHeight="1">
      <c r="A1047" s="1" t="s">
        <v>2242</v>
      </c>
      <c r="B1047" s="1" t="s">
        <v>2245</v>
      </c>
      <c r="C1047" s="1"/>
      <c r="D1047" s="1" t="str">
        <f>IFERROR(__xludf.DUMMYFUNCTION("GOOGLETRANSLATE(A1047 , ""auto"", ""ar"")"),"تدريبات")</f>
        <v>تدريبات</v>
      </c>
    </row>
    <row r="1048" ht="15.75" customHeight="1">
      <c r="A1048" s="1" t="s">
        <v>2246</v>
      </c>
      <c r="B1048" s="1" t="s">
        <v>2247</v>
      </c>
      <c r="C1048" s="2" t="s">
        <v>2248</v>
      </c>
      <c r="D1048" s="1" t="str">
        <f>IFERROR(__xludf.DUMMYFUNCTION("GOOGLETRANSLATE(A1048 , ""auto"", ""ar"")"),"يشرب")</f>
        <v>يشرب</v>
      </c>
    </row>
    <row r="1049" ht="15.75" customHeight="1">
      <c r="A1049" s="1" t="s">
        <v>2246</v>
      </c>
      <c r="B1049" s="1" t="s">
        <v>2249</v>
      </c>
      <c r="C1049" s="2" t="s">
        <v>2250</v>
      </c>
      <c r="D1049" s="1" t="str">
        <f>IFERROR(__xludf.DUMMYFUNCTION("GOOGLETRANSLATE(A1049 , ""auto"", ""ar"")"),"يشرب")</f>
        <v>يشرب</v>
      </c>
    </row>
    <row r="1050" ht="15.75" customHeight="1">
      <c r="A1050" s="1" t="s">
        <v>2246</v>
      </c>
      <c r="B1050" s="1" t="s">
        <v>1155</v>
      </c>
      <c r="C1050" s="2" t="s">
        <v>1156</v>
      </c>
      <c r="D1050" s="1" t="str">
        <f>IFERROR(__xludf.DUMMYFUNCTION("GOOGLETRANSLATE(A1050 , ""auto"", ""ar"")"),"يشرب")</f>
        <v>يشرب</v>
      </c>
    </row>
    <row r="1051" ht="15.75" customHeight="1">
      <c r="A1051" s="1" t="s">
        <v>2251</v>
      </c>
      <c r="B1051" s="1" t="s">
        <v>2252</v>
      </c>
      <c r="C1051" s="2" t="s">
        <v>2253</v>
      </c>
      <c r="D1051" s="1" t="str">
        <f>IFERROR(__xludf.DUMMYFUNCTION("GOOGLETRANSLATE(A1051 , ""auto"", ""ar"")"),"تقطر")</f>
        <v>تقطر</v>
      </c>
    </row>
    <row r="1052" ht="15.75" customHeight="1">
      <c r="A1052" s="1" t="s">
        <v>2254</v>
      </c>
      <c r="B1052" s="1" t="s">
        <v>2255</v>
      </c>
      <c r="C1052" s="2" t="s">
        <v>2256</v>
      </c>
      <c r="D1052" s="1" t="str">
        <f>IFERROR(__xludf.DUMMYFUNCTION("GOOGLETRANSLATE(A1052 , ""auto"", ""ar"")"),"يقود")</f>
        <v>يقود</v>
      </c>
    </row>
    <row r="1053" ht="15.75" customHeight="1">
      <c r="A1053" s="1" t="s">
        <v>2257</v>
      </c>
      <c r="B1053" s="1" t="s">
        <v>2258</v>
      </c>
      <c r="C1053" s="2" t="s">
        <v>2259</v>
      </c>
      <c r="D1053" s="1" t="str">
        <f>IFERROR(__xludf.DUMMYFUNCTION("GOOGLETRANSLATE(A1053 , ""auto"", ""ar"")"),"سائق")</f>
        <v>سائق</v>
      </c>
    </row>
    <row r="1054" ht="15.75" customHeight="1">
      <c r="A1054" s="1" t="s">
        <v>2260</v>
      </c>
      <c r="B1054" s="1" t="s">
        <v>2261</v>
      </c>
      <c r="C1054" s="2" t="s">
        <v>2262</v>
      </c>
      <c r="D1054" s="1" t="str">
        <f>IFERROR(__xludf.DUMMYFUNCTION("GOOGLETRANSLATE(A1054 , ""auto"", ""ar"")"),"يسقط")</f>
        <v>يسقط</v>
      </c>
    </row>
    <row r="1055" ht="15.75" customHeight="1">
      <c r="A1055" s="1" t="s">
        <v>2260</v>
      </c>
      <c r="B1055" s="1" t="s">
        <v>1977</v>
      </c>
      <c r="C1055" s="1"/>
      <c r="D1055" s="1" t="str">
        <f>IFERROR(__xludf.DUMMYFUNCTION("GOOGLETRANSLATE(A1055 , ""auto"", ""ar"")"),"يسقط")</f>
        <v>يسقط</v>
      </c>
    </row>
    <row r="1056" ht="15.75" customHeight="1">
      <c r="A1056" s="1" t="s">
        <v>2263</v>
      </c>
      <c r="B1056" s="1" t="s">
        <v>2264</v>
      </c>
      <c r="C1056" s="2" t="s">
        <v>2265</v>
      </c>
      <c r="D1056" s="1" t="str">
        <f>IFERROR(__xludf.DUMMYFUNCTION("GOOGLETRANSLATE(A1056 , ""auto"", ""ar"")"),"صيدلية")</f>
        <v>صيدلية</v>
      </c>
    </row>
    <row r="1057" ht="15.75" customHeight="1">
      <c r="A1057" s="1" t="s">
        <v>2266</v>
      </c>
      <c r="B1057" s="1" t="s">
        <v>2267</v>
      </c>
      <c r="C1057" s="2" t="s">
        <v>2268</v>
      </c>
      <c r="D1057" s="1" t="str">
        <f>IFERROR(__xludf.DUMMYFUNCTION("GOOGLETRANSLATE(A1057 , ""auto"", ""ar"")"),"سكران")</f>
        <v>سكران</v>
      </c>
    </row>
    <row r="1058" ht="15.75" customHeight="1">
      <c r="A1058" s="1" t="s">
        <v>2269</v>
      </c>
      <c r="B1058" s="1" t="s">
        <v>2270</v>
      </c>
      <c r="C1058" s="1"/>
      <c r="D1058" s="1" t="str">
        <f>IFERROR(__xludf.DUMMYFUNCTION("GOOGLETRANSLATE(A1058 , ""auto"", ""ar"")"),"سكير")</f>
        <v>سكير</v>
      </c>
    </row>
    <row r="1059" ht="15.75" customHeight="1">
      <c r="A1059" s="1" t="s">
        <v>2271</v>
      </c>
      <c r="B1059" s="1" t="s">
        <v>2272</v>
      </c>
      <c r="C1059" s="2" t="s">
        <v>2273</v>
      </c>
      <c r="D1059" s="1" t="str">
        <f>IFERROR(__xludf.DUMMYFUNCTION("GOOGLETRANSLATE(A1059 , ""auto"", ""ar"")"),"جاف")</f>
        <v>جاف</v>
      </c>
    </row>
    <row r="1060" ht="15.75" customHeight="1">
      <c r="A1060" s="1" t="s">
        <v>2271</v>
      </c>
      <c r="B1060" s="1" t="s">
        <v>2274</v>
      </c>
      <c r="C1060" s="2" t="s">
        <v>2275</v>
      </c>
      <c r="D1060" s="1" t="str">
        <f>IFERROR(__xludf.DUMMYFUNCTION("GOOGLETRANSLATE(A1060 , ""auto"", ""ar"")"),"جاف")</f>
        <v>جاف</v>
      </c>
    </row>
    <row r="1061" ht="15.75" customHeight="1">
      <c r="A1061" s="1" t="s">
        <v>2276</v>
      </c>
      <c r="B1061" s="1" t="s">
        <v>2277</v>
      </c>
      <c r="C1061" s="2" t="s">
        <v>2278</v>
      </c>
      <c r="D1061" s="1" t="str">
        <f>IFERROR(__xludf.DUMMYFUNCTION("GOOGLETRANSLATE(A1061 , ""auto"", ""ar"")"),"تراب")</f>
        <v>تراب</v>
      </c>
    </row>
    <row r="1062" ht="15.75" customHeight="1">
      <c r="A1062" s="1" t="s">
        <v>2279</v>
      </c>
      <c r="B1062" s="1" t="s">
        <v>770</v>
      </c>
      <c r="C1062" s="1"/>
      <c r="D1062" s="1" t="str">
        <f>IFERROR(__xludf.DUMMYFUNCTION("GOOGLETRANSLATE(A1062 , ""auto"", ""ar"")"),"صندوق القمامة")</f>
        <v>صندوق القمامة</v>
      </c>
    </row>
    <row r="1063" ht="15.75" customHeight="1">
      <c r="A1063" s="1" t="s">
        <v>2279</v>
      </c>
      <c r="B1063" s="1" t="s">
        <v>771</v>
      </c>
      <c r="C1063" s="1"/>
      <c r="D1063" s="1" t="str">
        <f>IFERROR(__xludf.DUMMYFUNCTION("GOOGLETRANSLATE(A1063 , ""auto"", ""ar"")"),"صندوق القمامة")</f>
        <v>صندوق القمامة</v>
      </c>
    </row>
    <row r="1064" ht="15.75" customHeight="1">
      <c r="A1064" s="1" t="s">
        <v>2280</v>
      </c>
      <c r="B1064" s="1" t="s">
        <v>2281</v>
      </c>
      <c r="C1064" s="1"/>
      <c r="D1064" s="1" t="str">
        <f>IFERROR(__xludf.DUMMYFUNCTION("GOOGLETRANSLATE(A1064 , ""auto"", ""ar"")"),"مجرود")</f>
        <v>مجرود</v>
      </c>
    </row>
    <row r="1065" ht="15.75" customHeight="1">
      <c r="A1065" s="1" t="s">
        <v>466</v>
      </c>
      <c r="B1065" s="1" t="s">
        <v>467</v>
      </c>
      <c r="C1065" s="2" t="s">
        <v>468</v>
      </c>
      <c r="D1065" s="1" t="str">
        <f>IFERROR(__xludf.DUMMYFUNCTION("GOOGLETRANSLATE(A1065 , ""auto"", ""ar"")"),"اسم العائلة")</f>
        <v>اسم العائلة</v>
      </c>
    </row>
    <row r="1066" ht="15.75" customHeight="1">
      <c r="A1066" s="1" t="s">
        <v>43</v>
      </c>
      <c r="B1066" s="1" t="s">
        <v>44</v>
      </c>
      <c r="C1066" s="2" t="s">
        <v>45</v>
      </c>
      <c r="D1066" s="1" t="str">
        <f>IFERROR(__xludf.DUMMYFUNCTION("GOOGLETRANSLATE(A1066 , ""auto"", ""ar"")"),"مقبول")</f>
        <v>مقبول</v>
      </c>
    </row>
    <row r="1067" ht="15.75" customHeight="1">
      <c r="A1067" s="1" t="s">
        <v>469</v>
      </c>
      <c r="B1067" s="1" t="s">
        <v>470</v>
      </c>
      <c r="C1067" s="2" t="s">
        <v>471</v>
      </c>
      <c r="D1067" s="1" t="str">
        <f>IFERROR(__xludf.DUMMYFUNCTION("GOOGLETRANSLATE(A1067 , ""auto"", ""ar"")"),"التصالح")</f>
        <v>التصالح</v>
      </c>
    </row>
    <row r="1068" ht="15.75" customHeight="1">
      <c r="A1068" s="1" t="s">
        <v>472</v>
      </c>
      <c r="B1068" s="1" t="s">
        <v>473</v>
      </c>
      <c r="C1068" s="2" t="s">
        <v>474</v>
      </c>
      <c r="D1068" s="1" t="str">
        <f>IFERROR(__xludf.DUMMYFUNCTION("GOOGLETRANSLATE(A1068 , ""auto"", ""ar"")"),"مغفرة")</f>
        <v>مغفرة</v>
      </c>
    </row>
    <row r="1069" ht="15.75" customHeight="1">
      <c r="A1069" s="1" t="s">
        <v>475</v>
      </c>
      <c r="B1069" s="1" t="s">
        <v>476</v>
      </c>
      <c r="C1069" s="2" t="s">
        <v>477</v>
      </c>
      <c r="D1069" s="1" t="str">
        <f>IFERROR(__xludf.DUMMYFUNCTION("GOOGLETRANSLATE(A1069 , ""auto"", ""ar"")"),"يخبر")</f>
        <v>يخبر</v>
      </c>
    </row>
    <row r="1070" ht="15.75" customHeight="1">
      <c r="A1070" s="1" t="s">
        <v>2282</v>
      </c>
      <c r="B1070" s="1" t="s">
        <v>2283</v>
      </c>
      <c r="C1070" s="2" t="s">
        <v>2284</v>
      </c>
      <c r="D1070" s="1" t="str">
        <f>IFERROR(__xludf.DUMMYFUNCTION("GOOGLETRANSLATE(A1070 , ""auto"", ""ar"")"),"كل")</f>
        <v>كل</v>
      </c>
    </row>
    <row r="1071" ht="15.75" customHeight="1">
      <c r="A1071" s="1" t="s">
        <v>2282</v>
      </c>
      <c r="B1071" s="1" t="s">
        <v>2285</v>
      </c>
      <c r="C1071" s="1"/>
      <c r="D1071" s="1" t="str">
        <f>IFERROR(__xludf.DUMMYFUNCTION("GOOGLETRANSLATE(A1071 , ""auto"", ""ar"")"),"كل")</f>
        <v>كل</v>
      </c>
    </row>
    <row r="1072" ht="15.75" customHeight="1">
      <c r="A1072" s="1" t="s">
        <v>2286</v>
      </c>
      <c r="B1072" s="1" t="s">
        <v>2287</v>
      </c>
      <c r="C1072" s="1"/>
      <c r="D1072" s="1" t="str">
        <f>IFERROR(__xludf.DUMMYFUNCTION("GOOGLETRANSLATE(A1072 , ""auto"", ""ar"")"),"بعضها البعض")</f>
        <v>بعضها البعض</v>
      </c>
    </row>
    <row r="1073" ht="15.75" customHeight="1">
      <c r="A1073" s="1" t="s">
        <v>2288</v>
      </c>
      <c r="B1073" s="1" t="s">
        <v>2289</v>
      </c>
      <c r="C1073" s="2" t="s">
        <v>2290</v>
      </c>
      <c r="D1073" s="1" t="str">
        <f>IFERROR(__xludf.DUMMYFUNCTION("GOOGLETRANSLATE(A1073 , ""auto"", ""ar"")"),"أذن")</f>
        <v>أذن</v>
      </c>
    </row>
    <row r="1074" ht="15.75" customHeight="1">
      <c r="A1074" s="1" t="s">
        <v>2291</v>
      </c>
      <c r="B1074" s="1" t="s">
        <v>2292</v>
      </c>
      <c r="C1074" s="2" t="s">
        <v>2293</v>
      </c>
      <c r="D1074" s="1" t="str">
        <f>IFERROR(__xludf.DUMMYFUNCTION("GOOGLETRANSLATE(A1074 , ""auto"", ""ar"")"),"مبكر")</f>
        <v>مبكر</v>
      </c>
    </row>
    <row r="1075" ht="15.75" customHeight="1">
      <c r="A1075" s="1" t="s">
        <v>2294</v>
      </c>
      <c r="B1075" s="1" t="s">
        <v>2295</v>
      </c>
      <c r="C1075" s="2" t="s">
        <v>2296</v>
      </c>
      <c r="D1075" s="1" t="str">
        <f>IFERROR(__xludf.DUMMYFUNCTION("GOOGLETRANSLATE(A1075 , ""auto"", ""ar"")"),"حلق الاذن")</f>
        <v>حلق الاذن</v>
      </c>
    </row>
    <row r="1076" ht="15.75" customHeight="1">
      <c r="A1076" s="1" t="s">
        <v>2297</v>
      </c>
      <c r="B1076" s="1" t="s">
        <v>2298</v>
      </c>
      <c r="C1076" s="2" t="s">
        <v>2299</v>
      </c>
      <c r="D1076" s="1" t="str">
        <f>IFERROR(__xludf.DUMMYFUNCTION("GOOGLETRANSLATE(A1076 , ""auto"", ""ar"")"),"أرض")</f>
        <v>أرض</v>
      </c>
    </row>
    <row r="1077" ht="15.75" customHeight="1">
      <c r="A1077" s="1" t="s">
        <v>2297</v>
      </c>
      <c r="B1077" s="1" t="s">
        <v>2300</v>
      </c>
      <c r="C1077" s="2" t="s">
        <v>2301</v>
      </c>
      <c r="D1077" s="1" t="str">
        <f>IFERROR(__xludf.DUMMYFUNCTION("GOOGLETRANSLATE(A1077 , ""auto"", ""ar"")"),"أرض")</f>
        <v>أرض</v>
      </c>
    </row>
    <row r="1078" ht="15.75" customHeight="1">
      <c r="A1078" s="1" t="s">
        <v>2302</v>
      </c>
      <c r="B1078" s="1" t="s">
        <v>2303</v>
      </c>
      <c r="C1078" s="2" t="s">
        <v>2304</v>
      </c>
      <c r="D1078" s="1" t="str">
        <f>IFERROR(__xludf.DUMMYFUNCTION("GOOGLETRANSLATE(A1078 , ""auto"", ""ar"")"),"شرق")</f>
        <v>شرق</v>
      </c>
    </row>
    <row r="1079" ht="15.75" customHeight="1">
      <c r="A1079" s="1" t="s">
        <v>2305</v>
      </c>
      <c r="B1079" s="1" t="s">
        <v>2306</v>
      </c>
      <c r="C1079" s="1"/>
      <c r="D1079" s="1" t="str">
        <f>IFERROR(__xludf.DUMMYFUNCTION("GOOGLETRANSLATE(A1079 , ""auto"", ""ar"")"),"عيد الفصح")</f>
        <v>عيد الفصح</v>
      </c>
    </row>
    <row r="1080" ht="15.75" customHeight="1">
      <c r="A1080" s="1" t="s">
        <v>2307</v>
      </c>
      <c r="B1080" s="1" t="s">
        <v>2308</v>
      </c>
      <c r="C1080" s="2" t="s">
        <v>2309</v>
      </c>
      <c r="D1080" s="1" t="str">
        <f>IFERROR(__xludf.DUMMYFUNCTION("GOOGLETRANSLATE(A1080 , ""auto"", ""ar"")"),"سهل")</f>
        <v>سهل</v>
      </c>
    </row>
    <row r="1081" ht="15.75" customHeight="1">
      <c r="A1081" s="1" t="s">
        <v>2310</v>
      </c>
      <c r="B1081" s="1" t="s">
        <v>2311</v>
      </c>
      <c r="C1081" s="2" t="s">
        <v>2312</v>
      </c>
      <c r="D1081" s="1" t="str">
        <f>IFERROR(__xludf.DUMMYFUNCTION("GOOGLETRANSLATE(A1081 , ""auto"", ""ar"")"),"سهل في عقل المرء")</f>
        <v>سهل في عقل المرء</v>
      </c>
    </row>
    <row r="1082" ht="15.75" customHeight="1">
      <c r="A1082" s="1" t="s">
        <v>2313</v>
      </c>
      <c r="B1082" s="1" t="s">
        <v>2314</v>
      </c>
      <c r="C1082" s="2" t="s">
        <v>2315</v>
      </c>
      <c r="D1082" s="1" t="str">
        <f>IFERROR(__xludf.DUMMYFUNCTION("GOOGLETRANSLATE(A1082 , ""auto"", ""ar"")"),"يأكل")</f>
        <v>يأكل</v>
      </c>
    </row>
    <row r="1083" ht="15.75" customHeight="1">
      <c r="A1083" s="1" t="s">
        <v>2313</v>
      </c>
      <c r="B1083" s="1" t="s">
        <v>2247</v>
      </c>
      <c r="C1083" s="2" t="s">
        <v>2248</v>
      </c>
      <c r="D1083" s="1" t="str">
        <f>IFERROR(__xludf.DUMMYFUNCTION("GOOGLETRANSLATE(A1083 , ""auto"", ""ar"")"),"يأكل")</f>
        <v>يأكل</v>
      </c>
    </row>
    <row r="1084" ht="15.75" customHeight="1">
      <c r="A1084" s="1" t="s">
        <v>2316</v>
      </c>
      <c r="B1084" s="1" t="s">
        <v>2317</v>
      </c>
      <c r="C1084" s="2" t="s">
        <v>2318</v>
      </c>
      <c r="D1084" s="1" t="str">
        <f>IFERROR(__xludf.DUMMYFUNCTION("GOOGLETRANSLATE(A1084 , ""auto"", ""ar"")"),"تناول الوجبة قبل شروق الشمس خلال رمضان")</f>
        <v>تناول الوجبة قبل شروق الشمس خلال رمضان</v>
      </c>
    </row>
    <row r="1085" ht="15.75" customHeight="1">
      <c r="A1085" s="1" t="s">
        <v>2319</v>
      </c>
      <c r="B1085" s="1" t="s">
        <v>2320</v>
      </c>
      <c r="C1085" s="2" t="s">
        <v>2321</v>
      </c>
      <c r="D1085" s="1" t="str">
        <f>IFERROR(__xludf.DUMMYFUNCTION("GOOGLETRANSLATE(A1085 , ""auto"", ""ar"")"),"اقتصادي")</f>
        <v>اقتصادي</v>
      </c>
    </row>
    <row r="1086" ht="15.75" customHeight="1">
      <c r="A1086" s="1" t="s">
        <v>2322</v>
      </c>
      <c r="B1086" s="1" t="s">
        <v>2323</v>
      </c>
      <c r="C1086" s="2" t="s">
        <v>2324</v>
      </c>
      <c r="D1086" s="1" t="str">
        <f>IFERROR(__xludf.DUMMYFUNCTION("GOOGLETRANSLATE(A1086 , ""auto"", ""ar"")"),"الاقتصاد")</f>
        <v>الاقتصاد</v>
      </c>
    </row>
    <row r="1087" ht="15.75" customHeight="1">
      <c r="A1087" s="1" t="s">
        <v>2325</v>
      </c>
      <c r="B1087" s="1" t="s">
        <v>2326</v>
      </c>
      <c r="C1087" s="2" t="s">
        <v>2327</v>
      </c>
      <c r="D1087" s="1" t="str">
        <f>IFERROR(__xludf.DUMMYFUNCTION("GOOGLETRANSLATE(A1087 , ""auto"", ""ar"")"),"اقتصاد")</f>
        <v>اقتصاد</v>
      </c>
    </row>
    <row r="1088" ht="15.75" customHeight="1">
      <c r="A1088" s="1" t="s">
        <v>2325</v>
      </c>
      <c r="B1088" s="1" t="s">
        <v>2328</v>
      </c>
      <c r="C1088" s="2" t="s">
        <v>2329</v>
      </c>
      <c r="D1088" s="1" t="str">
        <f>IFERROR(__xludf.DUMMYFUNCTION("GOOGLETRANSLATE(A1088 , ""auto"", ""ar"")"),"اقتصاد")</f>
        <v>اقتصاد</v>
      </c>
    </row>
    <row r="1089" ht="15.75" customHeight="1">
      <c r="A1089" s="1" t="s">
        <v>2330</v>
      </c>
      <c r="B1089" s="1" t="s">
        <v>2331</v>
      </c>
      <c r="C1089" s="2" t="s">
        <v>2332</v>
      </c>
      <c r="D1089" s="1" t="str">
        <f>IFERROR(__xludf.DUMMYFUNCTION("GOOGLETRANSLATE(A1089 , ""auto"", ""ar"")"),"حافة")</f>
        <v>حافة</v>
      </c>
    </row>
    <row r="1090" ht="15.75" customHeight="1">
      <c r="A1090" s="1" t="s">
        <v>2330</v>
      </c>
      <c r="B1090" s="1" t="s">
        <v>2333</v>
      </c>
      <c r="C1090" s="2" t="s">
        <v>2334</v>
      </c>
      <c r="D1090" s="1" t="str">
        <f>IFERROR(__xludf.DUMMYFUNCTION("GOOGLETRANSLATE(A1090 , ""auto"", ""ar"")"),"حافة")</f>
        <v>حافة</v>
      </c>
    </row>
    <row r="1091" ht="15.75" customHeight="1">
      <c r="A1091" s="1" t="s">
        <v>2330</v>
      </c>
      <c r="B1091" s="1" t="s">
        <v>2335</v>
      </c>
      <c r="C1091" s="1"/>
      <c r="D1091" s="1" t="str">
        <f>IFERROR(__xludf.DUMMYFUNCTION("GOOGLETRANSLATE(A1091 , ""auto"", ""ar"")"),"حافة")</f>
        <v>حافة</v>
      </c>
    </row>
    <row r="1092" ht="15.75" customHeight="1">
      <c r="A1092" s="1" t="s">
        <v>2336</v>
      </c>
      <c r="B1092" s="1" t="s">
        <v>2337</v>
      </c>
      <c r="C1092" s="2" t="s">
        <v>65</v>
      </c>
      <c r="D1092" s="1" t="str">
        <f>IFERROR(__xludf.DUMMYFUNCTION("GOOGLETRANSLATE(A1092 , ""auto"", ""ar"")"),"متعلم")</f>
        <v>متعلم</v>
      </c>
    </row>
    <row r="1093" ht="15.75" customHeight="1">
      <c r="A1093" s="1" t="s">
        <v>2338</v>
      </c>
      <c r="B1093" s="1" t="s">
        <v>2339</v>
      </c>
      <c r="C1093" s="2" t="s">
        <v>2340</v>
      </c>
      <c r="D1093" s="1" t="str">
        <f>IFERROR(__xludf.DUMMYFUNCTION("GOOGLETRANSLATE(A1093 , ""auto"", ""ar"")"),"جهد")</f>
        <v>جهد</v>
      </c>
    </row>
    <row r="1094" ht="15.75" customHeight="1">
      <c r="A1094" s="1" t="s">
        <v>2341</v>
      </c>
      <c r="B1094" s="1" t="s">
        <v>2342</v>
      </c>
      <c r="C1094" s="2" t="s">
        <v>2343</v>
      </c>
      <c r="D1094" s="1" t="str">
        <f>IFERROR(__xludf.DUMMYFUNCTION("GOOGLETRANSLATE(A1094 , ""auto"", ""ar"")"),"بيضة")</f>
        <v>بيضة</v>
      </c>
    </row>
    <row r="1095" ht="15.75" customHeight="1">
      <c r="A1095" s="1" t="s">
        <v>2344</v>
      </c>
      <c r="B1095" s="1" t="s">
        <v>432</v>
      </c>
      <c r="C1095" s="2" t="s">
        <v>433</v>
      </c>
      <c r="D1095" s="1" t="str">
        <f>IFERROR(__xludf.DUMMYFUNCTION("GOOGLETRANSLATE(A1095 , ""auto"", ""ar"")"),"الباذنجان")</f>
        <v>الباذنجان</v>
      </c>
    </row>
    <row r="1096" ht="15.75" customHeight="1">
      <c r="A1096" s="1" t="s">
        <v>2345</v>
      </c>
      <c r="B1096" s="1" t="s">
        <v>2346</v>
      </c>
      <c r="C1096" s="2" t="s">
        <v>2347</v>
      </c>
      <c r="D1096" s="1" t="str">
        <f>IFERROR(__xludf.DUMMYFUNCTION("GOOGLETRANSLATE(A1096 , ""auto"", ""ar"")"),"مصر")</f>
        <v>مصر</v>
      </c>
    </row>
    <row r="1097" ht="15.75" customHeight="1">
      <c r="A1097" s="1" t="s">
        <v>2348</v>
      </c>
      <c r="B1097" s="1" t="s">
        <v>2349</v>
      </c>
      <c r="C1097" s="2" t="s">
        <v>2350</v>
      </c>
      <c r="D1097" s="1" t="str">
        <f>IFERROR(__xludf.DUMMYFUNCTION("GOOGLETRANSLATE(A1097 , ""auto"", ""ar"")"),"مصري")</f>
        <v>مصري</v>
      </c>
    </row>
    <row r="1098" ht="15.75" customHeight="1">
      <c r="A1098" s="1" t="s">
        <v>2351</v>
      </c>
      <c r="B1098" s="1" t="s">
        <v>2352</v>
      </c>
      <c r="C1098" s="2" t="s">
        <v>2353</v>
      </c>
      <c r="D1098" s="1" t="str">
        <f>IFERROR(__xludf.DUMMYFUNCTION("GOOGLETRANSLATE(A1098 , ""auto"", ""ar"")"),"ثمانية")</f>
        <v>ثمانية</v>
      </c>
    </row>
    <row r="1099" ht="15.75" customHeight="1">
      <c r="A1099" s="1" t="s">
        <v>2351</v>
      </c>
      <c r="B1099" s="1" t="s">
        <v>2354</v>
      </c>
      <c r="C1099" s="2" t="s">
        <v>2355</v>
      </c>
      <c r="D1099" s="1" t="str">
        <f>IFERROR(__xludf.DUMMYFUNCTION("GOOGLETRANSLATE(A1099 , ""auto"", ""ar"")"),"ثمانية")</f>
        <v>ثمانية</v>
      </c>
    </row>
    <row r="1100" ht="15.75" customHeight="1">
      <c r="A1100" s="1" t="s">
        <v>2356</v>
      </c>
      <c r="B1100" s="1" t="s">
        <v>2357</v>
      </c>
      <c r="C1100" s="2" t="s">
        <v>2358</v>
      </c>
      <c r="D1100" s="1" t="str">
        <f>IFERROR(__xludf.DUMMYFUNCTION("GOOGLETRANSLATE(A1100 , ""auto"", ""ar"")"),"الثامنة عشر")</f>
        <v>الثامنة عشر</v>
      </c>
    </row>
    <row r="1101" ht="15.75" customHeight="1">
      <c r="A1101" s="1" t="s">
        <v>2359</v>
      </c>
      <c r="B1101" s="1" t="s">
        <v>2360</v>
      </c>
      <c r="C1101" s="2" t="s">
        <v>2361</v>
      </c>
      <c r="D1101" s="1" t="str">
        <f>IFERROR(__xludf.DUMMYFUNCTION("GOOGLETRANSLATE(A1101 , ""auto"", ""ar"")"),"ثامن")</f>
        <v>ثامن</v>
      </c>
    </row>
    <row r="1102" ht="15.75" customHeight="1">
      <c r="A1102" s="1" t="s">
        <v>2362</v>
      </c>
      <c r="B1102" s="1" t="s">
        <v>2363</v>
      </c>
      <c r="C1102" s="2" t="s">
        <v>2364</v>
      </c>
      <c r="D1102" s="1" t="str">
        <f>IFERROR(__xludf.DUMMYFUNCTION("GOOGLETRANSLATE(A1102 , ""auto"", ""ar"")"),"ثمانون")</f>
        <v>ثمانون</v>
      </c>
    </row>
    <row r="1103" ht="15.75" customHeight="1">
      <c r="A1103" s="1" t="s">
        <v>2365</v>
      </c>
      <c r="B1103" s="1" t="s">
        <v>2366</v>
      </c>
      <c r="C1103" s="2" t="s">
        <v>2367</v>
      </c>
      <c r="D1103" s="1" t="str">
        <f>IFERROR(__xludf.DUMMYFUNCTION("GOOGLETRANSLATE(A1103 , ""auto"", ""ar"")"),"أيضاً")</f>
        <v>أيضاً</v>
      </c>
    </row>
    <row r="1104" ht="15.75" customHeight="1">
      <c r="A1104" s="1" t="s">
        <v>2368</v>
      </c>
      <c r="B1104" s="1" t="s">
        <v>2369</v>
      </c>
      <c r="C1104" s="1"/>
      <c r="D1104" s="1" t="str">
        <f>IFERROR(__xludf.DUMMYFUNCTION("GOOGLETRANSLATE(A1104 , ""auto"", ""ar"")"),"ربطة عنق مرنة")</f>
        <v>ربطة عنق مرنة</v>
      </c>
    </row>
    <row r="1105" ht="15.75" customHeight="1">
      <c r="A1105" s="1" t="s">
        <v>2370</v>
      </c>
      <c r="B1105" s="1" t="s">
        <v>2371</v>
      </c>
      <c r="C1105" s="2" t="s">
        <v>2372</v>
      </c>
      <c r="D1105" s="1" t="str">
        <f>IFERROR(__xludf.DUMMYFUNCTION("GOOGLETRANSLATE(A1105 , ""auto"", ""ar"")"),"مِرفَق")</f>
        <v>مِرفَق</v>
      </c>
    </row>
    <row r="1106" ht="15.75" customHeight="1">
      <c r="A1106" s="1" t="s">
        <v>2373</v>
      </c>
      <c r="B1106" s="1" t="s">
        <v>2374</v>
      </c>
      <c r="C1106" s="1"/>
      <c r="D1106" s="1" t="str">
        <f>IFERROR(__xludf.DUMMYFUNCTION("GOOGLETRANSLATE(A1106 , ""auto"", ""ar"")"),"الأكبر")</f>
        <v>الأكبر</v>
      </c>
    </row>
    <row r="1107" ht="15.75" customHeight="1">
      <c r="A1107" s="1" t="s">
        <v>2375</v>
      </c>
      <c r="B1107" s="1" t="s">
        <v>2376</v>
      </c>
      <c r="C1107" s="2" t="s">
        <v>2377</v>
      </c>
      <c r="D1107" s="1" t="str">
        <f>IFERROR(__xludf.DUMMYFUNCTION("GOOGLETRANSLATE(A1107 , ""auto"", ""ar"")"),"عامل الكهرباء")</f>
        <v>عامل الكهرباء</v>
      </c>
    </row>
    <row r="1108" ht="15.75" customHeight="1">
      <c r="A1108" s="1" t="s">
        <v>2378</v>
      </c>
      <c r="B1108" s="1" t="s">
        <v>2379</v>
      </c>
      <c r="C1108" s="2" t="s">
        <v>2380</v>
      </c>
      <c r="D1108" s="1" t="str">
        <f>IFERROR(__xludf.DUMMYFUNCTION("GOOGLETRANSLATE(A1108 , ""auto"", ""ar"")"),"كهرباء")</f>
        <v>كهرباء</v>
      </c>
    </row>
    <row r="1109" ht="15.75" customHeight="1">
      <c r="A1109" s="1" t="s">
        <v>2381</v>
      </c>
      <c r="B1109" s="1" t="s">
        <v>2382</v>
      </c>
      <c r="C1109" s="2" t="s">
        <v>2383</v>
      </c>
      <c r="D1109" s="1" t="str">
        <f>IFERROR(__xludf.DUMMYFUNCTION("GOOGLETRANSLATE(A1109 , ""auto"", ""ar"")"),"الفيل")</f>
        <v>الفيل</v>
      </c>
    </row>
    <row r="1110" ht="15.75" customHeight="1">
      <c r="A1110" s="1" t="s">
        <v>2384</v>
      </c>
      <c r="B1110" s="1" t="s">
        <v>2385</v>
      </c>
      <c r="C1110" s="2" t="s">
        <v>2386</v>
      </c>
      <c r="D1110" s="1" t="str">
        <f>IFERROR(__xludf.DUMMYFUNCTION("GOOGLETRANSLATE(A1110 , ""auto"", ""ar"")"),"مصعد")</f>
        <v>مصعد</v>
      </c>
    </row>
    <row r="1111" ht="15.75" customHeight="1">
      <c r="A1111" s="1" t="s">
        <v>2387</v>
      </c>
      <c r="B1111" s="1" t="s">
        <v>2388</v>
      </c>
      <c r="C1111" s="2" t="s">
        <v>2389</v>
      </c>
      <c r="D1111" s="1" t="str">
        <f>IFERROR(__xludf.DUMMYFUNCTION("GOOGLETRANSLATE(A1111 , ""auto"", ""ar"")"),"أحد عشر")</f>
        <v>أحد عشر</v>
      </c>
    </row>
    <row r="1112" ht="15.75" customHeight="1">
      <c r="A1112" s="1" t="s">
        <v>2390</v>
      </c>
      <c r="B1112" s="1" t="s">
        <v>2391</v>
      </c>
      <c r="C1112" s="2" t="s">
        <v>2392</v>
      </c>
      <c r="D1112" s="1" t="str">
        <f>IFERROR(__xludf.DUMMYFUNCTION("GOOGLETRANSLATE(A1112 , ""auto"", ""ar"")"),"الحاديه عشر")</f>
        <v>الحاديه عشر</v>
      </c>
    </row>
    <row r="1113" ht="15.75" customHeight="1">
      <c r="A1113" s="1" t="s">
        <v>2393</v>
      </c>
      <c r="B1113" s="1" t="s">
        <v>2394</v>
      </c>
      <c r="C1113" s="2" t="s">
        <v>2395</v>
      </c>
      <c r="D1113" s="1" t="str">
        <f>IFERROR(__xludf.DUMMYFUNCTION("GOOGLETRANSLATE(A1113 , ""auto"", ""ar"")"),"السفارة")</f>
        <v>السفارة</v>
      </c>
    </row>
    <row r="1114" ht="15.75" customHeight="1">
      <c r="A1114" s="1" t="s">
        <v>2396</v>
      </c>
      <c r="B1114" s="1" t="s">
        <v>2397</v>
      </c>
      <c r="C1114" s="2" t="s">
        <v>2398</v>
      </c>
      <c r="D1114" s="1" t="str">
        <f>IFERROR(__xludf.DUMMYFUNCTION("GOOGLETRANSLATE(A1114 , ""auto"", ""ar"")"),"طرز")</f>
        <v>طرز</v>
      </c>
    </row>
    <row r="1115" ht="15.75" customHeight="1">
      <c r="A1115" s="1" t="s">
        <v>2399</v>
      </c>
      <c r="B1115" s="1" t="s">
        <v>2397</v>
      </c>
      <c r="C1115" s="2" t="s">
        <v>2398</v>
      </c>
      <c r="D1115" s="1" t="str">
        <f>IFERROR(__xludf.DUMMYFUNCTION("GOOGLETRANSLATE(A1115 , ""auto"", ""ar"")"),"تطريز")</f>
        <v>تطريز</v>
      </c>
    </row>
    <row r="1116" ht="15.75" customHeight="1">
      <c r="A1116" s="1" t="s">
        <v>2400</v>
      </c>
      <c r="B1116" s="1" t="s">
        <v>1444</v>
      </c>
      <c r="C1116" s="2" t="s">
        <v>1445</v>
      </c>
      <c r="D1116" s="1" t="str">
        <f>IFERROR(__xludf.DUMMYFUNCTION("GOOGLETRANSLATE(A1116 , ""auto"", ""ar"")"),"موظف")</f>
        <v>موظف</v>
      </c>
    </row>
    <row r="1117" ht="15.75" customHeight="1">
      <c r="A1117" s="1" t="s">
        <v>2401</v>
      </c>
      <c r="B1117" s="1" t="s">
        <v>2402</v>
      </c>
      <c r="C1117" s="2" t="s">
        <v>2403</v>
      </c>
      <c r="D1117" s="1" t="str">
        <f>IFERROR(__xludf.DUMMYFUNCTION("GOOGLETRANSLATE(A1117 , ""auto"", ""ar"")"),"فارغ")</f>
        <v>فارغ</v>
      </c>
    </row>
    <row r="1118" ht="15.75" customHeight="1">
      <c r="A1118" s="1" t="s">
        <v>2401</v>
      </c>
      <c r="B1118" s="1" t="s">
        <v>2404</v>
      </c>
      <c r="C1118" s="2" t="s">
        <v>2405</v>
      </c>
      <c r="D1118" s="1" t="str">
        <f>IFERROR(__xludf.DUMMYFUNCTION("GOOGLETRANSLATE(A1118 , ""auto"", ""ar"")"),"فارغ")</f>
        <v>فارغ</v>
      </c>
    </row>
    <row r="1119" ht="15.75" customHeight="1">
      <c r="A1119" s="1" t="s">
        <v>2406</v>
      </c>
      <c r="B1119" s="1" t="s">
        <v>2407</v>
      </c>
      <c r="C1119" s="2" t="s">
        <v>2408</v>
      </c>
      <c r="D1119" s="1" t="str">
        <f>IFERROR(__xludf.DUMMYFUNCTION("GOOGLETRANSLATE(A1119 , ""auto"", ""ar"")"),"يشجع")</f>
        <v>يشجع</v>
      </c>
    </row>
    <row r="1120" ht="15.75" customHeight="1">
      <c r="A1120" s="1" t="s">
        <v>2409</v>
      </c>
      <c r="B1120" s="1" t="s">
        <v>2410</v>
      </c>
      <c r="C1120" s="1"/>
      <c r="D1120" s="1" t="str">
        <f>IFERROR(__xludf.DUMMYFUNCTION("GOOGLETRANSLATE(A1120 , ""auto"", ""ar"")"),"نهاية")</f>
        <v>نهاية</v>
      </c>
    </row>
    <row r="1121" ht="15.75" customHeight="1">
      <c r="A1121" s="1" t="s">
        <v>2409</v>
      </c>
      <c r="B1121" s="1" t="s">
        <v>2411</v>
      </c>
      <c r="C1121" s="2" t="s">
        <v>2412</v>
      </c>
      <c r="D1121" s="1" t="str">
        <f>IFERROR(__xludf.DUMMYFUNCTION("GOOGLETRANSLATE(A1121 , ""auto"", ""ar"")"),"نهاية")</f>
        <v>نهاية</v>
      </c>
    </row>
    <row r="1122" ht="15.75" customHeight="1">
      <c r="A1122" s="1" t="s">
        <v>2413</v>
      </c>
      <c r="B1122" s="1" t="s">
        <v>2414</v>
      </c>
      <c r="C1122" s="2" t="s">
        <v>2415</v>
      </c>
      <c r="D1122" s="1" t="str">
        <f>IFERROR(__xludf.DUMMYFUNCTION("GOOGLETRANSLATE(A1122 , ""auto"", ""ar"")"),"العدو")</f>
        <v>العدو</v>
      </c>
    </row>
    <row r="1123" ht="15.75" customHeight="1">
      <c r="A1123" s="1" t="s">
        <v>2416</v>
      </c>
      <c r="B1123" s="1" t="s">
        <v>2417</v>
      </c>
      <c r="C1123" s="2" t="s">
        <v>2418</v>
      </c>
      <c r="D1123" s="1" t="str">
        <f>IFERROR(__xludf.DUMMYFUNCTION("GOOGLETRANSLATE(A1123 , ""auto"", ""ar"")"),"مرتبط")</f>
        <v>مرتبط</v>
      </c>
    </row>
    <row r="1124" ht="15.75" customHeight="1">
      <c r="A1124" s="1" t="s">
        <v>2419</v>
      </c>
      <c r="B1124" s="1" t="s">
        <v>2420</v>
      </c>
      <c r="C1124" s="2" t="s">
        <v>2421</v>
      </c>
      <c r="D1124" s="1" t="str">
        <f>IFERROR(__xludf.DUMMYFUNCTION("GOOGLETRANSLATE(A1124 , ""auto"", ""ar"")"),"ارتباط")</f>
        <v>ارتباط</v>
      </c>
    </row>
    <row r="1125" ht="15.75" customHeight="1">
      <c r="A1125" s="1" t="s">
        <v>2422</v>
      </c>
      <c r="B1125" s="1" t="s">
        <v>2423</v>
      </c>
      <c r="C1125" s="1"/>
      <c r="D1125" s="1" t="str">
        <f>IFERROR(__xludf.DUMMYFUNCTION("GOOGLETRANSLATE(A1125 , ""auto"", ""ar"")"),"الاشتباك الحاضر")</f>
        <v>الاشتباك الحاضر</v>
      </c>
    </row>
    <row r="1126" ht="15.75" customHeight="1">
      <c r="A1126" s="1" t="s">
        <v>2422</v>
      </c>
      <c r="B1126" s="1" t="s">
        <v>2424</v>
      </c>
      <c r="C1126" s="1"/>
      <c r="D1126" s="1" t="str">
        <f>IFERROR(__xludf.DUMMYFUNCTION("GOOGLETRANSLATE(A1126 , ""auto"", ""ar"")"),"الاشتباك الحاضر")</f>
        <v>الاشتباك الحاضر</v>
      </c>
    </row>
    <row r="1127" ht="15.75" customHeight="1">
      <c r="A1127" s="1" t="s">
        <v>2425</v>
      </c>
      <c r="B1127" s="1" t="s">
        <v>2426</v>
      </c>
      <c r="C1127" s="2" t="s">
        <v>2427</v>
      </c>
      <c r="D1127" s="1" t="str">
        <f>IFERROR(__xludf.DUMMYFUNCTION("GOOGLETRANSLATE(A1127 , ""auto"", ""ar"")"),"إنكلترا")</f>
        <v>إنكلترا</v>
      </c>
    </row>
    <row r="1128" ht="15.75" customHeight="1">
      <c r="A1128" s="1" t="s">
        <v>2428</v>
      </c>
      <c r="B1128" s="1" t="s">
        <v>2429</v>
      </c>
      <c r="C1128" s="2" t="s">
        <v>2430</v>
      </c>
      <c r="D1128" s="1" t="str">
        <f>IFERROR(__xludf.DUMMYFUNCTION("GOOGLETRANSLATE(A1128 , ""auto"", ""ar"")"),"إنجليزي")</f>
        <v>إنجليزي</v>
      </c>
    </row>
    <row r="1129" ht="15.75" customHeight="1">
      <c r="A1129" s="1" t="s">
        <v>2428</v>
      </c>
      <c r="B1129" s="1" t="s">
        <v>2431</v>
      </c>
      <c r="C1129" s="2" t="s">
        <v>2432</v>
      </c>
      <c r="D1129" s="1" t="str">
        <f>IFERROR(__xludf.DUMMYFUNCTION("GOOGLETRANSLATE(A1129 , ""auto"", ""ar"")"),"إنجليزي")</f>
        <v>إنجليزي</v>
      </c>
    </row>
    <row r="1130" ht="15.75" customHeight="1">
      <c r="A1130" s="1" t="s">
        <v>2428</v>
      </c>
      <c r="B1130" s="1" t="s">
        <v>2429</v>
      </c>
      <c r="C1130" s="2" t="s">
        <v>2430</v>
      </c>
      <c r="D1130" s="1" t="str">
        <f>IFERROR(__xludf.DUMMYFUNCTION("GOOGLETRANSLATE(A1130 , ""auto"", ""ar"")"),"إنجليزي")</f>
        <v>إنجليزي</v>
      </c>
    </row>
    <row r="1131" ht="15.75" customHeight="1">
      <c r="A1131" s="1" t="s">
        <v>2428</v>
      </c>
      <c r="B1131" s="1" t="s">
        <v>2429</v>
      </c>
      <c r="C1131" s="2" t="s">
        <v>2430</v>
      </c>
      <c r="D1131" s="1" t="str">
        <f>IFERROR(__xludf.DUMMYFUNCTION("GOOGLETRANSLATE(A1131 , ""auto"", ""ar"")"),"إنجليزي")</f>
        <v>إنجليزي</v>
      </c>
    </row>
    <row r="1132" ht="15.75" customHeight="1">
      <c r="A1132" s="1" t="s">
        <v>2433</v>
      </c>
      <c r="B1132" s="1" t="s">
        <v>2434</v>
      </c>
      <c r="C1132" s="2" t="s">
        <v>2435</v>
      </c>
      <c r="D1132" s="1" t="str">
        <f>IFERROR(__xludf.DUMMYFUNCTION("GOOGLETRANSLATE(A1132 , ""auto"", ""ar"")"),"كافٍ")</f>
        <v>كافٍ</v>
      </c>
    </row>
    <row r="1133" ht="15.75" customHeight="1">
      <c r="A1133" s="1" t="s">
        <v>2433</v>
      </c>
      <c r="B1133" s="1" t="s">
        <v>2436</v>
      </c>
      <c r="C1133" s="1"/>
      <c r="D1133" s="1" t="str">
        <f>IFERROR(__xludf.DUMMYFUNCTION("GOOGLETRANSLATE(A1133 , ""auto"", ""ar"")"),"كافٍ")</f>
        <v>كافٍ</v>
      </c>
    </row>
    <row r="1134" ht="15.75" customHeight="1">
      <c r="A1134" s="1" t="s">
        <v>2437</v>
      </c>
      <c r="B1134" s="1" t="s">
        <v>2438</v>
      </c>
      <c r="C1134" s="2" t="s">
        <v>2439</v>
      </c>
      <c r="D1134" s="1" t="str">
        <f>IFERROR(__xludf.DUMMYFUNCTION("GOOGLETRANSLATE(A1134 , ""auto"", ""ar"")"),"يدخل")</f>
        <v>يدخل</v>
      </c>
    </row>
    <row r="1135" ht="15.75" customHeight="1">
      <c r="A1135" s="1" t="s">
        <v>2437</v>
      </c>
      <c r="B1135" s="1" t="s">
        <v>2440</v>
      </c>
      <c r="C1135" s="2" t="s">
        <v>2441</v>
      </c>
      <c r="D1135" s="1" t="str">
        <f>IFERROR(__xludf.DUMMYFUNCTION("GOOGLETRANSLATE(A1135 , ""auto"", ""ar"")"),"يدخل")</f>
        <v>يدخل</v>
      </c>
    </row>
    <row r="1136" ht="15.75" customHeight="1">
      <c r="A1136" s="1" t="s">
        <v>2442</v>
      </c>
      <c r="B1136" s="1" t="s">
        <v>2443</v>
      </c>
      <c r="C1136" s="2" t="s">
        <v>65</v>
      </c>
      <c r="D1136" s="1" t="str">
        <f>IFERROR(__xludf.DUMMYFUNCTION("GOOGLETRANSLATE(A1136 , ""auto"", ""ar"")"),"متحمس")</f>
        <v>متحمس</v>
      </c>
    </row>
    <row r="1137" ht="15.75" customHeight="1">
      <c r="A1137" s="1" t="s">
        <v>2444</v>
      </c>
      <c r="B1137" s="1" t="s">
        <v>200</v>
      </c>
      <c r="C1137" s="2" t="s">
        <v>1626</v>
      </c>
      <c r="D1137" s="1" t="str">
        <f>IFERROR(__xludf.DUMMYFUNCTION("GOOGLETRANSLATE(A1137 , ""auto"", ""ar"")"),"كامل")</f>
        <v>كامل</v>
      </c>
    </row>
    <row r="1138" ht="15.75" customHeight="1">
      <c r="A1138" s="1" t="s">
        <v>2445</v>
      </c>
      <c r="B1138" s="1" t="s">
        <v>2446</v>
      </c>
      <c r="C1138" s="1"/>
      <c r="D1138" s="1" t="str">
        <f>IFERROR(__xludf.DUMMYFUNCTION("GOOGLETRANSLATE(A1138 , ""auto"", ""ar"")"),"مدخل")</f>
        <v>مدخل</v>
      </c>
    </row>
    <row r="1139" ht="15.75" customHeight="1">
      <c r="A1139" s="1" t="s">
        <v>2447</v>
      </c>
      <c r="B1139" s="1" t="s">
        <v>2448</v>
      </c>
      <c r="C1139" s="1"/>
      <c r="D1139" s="1" t="str">
        <f>IFERROR(__xludf.DUMMYFUNCTION("GOOGLETRANSLATE(A1139 , ""auto"", ""ar"")"),"مُقَاوِل")</f>
        <v>مُقَاوِل</v>
      </c>
    </row>
    <row r="1140" ht="15.75" customHeight="1">
      <c r="A1140" s="1" t="s">
        <v>2447</v>
      </c>
      <c r="B1140" s="1" t="s">
        <v>2449</v>
      </c>
      <c r="C1140" s="1"/>
      <c r="D1140" s="1" t="str">
        <f>IFERROR(__xludf.DUMMYFUNCTION("GOOGLETRANSLATE(A1140 , ""auto"", ""ar"")"),"مُقَاوِل")</f>
        <v>مُقَاوِل</v>
      </c>
    </row>
    <row r="1141" ht="15.75" customHeight="1">
      <c r="A1141" s="1" t="s">
        <v>2450</v>
      </c>
      <c r="B1141" s="1" t="s">
        <v>2451</v>
      </c>
      <c r="C1141" s="2" t="s">
        <v>2452</v>
      </c>
      <c r="D1141" s="1" t="str">
        <f>IFERROR(__xludf.DUMMYFUNCTION("GOOGLETRANSLATE(A1141 , ""auto"", ""ar"")"),"بيئة")</f>
        <v>بيئة</v>
      </c>
    </row>
    <row r="1142" ht="15.75" customHeight="1">
      <c r="A1142" s="1" t="s">
        <v>2453</v>
      </c>
      <c r="B1142" s="1" t="s">
        <v>2454</v>
      </c>
      <c r="C1142" s="2" t="s">
        <v>2455</v>
      </c>
      <c r="D1142" s="1" t="str">
        <f>IFERROR(__xludf.DUMMYFUNCTION("GOOGLETRANSLATE(A1142 , ""auto"", ""ar"")"),"متساوي")</f>
        <v>متساوي</v>
      </c>
    </row>
    <row r="1143" ht="15.75" customHeight="1">
      <c r="A1143" s="1" t="s">
        <v>2456</v>
      </c>
      <c r="B1143" s="1" t="s">
        <v>1984</v>
      </c>
      <c r="C1143" s="2" t="s">
        <v>1985</v>
      </c>
      <c r="D1143" s="1" t="str">
        <f>IFERROR(__xludf.DUMMYFUNCTION("GOOGLETRANSLATE(A1143 , ""auto"", ""ar"")"),"مسح")</f>
        <v>مسح</v>
      </c>
    </row>
    <row r="1144" ht="15.75" customHeight="1">
      <c r="A1144" s="1" t="s">
        <v>2457</v>
      </c>
      <c r="B1144" s="1" t="s">
        <v>2458</v>
      </c>
      <c r="C1144" s="1"/>
      <c r="D1144" s="1" t="str">
        <f>IFERROR(__xludf.DUMMYFUNCTION("GOOGLETRANSLATE(A1144 , ""auto"", ""ar"")"),"مأمورية")</f>
        <v>مأمورية</v>
      </c>
    </row>
    <row r="1145" ht="15.75" customHeight="1">
      <c r="A1145" s="1" t="s">
        <v>2459</v>
      </c>
      <c r="B1145" s="1" t="s">
        <v>2460</v>
      </c>
      <c r="C1145" s="1"/>
      <c r="D1145" s="1" t="str">
        <f>IFERROR(__xludf.DUMMYFUNCTION("GOOGLETRANSLATE(A1145 , ""auto"", ""ar"")"),"خطأ")</f>
        <v>خطأ</v>
      </c>
    </row>
    <row r="1146" ht="15.75" customHeight="1">
      <c r="A1146" s="1" t="s">
        <v>2459</v>
      </c>
      <c r="B1146" s="1" t="s">
        <v>2461</v>
      </c>
      <c r="C1146" s="1"/>
      <c r="D1146" s="1" t="str">
        <f>IFERROR(__xludf.DUMMYFUNCTION("GOOGLETRANSLATE(A1146 , ""auto"", ""ar"")"),"خطأ")</f>
        <v>خطأ</v>
      </c>
    </row>
    <row r="1147" ht="15.75" customHeight="1">
      <c r="A1147" s="1" t="s">
        <v>2459</v>
      </c>
      <c r="B1147" s="1" t="s">
        <v>2462</v>
      </c>
      <c r="C1147" s="1"/>
      <c r="D1147" s="1" t="str">
        <f>IFERROR(__xludf.DUMMYFUNCTION("GOOGLETRANSLATE(A1147 , ""auto"", ""ar"")"),"خطأ")</f>
        <v>خطأ</v>
      </c>
    </row>
    <row r="1148" ht="15.75" customHeight="1">
      <c r="A1148" s="1" t="s">
        <v>2463</v>
      </c>
      <c r="B1148" s="1" t="s">
        <v>2464</v>
      </c>
      <c r="C1148" s="2" t="s">
        <v>2465</v>
      </c>
      <c r="D1148" s="1" t="str">
        <f>IFERROR(__xludf.DUMMYFUNCTION("GOOGLETRANSLATE(A1148 , ""auto"", ""ar"")"),"يهرب")</f>
        <v>يهرب</v>
      </c>
    </row>
    <row r="1149" ht="15.75" customHeight="1">
      <c r="A1149" s="1" t="s">
        <v>2466</v>
      </c>
      <c r="B1149" s="1" t="s">
        <v>2467</v>
      </c>
      <c r="C1149" s="2" t="s">
        <v>2468</v>
      </c>
      <c r="D1149" s="1" t="str">
        <f>IFERROR(__xludf.DUMMYFUNCTION("GOOGLETRANSLATE(A1149 , ""auto"", ""ar"")"),"خصوصاً")</f>
        <v>خصوصاً</v>
      </c>
    </row>
    <row r="1150" ht="15.75" customHeight="1">
      <c r="A1150" s="1" t="s">
        <v>2469</v>
      </c>
      <c r="B1150" s="1" t="s">
        <v>2470</v>
      </c>
      <c r="C1150" s="2" t="s">
        <v>2471</v>
      </c>
      <c r="D1150" s="1" t="str">
        <f>IFERROR(__xludf.DUMMYFUNCTION("GOOGLETRANSLATE(A1150 , ""auto"", ""ar"")"),"Essaouira")</f>
        <v>Essaouira</v>
      </c>
    </row>
    <row r="1151" ht="15.75" customHeight="1">
      <c r="A1151" s="1" t="s">
        <v>2472</v>
      </c>
      <c r="B1151" s="1" t="s">
        <v>2473</v>
      </c>
      <c r="C1151" s="2" t="s">
        <v>2474</v>
      </c>
      <c r="D1151" s="1" t="str">
        <f>IFERROR(__xludf.DUMMYFUNCTION("GOOGLETRANSLATE(A1151 , ""auto"", ""ar"")"),"الوكيل العقاري")</f>
        <v>الوكيل العقاري</v>
      </c>
    </row>
    <row r="1152" ht="15.75" customHeight="1">
      <c r="A1152" s="1" t="s">
        <v>2475</v>
      </c>
      <c r="B1152" s="1" t="s">
        <v>2476</v>
      </c>
      <c r="C1152" s="2" t="s">
        <v>2477</v>
      </c>
      <c r="D1152" s="1" t="str">
        <f>IFERROR(__xludf.DUMMYFUNCTION("GOOGLETRANSLATE(A1152 , ""auto"", ""ar"")"),"أبدي")</f>
        <v>أبدي</v>
      </c>
    </row>
    <row r="1153" ht="15.75" customHeight="1">
      <c r="A1153" s="1" t="s">
        <v>2478</v>
      </c>
      <c r="B1153" s="1" t="s">
        <v>2479</v>
      </c>
      <c r="C1153" s="1"/>
      <c r="D1153" s="1" t="str">
        <f>IFERROR(__xludf.DUMMYFUNCTION("GOOGLETRANSLATE(A1153 , ""auto"", ""ar"")"),"أوروبا")</f>
        <v>أوروبا</v>
      </c>
    </row>
    <row r="1154" ht="15.75" customHeight="1">
      <c r="A1154" s="1" t="s">
        <v>2480</v>
      </c>
      <c r="B1154" s="1" t="s">
        <v>2481</v>
      </c>
      <c r="C1154" s="1"/>
      <c r="D1154" s="1" t="str">
        <f>IFERROR(__xludf.DUMMYFUNCTION("GOOGLETRANSLATE(A1154 , ""auto"", ""ar"")"),"أوروبي")</f>
        <v>أوروبي</v>
      </c>
    </row>
    <row r="1155" ht="15.75" customHeight="1">
      <c r="A1155" s="1" t="s">
        <v>2482</v>
      </c>
      <c r="B1155" s="1" t="s">
        <v>2483</v>
      </c>
      <c r="C1155" s="2" t="s">
        <v>2484</v>
      </c>
      <c r="D1155" s="1" t="str">
        <f>IFERROR(__xludf.DUMMYFUNCTION("GOOGLETRANSLATE(A1155 , ""auto"", ""ar"")"),"حواء")</f>
        <v>حواء</v>
      </c>
    </row>
    <row r="1156" ht="15.75" customHeight="1">
      <c r="A1156" s="1" t="s">
        <v>2485</v>
      </c>
      <c r="B1156" s="1" t="s">
        <v>2486</v>
      </c>
      <c r="C1156" s="2" t="s">
        <v>2487</v>
      </c>
      <c r="D1156" s="1" t="str">
        <f>IFERROR(__xludf.DUMMYFUNCTION("GOOGLETRANSLATE(A1156 , ""auto"", ""ar"")"),"حتى لو")</f>
        <v>حتى لو</v>
      </c>
    </row>
    <row r="1157" ht="15.75" customHeight="1">
      <c r="A1157" s="1" t="s">
        <v>2485</v>
      </c>
      <c r="B1157" s="1" t="s">
        <v>234</v>
      </c>
      <c r="C1157" s="2" t="s">
        <v>235</v>
      </c>
      <c r="D1157" s="1" t="str">
        <f>IFERROR(__xludf.DUMMYFUNCTION("GOOGLETRANSLATE(A1157 , ""auto"", ""ar"")"),"حتى لو")</f>
        <v>حتى لو</v>
      </c>
    </row>
    <row r="1158" ht="15.75" customHeight="1">
      <c r="A1158" s="1" t="s">
        <v>2485</v>
      </c>
      <c r="B1158" s="1" t="s">
        <v>2026</v>
      </c>
      <c r="C1158" s="2" t="s">
        <v>2027</v>
      </c>
      <c r="D1158" s="1" t="str">
        <f>IFERROR(__xludf.DUMMYFUNCTION("GOOGLETRANSLATE(A1158 , ""auto"", ""ar"")"),"حتى لو")</f>
        <v>حتى لو</v>
      </c>
    </row>
    <row r="1159" ht="15.75" customHeight="1">
      <c r="A1159" s="1" t="s">
        <v>2488</v>
      </c>
      <c r="B1159" s="1" t="s">
        <v>2489</v>
      </c>
      <c r="C1159" s="2" t="s">
        <v>2490</v>
      </c>
      <c r="D1159" s="1" t="str">
        <f>IFERROR(__xludf.DUMMYFUNCTION("GOOGLETRANSLATE(A1159 , ""auto"", ""ar"")"),"مساء")</f>
        <v>مساء</v>
      </c>
    </row>
    <row r="1160" ht="15.75" customHeight="1">
      <c r="A1160" s="1" t="s">
        <v>2491</v>
      </c>
      <c r="B1160" s="1" t="s">
        <v>2283</v>
      </c>
      <c r="C1160" s="2" t="s">
        <v>2284</v>
      </c>
      <c r="D1160" s="1" t="str">
        <f>IFERROR(__xludf.DUMMYFUNCTION("GOOGLETRANSLATE(A1160 , ""auto"", ""ar"")"),"كل")</f>
        <v>كل</v>
      </c>
    </row>
    <row r="1161" ht="15.75" customHeight="1">
      <c r="A1161" s="1" t="s">
        <v>2492</v>
      </c>
      <c r="B1161" s="1" t="s">
        <v>2493</v>
      </c>
      <c r="C1161" s="2" t="s">
        <v>2494</v>
      </c>
      <c r="D1161" s="1" t="str">
        <f>IFERROR(__xludf.DUMMYFUNCTION("GOOGLETRANSLATE(A1161 , ""auto"", ""ar"")"),"الجميع")</f>
        <v>الجميع</v>
      </c>
    </row>
    <row r="1162" ht="15.75" customHeight="1">
      <c r="A1162" s="1" t="s">
        <v>2492</v>
      </c>
      <c r="B1162" s="1" t="s">
        <v>2495</v>
      </c>
      <c r="C1162" s="1"/>
      <c r="D1162" s="1" t="str">
        <f>IFERROR(__xludf.DUMMYFUNCTION("GOOGLETRANSLATE(A1162 , ""auto"", ""ar"")"),"الجميع")</f>
        <v>الجميع</v>
      </c>
    </row>
    <row r="1163" ht="15.75" customHeight="1">
      <c r="A1163" s="1" t="s">
        <v>2492</v>
      </c>
      <c r="B1163" s="1" t="s">
        <v>2496</v>
      </c>
      <c r="C1163" s="1"/>
      <c r="D1163" s="1" t="str">
        <f>IFERROR(__xludf.DUMMYFUNCTION("GOOGLETRANSLATE(A1163 , ""auto"", ""ar"")"),"الجميع")</f>
        <v>الجميع</v>
      </c>
    </row>
    <row r="1164" ht="15.75" customHeight="1">
      <c r="A1164" s="1" t="s">
        <v>2497</v>
      </c>
      <c r="B1164" s="1" t="s">
        <v>2493</v>
      </c>
      <c r="C1164" s="2" t="s">
        <v>2494</v>
      </c>
      <c r="D1164" s="1" t="str">
        <f>IFERROR(__xludf.DUMMYFUNCTION("GOOGLETRANSLATE(A1164 , ""auto"", ""ar"")"),"كل شئ")</f>
        <v>كل شئ</v>
      </c>
    </row>
    <row r="1165" ht="15.75" customHeight="1">
      <c r="A1165" s="1" t="s">
        <v>2498</v>
      </c>
      <c r="B1165" s="1" t="s">
        <v>2499</v>
      </c>
      <c r="C1165" s="1"/>
      <c r="D1165" s="1" t="str">
        <f>IFERROR(__xludf.DUMMYFUNCTION("GOOGLETRANSLATE(A1165 , ""auto"", ""ar"")"),"روح شريرة")</f>
        <v>روح شريرة</v>
      </c>
    </row>
    <row r="1166" ht="15.75" customHeight="1">
      <c r="A1166" s="1" t="s">
        <v>2498</v>
      </c>
      <c r="B1166" s="1" t="s">
        <v>2500</v>
      </c>
      <c r="C1166" s="1"/>
      <c r="D1166" s="1" t="str">
        <f>IFERROR(__xludf.DUMMYFUNCTION("GOOGLETRANSLATE(A1166 , ""auto"", ""ar"")"),"روح شريرة")</f>
        <v>روح شريرة</v>
      </c>
    </row>
    <row r="1167" ht="15.75" customHeight="1">
      <c r="A1167" s="1" t="s">
        <v>2501</v>
      </c>
      <c r="B1167" s="1" t="s">
        <v>2502</v>
      </c>
      <c r="C1167" s="2" t="s">
        <v>2503</v>
      </c>
      <c r="D1167" s="1" t="str">
        <f>IFERROR(__xludf.DUMMYFUNCTION("GOOGLETRANSLATE(A1167 , ""auto"", ""ar"")"),"ورقة")</f>
        <v>ورقة</v>
      </c>
    </row>
    <row r="1168" ht="15.75" customHeight="1">
      <c r="A1168" s="1" t="s">
        <v>2504</v>
      </c>
      <c r="B1168" s="1" t="s">
        <v>2505</v>
      </c>
      <c r="C1168" s="2" t="s">
        <v>2506</v>
      </c>
      <c r="D1168" s="1" t="str">
        <f>IFERROR(__xludf.DUMMYFUNCTION("GOOGLETRANSLATE(A1168 , ""auto"", ""ar"")"),"بالضبط")</f>
        <v>بالضبط</v>
      </c>
    </row>
    <row r="1169" ht="15.75" customHeight="1">
      <c r="A1169" s="1" t="s">
        <v>2507</v>
      </c>
      <c r="B1169" s="1" t="s">
        <v>2508</v>
      </c>
      <c r="C1169" s="2" t="s">
        <v>2509</v>
      </c>
      <c r="D1169" s="1" t="str">
        <f>IFERROR(__xludf.DUMMYFUNCTION("GOOGLETRANSLATE(A1169 , ""auto"", ""ar"")"),"امتحان")</f>
        <v>امتحان</v>
      </c>
    </row>
    <row r="1170" ht="15.75" customHeight="1">
      <c r="A1170" s="1" t="s">
        <v>2507</v>
      </c>
      <c r="B1170" s="1" t="s">
        <v>2510</v>
      </c>
      <c r="C1170" s="1"/>
      <c r="D1170" s="1" t="str">
        <f>IFERROR(__xludf.DUMMYFUNCTION("GOOGLETRANSLATE(A1170 , ""auto"", ""ar"")"),"امتحان")</f>
        <v>امتحان</v>
      </c>
    </row>
    <row r="1171" ht="15.75" customHeight="1">
      <c r="A1171" s="1" t="s">
        <v>2507</v>
      </c>
      <c r="B1171" s="1" t="s">
        <v>2511</v>
      </c>
      <c r="C1171" s="1"/>
      <c r="D1171" s="1" t="str">
        <f>IFERROR(__xludf.DUMMYFUNCTION("GOOGLETRANSLATE(A1171 , ""auto"", ""ar"")"),"امتحان")</f>
        <v>امتحان</v>
      </c>
    </row>
    <row r="1172" ht="15.75" customHeight="1">
      <c r="A1172" s="1" t="s">
        <v>2512</v>
      </c>
      <c r="B1172" s="1" t="s">
        <v>2508</v>
      </c>
      <c r="C1172" s="2" t="s">
        <v>2509</v>
      </c>
      <c r="D1172" s="1" t="str">
        <f>IFERROR(__xludf.DUMMYFUNCTION("GOOGLETRANSLATE(A1172 , ""auto"", ""ar"")"),"فحص")</f>
        <v>فحص</v>
      </c>
    </row>
    <row r="1173" ht="15.75" customHeight="1">
      <c r="A1173" s="1" t="s">
        <v>2512</v>
      </c>
      <c r="B1173" s="1" t="s">
        <v>2510</v>
      </c>
      <c r="C1173" s="1"/>
      <c r="D1173" s="1" t="str">
        <f>IFERROR(__xludf.DUMMYFUNCTION("GOOGLETRANSLATE(A1173 , ""auto"", ""ar"")"),"فحص")</f>
        <v>فحص</v>
      </c>
    </row>
    <row r="1174" ht="15.75" customHeight="1">
      <c r="A1174" s="1" t="s">
        <v>2512</v>
      </c>
      <c r="B1174" s="1" t="s">
        <v>2511</v>
      </c>
      <c r="C1174" s="1"/>
      <c r="D1174" s="1" t="str">
        <f>IFERROR(__xludf.DUMMYFUNCTION("GOOGLETRANSLATE(A1174 , ""auto"", ""ar"")"),"فحص")</f>
        <v>فحص</v>
      </c>
    </row>
    <row r="1175" ht="15.75" customHeight="1">
      <c r="A1175" s="1" t="s">
        <v>2513</v>
      </c>
      <c r="B1175" s="1" t="s">
        <v>2514</v>
      </c>
      <c r="C1175" s="2" t="s">
        <v>2515</v>
      </c>
      <c r="D1175" s="1" t="str">
        <f>IFERROR(__xludf.DUMMYFUNCTION("GOOGLETRANSLATE(A1175 , ""auto"", ""ar"")"),"مثال")</f>
        <v>مثال</v>
      </c>
    </row>
    <row r="1176" ht="15.75" customHeight="1">
      <c r="A1176" s="1" t="s">
        <v>2516</v>
      </c>
      <c r="B1176" s="1" t="s">
        <v>2065</v>
      </c>
      <c r="C1176" s="2" t="s">
        <v>2066</v>
      </c>
      <c r="D1176" s="1" t="str">
        <f>IFERROR(__xludf.DUMMYFUNCTION("GOOGLETRANSLATE(A1176 , ""auto"", ""ar"")"),"حفر")</f>
        <v>حفر</v>
      </c>
    </row>
    <row r="1177" ht="15.75" customHeight="1">
      <c r="A1177" s="1" t="s">
        <v>2517</v>
      </c>
      <c r="B1177" s="1" t="s">
        <v>2518</v>
      </c>
      <c r="C1177" s="1"/>
      <c r="D1177" s="1" t="str">
        <f>IFERROR(__xludf.DUMMYFUNCTION("GOOGLETRANSLATE(A1177 , ""auto"", ""ar"")"),"حفارة")</f>
        <v>حفارة</v>
      </c>
    </row>
    <row r="1178" ht="15.75" customHeight="1">
      <c r="A1178" s="1" t="s">
        <v>2519</v>
      </c>
      <c r="B1178" s="1" t="s">
        <v>2520</v>
      </c>
      <c r="C1178" s="1"/>
      <c r="D1178" s="1" t="str">
        <f>IFERROR(__xludf.DUMMYFUNCTION("GOOGLETRANSLATE(A1178 , ""auto"", ""ar"")"),"يستثني")</f>
        <v>يستثني</v>
      </c>
    </row>
    <row r="1179" ht="15.75" customHeight="1">
      <c r="A1179" s="1" t="s">
        <v>2521</v>
      </c>
      <c r="B1179" s="1" t="s">
        <v>2522</v>
      </c>
      <c r="C1179" s="1"/>
      <c r="D1179" s="1" t="str">
        <f>IFERROR(__xludf.DUMMYFUNCTION("GOOGLETRANSLATE(A1179 , ""auto"", ""ar"")"),"تبادل")</f>
        <v>تبادل</v>
      </c>
    </row>
    <row r="1180" ht="15.75" customHeight="1">
      <c r="A1180" s="1" t="s">
        <v>2521</v>
      </c>
      <c r="B1180" s="1" t="s">
        <v>2522</v>
      </c>
      <c r="C1180" s="2" t="s">
        <v>2523</v>
      </c>
      <c r="D1180" s="1" t="str">
        <f>IFERROR(__xludf.DUMMYFUNCTION("GOOGLETRANSLATE(A1180 , ""auto"", ""ar"")"),"تبادل")</f>
        <v>تبادل</v>
      </c>
    </row>
    <row r="1181" ht="15.75" customHeight="1">
      <c r="A1181" s="1" t="s">
        <v>2524</v>
      </c>
      <c r="B1181" s="1" t="s">
        <v>2443</v>
      </c>
      <c r="C1181" s="2" t="s">
        <v>65</v>
      </c>
      <c r="D1181" s="1" t="str">
        <f>IFERROR(__xludf.DUMMYFUNCTION("GOOGLETRANSLATE(A1181 , ""auto"", ""ar"")"),"متحمس")</f>
        <v>متحمس</v>
      </c>
    </row>
    <row r="1182" ht="15.75" customHeight="1">
      <c r="A1182" s="1" t="s">
        <v>2525</v>
      </c>
      <c r="B1182" s="1" t="s">
        <v>2526</v>
      </c>
      <c r="C1182" s="1"/>
      <c r="D1182" s="1" t="str">
        <f>IFERROR(__xludf.DUMMYFUNCTION("GOOGLETRANSLATE(A1182 , ""auto"", ""ar"")"),"براز")</f>
        <v>براز</v>
      </c>
    </row>
    <row r="1183" ht="15.75" customHeight="1">
      <c r="A1183" s="1" t="s">
        <v>2527</v>
      </c>
      <c r="B1183" s="1" t="s">
        <v>2528</v>
      </c>
      <c r="C1183" s="1"/>
      <c r="D1183" s="1" t="str">
        <f>IFERROR(__xludf.DUMMYFUNCTION("GOOGLETRANSLATE(A1183 , ""auto"", ""ar"")"),"يمارس")</f>
        <v>يمارس</v>
      </c>
    </row>
    <row r="1184" ht="15.75" customHeight="1">
      <c r="A1184" s="1" t="s">
        <v>2527</v>
      </c>
      <c r="B1184" s="1" t="s">
        <v>2529</v>
      </c>
      <c r="C1184" s="2" t="s">
        <v>2530</v>
      </c>
      <c r="D1184" s="1" t="str">
        <f>IFERROR(__xludf.DUMMYFUNCTION("GOOGLETRANSLATE(A1184 , ""auto"", ""ar"")"),"يمارس")</f>
        <v>يمارس</v>
      </c>
    </row>
    <row r="1185" ht="15.75" customHeight="1">
      <c r="A1185" s="1" t="s">
        <v>2531</v>
      </c>
      <c r="B1185" s="1" t="s">
        <v>2532</v>
      </c>
      <c r="C1185" s="2" t="s">
        <v>2533</v>
      </c>
      <c r="D1185" s="1" t="str">
        <f>IFERROR(__xludf.DUMMYFUNCTION("GOOGLETRANSLATE(A1185 , ""auto"", ""ar"")"),"كتاب التمارين")</f>
        <v>كتاب التمارين</v>
      </c>
    </row>
    <row r="1186" ht="15.75" customHeight="1">
      <c r="A1186" s="1" t="s">
        <v>2534</v>
      </c>
      <c r="B1186" s="1" t="s">
        <v>2535</v>
      </c>
      <c r="C1186" s="2" t="s">
        <v>2536</v>
      </c>
      <c r="D1186" s="1" t="str">
        <f>IFERROR(__xludf.DUMMYFUNCTION("GOOGLETRANSLATE(A1186 , ""auto"", ""ar"")"),"غالي")</f>
        <v>غالي</v>
      </c>
    </row>
    <row r="1187" ht="15.75" customHeight="1">
      <c r="A1187" s="1" t="s">
        <v>2537</v>
      </c>
      <c r="B1187" s="1" t="s">
        <v>2538</v>
      </c>
      <c r="C1187" s="2" t="s">
        <v>2539</v>
      </c>
      <c r="D1187" s="1" t="str">
        <f>IFERROR(__xludf.DUMMYFUNCTION("GOOGLETRANSLATE(A1187 , ""auto"", ""ar"")"),"خبرة")</f>
        <v>خبرة</v>
      </c>
    </row>
    <row r="1188" ht="15.75" customHeight="1">
      <c r="A1188" s="1" t="s">
        <v>2537</v>
      </c>
      <c r="B1188" s="1" t="s">
        <v>2540</v>
      </c>
      <c r="C1188" s="2" t="s">
        <v>2541</v>
      </c>
      <c r="D1188" s="1" t="str">
        <f>IFERROR(__xludf.DUMMYFUNCTION("GOOGLETRANSLATE(A1188 , ""auto"", ""ar"")"),"خبرة")</f>
        <v>خبرة</v>
      </c>
    </row>
    <row r="1189" ht="15.75" customHeight="1">
      <c r="A1189" s="1" t="s">
        <v>2542</v>
      </c>
      <c r="B1189" s="1" t="s">
        <v>1075</v>
      </c>
      <c r="C1189" s="1"/>
      <c r="D1189" s="1" t="str">
        <f>IFERROR(__xludf.DUMMYFUNCTION("GOOGLETRANSLATE(A1189 , ""auto"", ""ar"")"),"خبير")</f>
        <v>خبير</v>
      </c>
    </row>
    <row r="1190" ht="15.75" customHeight="1">
      <c r="A1190" s="1" t="s">
        <v>2543</v>
      </c>
      <c r="B1190" s="1" t="s">
        <v>2544</v>
      </c>
      <c r="C1190" s="2" t="s">
        <v>2545</v>
      </c>
      <c r="D1190" s="1" t="str">
        <f>IFERROR(__xludf.DUMMYFUNCTION("GOOGLETRANSLATE(A1190 , ""auto"", ""ar"")"),"يشرح")</f>
        <v>يشرح</v>
      </c>
    </row>
    <row r="1191" ht="15.75" customHeight="1">
      <c r="A1191" s="1" t="s">
        <v>2543</v>
      </c>
      <c r="B1191" s="1" t="s">
        <v>2546</v>
      </c>
      <c r="C1191" s="2" t="s">
        <v>2547</v>
      </c>
      <c r="D1191" s="1" t="str">
        <f>IFERROR(__xludf.DUMMYFUNCTION("GOOGLETRANSLATE(A1191 , ""auto"", ""ar"")"),"يشرح")</f>
        <v>يشرح</v>
      </c>
    </row>
    <row r="1192" ht="15.75" customHeight="1">
      <c r="A1192" s="1" t="s">
        <v>2548</v>
      </c>
      <c r="B1192" s="1" t="s">
        <v>2549</v>
      </c>
      <c r="C1192" s="1"/>
      <c r="D1192" s="1" t="str">
        <f>IFERROR(__xludf.DUMMYFUNCTION("GOOGLETRANSLATE(A1192 , ""auto"", ""ar"")"),"تعبير")</f>
        <v>تعبير</v>
      </c>
    </row>
    <row r="1193" ht="15.75" customHeight="1">
      <c r="A1193" s="1" t="s">
        <v>2550</v>
      </c>
      <c r="B1193" s="1" t="s">
        <v>21</v>
      </c>
      <c r="C1193" s="2" t="s">
        <v>22</v>
      </c>
      <c r="D1193" s="1" t="str">
        <f>IFERROR(__xludf.DUMMYFUNCTION("GOOGLETRANSLATE(A1193 , ""auto"", ""ar"")"),"الخارج")</f>
        <v>الخارج</v>
      </c>
    </row>
    <row r="1194" ht="15.75" customHeight="1">
      <c r="A1194" s="1" t="s">
        <v>2551</v>
      </c>
      <c r="B1194" s="1" t="s">
        <v>2552</v>
      </c>
      <c r="C1194" s="2" t="s">
        <v>2553</v>
      </c>
      <c r="D1194" s="1" t="str">
        <f>IFERROR(__xludf.DUMMYFUNCTION("GOOGLETRANSLATE(A1194 , ""auto"", ""ar"")"),"عين")</f>
        <v>عين</v>
      </c>
    </row>
    <row r="1195" ht="15.75" customHeight="1">
      <c r="A1195" s="1" t="s">
        <v>2554</v>
      </c>
      <c r="B1195" s="1" t="s">
        <v>2555</v>
      </c>
      <c r="C1195" s="2" t="s">
        <v>2556</v>
      </c>
      <c r="D1195" s="1" t="str">
        <f>IFERROR(__xludf.DUMMYFUNCTION("GOOGLETRANSLATE(A1195 , ""auto"", ""ar"")"),"الحاجب")</f>
        <v>الحاجب</v>
      </c>
    </row>
    <row r="1196" ht="15.75" customHeight="1">
      <c r="A1196" s="1" t="s">
        <v>2557</v>
      </c>
      <c r="B1196" s="1" t="s">
        <v>2558</v>
      </c>
      <c r="C1196" s="1"/>
      <c r="D1196" s="1" t="str">
        <f>IFERROR(__xludf.DUMMYFUNCTION("GOOGLETRANSLATE(A1196 , ""auto"", ""ar"")"),"رمشة عين")</f>
        <v>رمشة عين</v>
      </c>
    </row>
    <row r="1197" ht="15.75" customHeight="1">
      <c r="A1197" s="1" t="s">
        <v>2559</v>
      </c>
      <c r="B1197" s="1" t="s">
        <v>2560</v>
      </c>
      <c r="C1197" s="2" t="s">
        <v>2561</v>
      </c>
      <c r="D1197" s="1" t="str">
        <f>IFERROR(__xludf.DUMMYFUNCTION("GOOGLETRANSLATE(A1197 , ""auto"", ""ar"")"),"جفن")</f>
        <v>جفن</v>
      </c>
    </row>
    <row r="1198" ht="15.75" customHeight="1">
      <c r="A1198" s="1" t="s">
        <v>466</v>
      </c>
      <c r="B1198" s="1" t="s">
        <v>467</v>
      </c>
      <c r="C1198" s="2" t="s">
        <v>468</v>
      </c>
      <c r="D1198" s="1" t="str">
        <f>IFERROR(__xludf.DUMMYFUNCTION("GOOGLETRANSLATE(A1198 , ""auto"", ""ar"")"),"اسم العائلة")</f>
        <v>اسم العائلة</v>
      </c>
    </row>
    <row r="1199" ht="15.75" customHeight="1">
      <c r="A1199" s="1" t="s">
        <v>43</v>
      </c>
      <c r="B1199" s="1" t="s">
        <v>44</v>
      </c>
      <c r="C1199" s="2" t="s">
        <v>45</v>
      </c>
      <c r="D1199" s="1" t="str">
        <f>IFERROR(__xludf.DUMMYFUNCTION("GOOGLETRANSLATE(A1199 , ""auto"", ""ar"")"),"مقبول")</f>
        <v>مقبول</v>
      </c>
    </row>
    <row r="1200" ht="15.75" customHeight="1">
      <c r="A1200" s="1" t="s">
        <v>469</v>
      </c>
      <c r="B1200" s="1" t="s">
        <v>470</v>
      </c>
      <c r="C1200" s="2" t="s">
        <v>471</v>
      </c>
      <c r="D1200" s="1" t="str">
        <f>IFERROR(__xludf.DUMMYFUNCTION("GOOGLETRANSLATE(A1200 , ""auto"", ""ar"")"),"التصالح")</f>
        <v>التصالح</v>
      </c>
    </row>
    <row r="1201" ht="15.75" customHeight="1">
      <c r="A1201" s="1" t="s">
        <v>472</v>
      </c>
      <c r="B1201" s="1" t="s">
        <v>473</v>
      </c>
      <c r="C1201" s="2" t="s">
        <v>474</v>
      </c>
      <c r="D1201" s="1" t="str">
        <f>IFERROR(__xludf.DUMMYFUNCTION("GOOGLETRANSLATE(A1201 , ""auto"", ""ar"")"),"مغفرة")</f>
        <v>مغفرة</v>
      </c>
    </row>
    <row r="1202" ht="15.75" customHeight="1">
      <c r="A1202" s="1" t="s">
        <v>475</v>
      </c>
      <c r="B1202" s="1" t="s">
        <v>476</v>
      </c>
      <c r="C1202" s="2" t="s">
        <v>477</v>
      </c>
      <c r="D1202" s="1" t="str">
        <f>IFERROR(__xludf.DUMMYFUNCTION("GOOGLETRANSLATE(A1202 , ""auto"", ""ar"")"),"يخبر")</f>
        <v>يخبر</v>
      </c>
    </row>
    <row r="1203" ht="15.75" customHeight="1">
      <c r="A1203" s="1" t="s">
        <v>2562</v>
      </c>
      <c r="B1203" s="1" t="s">
        <v>1503</v>
      </c>
      <c r="C1203" s="2" t="s">
        <v>1504</v>
      </c>
      <c r="D1203" s="1" t="str">
        <f>IFERROR(__xludf.DUMMYFUNCTION("GOOGLETRANSLATE(A1203 , ""auto"", ""ar"")"),"قماش")</f>
        <v>قماش</v>
      </c>
    </row>
    <row r="1204" ht="15.75" customHeight="1">
      <c r="A1204" s="1" t="s">
        <v>2563</v>
      </c>
      <c r="B1204" s="1" t="s">
        <v>2564</v>
      </c>
      <c r="C1204" s="2" t="s">
        <v>2565</v>
      </c>
      <c r="D1204" s="1" t="str">
        <f>IFERROR(__xludf.DUMMYFUNCTION("GOOGLETRANSLATE(A1204 , ""auto"", ""ar"")"),"وجه")</f>
        <v>وجه</v>
      </c>
    </row>
    <row r="1205" ht="15.75" customHeight="1">
      <c r="A1205" s="1" t="s">
        <v>2566</v>
      </c>
      <c r="B1205" s="1" t="s">
        <v>2567</v>
      </c>
      <c r="C1205" s="1"/>
      <c r="D1205" s="1" t="str">
        <f>IFERROR(__xludf.DUMMYFUNCTION("GOOGLETRANSLATE(A1205 , ""auto"", ""ar"")"),"الوجه الفانيلا قفاز")</f>
        <v>الوجه الفانيلا قفاز</v>
      </c>
    </row>
    <row r="1206" ht="15.75" customHeight="1">
      <c r="A1206" s="1" t="s">
        <v>2566</v>
      </c>
      <c r="B1206" s="1" t="s">
        <v>2567</v>
      </c>
      <c r="C1206" s="1"/>
      <c r="D1206" s="1" t="str">
        <f>IFERROR(__xludf.DUMMYFUNCTION("GOOGLETRANSLATE(A1206 , ""auto"", ""ar"")"),"الوجه الفانيلا قفاز")</f>
        <v>الوجه الفانيلا قفاز</v>
      </c>
    </row>
    <row r="1207" ht="15.75" customHeight="1">
      <c r="A1207" s="1" t="s">
        <v>2566</v>
      </c>
      <c r="B1207" s="1" t="s">
        <v>2567</v>
      </c>
      <c r="C1207" s="1"/>
      <c r="D1207" s="1" t="str">
        <f>IFERROR(__xludf.DUMMYFUNCTION("GOOGLETRANSLATE(A1207 , ""auto"", ""ar"")"),"الوجه الفانيلا قفاز")</f>
        <v>الوجه الفانيلا قفاز</v>
      </c>
    </row>
    <row r="1208" ht="15.75" customHeight="1">
      <c r="A1208" s="1" t="s">
        <v>2566</v>
      </c>
      <c r="B1208" s="1" t="s">
        <v>2567</v>
      </c>
      <c r="C1208" s="1"/>
      <c r="D1208" s="1" t="str">
        <f>IFERROR(__xludf.DUMMYFUNCTION("GOOGLETRANSLATE(A1208 , ""auto"", ""ar"")"),"الوجه الفانيلا قفاز")</f>
        <v>الوجه الفانيلا قفاز</v>
      </c>
    </row>
    <row r="1209" ht="15.75" customHeight="1">
      <c r="A1209" s="1" t="s">
        <v>2568</v>
      </c>
      <c r="B1209" s="1" t="s">
        <v>2569</v>
      </c>
      <c r="C1209" s="2" t="s">
        <v>2570</v>
      </c>
      <c r="D1209" s="1" t="str">
        <f>IFERROR(__xludf.DUMMYFUNCTION("GOOGLETRANSLATE(A1209 , ""auto"", ""ar"")"),"مواجهة")</f>
        <v>مواجهة</v>
      </c>
    </row>
    <row r="1210" ht="15.75" customHeight="1">
      <c r="A1210" s="1" t="s">
        <v>2571</v>
      </c>
      <c r="B1210" s="1" t="s">
        <v>2572</v>
      </c>
      <c r="C1210" s="2" t="s">
        <v>2573</v>
      </c>
      <c r="D1210" s="1" t="str">
        <f>IFERROR(__xludf.DUMMYFUNCTION("GOOGLETRANSLATE(A1210 , ""auto"", ""ar"")"),"حقيقة")</f>
        <v>حقيقة</v>
      </c>
    </row>
    <row r="1211" ht="15.75" customHeight="1">
      <c r="A1211" s="1" t="s">
        <v>2574</v>
      </c>
      <c r="B1211" s="1" t="s">
        <v>2575</v>
      </c>
      <c r="C1211" s="2" t="s">
        <v>2576</v>
      </c>
      <c r="D1211" s="1" t="str">
        <f>IFERROR(__xludf.DUMMYFUNCTION("GOOGLETRANSLATE(A1211 , ""auto"", ""ar"")"),"مصنع")</f>
        <v>مصنع</v>
      </c>
    </row>
    <row r="1212" ht="15.75" customHeight="1">
      <c r="A1212" s="1" t="s">
        <v>2574</v>
      </c>
      <c r="B1212" s="1" t="s">
        <v>2577</v>
      </c>
      <c r="C1212" s="1"/>
      <c r="D1212" s="1" t="str">
        <f>IFERROR(__xludf.DUMMYFUNCTION("GOOGLETRANSLATE(A1212 , ""auto"", ""ar"")"),"مصنع")</f>
        <v>مصنع</v>
      </c>
    </row>
    <row r="1213" ht="15.75" customHeight="1">
      <c r="A1213" s="1" t="s">
        <v>2574</v>
      </c>
      <c r="B1213" s="1" t="s">
        <v>2578</v>
      </c>
      <c r="C1213" s="2" t="s">
        <v>2579</v>
      </c>
      <c r="D1213" s="1" t="str">
        <f>IFERROR(__xludf.DUMMYFUNCTION("GOOGLETRANSLATE(A1213 , ""auto"", ""ar"")"),"مصنع")</f>
        <v>مصنع</v>
      </c>
    </row>
    <row r="1214" ht="15.75" customHeight="1">
      <c r="A1214" s="1" t="s">
        <v>2580</v>
      </c>
      <c r="B1214" s="1" t="s">
        <v>2581</v>
      </c>
      <c r="C1214" s="2" t="s">
        <v>2582</v>
      </c>
      <c r="D1214" s="1" t="str">
        <f>IFERROR(__xludf.DUMMYFUNCTION("GOOGLETRANSLATE(A1214 , ""auto"", ""ar"")"),"إِغماء")</f>
        <v>إِغماء</v>
      </c>
    </row>
    <row r="1215" ht="15.75" customHeight="1">
      <c r="A1215" s="1" t="s">
        <v>2583</v>
      </c>
      <c r="B1215" s="1" t="s">
        <v>2584</v>
      </c>
      <c r="C1215" s="2" t="s">
        <v>2585</v>
      </c>
      <c r="D1215" s="1" t="str">
        <f>IFERROR(__xludf.DUMMYFUNCTION("GOOGLETRANSLATE(A1215 , ""auto"", ""ar"")"),"عدل")</f>
        <v>عدل</v>
      </c>
    </row>
    <row r="1216" ht="15.75" customHeight="1">
      <c r="A1216" s="1" t="s">
        <v>2586</v>
      </c>
      <c r="B1216" s="1" t="s">
        <v>2587</v>
      </c>
      <c r="C1216" s="2" t="s">
        <v>2588</v>
      </c>
      <c r="D1216" s="1" t="str">
        <f>IFERROR(__xludf.DUMMYFUNCTION("GOOGLETRANSLATE(A1216 , ""auto"", ""ar"")"),"يسقط")</f>
        <v>يسقط</v>
      </c>
    </row>
    <row r="1217" ht="15.75" customHeight="1">
      <c r="A1217" s="1" t="s">
        <v>2586</v>
      </c>
      <c r="B1217" s="1" t="s">
        <v>449</v>
      </c>
      <c r="C1217" s="2" t="s">
        <v>450</v>
      </c>
      <c r="D1217" s="1" t="str">
        <f>IFERROR(__xludf.DUMMYFUNCTION("GOOGLETRANSLATE(A1217 , ""auto"", ""ar"")"),"يسقط")</f>
        <v>يسقط</v>
      </c>
    </row>
    <row r="1218" ht="15.75" customHeight="1">
      <c r="A1218" s="1" t="s">
        <v>2586</v>
      </c>
      <c r="B1218" s="1" t="s">
        <v>2589</v>
      </c>
      <c r="C1218" s="2" t="s">
        <v>2590</v>
      </c>
      <c r="D1218" s="1" t="str">
        <f>IFERROR(__xludf.DUMMYFUNCTION("GOOGLETRANSLATE(A1218 , ""auto"", ""ar"")"),"يسقط")</f>
        <v>يسقط</v>
      </c>
    </row>
    <row r="1219" ht="15.75" customHeight="1">
      <c r="A1219" s="1" t="b">
        <v>0</v>
      </c>
      <c r="B1219" s="1" t="s">
        <v>2591</v>
      </c>
      <c r="C1219" s="2" t="s">
        <v>2592</v>
      </c>
      <c r="D1219" s="1" t="str">
        <f>IFERROR(__xludf.DUMMYFUNCTION("GOOGLETRANSLATE(A1219 , ""auto"", ""ar"")"),"خطأ شنيع")</f>
        <v>خطأ شنيع</v>
      </c>
    </row>
    <row r="1220" ht="15.75" customHeight="1">
      <c r="A1220" s="1" t="s">
        <v>2593</v>
      </c>
      <c r="B1220" s="1" t="s">
        <v>2594</v>
      </c>
      <c r="C1220" s="2" t="s">
        <v>2595</v>
      </c>
      <c r="D1220" s="1" t="str">
        <f>IFERROR(__xludf.DUMMYFUNCTION("GOOGLETRANSLATE(A1220 , ""auto"", ""ar"")"),"عائلة")</f>
        <v>عائلة</v>
      </c>
    </row>
    <row r="1221" ht="15.75" customHeight="1">
      <c r="A1221" s="1" t="s">
        <v>2593</v>
      </c>
      <c r="B1221" s="1" t="s">
        <v>2596</v>
      </c>
      <c r="C1221" s="2" t="s">
        <v>2597</v>
      </c>
      <c r="D1221" s="1" t="str">
        <f>IFERROR(__xludf.DUMMYFUNCTION("GOOGLETRANSLATE(A1221 , ""auto"", ""ar"")"),"عائلة")</f>
        <v>عائلة</v>
      </c>
    </row>
    <row r="1222" ht="15.75" customHeight="1">
      <c r="A1222" s="1" t="s">
        <v>2598</v>
      </c>
      <c r="B1222" s="1" t="s">
        <v>2599</v>
      </c>
      <c r="C1222" s="2" t="s">
        <v>2600</v>
      </c>
      <c r="D1222" s="1" t="str">
        <f>IFERROR(__xludf.DUMMYFUNCTION("GOOGLETRANSLATE(A1222 , ""auto"", ""ar"")"),"مجاعة")</f>
        <v>مجاعة</v>
      </c>
    </row>
    <row r="1223" ht="15.75" customHeight="1">
      <c r="A1223" s="1" t="s">
        <v>2601</v>
      </c>
      <c r="B1223" s="1" t="s">
        <v>2602</v>
      </c>
      <c r="C1223" s="2" t="s">
        <v>2603</v>
      </c>
      <c r="D1223" s="1" t="str">
        <f>IFERROR(__xludf.DUMMYFUNCTION("GOOGLETRANSLATE(A1223 , ""auto"", ""ar"")"),"مشهور")</f>
        <v>مشهور</v>
      </c>
    </row>
    <row r="1224" ht="15.75" customHeight="1">
      <c r="A1224" s="1" t="s">
        <v>2604</v>
      </c>
      <c r="B1224" s="1" t="s">
        <v>2605</v>
      </c>
      <c r="C1224" s="1"/>
      <c r="D1224" s="1" t="str">
        <f>IFERROR(__xludf.DUMMYFUNCTION("GOOGLETRANSLATE(A1224 , ""auto"", ""ar"")"),"معجب")</f>
        <v>معجب</v>
      </c>
    </row>
    <row r="1225" ht="15.75" customHeight="1">
      <c r="A1225" s="1" t="s">
        <v>2604</v>
      </c>
      <c r="B1225" s="1" t="s">
        <v>2606</v>
      </c>
      <c r="C1225" s="1"/>
      <c r="D1225" s="1" t="str">
        <f>IFERROR(__xludf.DUMMYFUNCTION("GOOGLETRANSLATE(A1225 , ""auto"", ""ar"")"),"معجب")</f>
        <v>معجب</v>
      </c>
    </row>
    <row r="1226" ht="15.75" customHeight="1">
      <c r="A1226" s="1" t="s">
        <v>2604</v>
      </c>
      <c r="B1226" s="1" t="s">
        <v>2606</v>
      </c>
      <c r="C1226" s="1"/>
      <c r="D1226" s="1" t="str">
        <f>IFERROR(__xludf.DUMMYFUNCTION("GOOGLETRANSLATE(A1226 , ""auto"", ""ar"")"),"معجب")</f>
        <v>معجب</v>
      </c>
    </row>
    <row r="1227" ht="15.75" customHeight="1">
      <c r="A1227" s="1" t="s">
        <v>2607</v>
      </c>
      <c r="B1227" s="1" t="s">
        <v>2608</v>
      </c>
      <c r="C1227" s="2" t="s">
        <v>2609</v>
      </c>
      <c r="D1227" s="1" t="str">
        <f>IFERROR(__xludf.DUMMYFUNCTION("GOOGLETRANSLATE(A1227 , ""auto"", ""ar"")"),"بعيد")</f>
        <v>بعيد</v>
      </c>
    </row>
    <row r="1228" ht="15.75" customHeight="1">
      <c r="A1228" s="1" t="s">
        <v>2610</v>
      </c>
      <c r="B1228" s="1" t="s">
        <v>2611</v>
      </c>
      <c r="C1228" s="2" t="s">
        <v>2612</v>
      </c>
      <c r="D1228" s="1" t="str">
        <f>IFERROR(__xludf.DUMMYFUNCTION("GOOGLETRANSLATE(A1228 , ""auto"", ""ar"")"),"مزرعة")</f>
        <v>مزرعة</v>
      </c>
    </row>
    <row r="1229" ht="15.75" customHeight="1">
      <c r="A1229" s="1" t="s">
        <v>2613</v>
      </c>
      <c r="B1229" s="1" t="s">
        <v>2614</v>
      </c>
      <c r="C1229" s="2" t="s">
        <v>2615</v>
      </c>
      <c r="D1229" s="1" t="str">
        <f>IFERROR(__xludf.DUMMYFUNCTION("GOOGLETRANSLATE(A1229 , ""auto"", ""ar"")"),"مزارع")</f>
        <v>مزارع</v>
      </c>
    </row>
    <row r="1230" ht="15.75" customHeight="1">
      <c r="A1230" s="1" t="s">
        <v>2616</v>
      </c>
      <c r="B1230" s="1" t="s">
        <v>2617</v>
      </c>
      <c r="C1230" s="2" t="s">
        <v>65</v>
      </c>
      <c r="D1230" s="1" t="str">
        <f>IFERROR(__xludf.DUMMYFUNCTION("GOOGLETRANSLATE(A1230 , ""auto"", ""ar"")"),"سريع")</f>
        <v>سريع</v>
      </c>
    </row>
    <row r="1231" ht="15.75" customHeight="1">
      <c r="A1231" s="1" t="s">
        <v>2616</v>
      </c>
      <c r="B1231" s="1" t="s">
        <v>2618</v>
      </c>
      <c r="C1231" s="2" t="s">
        <v>2619</v>
      </c>
      <c r="D1231" s="1" t="str">
        <f>IFERROR(__xludf.DUMMYFUNCTION("GOOGLETRANSLATE(A1231 , ""auto"", ""ar"")"),"سريع")</f>
        <v>سريع</v>
      </c>
    </row>
    <row r="1232" ht="15.75" customHeight="1">
      <c r="A1232" s="1" t="s">
        <v>2616</v>
      </c>
      <c r="B1232" s="1" t="s">
        <v>2620</v>
      </c>
      <c r="C1232" s="2" t="s">
        <v>2621</v>
      </c>
      <c r="D1232" s="1" t="str">
        <f>IFERROR(__xludf.DUMMYFUNCTION("GOOGLETRANSLATE(A1232 , ""auto"", ""ar"")"),"سريع")</f>
        <v>سريع</v>
      </c>
    </row>
    <row r="1233" ht="15.75" customHeight="1">
      <c r="A1233" s="1" t="s">
        <v>2616</v>
      </c>
      <c r="B1233" s="1" t="s">
        <v>2622</v>
      </c>
      <c r="C1233" s="2" t="s">
        <v>2623</v>
      </c>
      <c r="D1233" s="1" t="str">
        <f>IFERROR(__xludf.DUMMYFUNCTION("GOOGLETRANSLATE(A1233 , ""auto"", ""ar"")"),"سريع")</f>
        <v>سريع</v>
      </c>
    </row>
    <row r="1234" ht="15.75" customHeight="1">
      <c r="A1234" s="1" t="s">
        <v>2616</v>
      </c>
      <c r="B1234" s="1" t="s">
        <v>2624</v>
      </c>
      <c r="C1234" s="2" t="s">
        <v>2625</v>
      </c>
      <c r="D1234" s="1" t="str">
        <f>IFERROR(__xludf.DUMMYFUNCTION("GOOGLETRANSLATE(A1234 , ""auto"", ""ar"")"),"سريع")</f>
        <v>سريع</v>
      </c>
    </row>
    <row r="1235" ht="15.75" customHeight="1">
      <c r="A1235" s="1" t="s">
        <v>2616</v>
      </c>
      <c r="B1235" s="1" t="s">
        <v>2626</v>
      </c>
      <c r="C1235" s="2" t="s">
        <v>2627</v>
      </c>
      <c r="D1235" s="1" t="str">
        <f>IFERROR(__xludf.DUMMYFUNCTION("GOOGLETRANSLATE(A1235 , ""auto"", ""ar"")"),"سريع")</f>
        <v>سريع</v>
      </c>
    </row>
    <row r="1236" ht="15.75" customHeight="1">
      <c r="A1236" s="1" t="s">
        <v>2628</v>
      </c>
      <c r="B1236" s="1" t="s">
        <v>2629</v>
      </c>
      <c r="C1236" s="2" t="s">
        <v>2630</v>
      </c>
      <c r="D1236" s="1" t="str">
        <f>IFERROR(__xludf.DUMMYFUNCTION("GOOGLETRANSLATE(A1236 , ""auto"", ""ar"")"),"سمين")</f>
        <v>سمين</v>
      </c>
    </row>
    <row r="1237" ht="15.75" customHeight="1">
      <c r="A1237" s="1" t="s">
        <v>2628</v>
      </c>
      <c r="B1237" s="1" t="s">
        <v>2631</v>
      </c>
      <c r="C1237" s="2" t="s">
        <v>2632</v>
      </c>
      <c r="D1237" s="1" t="str">
        <f>IFERROR(__xludf.DUMMYFUNCTION("GOOGLETRANSLATE(A1237 , ""auto"", ""ar"")"),"سمين")</f>
        <v>سمين</v>
      </c>
    </row>
    <row r="1238" ht="15.75" customHeight="1">
      <c r="A1238" s="1" t="s">
        <v>2633</v>
      </c>
      <c r="B1238" s="1" t="s">
        <v>2634</v>
      </c>
      <c r="C1238" s="2" t="s">
        <v>2635</v>
      </c>
      <c r="D1238" s="1" t="str">
        <f>IFERROR(__xludf.DUMMYFUNCTION("GOOGLETRANSLATE(A1238 , ""auto"", ""ar"")"),"أب")</f>
        <v>أب</v>
      </c>
    </row>
    <row r="1239" ht="15.75" customHeight="1">
      <c r="A1239" s="1" t="s">
        <v>2633</v>
      </c>
      <c r="B1239" s="1" t="s">
        <v>2636</v>
      </c>
      <c r="C1239" s="2" t="s">
        <v>2637</v>
      </c>
      <c r="D1239" s="1" t="str">
        <f>IFERROR(__xludf.DUMMYFUNCTION("GOOGLETRANSLATE(A1239 , ""auto"", ""ar"")"),"أب")</f>
        <v>أب</v>
      </c>
    </row>
    <row r="1240" ht="15.75" customHeight="1">
      <c r="A1240" s="1" t="s">
        <v>2633</v>
      </c>
      <c r="B1240" s="1" t="s">
        <v>2638</v>
      </c>
      <c r="C1240" s="2" t="s">
        <v>2639</v>
      </c>
      <c r="D1240" s="1" t="str">
        <f>IFERROR(__xludf.DUMMYFUNCTION("GOOGLETRANSLATE(A1240 , ""auto"", ""ar"")"),"أب")</f>
        <v>أب</v>
      </c>
    </row>
    <row r="1241" ht="15.75" customHeight="1">
      <c r="A1241" s="1" t="s">
        <v>2633</v>
      </c>
      <c r="B1241" s="1" t="s">
        <v>1895</v>
      </c>
      <c r="C1241" s="2" t="s">
        <v>1896</v>
      </c>
      <c r="D1241" s="1" t="str">
        <f>IFERROR(__xludf.DUMMYFUNCTION("GOOGLETRANSLATE(A1241 , ""auto"", ""ar"")"),"أب")</f>
        <v>أب</v>
      </c>
    </row>
    <row r="1242" ht="15.75" customHeight="1">
      <c r="A1242" s="1" t="s">
        <v>2640</v>
      </c>
      <c r="B1242" s="1" t="s">
        <v>2641</v>
      </c>
      <c r="C1242" s="1"/>
      <c r="D1242" s="1" t="str">
        <f>IFERROR(__xludf.DUMMYFUNCTION("GOOGLETRANSLATE(A1242 , ""auto"", ""ar"")"),"ووالد بالتبنى")</f>
        <v>ووالد بالتبنى</v>
      </c>
    </row>
    <row r="1243" ht="15.75" customHeight="1">
      <c r="A1243" s="1" t="s">
        <v>2640</v>
      </c>
      <c r="B1243" s="1" t="s">
        <v>1051</v>
      </c>
      <c r="C1243" s="2" t="s">
        <v>1052</v>
      </c>
      <c r="D1243" s="1" t="str">
        <f>IFERROR(__xludf.DUMMYFUNCTION("GOOGLETRANSLATE(A1243 , ""auto"", ""ar"")"),"ووالد بالتبنى")</f>
        <v>ووالد بالتبنى</v>
      </c>
    </row>
    <row r="1244" ht="15.75" customHeight="1">
      <c r="A1244" s="1" t="s">
        <v>2642</v>
      </c>
      <c r="B1244" s="1" t="s">
        <v>2460</v>
      </c>
      <c r="C1244" s="1"/>
      <c r="D1244" s="1" t="str">
        <f>IFERROR(__xludf.DUMMYFUNCTION("GOOGLETRANSLATE(A1244 , ""auto"", ""ar"")"),"عيب")</f>
        <v>عيب</v>
      </c>
    </row>
    <row r="1245" ht="15.75" customHeight="1">
      <c r="A1245" s="1" t="s">
        <v>2642</v>
      </c>
      <c r="B1245" s="1" t="s">
        <v>2461</v>
      </c>
      <c r="C1245" s="1"/>
      <c r="D1245" s="1" t="str">
        <f>IFERROR(__xludf.DUMMYFUNCTION("GOOGLETRANSLATE(A1245 , ""auto"", ""ar"")"),"عيب")</f>
        <v>عيب</v>
      </c>
    </row>
    <row r="1246" ht="15.75" customHeight="1">
      <c r="A1246" s="1" t="s">
        <v>2642</v>
      </c>
      <c r="B1246" s="1" t="s">
        <v>2462</v>
      </c>
      <c r="C1246" s="1"/>
      <c r="D1246" s="1" t="str">
        <f>IFERROR(__xludf.DUMMYFUNCTION("GOOGLETRANSLATE(A1246 , ""auto"", ""ar"")"),"عيب")</f>
        <v>عيب</v>
      </c>
    </row>
    <row r="1247" ht="15.75" customHeight="1">
      <c r="A1247" s="1" t="s">
        <v>2643</v>
      </c>
      <c r="B1247" s="1" t="s">
        <v>1035</v>
      </c>
      <c r="C1247" s="2" t="s">
        <v>1036</v>
      </c>
      <c r="D1247" s="1" t="str">
        <f>IFERROR(__xludf.DUMMYFUNCTION("GOOGLETRANSLATE(A1247 , ""auto"", ""ar"")"),"فافا بين")</f>
        <v>فافا بين</v>
      </c>
    </row>
    <row r="1248" ht="15.75" customHeight="1">
      <c r="A1248" s="1" t="s">
        <v>2644</v>
      </c>
      <c r="B1248" s="1" t="s">
        <v>2645</v>
      </c>
      <c r="C1248" s="2" t="s">
        <v>2646</v>
      </c>
      <c r="D1248" s="1" t="str">
        <f>IFERROR(__xludf.DUMMYFUNCTION("GOOGLETRANSLATE(A1248 , ""auto"", ""ar"")"),"مفضل")</f>
        <v>مفضل</v>
      </c>
    </row>
    <row r="1249" ht="15.75" customHeight="1">
      <c r="A1249" s="1" t="s">
        <v>2647</v>
      </c>
      <c r="B1249" s="1" t="s">
        <v>2648</v>
      </c>
      <c r="C1249" s="2" t="s">
        <v>2649</v>
      </c>
      <c r="D1249" s="1" t="str">
        <f>IFERROR(__xludf.DUMMYFUNCTION("GOOGLETRANSLATE(A1249 , ""auto"", ""ar"")"),"يخاف")</f>
        <v>يخاف</v>
      </c>
    </row>
    <row r="1250" ht="15.75" customHeight="1">
      <c r="A1250" s="1" t="s">
        <v>2650</v>
      </c>
      <c r="B1250" s="1" t="s">
        <v>2651</v>
      </c>
      <c r="C1250" s="2" t="s">
        <v>2652</v>
      </c>
      <c r="D1250" s="1" t="str">
        <f>IFERROR(__xludf.DUMMYFUNCTION("GOOGLETRANSLATE(A1250 , ""auto"", ""ar"")"),"ريشة")</f>
        <v>ريشة</v>
      </c>
    </row>
    <row r="1251" ht="15.75" customHeight="1">
      <c r="A1251" s="1" t="s">
        <v>2653</v>
      </c>
      <c r="B1251" s="1" t="s">
        <v>2654</v>
      </c>
      <c r="C1251" s="2" t="s">
        <v>2655</v>
      </c>
      <c r="D1251" s="1" t="str">
        <f>IFERROR(__xludf.DUMMYFUNCTION("GOOGLETRANSLATE(A1251 , ""auto"", ""ar"")"),"شهر فبراير")</f>
        <v>شهر فبراير</v>
      </c>
    </row>
    <row r="1252" ht="15.75" customHeight="1">
      <c r="A1252" s="1" t="s">
        <v>2653</v>
      </c>
      <c r="B1252" s="1" t="s">
        <v>2656</v>
      </c>
      <c r="C1252" s="2" t="s">
        <v>2657</v>
      </c>
      <c r="D1252" s="1" t="str">
        <f>IFERROR(__xludf.DUMMYFUNCTION("GOOGLETRANSLATE(A1252 , ""auto"", ""ar"")"),"شهر فبراير")</f>
        <v>شهر فبراير</v>
      </c>
    </row>
    <row r="1253" ht="15.75" customHeight="1">
      <c r="A1253" s="1" t="s">
        <v>2382</v>
      </c>
      <c r="B1253" s="1" t="s">
        <v>2658</v>
      </c>
      <c r="C1253" s="2" t="s">
        <v>2659</v>
      </c>
      <c r="D1253" s="1" t="str">
        <f>IFERROR(__xludf.DUMMYFUNCTION("GOOGLETRANSLATE(A1253 , ""auto"", ""ar"")"),"يشعر")</f>
        <v>يشعر</v>
      </c>
    </row>
    <row r="1254" ht="15.75" customHeight="1">
      <c r="A1254" s="1" t="s">
        <v>2382</v>
      </c>
      <c r="B1254" s="1" t="s">
        <v>2660</v>
      </c>
      <c r="C1254" s="1"/>
      <c r="D1254" s="1" t="str">
        <f>IFERROR(__xludf.DUMMYFUNCTION("GOOGLETRANSLATE(A1254 , ""auto"", ""ar"")"),"يشعر")</f>
        <v>يشعر</v>
      </c>
    </row>
    <row r="1255" ht="15.75" customHeight="1">
      <c r="A1255" s="1" t="s">
        <v>2661</v>
      </c>
      <c r="B1255" s="1" t="s">
        <v>650</v>
      </c>
      <c r="C1255" s="1"/>
      <c r="D1255" s="1" t="str">
        <f>IFERROR(__xludf.DUMMYFUNCTION("GOOGLETRANSLATE(A1255 , ""auto"", ""ar"")"),"تشعر بتحسن")</f>
        <v>تشعر بتحسن</v>
      </c>
    </row>
    <row r="1256" ht="15.75" customHeight="1">
      <c r="A1256" s="1" t="s">
        <v>2661</v>
      </c>
      <c r="B1256" s="1" t="s">
        <v>650</v>
      </c>
      <c r="C1256" s="1"/>
      <c r="D1256" s="1" t="str">
        <f>IFERROR(__xludf.DUMMYFUNCTION("GOOGLETRANSLATE(A1256 , ""auto"", ""ar"")"),"تشعر بتحسن")</f>
        <v>تشعر بتحسن</v>
      </c>
    </row>
    <row r="1257" ht="15.75" customHeight="1">
      <c r="A1257" s="1" t="s">
        <v>2662</v>
      </c>
      <c r="B1257" s="1" t="s">
        <v>2663</v>
      </c>
      <c r="C1257" s="1"/>
      <c r="D1257" s="1" t="str">
        <f>IFERROR(__xludf.DUMMYFUNCTION("GOOGLETRANSLATE(A1257 , ""auto"", ""ar"")"),"إحساس")</f>
        <v>إحساس</v>
      </c>
    </row>
    <row r="1258" ht="15.75" customHeight="1">
      <c r="A1258" s="1" t="s">
        <v>2662</v>
      </c>
      <c r="B1258" s="1" t="s">
        <v>2664</v>
      </c>
      <c r="C1258" s="1"/>
      <c r="D1258" s="1" t="str">
        <f>IFERROR(__xludf.DUMMYFUNCTION("GOOGLETRANSLATE(A1258 , ""auto"", ""ar"")"),"إحساس")</f>
        <v>إحساس</v>
      </c>
    </row>
    <row r="1259" ht="15.75" customHeight="1">
      <c r="A1259" s="1" t="s">
        <v>2665</v>
      </c>
      <c r="B1259" s="1" t="s">
        <v>2666</v>
      </c>
      <c r="C1259" s="2" t="s">
        <v>2667</v>
      </c>
      <c r="D1259" s="1" t="str">
        <f>IFERROR(__xludf.DUMMYFUNCTION("GOOGLETRANSLATE(A1259 , ""auto"", ""ar"")"),"سور")</f>
        <v>سور</v>
      </c>
    </row>
    <row r="1260" ht="15.75" customHeight="1">
      <c r="A1260" s="1" t="s">
        <v>2665</v>
      </c>
      <c r="B1260" s="1" t="s">
        <v>2668</v>
      </c>
      <c r="C1260" s="1"/>
      <c r="D1260" s="1" t="str">
        <f>IFERROR(__xludf.DUMMYFUNCTION("GOOGLETRANSLATE(A1260 , ""auto"", ""ar"")"),"سور")</f>
        <v>سور</v>
      </c>
    </row>
    <row r="1261" ht="15.75" customHeight="1">
      <c r="A1261" s="1" t="s">
        <v>2669</v>
      </c>
      <c r="B1261" s="1" t="s">
        <v>2670</v>
      </c>
      <c r="C1261" s="2" t="s">
        <v>2671</v>
      </c>
      <c r="D1261" s="1" t="str">
        <f>IFERROR(__xludf.DUMMYFUNCTION("GOOGLETRANSLATE(A1261 , ""auto"", ""ar"")"),"مهرجان")</f>
        <v>مهرجان</v>
      </c>
    </row>
    <row r="1262" ht="15.75" customHeight="1">
      <c r="A1262" s="1" t="s">
        <v>2672</v>
      </c>
      <c r="B1262" s="1" t="s">
        <v>2673</v>
      </c>
      <c r="C1262" s="2" t="s">
        <v>2674</v>
      </c>
      <c r="D1262" s="1" t="str">
        <f>IFERROR(__xludf.DUMMYFUNCTION("GOOGLETRANSLATE(A1262 , ""auto"", ""ar"")"),"حمى")</f>
        <v>حمى</v>
      </c>
    </row>
    <row r="1263" ht="15.75" customHeight="1">
      <c r="A1263" s="1" t="s">
        <v>2675</v>
      </c>
      <c r="B1263" s="1" t="s">
        <v>2676</v>
      </c>
      <c r="C1263" s="2" t="s">
        <v>2677</v>
      </c>
      <c r="D1263" s="1" t="str">
        <f>IFERROR(__xludf.DUMMYFUNCTION("GOOGLETRANSLATE(A1263 , ""auto"", ""ar"")"),"عدد قليل")</f>
        <v>عدد قليل</v>
      </c>
    </row>
    <row r="1264" ht="15.75" customHeight="1">
      <c r="A1264" s="1" t="s">
        <v>2678</v>
      </c>
      <c r="B1264" s="1" t="s">
        <v>2679</v>
      </c>
      <c r="C1264" s="1"/>
      <c r="D1264" s="1" t="str">
        <f>IFERROR(__xludf.DUMMYFUNCTION("GOOGLETRANSLATE(A1264 , ""auto"", ""ar"")"),"خطيب")</f>
        <v>خطيب</v>
      </c>
    </row>
    <row r="1265" ht="15.75" customHeight="1">
      <c r="A1265" s="1" t="s">
        <v>2680</v>
      </c>
      <c r="B1265" s="1" t="s">
        <v>2681</v>
      </c>
      <c r="C1265" s="1"/>
      <c r="D1265" s="1" t="str">
        <f>IFERROR(__xludf.DUMMYFUNCTION("GOOGLETRANSLATE(A1265 , ""auto"", ""ar"")"),"مجال")</f>
        <v>مجال</v>
      </c>
    </row>
    <row r="1266" ht="15.75" customHeight="1">
      <c r="A1266" s="1" t="s">
        <v>2680</v>
      </c>
      <c r="B1266" s="1" t="s">
        <v>2682</v>
      </c>
      <c r="C1266" s="1"/>
      <c r="D1266" s="1" t="str">
        <f>IFERROR(__xludf.DUMMYFUNCTION("GOOGLETRANSLATE(A1266 , ""auto"", ""ar"")"),"مجال")</f>
        <v>مجال</v>
      </c>
    </row>
    <row r="1267" ht="15.75" customHeight="1">
      <c r="A1267" s="1" t="s">
        <v>2680</v>
      </c>
      <c r="B1267" s="1" t="s">
        <v>2683</v>
      </c>
      <c r="C1267" s="2" t="s">
        <v>2684</v>
      </c>
      <c r="D1267" s="1" t="str">
        <f>IFERROR(__xludf.DUMMYFUNCTION("GOOGLETRANSLATE(A1267 , ""auto"", ""ar"")"),"مجال")</f>
        <v>مجال</v>
      </c>
    </row>
    <row r="1268" ht="15.75" customHeight="1">
      <c r="A1268" s="1" t="s">
        <v>2685</v>
      </c>
      <c r="B1268" s="1" t="s">
        <v>2686</v>
      </c>
      <c r="C1268" s="2" t="s">
        <v>2687</v>
      </c>
      <c r="D1268" s="1" t="str">
        <f>IFERROR(__xludf.DUMMYFUNCTION("GOOGLETRANSLATE(A1268 , ""auto"", ""ar"")"),"خمسة عشر")</f>
        <v>خمسة عشر</v>
      </c>
    </row>
    <row r="1269" ht="15.75" customHeight="1">
      <c r="A1269" s="1" t="s">
        <v>2688</v>
      </c>
      <c r="B1269" s="1" t="s">
        <v>2689</v>
      </c>
      <c r="C1269" s="2" t="s">
        <v>2690</v>
      </c>
      <c r="D1269" s="1" t="str">
        <f>IFERROR(__xludf.DUMMYFUNCTION("GOOGLETRANSLATE(A1269 , ""auto"", ""ar"")"),"الخامس")</f>
        <v>الخامس</v>
      </c>
    </row>
    <row r="1270" ht="15.75" customHeight="1">
      <c r="A1270" s="1" t="s">
        <v>2691</v>
      </c>
      <c r="B1270" s="1" t="s">
        <v>2692</v>
      </c>
      <c r="C1270" s="2" t="s">
        <v>2693</v>
      </c>
      <c r="D1270" s="1" t="str">
        <f>IFERROR(__xludf.DUMMYFUNCTION("GOOGLETRANSLATE(A1270 , ""auto"", ""ar"")"),"خمسون")</f>
        <v>خمسون</v>
      </c>
    </row>
    <row r="1271" ht="15.75" customHeight="1">
      <c r="A1271" s="1" t="s">
        <v>2694</v>
      </c>
      <c r="B1271" s="1" t="s">
        <v>2695</v>
      </c>
      <c r="C1271" s="2" t="s">
        <v>2696</v>
      </c>
      <c r="D1271" s="1" t="str">
        <f>IFERROR(__xludf.DUMMYFUNCTION("GOOGLETRANSLATE(A1271 , ""auto"", ""ar"")"),"تين")</f>
        <v>تين</v>
      </c>
    </row>
    <row r="1272" ht="15.75" customHeight="1">
      <c r="A1272" s="1" t="s">
        <v>2697</v>
      </c>
      <c r="B1272" s="1" t="s">
        <v>2698</v>
      </c>
      <c r="C1272" s="1"/>
      <c r="D1272" s="1" t="str">
        <f>IFERROR(__xludf.DUMMYFUNCTION("GOOGLETRANSLATE(A1272 , ""auto"", ""ar"")"),"شجرة التين")</f>
        <v>شجرة التين</v>
      </c>
    </row>
    <row r="1273" ht="15.75" customHeight="1">
      <c r="A1273" s="1" t="s">
        <v>2699</v>
      </c>
      <c r="B1273" s="1" t="s">
        <v>2700</v>
      </c>
      <c r="C1273" s="1"/>
      <c r="D1273" s="1" t="str">
        <f>IFERROR(__xludf.DUMMYFUNCTION("GOOGLETRANSLATE(A1273 , ""auto"", ""ar"")"),"يعارك")</f>
        <v>يعارك</v>
      </c>
    </row>
    <row r="1274" ht="15.75" customHeight="1">
      <c r="A1274" s="1" t="s">
        <v>2699</v>
      </c>
      <c r="B1274" s="1" t="s">
        <v>2701</v>
      </c>
      <c r="C1274" s="1"/>
      <c r="D1274" s="1" t="str">
        <f>IFERROR(__xludf.DUMMYFUNCTION("GOOGLETRANSLATE(A1274 , ""auto"", ""ar"")"),"يعارك")</f>
        <v>يعارك</v>
      </c>
    </row>
    <row r="1275" ht="15.75" customHeight="1">
      <c r="A1275" s="1" t="s">
        <v>2699</v>
      </c>
      <c r="B1275" s="1" t="s">
        <v>2702</v>
      </c>
      <c r="C1275" s="1"/>
      <c r="D1275" s="1" t="str">
        <f>IFERROR(__xludf.DUMMYFUNCTION("GOOGLETRANSLATE(A1275 , ""auto"", ""ar"")"),"يعارك")</f>
        <v>يعارك</v>
      </c>
    </row>
    <row r="1276" ht="15.75" customHeight="1">
      <c r="A1276" s="1" t="s">
        <v>2703</v>
      </c>
      <c r="B1276" s="1" t="s">
        <v>2704</v>
      </c>
      <c r="C1276" s="1"/>
      <c r="D1276" s="1" t="str">
        <f>IFERROR(__xludf.DUMMYFUNCTION("GOOGLETRANSLATE(A1276 , ""auto"", ""ar"")"),"ملف")</f>
        <v>ملف</v>
      </c>
    </row>
    <row r="1277" ht="15.75" customHeight="1">
      <c r="A1277" s="1" t="s">
        <v>2705</v>
      </c>
      <c r="B1277" s="1" t="s">
        <v>2706</v>
      </c>
      <c r="C1277" s="2" t="s">
        <v>2707</v>
      </c>
      <c r="D1277" s="1" t="str">
        <f>IFERROR(__xludf.DUMMYFUNCTION("GOOGLETRANSLATE(A1277 , ""auto"", ""ar"")"),"يملأ")</f>
        <v>يملأ</v>
      </c>
    </row>
    <row r="1278" ht="15.75" customHeight="1">
      <c r="A1278" s="1" t="s">
        <v>2705</v>
      </c>
      <c r="B1278" s="1" t="s">
        <v>2708</v>
      </c>
      <c r="C1278" s="2" t="s">
        <v>2709</v>
      </c>
      <c r="D1278" s="1" t="str">
        <f>IFERROR(__xludf.DUMMYFUNCTION("GOOGLETRANSLATE(A1278 , ""auto"", ""ar"")"),"يملأ")</f>
        <v>يملأ</v>
      </c>
    </row>
    <row r="1279" ht="15.75" customHeight="1">
      <c r="A1279" s="1" t="s">
        <v>2710</v>
      </c>
      <c r="B1279" s="1" t="s">
        <v>2711</v>
      </c>
      <c r="C1279" s="2" t="s">
        <v>2712</v>
      </c>
      <c r="D1279" s="1" t="str">
        <f>IFERROR(__xludf.DUMMYFUNCTION("GOOGLETRANSLATE(A1279 , ""auto"", ""ar"")"),"فيلم")</f>
        <v>فيلم</v>
      </c>
    </row>
    <row r="1280" ht="15.75" customHeight="1">
      <c r="A1280" s="1" t="s">
        <v>2713</v>
      </c>
      <c r="B1280" s="1" t="s">
        <v>2714</v>
      </c>
      <c r="C1280" s="1"/>
      <c r="D1280" s="1" t="str">
        <f>IFERROR(__xludf.DUMMYFUNCTION("GOOGLETRANSLATE(A1280 , ""auto"", ""ar"")"),"منقي")</f>
        <v>منقي</v>
      </c>
    </row>
    <row r="1281" ht="15.75" customHeight="1">
      <c r="A1281" s="1" t="s">
        <v>2713</v>
      </c>
      <c r="B1281" s="1" t="s">
        <v>2715</v>
      </c>
      <c r="C1281" s="2" t="s">
        <v>2716</v>
      </c>
      <c r="D1281" s="1" t="str">
        <f>IFERROR(__xludf.DUMMYFUNCTION("GOOGLETRANSLATE(A1281 , ""auto"", ""ar"")"),"منقي")</f>
        <v>منقي</v>
      </c>
    </row>
    <row r="1282" ht="15.75" customHeight="1">
      <c r="A1282" s="1" t="s">
        <v>2717</v>
      </c>
      <c r="B1282" s="1" t="s">
        <v>2718</v>
      </c>
      <c r="C1282" s="2" t="s">
        <v>2719</v>
      </c>
      <c r="D1282" s="1" t="str">
        <f>IFERROR(__xludf.DUMMYFUNCTION("GOOGLETRANSLATE(A1282 , ""auto"", ""ar"")"),"أخيراً")</f>
        <v>أخيراً</v>
      </c>
    </row>
    <row r="1283" ht="15.75" customHeight="1">
      <c r="A1283" s="1" t="s">
        <v>2720</v>
      </c>
      <c r="B1283" s="1" t="s">
        <v>2721</v>
      </c>
      <c r="C1283" s="2" t="s">
        <v>2722</v>
      </c>
      <c r="D1283" s="1" t="str">
        <f>IFERROR(__xludf.DUMMYFUNCTION("GOOGLETRANSLATE(A1283 , ""auto"", ""ar"")"),"مالي")</f>
        <v>مالي</v>
      </c>
    </row>
    <row r="1284" ht="15.75" customHeight="1">
      <c r="A1284" s="1" t="s">
        <v>2723</v>
      </c>
      <c r="B1284" s="1" t="s">
        <v>2724</v>
      </c>
      <c r="C1284" s="2" t="s">
        <v>2725</v>
      </c>
      <c r="D1284" s="1" t="str">
        <f>IFERROR(__xludf.DUMMYFUNCTION("GOOGLETRANSLATE(A1284 , ""auto"", ""ar"")"),"يجد")</f>
        <v>يجد</v>
      </c>
    </row>
    <row r="1285" ht="15.75" customHeight="1">
      <c r="A1285" s="1" t="s">
        <v>2723</v>
      </c>
      <c r="B1285" s="1" t="s">
        <v>2726</v>
      </c>
      <c r="C1285" s="1"/>
      <c r="D1285" s="1" t="str">
        <f>IFERROR(__xludf.DUMMYFUNCTION("GOOGLETRANSLATE(A1285 , ""auto"", ""ar"")"),"يجد")</f>
        <v>يجد</v>
      </c>
    </row>
    <row r="1286" ht="15.75" customHeight="1">
      <c r="A1286" s="1" t="s">
        <v>2727</v>
      </c>
      <c r="B1286" s="1" t="s">
        <v>2728</v>
      </c>
      <c r="C1286" s="2" t="s">
        <v>2729</v>
      </c>
      <c r="D1286" s="1" t="str">
        <f>IFERROR(__xludf.DUMMYFUNCTION("GOOGLETRANSLATE(A1286 , ""auto"", ""ar"")"),"بخير")</f>
        <v>بخير</v>
      </c>
    </row>
    <row r="1287" ht="15.75" customHeight="1">
      <c r="A1287" s="1" t="s">
        <v>2727</v>
      </c>
      <c r="B1287" s="1" t="s">
        <v>2730</v>
      </c>
      <c r="C1287" s="2" t="s">
        <v>2731</v>
      </c>
      <c r="D1287" s="1" t="str">
        <f>IFERROR(__xludf.DUMMYFUNCTION("GOOGLETRANSLATE(A1287 , ""auto"", ""ar"")"),"بخير")</f>
        <v>بخير</v>
      </c>
    </row>
    <row r="1288" ht="15.75" customHeight="1">
      <c r="A1288" s="1" t="s">
        <v>2732</v>
      </c>
      <c r="B1288" s="1" t="s">
        <v>2733</v>
      </c>
      <c r="C1288" s="2" t="s">
        <v>2734</v>
      </c>
      <c r="D1288" s="1" t="str">
        <f>IFERROR(__xludf.DUMMYFUNCTION("GOOGLETRANSLATE(A1288 , ""auto"", ""ar"")"),"اصبع اليد")</f>
        <v>اصبع اليد</v>
      </c>
    </row>
    <row r="1289" ht="15.75" customHeight="1">
      <c r="A1289" s="1" t="s">
        <v>2735</v>
      </c>
      <c r="B1289" s="1" t="s">
        <v>2736</v>
      </c>
      <c r="C1289" s="2" t="s">
        <v>2737</v>
      </c>
      <c r="D1289" s="1" t="str">
        <f>IFERROR(__xludf.DUMMYFUNCTION("GOOGLETRANSLATE(A1289 , ""auto"", ""ar"")"),"ظفر")</f>
        <v>ظفر</v>
      </c>
    </row>
    <row r="1290" ht="15.75" customHeight="1">
      <c r="A1290" s="1" t="s">
        <v>2738</v>
      </c>
      <c r="B1290" s="1" t="s">
        <v>2739</v>
      </c>
      <c r="C1290" s="1"/>
      <c r="D1290" s="1" t="str">
        <f>IFERROR(__xludf.DUMMYFUNCTION("GOOGLETRANSLATE(A1290 , ""auto"", ""ar"")"),"بصمة")</f>
        <v>بصمة</v>
      </c>
    </row>
    <row r="1291" ht="15.75" customHeight="1">
      <c r="A1291" s="1" t="s">
        <v>2740</v>
      </c>
      <c r="B1291" s="1" t="s">
        <v>1675</v>
      </c>
      <c r="C1291" s="2" t="s">
        <v>1676</v>
      </c>
      <c r="D1291" s="1" t="str">
        <f>IFERROR(__xludf.DUMMYFUNCTION("GOOGLETRANSLATE(A1291 , ""auto"", ""ar"")"),"ينهي")</f>
        <v>ينهي</v>
      </c>
    </row>
    <row r="1292" ht="15.75" customHeight="1">
      <c r="A1292" s="1" t="s">
        <v>2740</v>
      </c>
      <c r="B1292" s="1" t="s">
        <v>2741</v>
      </c>
      <c r="C1292" s="2" t="s">
        <v>2742</v>
      </c>
      <c r="D1292" s="1" t="str">
        <f>IFERROR(__xludf.DUMMYFUNCTION("GOOGLETRANSLATE(A1292 , ""auto"", ""ar"")"),"ينهي")</f>
        <v>ينهي</v>
      </c>
    </row>
    <row r="1293" ht="15.75" customHeight="1">
      <c r="A1293" s="1" t="s">
        <v>2743</v>
      </c>
      <c r="B1293" s="1" t="s">
        <v>2744</v>
      </c>
      <c r="C1293" s="2" t="s">
        <v>2745</v>
      </c>
      <c r="D1293" s="1" t="str">
        <f>IFERROR(__xludf.DUMMYFUNCTION("GOOGLETRANSLATE(A1293 , ""auto"", ""ar"")"),"نار")</f>
        <v>نار</v>
      </c>
    </row>
    <row r="1294" ht="15.75" customHeight="1">
      <c r="A1294" s="1" t="s">
        <v>2746</v>
      </c>
      <c r="B1294" s="1" t="s">
        <v>680</v>
      </c>
      <c r="C1294" s="2" t="s">
        <v>681</v>
      </c>
      <c r="D1294" s="1" t="str">
        <f>IFERROR(__xludf.DUMMYFUNCTION("GOOGLETRANSLATE(A1294 , ""auto"", ""ar"")"),"أولاً")</f>
        <v>أولاً</v>
      </c>
    </row>
    <row r="1295" ht="15.75" customHeight="1">
      <c r="A1295" s="1" t="s">
        <v>2746</v>
      </c>
      <c r="B1295" s="1" t="s">
        <v>2747</v>
      </c>
      <c r="C1295" s="2" t="s">
        <v>2748</v>
      </c>
      <c r="D1295" s="1" t="str">
        <f>IFERROR(__xludf.DUMMYFUNCTION("GOOGLETRANSLATE(A1295 , ""auto"", ""ar"")"),"أولاً")</f>
        <v>أولاً</v>
      </c>
    </row>
    <row r="1296" ht="15.75" customHeight="1">
      <c r="A1296" s="1" t="s">
        <v>2746</v>
      </c>
      <c r="B1296" s="1" t="s">
        <v>2749</v>
      </c>
      <c r="C1296" s="2" t="s">
        <v>2750</v>
      </c>
      <c r="D1296" s="1" t="str">
        <f>IFERROR(__xludf.DUMMYFUNCTION("GOOGLETRANSLATE(A1296 , ""auto"", ""ar"")"),"أولاً")</f>
        <v>أولاً</v>
      </c>
    </row>
    <row r="1297" ht="15.75" customHeight="1">
      <c r="A1297" s="1" t="s">
        <v>2751</v>
      </c>
      <c r="B1297" s="1" t="s">
        <v>2752</v>
      </c>
      <c r="C1297" s="2" t="s">
        <v>2753</v>
      </c>
      <c r="D1297" s="1" t="str">
        <f>IFERROR(__xludf.DUMMYFUNCTION("GOOGLETRANSLATE(A1297 , ""auto"", ""ar"")"),"إسعافات أولية")</f>
        <v>إسعافات أولية</v>
      </c>
    </row>
    <row r="1298" ht="15.75" customHeight="1">
      <c r="A1298" s="1" t="s">
        <v>2754</v>
      </c>
      <c r="B1298" s="1" t="s">
        <v>2755</v>
      </c>
      <c r="C1298" s="2" t="s">
        <v>2756</v>
      </c>
      <c r="D1298" s="1" t="str">
        <f>IFERROR(__xludf.DUMMYFUNCTION("GOOGLETRANSLATE(A1298 , ""auto"", ""ar"")"),"أولاً")</f>
        <v>أولاً</v>
      </c>
    </row>
    <row r="1299" ht="15.75" customHeight="1">
      <c r="A1299" s="1" t="s">
        <v>2754</v>
      </c>
      <c r="B1299" s="1" t="s">
        <v>2749</v>
      </c>
      <c r="C1299" s="2" t="s">
        <v>2750</v>
      </c>
      <c r="D1299" s="1" t="str">
        <f>IFERROR(__xludf.DUMMYFUNCTION("GOOGLETRANSLATE(A1299 , ""auto"", ""ar"")"),"أولاً")</f>
        <v>أولاً</v>
      </c>
    </row>
    <row r="1300" ht="15.75" customHeight="1">
      <c r="A1300" s="1" t="s">
        <v>2757</v>
      </c>
      <c r="B1300" s="1" t="s">
        <v>2758</v>
      </c>
      <c r="C1300" s="2" t="s">
        <v>2759</v>
      </c>
      <c r="D1300" s="1" t="str">
        <f>IFERROR(__xludf.DUMMYFUNCTION("GOOGLETRANSLATE(A1300 , ""auto"", ""ar"")"),"سمكة")</f>
        <v>سمكة</v>
      </c>
    </row>
    <row r="1301" ht="15.75" customHeight="1">
      <c r="A1301" s="1" t="s">
        <v>2757</v>
      </c>
      <c r="B1301" s="1" t="s">
        <v>2760</v>
      </c>
      <c r="C1301" s="1"/>
      <c r="D1301" s="1" t="str">
        <f>IFERROR(__xludf.DUMMYFUNCTION("GOOGLETRANSLATE(A1301 , ""auto"", ""ar"")"),"سمكة")</f>
        <v>سمكة</v>
      </c>
    </row>
    <row r="1302" ht="15.75" customHeight="1">
      <c r="A1302" s="1" t="s">
        <v>2757</v>
      </c>
      <c r="B1302" s="1" t="s">
        <v>2761</v>
      </c>
      <c r="C1302" s="2" t="s">
        <v>2762</v>
      </c>
      <c r="D1302" s="1" t="str">
        <f>IFERROR(__xludf.DUMMYFUNCTION("GOOGLETRANSLATE(A1302 , ""auto"", ""ar"")"),"سمكة")</f>
        <v>سمكة</v>
      </c>
    </row>
    <row r="1303" ht="15.75" customHeight="1">
      <c r="A1303" s="1" t="s">
        <v>2763</v>
      </c>
      <c r="B1303" s="1" t="s">
        <v>2764</v>
      </c>
      <c r="C1303" s="2" t="s">
        <v>2765</v>
      </c>
      <c r="D1303" s="1" t="str">
        <f>IFERROR(__xludf.DUMMYFUNCTION("GOOGLETRANSLATE(A1303 , ""auto"", ""ar"")"),"صياد السمك")</f>
        <v>صياد السمك</v>
      </c>
    </row>
    <row r="1304" ht="15.75" customHeight="1">
      <c r="A1304" s="1" t="s">
        <v>2766</v>
      </c>
      <c r="B1304" s="1" t="s">
        <v>2767</v>
      </c>
      <c r="C1304" s="1"/>
      <c r="D1304" s="1" t="str">
        <f>IFERROR(__xludf.DUMMYFUNCTION("GOOGLETRANSLATE(A1304 , ""auto"", ""ar"")"),"غرفة اللياقة")</f>
        <v>غرفة اللياقة</v>
      </c>
    </row>
    <row r="1305" ht="15.75" customHeight="1">
      <c r="A1305" s="1" t="s">
        <v>2766</v>
      </c>
      <c r="B1305" s="1" t="s">
        <v>2767</v>
      </c>
      <c r="C1305" s="1"/>
      <c r="D1305" s="1" t="str">
        <f>IFERROR(__xludf.DUMMYFUNCTION("GOOGLETRANSLATE(A1305 , ""auto"", ""ar"")"),"غرفة اللياقة")</f>
        <v>غرفة اللياقة</v>
      </c>
    </row>
    <row r="1306" ht="15.75" customHeight="1">
      <c r="A1306" s="1" t="s">
        <v>2768</v>
      </c>
      <c r="B1306" s="1" t="s">
        <v>2769</v>
      </c>
      <c r="C1306" s="2" t="s">
        <v>2770</v>
      </c>
      <c r="D1306" s="1" t="str">
        <f>IFERROR(__xludf.DUMMYFUNCTION("GOOGLETRANSLATE(A1306 , ""auto"", ""ar"")"),"خمسة")</f>
        <v>خمسة</v>
      </c>
    </row>
    <row r="1307" ht="15.75" customHeight="1">
      <c r="A1307" s="1" t="s">
        <v>2768</v>
      </c>
      <c r="B1307" s="1" t="s">
        <v>2771</v>
      </c>
      <c r="C1307" s="2" t="s">
        <v>2772</v>
      </c>
      <c r="D1307" s="1" t="str">
        <f>IFERROR(__xludf.DUMMYFUNCTION("GOOGLETRANSLATE(A1307 , ""auto"", ""ar"")"),"خمسة")</f>
        <v>خمسة</v>
      </c>
    </row>
    <row r="1308" ht="15.75" customHeight="1">
      <c r="A1308" s="1" t="s">
        <v>2773</v>
      </c>
      <c r="B1308" s="1" t="s">
        <v>2774</v>
      </c>
      <c r="C1308" s="2" t="s">
        <v>2775</v>
      </c>
      <c r="D1308" s="1" t="str">
        <f>IFERROR(__xludf.DUMMYFUNCTION("GOOGLETRANSLATE(A1308 , ""auto"", ""ar"")"),"خمس دقائق")</f>
        <v>خمس دقائق</v>
      </c>
    </row>
    <row r="1309" ht="15.75" customHeight="1">
      <c r="A1309" s="1" t="s">
        <v>2776</v>
      </c>
      <c r="B1309" s="1" t="s">
        <v>2777</v>
      </c>
      <c r="C1309" s="2" t="s">
        <v>65</v>
      </c>
      <c r="D1309" s="1" t="str">
        <f>IFERROR(__xludf.DUMMYFUNCTION("GOOGLETRANSLATE(A1309 , ""auto"", ""ar"")"),"مُثَبَّت")</f>
        <v>مُثَبَّت</v>
      </c>
    </row>
    <row r="1310" ht="15.75" customHeight="1">
      <c r="A1310" s="1" t="s">
        <v>2778</v>
      </c>
      <c r="B1310" s="1" t="s">
        <v>2249</v>
      </c>
      <c r="C1310" s="2" t="s">
        <v>2250</v>
      </c>
      <c r="D1310" s="1" t="str">
        <f>IFERROR(__xludf.DUMMYFUNCTION("GOOGLETRANSLATE(A1310 , ""auto"", ""ar"")"),"مشروب غازى")</f>
        <v>مشروب غازى</v>
      </c>
    </row>
    <row r="1311" ht="15.75" customHeight="1">
      <c r="A1311" s="1" t="s">
        <v>2779</v>
      </c>
      <c r="B1311" s="1" t="s">
        <v>2780</v>
      </c>
      <c r="C1311" s="2" t="s">
        <v>2781</v>
      </c>
      <c r="D1311" s="1" t="str">
        <f>IFERROR(__xludf.DUMMYFUNCTION("GOOGLETRANSLATE(A1311 , ""auto"", ""ar"")"),"علَم")</f>
        <v>علَم</v>
      </c>
    </row>
    <row r="1312" ht="15.75" customHeight="1">
      <c r="A1312" s="1" t="s">
        <v>2779</v>
      </c>
      <c r="B1312" s="1" t="s">
        <v>2782</v>
      </c>
      <c r="C1312" s="2" t="s">
        <v>2783</v>
      </c>
      <c r="D1312" s="1" t="str">
        <f>IFERROR(__xludf.DUMMYFUNCTION("GOOGLETRANSLATE(A1312 , ""auto"", ""ar"")"),"علَم")</f>
        <v>علَم</v>
      </c>
    </row>
    <row r="1313" ht="15.75" customHeight="1">
      <c r="A1313" s="1" t="s">
        <v>2784</v>
      </c>
      <c r="B1313" s="1" t="s">
        <v>2785</v>
      </c>
      <c r="C1313" s="1"/>
      <c r="D1313" s="1" t="str">
        <f>IFERROR(__xludf.DUMMYFUNCTION("GOOGLETRANSLATE(A1313 , ""auto"", ""ar"")"),"مصباح يدوي")</f>
        <v>مصباح يدوي</v>
      </c>
    </row>
    <row r="1314" ht="15.75" customHeight="1">
      <c r="A1314" s="1" t="s">
        <v>2786</v>
      </c>
      <c r="B1314" s="1" t="s">
        <v>302</v>
      </c>
      <c r="C1314" s="2" t="s">
        <v>303</v>
      </c>
      <c r="D1314" s="1" t="str">
        <f>IFERROR(__xludf.DUMMYFUNCTION("GOOGLETRANSLATE(A1314 , ""auto"", ""ar"")"),"مستوي")</f>
        <v>مستوي</v>
      </c>
    </row>
    <row r="1315" ht="15.75" customHeight="1">
      <c r="A1315" s="1" t="s">
        <v>2787</v>
      </c>
      <c r="B1315" s="1" t="s">
        <v>2788</v>
      </c>
      <c r="C1315" s="1"/>
      <c r="D1315" s="1" t="str">
        <f>IFERROR(__xludf.DUMMYFUNCTION("GOOGLETRANSLATE(A1315 , ""auto"", ""ar"")"),"برغوث")</f>
        <v>برغوث</v>
      </c>
    </row>
    <row r="1316" ht="15.75" customHeight="1">
      <c r="A1316" s="1" t="s">
        <v>2789</v>
      </c>
      <c r="B1316" s="1" t="s">
        <v>2790</v>
      </c>
      <c r="C1316" s="1"/>
      <c r="D1316" s="1" t="str">
        <f>IFERROR(__xludf.DUMMYFUNCTION("GOOGLETRANSLATE(A1316 , ""auto"", ""ar"")"),"فر")</f>
        <v>فر</v>
      </c>
    </row>
    <row r="1317" ht="15.75" customHeight="1">
      <c r="A1317" s="1" t="s">
        <v>2791</v>
      </c>
      <c r="B1317" s="1" t="s">
        <v>2792</v>
      </c>
      <c r="C1317" s="2" t="s">
        <v>2793</v>
      </c>
      <c r="D1317" s="1" t="str">
        <f>IFERROR(__xludf.DUMMYFUNCTION("GOOGLETRANSLATE(A1317 , ""auto"", ""ar"")"),"لحم")</f>
        <v>لحم</v>
      </c>
    </row>
    <row r="1318" ht="15.75" customHeight="1">
      <c r="A1318" s="1" t="s">
        <v>2794</v>
      </c>
      <c r="B1318" s="1" t="s">
        <v>2795</v>
      </c>
      <c r="C1318" s="2" t="s">
        <v>2796</v>
      </c>
      <c r="D1318" s="1" t="str">
        <f>IFERROR(__xludf.DUMMYFUNCTION("GOOGLETRANSLATE(A1318 , ""auto"", ""ar"")"),"فيضان")</f>
        <v>فيضان</v>
      </c>
    </row>
    <row r="1319" ht="15.75" customHeight="1">
      <c r="A1319" s="1" t="s">
        <v>2794</v>
      </c>
      <c r="B1319" s="1" t="s">
        <v>2797</v>
      </c>
      <c r="C1319" s="2" t="s">
        <v>2798</v>
      </c>
      <c r="D1319" s="1" t="str">
        <f>IFERROR(__xludf.DUMMYFUNCTION("GOOGLETRANSLATE(A1319 , ""auto"", ""ar"")"),"فيضان")</f>
        <v>فيضان</v>
      </c>
    </row>
    <row r="1320" ht="15.75" customHeight="1">
      <c r="A1320" s="1" t="s">
        <v>2799</v>
      </c>
      <c r="B1320" s="1" t="s">
        <v>2300</v>
      </c>
      <c r="C1320" s="2" t="s">
        <v>2301</v>
      </c>
      <c r="D1320" s="1" t="str">
        <f>IFERROR(__xludf.DUMMYFUNCTION("GOOGLETRANSLATE(A1320 , ""auto"", ""ar"")"),"أرضية")</f>
        <v>أرضية</v>
      </c>
    </row>
    <row r="1321" ht="15.75" customHeight="1">
      <c r="A1321" s="1" t="s">
        <v>2799</v>
      </c>
      <c r="B1321" s="1" t="s">
        <v>2800</v>
      </c>
      <c r="C1321" s="2" t="s">
        <v>2801</v>
      </c>
      <c r="D1321" s="1" t="str">
        <f>IFERROR(__xludf.DUMMYFUNCTION("GOOGLETRANSLATE(A1321 , ""auto"", ""ar"")"),"أرضية")</f>
        <v>أرضية</v>
      </c>
    </row>
    <row r="1322" ht="15.75" customHeight="1">
      <c r="A1322" s="1" t="s">
        <v>2802</v>
      </c>
      <c r="B1322" s="1" t="s">
        <v>2803</v>
      </c>
      <c r="C1322" s="1"/>
      <c r="D1322" s="1" t="str">
        <f>IFERROR(__xludf.DUMMYFUNCTION("GOOGLETRANSLATE(A1322 , ""auto"", ""ar"")"),"ممسحة الكلمة")</f>
        <v>ممسحة الكلمة</v>
      </c>
    </row>
    <row r="1323" ht="15.75" customHeight="1">
      <c r="A1323" s="1" t="s">
        <v>2802</v>
      </c>
      <c r="B1323" s="1" t="s">
        <v>2804</v>
      </c>
      <c r="C1323" s="2" t="s">
        <v>2805</v>
      </c>
      <c r="D1323" s="1" t="str">
        <f>IFERROR(__xludf.DUMMYFUNCTION("GOOGLETRANSLATE(A1323 , ""auto"", ""ar"")"),"ممسحة الكلمة")</f>
        <v>ممسحة الكلمة</v>
      </c>
    </row>
    <row r="1324" ht="15.75" customHeight="1">
      <c r="A1324" s="1" t="s">
        <v>2806</v>
      </c>
      <c r="B1324" s="1" t="s">
        <v>2807</v>
      </c>
      <c r="C1324" s="2" t="s">
        <v>2808</v>
      </c>
      <c r="D1324" s="1" t="str">
        <f>IFERROR(__xludf.DUMMYFUNCTION("GOOGLETRANSLATE(A1324 , ""auto"", ""ar"")"),"دقيق")</f>
        <v>دقيق</v>
      </c>
    </row>
    <row r="1325" ht="15.75" customHeight="1">
      <c r="A1325" s="1" t="s">
        <v>2806</v>
      </c>
      <c r="B1325" s="1" t="s">
        <v>2809</v>
      </c>
      <c r="C1325" s="2" t="s">
        <v>2810</v>
      </c>
      <c r="D1325" s="1" t="str">
        <f>IFERROR(__xludf.DUMMYFUNCTION("GOOGLETRANSLATE(A1325 , ""auto"", ""ar"")"),"دقيق")</f>
        <v>دقيق</v>
      </c>
    </row>
    <row r="1326" ht="15.75" customHeight="1">
      <c r="A1326" s="1" t="s">
        <v>2806</v>
      </c>
      <c r="B1326" s="1" t="s">
        <v>2811</v>
      </c>
      <c r="C1326" s="2" t="s">
        <v>2812</v>
      </c>
      <c r="D1326" s="1" t="str">
        <f>IFERROR(__xludf.DUMMYFUNCTION("GOOGLETRANSLATE(A1326 , ""auto"", ""ar"")"),"دقيق")</f>
        <v>دقيق</v>
      </c>
    </row>
    <row r="1327" ht="15.75" customHeight="1">
      <c r="A1327" s="1" t="s">
        <v>2813</v>
      </c>
      <c r="B1327" s="1" t="s">
        <v>2814</v>
      </c>
      <c r="C1327" s="2" t="s">
        <v>2815</v>
      </c>
      <c r="D1327" s="1" t="str">
        <f>IFERROR(__xludf.DUMMYFUNCTION("GOOGLETRANSLATE(A1327 , ""auto"", ""ar"")"),"ورد")</f>
        <v>ورد</v>
      </c>
    </row>
    <row r="1328" ht="15.75" customHeight="1">
      <c r="A1328" s="1" t="s">
        <v>2816</v>
      </c>
      <c r="B1328" s="1" t="s">
        <v>2817</v>
      </c>
      <c r="C1328" s="2" t="s">
        <v>2818</v>
      </c>
      <c r="D1328" s="1" t="str">
        <f>IFERROR(__xludf.DUMMYFUNCTION("GOOGLETRANSLATE(A1328 , ""auto"", ""ar"")"),"يطير")</f>
        <v>يطير</v>
      </c>
    </row>
    <row r="1329" ht="15.75" customHeight="1">
      <c r="A1329" s="1" t="s">
        <v>2816</v>
      </c>
      <c r="B1329" s="1" t="s">
        <v>2819</v>
      </c>
      <c r="C1329" s="2" t="s">
        <v>2820</v>
      </c>
      <c r="D1329" s="1" t="str">
        <f>IFERROR(__xludf.DUMMYFUNCTION("GOOGLETRANSLATE(A1329 , ""auto"", ""ar"")"),"يطير")</f>
        <v>يطير</v>
      </c>
    </row>
    <row r="1330" ht="15.75" customHeight="1">
      <c r="A1330" s="1" t="s">
        <v>2821</v>
      </c>
      <c r="B1330" s="1" t="s">
        <v>1635</v>
      </c>
      <c r="C1330" s="2" t="s">
        <v>2822</v>
      </c>
      <c r="D1330" s="1" t="str">
        <f>IFERROR(__xludf.DUMMYFUNCTION("GOOGLETRANSLATE(A1330 , ""auto"", ""ar"")"),"ركز")</f>
        <v>ركز</v>
      </c>
    </row>
    <row r="1331" ht="15.75" customHeight="1">
      <c r="A1331" s="1" t="s">
        <v>2823</v>
      </c>
      <c r="B1331" s="1" t="s">
        <v>2824</v>
      </c>
      <c r="C1331" s="2" t="s">
        <v>2825</v>
      </c>
      <c r="D1331" s="1" t="str">
        <f>IFERROR(__xludf.DUMMYFUNCTION("GOOGLETRANSLATE(A1331 , ""auto"", ""ar"")"),"الضباب")</f>
        <v>الضباب</v>
      </c>
    </row>
    <row r="1332" ht="15.75" customHeight="1">
      <c r="A1332" s="1" t="s">
        <v>2823</v>
      </c>
      <c r="B1332" s="1" t="s">
        <v>2824</v>
      </c>
      <c r="C1332" s="1"/>
      <c r="D1332" s="1" t="str">
        <f>IFERROR(__xludf.DUMMYFUNCTION("GOOGLETRANSLATE(A1332 , ""auto"", ""ar"")"),"الضباب")</f>
        <v>الضباب</v>
      </c>
    </row>
    <row r="1333" ht="15.75" customHeight="1">
      <c r="A1333" s="1" t="s">
        <v>2823</v>
      </c>
      <c r="B1333" s="1" t="s">
        <v>1518</v>
      </c>
      <c r="C1333" s="1"/>
      <c r="D1333" s="1" t="str">
        <f>IFERROR(__xludf.DUMMYFUNCTION("GOOGLETRANSLATE(A1333 , ""auto"", ""ar"")"),"الضباب")</f>
        <v>الضباب</v>
      </c>
    </row>
    <row r="1334" ht="15.75" customHeight="1">
      <c r="A1334" s="1" t="s">
        <v>2826</v>
      </c>
      <c r="B1334" s="1" t="s">
        <v>2827</v>
      </c>
      <c r="C1334" s="2" t="s">
        <v>65</v>
      </c>
      <c r="D1334" s="1" t="str">
        <f>IFERROR(__xludf.DUMMYFUNCTION("GOOGLETRANSLATE(A1334 , ""auto"", ""ar"")"),"ضبابي")</f>
        <v>ضبابي</v>
      </c>
    </row>
    <row r="1335" ht="15.75" customHeight="1">
      <c r="A1335" s="1" t="s">
        <v>2828</v>
      </c>
      <c r="B1335" s="1" t="s">
        <v>723</v>
      </c>
      <c r="C1335" s="2" t="s">
        <v>724</v>
      </c>
      <c r="D1335" s="1" t="str">
        <f>IFERROR(__xludf.DUMMYFUNCTION("GOOGLETRANSLATE(A1335 , ""auto"", ""ar"")"),"يطوى")</f>
        <v>يطوى</v>
      </c>
    </row>
    <row r="1336" ht="15.75" customHeight="1">
      <c r="A1336" s="1" t="s">
        <v>2828</v>
      </c>
      <c r="B1336" s="1" t="s">
        <v>725</v>
      </c>
      <c r="C1336" s="2" t="s">
        <v>726</v>
      </c>
      <c r="D1336" s="1" t="str">
        <f>IFERROR(__xludf.DUMMYFUNCTION("GOOGLETRANSLATE(A1336 , ""auto"", ""ar"")"),"يطوى")</f>
        <v>يطوى</v>
      </c>
    </row>
    <row r="1337" ht="15.75" customHeight="1">
      <c r="A1337" s="1" t="s">
        <v>2829</v>
      </c>
      <c r="B1337" s="1" t="s">
        <v>734</v>
      </c>
      <c r="C1337" s="2" t="s">
        <v>65</v>
      </c>
      <c r="D1337" s="1" t="str">
        <f>IFERROR(__xludf.DUMMYFUNCTION("GOOGLETRANSLATE(A1337 , ""auto"", ""ar"")"),"مطوية")</f>
        <v>مطوية</v>
      </c>
    </row>
    <row r="1338" ht="15.75" customHeight="1">
      <c r="A1338" s="1" t="s">
        <v>2830</v>
      </c>
      <c r="B1338" s="1" t="s">
        <v>2831</v>
      </c>
      <c r="C1338" s="2" t="s">
        <v>2832</v>
      </c>
      <c r="D1338" s="1" t="str">
        <f>IFERROR(__xludf.DUMMYFUNCTION("GOOGLETRANSLATE(A1338 , ""auto"", ""ar"")"),"يتبع")</f>
        <v>يتبع</v>
      </c>
    </row>
    <row r="1339" ht="15.75" customHeight="1">
      <c r="A1339" s="1" t="s">
        <v>2833</v>
      </c>
      <c r="B1339" s="1" t="s">
        <v>2834</v>
      </c>
      <c r="C1339" s="1"/>
      <c r="D1339" s="1" t="str">
        <f>IFERROR(__xludf.DUMMYFUNCTION("GOOGLETRANSLATE(A1339 , ""auto"", ""ar"")"),"اليوم القادم")</f>
        <v>اليوم القادم</v>
      </c>
    </row>
    <row r="1340" ht="15.75" customHeight="1">
      <c r="A1340" s="1" t="s">
        <v>2835</v>
      </c>
      <c r="B1340" s="1" t="s">
        <v>2106</v>
      </c>
      <c r="C1340" s="2" t="s">
        <v>2107</v>
      </c>
      <c r="D1340" s="1" t="str">
        <f>IFERROR(__xludf.DUMMYFUNCTION("GOOGLETRANSLATE(A1340 , ""auto"", ""ar"")"),"طعام")</f>
        <v>طعام</v>
      </c>
    </row>
    <row r="1341" ht="15.75" customHeight="1">
      <c r="A1341" s="1" t="s">
        <v>2835</v>
      </c>
      <c r="B1341" s="1" t="s">
        <v>2108</v>
      </c>
      <c r="C1341" s="1"/>
      <c r="D1341" s="1" t="str">
        <f>IFERROR(__xludf.DUMMYFUNCTION("GOOGLETRANSLATE(A1341 , ""auto"", ""ar"")"),"طعام")</f>
        <v>طعام</v>
      </c>
    </row>
    <row r="1342" ht="15.75" customHeight="1">
      <c r="A1342" s="1" t="s">
        <v>2835</v>
      </c>
      <c r="B1342" s="1" t="s">
        <v>2836</v>
      </c>
      <c r="C1342" s="2" t="s">
        <v>65</v>
      </c>
      <c r="D1342" s="1" t="str">
        <f>IFERROR(__xludf.DUMMYFUNCTION("GOOGLETRANSLATE(A1342 , ""auto"", ""ar"")"),"طعام")</f>
        <v>طعام</v>
      </c>
    </row>
    <row r="1343" ht="15.75" customHeight="1">
      <c r="A1343" s="1" t="s">
        <v>2837</v>
      </c>
      <c r="B1343" s="1" t="s">
        <v>2838</v>
      </c>
      <c r="C1343" s="1"/>
      <c r="D1343" s="1" t="str">
        <f>IFERROR(__xludf.DUMMYFUNCTION("GOOGLETRANSLATE(A1343 , ""auto"", ""ar"")"),"معالج الطعام")</f>
        <v>معالج الطعام</v>
      </c>
    </row>
    <row r="1344" ht="15.75" customHeight="1">
      <c r="A1344" s="1" t="s">
        <v>2837</v>
      </c>
      <c r="B1344" s="1" t="s">
        <v>2839</v>
      </c>
      <c r="C1344" s="1"/>
      <c r="D1344" s="1" t="str">
        <f>IFERROR(__xludf.DUMMYFUNCTION("GOOGLETRANSLATE(A1344 , ""auto"", ""ar"")"),"معالج الطعام")</f>
        <v>معالج الطعام</v>
      </c>
    </row>
    <row r="1345" ht="15.75" customHeight="1">
      <c r="A1345" s="1" t="s">
        <v>2840</v>
      </c>
      <c r="B1345" s="1" t="s">
        <v>2841</v>
      </c>
      <c r="C1345" s="1"/>
      <c r="D1345" s="1" t="str">
        <f>IFERROR(__xludf.DUMMYFUNCTION("GOOGLETRANSLATE(A1345 , ""auto"", ""ar"")"),"منتجات الطعام")</f>
        <v>منتجات الطعام</v>
      </c>
    </row>
    <row r="1346" ht="15.75" customHeight="1">
      <c r="A1346" s="1" t="s">
        <v>2842</v>
      </c>
      <c r="B1346" s="1" t="s">
        <v>2843</v>
      </c>
      <c r="C1346" s="2" t="s">
        <v>2844</v>
      </c>
      <c r="D1346" s="1" t="str">
        <f>IFERROR(__xludf.DUMMYFUNCTION("GOOGLETRANSLATE(A1346 , ""auto"", ""ar"")"),"قدم")</f>
        <v>قدم</v>
      </c>
    </row>
    <row r="1347" ht="15.75" customHeight="1">
      <c r="A1347" s="1" t="s">
        <v>2842</v>
      </c>
      <c r="B1347" s="1" t="s">
        <v>2845</v>
      </c>
      <c r="C1347" s="1"/>
      <c r="D1347" s="1" t="str">
        <f>IFERROR(__xludf.DUMMYFUNCTION("GOOGLETRANSLATE(A1347 , ""auto"", ""ar"")"),"قدم")</f>
        <v>قدم</v>
      </c>
    </row>
    <row r="1348" ht="15.75" customHeight="1">
      <c r="A1348" s="1" t="s">
        <v>2846</v>
      </c>
      <c r="B1348" s="1" t="s">
        <v>2847</v>
      </c>
      <c r="C1348" s="2" t="s">
        <v>2848</v>
      </c>
      <c r="D1348" s="1" t="str">
        <f>IFERROR(__xludf.DUMMYFUNCTION("GOOGLETRANSLATE(A1348 , ""auto"", ""ar"")"),"كرة القدم")</f>
        <v>كرة القدم</v>
      </c>
    </row>
    <row r="1349" ht="15.75" customHeight="1">
      <c r="A1349" s="1" t="s">
        <v>2849</v>
      </c>
      <c r="B1349" s="1" t="s">
        <v>2850</v>
      </c>
      <c r="C1349" s="2" t="s">
        <v>2851</v>
      </c>
      <c r="D1349" s="1" t="str">
        <f>IFERROR(__xludf.DUMMYFUNCTION("GOOGLETRANSLATE(A1349 , ""auto"", ""ar"")"),"مجال كرة القدم")</f>
        <v>مجال كرة القدم</v>
      </c>
    </row>
    <row r="1350" ht="15.75" customHeight="1">
      <c r="A1350" s="1" t="s">
        <v>2852</v>
      </c>
      <c r="B1350" s="1" t="s">
        <v>2850</v>
      </c>
      <c r="C1350" s="2" t="s">
        <v>2851</v>
      </c>
      <c r="D1350" s="1" t="str">
        <f>IFERROR(__xludf.DUMMYFUNCTION("GOOGLETRANSLATE(A1350 , ""auto"", ""ar"")"),"ملعب كرة القدم")</f>
        <v>ملعب كرة القدم</v>
      </c>
    </row>
    <row r="1351" ht="15.75" customHeight="1">
      <c r="A1351" s="1" t="s">
        <v>2853</v>
      </c>
      <c r="B1351" s="1" t="s">
        <v>2850</v>
      </c>
      <c r="C1351" s="2" t="s">
        <v>2851</v>
      </c>
      <c r="D1351" s="1" t="str">
        <f>IFERROR(__xludf.DUMMYFUNCTION("GOOGLETRANSLATE(A1351 , ""auto"", ""ar"")"),"ملعب كرة قدم")</f>
        <v>ملعب كرة قدم</v>
      </c>
    </row>
    <row r="1352" ht="15.75" customHeight="1">
      <c r="A1352" s="1" t="s">
        <v>2854</v>
      </c>
      <c r="B1352" s="1" t="s">
        <v>2855</v>
      </c>
      <c r="C1352" s="2" t="s">
        <v>2856</v>
      </c>
      <c r="D1352" s="1" t="str">
        <f>IFERROR(__xludf.DUMMYFUNCTION("GOOGLETRANSLATE(A1352 , ""auto"", ""ar"")"),"ل")</f>
        <v>ل</v>
      </c>
    </row>
    <row r="1353" ht="15.75" customHeight="1">
      <c r="A1353" s="1" t="s">
        <v>2854</v>
      </c>
      <c r="B1353" s="1" t="s">
        <v>2857</v>
      </c>
      <c r="C1353" s="1"/>
      <c r="D1353" s="1" t="str">
        <f>IFERROR(__xludf.DUMMYFUNCTION("GOOGLETRANSLATE(A1353 , ""auto"", ""ar"")"),"ل")</f>
        <v>ل</v>
      </c>
    </row>
    <row r="1354" ht="15.75" customHeight="1">
      <c r="A1354" s="1" t="s">
        <v>2854</v>
      </c>
      <c r="B1354" s="1" t="s">
        <v>10</v>
      </c>
      <c r="C1354" s="2" t="s">
        <v>11</v>
      </c>
      <c r="D1354" s="1" t="str">
        <f>IFERROR(__xludf.DUMMYFUNCTION("GOOGLETRANSLATE(A1354 , ""auto"", ""ar"")"),"ل")</f>
        <v>ل</v>
      </c>
    </row>
    <row r="1355" ht="15.75" customHeight="1">
      <c r="A1355" s="1" t="s">
        <v>2854</v>
      </c>
      <c r="B1355" s="1" t="s">
        <v>2858</v>
      </c>
      <c r="C1355" s="2" t="s">
        <v>2859</v>
      </c>
      <c r="D1355" s="1" t="str">
        <f>IFERROR(__xludf.DUMMYFUNCTION("GOOGLETRANSLATE(A1355 , ""auto"", ""ar"")"),"ل")</f>
        <v>ل</v>
      </c>
    </row>
    <row r="1356" ht="15.75" customHeight="1">
      <c r="A1356" s="1" t="s">
        <v>2860</v>
      </c>
      <c r="B1356" s="1" t="s">
        <v>2861</v>
      </c>
      <c r="C1356" s="2" t="s">
        <v>2862</v>
      </c>
      <c r="D1356" s="1" t="str">
        <f>IFERROR(__xludf.DUMMYFUNCTION("GOOGLETRANSLATE(A1356 , ""auto"", ""ar"")"),"على سبيل المثال")</f>
        <v>على سبيل المثال</v>
      </c>
    </row>
    <row r="1357" ht="15.75" customHeight="1">
      <c r="A1357" s="1" t="s">
        <v>2863</v>
      </c>
      <c r="B1357" s="1" t="s">
        <v>2864</v>
      </c>
      <c r="C1357" s="2" t="s">
        <v>2865</v>
      </c>
      <c r="D1357" s="1" t="str">
        <f>IFERROR(__xludf.DUMMYFUNCTION("GOOGLETRANSLATE(A1357 , ""auto"", ""ar"")"),"للبيع")</f>
        <v>للبيع</v>
      </c>
    </row>
    <row r="1358" ht="15.75" customHeight="1">
      <c r="A1358" s="1" t="s">
        <v>2866</v>
      </c>
      <c r="B1358" s="1" t="s">
        <v>2867</v>
      </c>
      <c r="C1358" s="2" t="s">
        <v>2868</v>
      </c>
      <c r="D1358" s="1" t="str">
        <f>IFERROR(__xludf.DUMMYFUNCTION("GOOGLETRANSLATE(A1358 , ""auto"", ""ar"")"),"قوة")</f>
        <v>قوة</v>
      </c>
    </row>
    <row r="1359" ht="15.75" customHeight="1">
      <c r="A1359" s="1" t="s">
        <v>2869</v>
      </c>
      <c r="B1359" s="1" t="s">
        <v>1227</v>
      </c>
      <c r="C1359" s="2" t="s">
        <v>2870</v>
      </c>
      <c r="D1359" s="1" t="str">
        <f>IFERROR(__xludf.DUMMYFUNCTION("GOOGLETRANSLATE(A1359 , ""auto"", ""ar"")"),"جبين")</f>
        <v>جبين</v>
      </c>
    </row>
    <row r="1360" ht="15.75" customHeight="1">
      <c r="A1360" s="1" t="s">
        <v>2871</v>
      </c>
      <c r="B1360" s="1" t="s">
        <v>2872</v>
      </c>
      <c r="C1360" s="2" t="s">
        <v>2873</v>
      </c>
      <c r="D1360" s="1" t="str">
        <f>IFERROR(__xludf.DUMMYFUNCTION("GOOGLETRANSLATE(A1360 , ""auto"", ""ar"")"),"أجنبي")</f>
        <v>أجنبي</v>
      </c>
    </row>
    <row r="1361" ht="15.75" customHeight="1">
      <c r="A1361" s="1" t="s">
        <v>2871</v>
      </c>
      <c r="B1361" s="1" t="s">
        <v>2874</v>
      </c>
      <c r="C1361" s="1"/>
      <c r="D1361" s="1" t="str">
        <f>IFERROR(__xludf.DUMMYFUNCTION("GOOGLETRANSLATE(A1361 , ""auto"", ""ar"")"),"أجنبي")</f>
        <v>أجنبي</v>
      </c>
    </row>
    <row r="1362" ht="15.75" customHeight="1">
      <c r="A1362" s="1" t="s">
        <v>2875</v>
      </c>
      <c r="B1362" s="1" t="s">
        <v>2872</v>
      </c>
      <c r="C1362" s="2" t="s">
        <v>2873</v>
      </c>
      <c r="D1362" s="1" t="str">
        <f>IFERROR(__xludf.DUMMYFUNCTION("GOOGLETRANSLATE(A1362 , ""auto"", ""ar"")"),"أجنبي")</f>
        <v>أجنبي</v>
      </c>
    </row>
    <row r="1363" ht="15.75" customHeight="1">
      <c r="A1363" s="1" t="s">
        <v>2875</v>
      </c>
      <c r="B1363" s="1" t="s">
        <v>2874</v>
      </c>
      <c r="C1363" s="1"/>
      <c r="D1363" s="1" t="str">
        <f>IFERROR(__xludf.DUMMYFUNCTION("GOOGLETRANSLATE(A1363 , ""auto"", ""ar"")"),"أجنبي")</f>
        <v>أجنبي</v>
      </c>
    </row>
    <row r="1364" ht="15.75" customHeight="1">
      <c r="A1364" s="1" t="s">
        <v>2876</v>
      </c>
      <c r="B1364" s="1" t="s">
        <v>2877</v>
      </c>
      <c r="C1364" s="2" t="s">
        <v>2878</v>
      </c>
      <c r="D1364" s="1" t="str">
        <f>IFERROR(__xludf.DUMMYFUNCTION("GOOGLETRANSLATE(A1364 , ""auto"", ""ar"")"),"غابة")</f>
        <v>غابة</v>
      </c>
    </row>
    <row r="1365" ht="15.75" customHeight="1">
      <c r="A1365" s="1" t="s">
        <v>2879</v>
      </c>
      <c r="B1365" s="1" t="s">
        <v>2880</v>
      </c>
      <c r="C1365" s="2" t="s">
        <v>2881</v>
      </c>
      <c r="D1365" s="1" t="str">
        <f>IFERROR(__xludf.DUMMYFUNCTION("GOOGLETRANSLATE(A1365 , ""auto"", ""ar"")"),"ينسى")</f>
        <v>ينسى</v>
      </c>
    </row>
    <row r="1366" ht="15.75" customHeight="1">
      <c r="A1366" s="1" t="s">
        <v>2882</v>
      </c>
      <c r="B1366" s="1" t="s">
        <v>2883</v>
      </c>
      <c r="C1366" s="2" t="s">
        <v>2884</v>
      </c>
      <c r="D1366" s="1" t="str">
        <f>IFERROR(__xludf.DUMMYFUNCTION("GOOGLETRANSLATE(A1366 , ""auto"", ""ar"")"),"سامح")</f>
        <v>سامح</v>
      </c>
    </row>
    <row r="1367" ht="15.75" customHeight="1">
      <c r="A1367" s="1" t="s">
        <v>2882</v>
      </c>
      <c r="B1367" s="1" t="s">
        <v>2885</v>
      </c>
      <c r="C1367" s="2" t="s">
        <v>2886</v>
      </c>
      <c r="D1367" s="1" t="str">
        <f>IFERROR(__xludf.DUMMYFUNCTION("GOOGLETRANSLATE(A1367 , ""auto"", ""ar"")"),"سامح")</f>
        <v>سامح</v>
      </c>
    </row>
    <row r="1368" ht="15.75" customHeight="1">
      <c r="A1368" s="1" t="s">
        <v>472</v>
      </c>
      <c r="B1368" s="1" t="s">
        <v>473</v>
      </c>
      <c r="C1368" s="2" t="s">
        <v>474</v>
      </c>
      <c r="D1368" s="1" t="str">
        <f>IFERROR(__xludf.DUMMYFUNCTION("GOOGLETRANSLATE(A1368 , ""auto"", ""ar"")"),"مغفرة")</f>
        <v>مغفرة</v>
      </c>
    </row>
    <row r="1369" ht="15.75" customHeight="1">
      <c r="A1369" s="1" t="s">
        <v>2887</v>
      </c>
      <c r="B1369" s="1" t="s">
        <v>2888</v>
      </c>
      <c r="C1369" s="2" t="s">
        <v>2889</v>
      </c>
      <c r="D1369" s="1" t="str">
        <f>IFERROR(__xludf.DUMMYFUNCTION("GOOGLETRANSLATE(A1369 , ""auto"", ""ar"")"),"شوكة")</f>
        <v>شوكة</v>
      </c>
    </row>
    <row r="1370" ht="15.75" customHeight="1">
      <c r="A1370" s="1" t="s">
        <v>2890</v>
      </c>
      <c r="B1370" s="1" t="s">
        <v>2891</v>
      </c>
      <c r="C1370" s="2" t="s">
        <v>2892</v>
      </c>
      <c r="D1370" s="1" t="str">
        <f>IFERROR(__xludf.DUMMYFUNCTION("GOOGLETRANSLATE(A1370 , ""auto"", ""ar"")"),"أربعين")</f>
        <v>أربعين</v>
      </c>
    </row>
    <row r="1371" ht="15.75" customHeight="1">
      <c r="A1371" s="1" t="s">
        <v>2893</v>
      </c>
      <c r="B1371" s="1" t="s">
        <v>2894</v>
      </c>
      <c r="C1371" s="2" t="s">
        <v>2895</v>
      </c>
      <c r="D1371" s="1" t="str">
        <f>IFERROR(__xludf.DUMMYFUNCTION("GOOGLETRANSLATE(A1371 , ""auto"", ""ar"")"),"نافورة")</f>
        <v>نافورة</v>
      </c>
    </row>
    <row r="1372" ht="15.75" customHeight="1">
      <c r="A1372" s="1" t="s">
        <v>2896</v>
      </c>
      <c r="B1372" s="1" t="s">
        <v>2897</v>
      </c>
      <c r="C1372" s="2" t="s">
        <v>2898</v>
      </c>
      <c r="D1372" s="1" t="str">
        <f>IFERROR(__xludf.DUMMYFUNCTION("GOOGLETRANSLATE(A1372 , ""auto"", ""ar"")"),"أربعة")</f>
        <v>أربعة</v>
      </c>
    </row>
    <row r="1373" ht="15.75" customHeight="1">
      <c r="A1373" s="1" t="s">
        <v>2896</v>
      </c>
      <c r="B1373" s="1" t="s">
        <v>2899</v>
      </c>
      <c r="C1373" s="2" t="s">
        <v>2900</v>
      </c>
      <c r="D1373" s="1" t="str">
        <f>IFERROR(__xludf.DUMMYFUNCTION("GOOGLETRANSLATE(A1373 , ""auto"", ""ar"")"),"أربعة")</f>
        <v>أربعة</v>
      </c>
    </row>
    <row r="1374" ht="15.75" customHeight="1">
      <c r="A1374" s="1" t="s">
        <v>2901</v>
      </c>
      <c r="B1374" s="1" t="s">
        <v>2902</v>
      </c>
      <c r="C1374" s="2" t="s">
        <v>2903</v>
      </c>
      <c r="D1374" s="1" t="str">
        <f>IFERROR(__xludf.DUMMYFUNCTION("GOOGLETRANSLATE(A1374 , ""auto"", ""ar"")"),"أربعة عشرة")</f>
        <v>أربعة عشرة</v>
      </c>
    </row>
    <row r="1375" ht="15.75" customHeight="1">
      <c r="A1375" s="1" t="s">
        <v>2904</v>
      </c>
      <c r="B1375" s="1" t="s">
        <v>2905</v>
      </c>
      <c r="C1375" s="2" t="s">
        <v>2906</v>
      </c>
      <c r="D1375" s="1" t="str">
        <f>IFERROR(__xludf.DUMMYFUNCTION("GOOGLETRANSLATE(A1375 , ""auto"", ""ar"")"),"رابع")</f>
        <v>رابع</v>
      </c>
    </row>
    <row r="1376" ht="15.75" customHeight="1">
      <c r="A1376" s="1" t="s">
        <v>2907</v>
      </c>
      <c r="B1376" s="1" t="s">
        <v>2908</v>
      </c>
      <c r="C1376" s="2" t="s">
        <v>2909</v>
      </c>
      <c r="D1376" s="1" t="str">
        <f>IFERROR(__xludf.DUMMYFUNCTION("GOOGLETRANSLATE(A1376 , ""auto"", ""ar"")"),"الثعلب")</f>
        <v>الثعلب</v>
      </c>
    </row>
    <row r="1377" ht="15.75" customHeight="1">
      <c r="A1377" s="1" t="s">
        <v>2910</v>
      </c>
      <c r="B1377" s="1" t="s">
        <v>2911</v>
      </c>
      <c r="C1377" s="2" t="s">
        <v>2912</v>
      </c>
      <c r="D1377" s="1" t="str">
        <f>IFERROR(__xludf.DUMMYFUNCTION("GOOGLETRANSLATE(A1377 , ""auto"", ""ar"")"),"إطار")</f>
        <v>إطار</v>
      </c>
    </row>
    <row r="1378" ht="15.75" customHeight="1">
      <c r="A1378" s="1" t="s">
        <v>2913</v>
      </c>
      <c r="B1378" s="1" t="s">
        <v>2914</v>
      </c>
      <c r="C1378" s="2" t="s">
        <v>2915</v>
      </c>
      <c r="D1378" s="1" t="str">
        <f>IFERROR(__xludf.DUMMYFUNCTION("GOOGLETRANSLATE(A1378 , ""auto"", ""ar"")"),"فرنسا")</f>
        <v>فرنسا</v>
      </c>
    </row>
    <row r="1379" ht="15.75" customHeight="1">
      <c r="A1379" s="1" t="s">
        <v>2916</v>
      </c>
      <c r="B1379" s="1" t="s">
        <v>2917</v>
      </c>
      <c r="C1379" s="2" t="s">
        <v>2918</v>
      </c>
      <c r="D1379" s="1" t="str">
        <f>IFERROR(__xludf.DUMMYFUNCTION("GOOGLETRANSLATE(A1379 , ""auto"", ""ar"")"),"حر")</f>
        <v>حر</v>
      </c>
    </row>
    <row r="1380" ht="15.75" customHeight="1">
      <c r="A1380" s="1" t="s">
        <v>2916</v>
      </c>
      <c r="B1380" s="1" t="s">
        <v>452</v>
      </c>
      <c r="C1380" s="2" t="s">
        <v>65</v>
      </c>
      <c r="D1380" s="1" t="str">
        <f>IFERROR(__xludf.DUMMYFUNCTION("GOOGLETRANSLATE(A1380 , ""auto"", ""ar"")"),"حر")</f>
        <v>حر</v>
      </c>
    </row>
    <row r="1381" ht="15.75" customHeight="1">
      <c r="A1381" s="1" t="s">
        <v>2916</v>
      </c>
      <c r="B1381" s="1" t="s">
        <v>2919</v>
      </c>
      <c r="C1381" s="2" t="s">
        <v>2920</v>
      </c>
      <c r="D1381" s="1" t="str">
        <f>IFERROR(__xludf.DUMMYFUNCTION("GOOGLETRANSLATE(A1381 , ""auto"", ""ar"")"),"حر")</f>
        <v>حر</v>
      </c>
    </row>
    <row r="1382" ht="15.75" customHeight="1">
      <c r="A1382" s="1" t="s">
        <v>2921</v>
      </c>
      <c r="B1382" s="1" t="s">
        <v>2922</v>
      </c>
      <c r="C1382" s="2" t="s">
        <v>2923</v>
      </c>
      <c r="D1382" s="1" t="str">
        <f>IFERROR(__xludf.DUMMYFUNCTION("GOOGLETRANSLATE(A1382 , ""auto"", ""ar"")"),"حرية")</f>
        <v>حرية</v>
      </c>
    </row>
    <row r="1383" ht="15.75" customHeight="1">
      <c r="A1383" s="1" t="s">
        <v>2924</v>
      </c>
      <c r="B1383" s="1" t="s">
        <v>2925</v>
      </c>
      <c r="C1383" s="2" t="s">
        <v>2926</v>
      </c>
      <c r="D1383" s="1" t="str">
        <f>IFERROR(__xludf.DUMMYFUNCTION("GOOGLETRANSLATE(A1383 , ""auto"", ""ar"")"),"الفريزر")</f>
        <v>الفريزر</v>
      </c>
    </row>
    <row r="1384" ht="15.75" customHeight="1">
      <c r="A1384" s="1" t="s">
        <v>2927</v>
      </c>
      <c r="B1384" s="1" t="s">
        <v>2928</v>
      </c>
      <c r="C1384" s="2" t="s">
        <v>2929</v>
      </c>
      <c r="D1384" s="1" t="str">
        <f>IFERROR(__xludf.DUMMYFUNCTION("GOOGLETRANSLATE(A1384 , ""auto"", ""ar"")"),"فرنسي")</f>
        <v>فرنسي</v>
      </c>
    </row>
    <row r="1385" ht="15.75" customHeight="1">
      <c r="A1385" s="1" t="s">
        <v>2927</v>
      </c>
      <c r="B1385" s="1" t="s">
        <v>2930</v>
      </c>
      <c r="C1385" s="2" t="s">
        <v>2931</v>
      </c>
      <c r="D1385" s="1" t="str">
        <f>IFERROR(__xludf.DUMMYFUNCTION("GOOGLETRANSLATE(A1385 , ""auto"", ""ar"")"),"فرنسي")</f>
        <v>فرنسي</v>
      </c>
    </row>
    <row r="1386" ht="15.75" customHeight="1">
      <c r="A1386" s="1" t="s">
        <v>2927</v>
      </c>
      <c r="B1386" s="1" t="s">
        <v>2932</v>
      </c>
      <c r="C1386" s="2" t="s">
        <v>2933</v>
      </c>
      <c r="D1386" s="1" t="str">
        <f>IFERROR(__xludf.DUMMYFUNCTION("GOOGLETRANSLATE(A1386 , ""auto"", ""ar"")"),"فرنسي")</f>
        <v>فرنسي</v>
      </c>
    </row>
    <row r="1387" ht="15.75" customHeight="1">
      <c r="A1387" s="1" t="s">
        <v>2927</v>
      </c>
      <c r="B1387" s="1" t="s">
        <v>2928</v>
      </c>
      <c r="C1387" s="2" t="s">
        <v>2929</v>
      </c>
      <c r="D1387" s="1" t="str">
        <f>IFERROR(__xludf.DUMMYFUNCTION("GOOGLETRANSLATE(A1387 , ""auto"", ""ar"")"),"فرنسي")</f>
        <v>فرنسي</v>
      </c>
    </row>
    <row r="1388" ht="15.75" customHeight="1">
      <c r="A1388" s="1" t="s">
        <v>2927</v>
      </c>
      <c r="B1388" s="1" t="s">
        <v>2930</v>
      </c>
      <c r="C1388" s="2" t="s">
        <v>2931</v>
      </c>
      <c r="D1388" s="1" t="str">
        <f>IFERROR(__xludf.DUMMYFUNCTION("GOOGLETRANSLATE(A1388 , ""auto"", ""ar"")"),"فرنسي")</f>
        <v>فرنسي</v>
      </c>
    </row>
    <row r="1389" ht="15.75" customHeight="1">
      <c r="A1389" s="1" t="s">
        <v>2934</v>
      </c>
      <c r="B1389" s="1" t="s">
        <v>2935</v>
      </c>
      <c r="C1389" s="2" t="s">
        <v>2936</v>
      </c>
      <c r="D1389" s="1" t="str">
        <f>IFERROR(__xludf.DUMMYFUNCTION("GOOGLETRANSLATE(A1389 , ""auto"", ""ar"")"),"جمعة")</f>
        <v>جمعة</v>
      </c>
    </row>
    <row r="1390" ht="15.75" customHeight="1">
      <c r="A1390" s="1" t="s">
        <v>2934</v>
      </c>
      <c r="B1390" s="1" t="s">
        <v>2937</v>
      </c>
      <c r="C1390" s="2" t="s">
        <v>2938</v>
      </c>
      <c r="D1390" s="1" t="str">
        <f>IFERROR(__xludf.DUMMYFUNCTION("GOOGLETRANSLATE(A1390 , ""auto"", ""ar"")"),"جمعة")</f>
        <v>جمعة</v>
      </c>
    </row>
    <row r="1391" ht="15.75" customHeight="1">
      <c r="A1391" s="1" t="s">
        <v>2939</v>
      </c>
      <c r="B1391" s="1" t="s">
        <v>2940</v>
      </c>
      <c r="C1391" s="2" t="s">
        <v>2941</v>
      </c>
      <c r="D1391" s="1" t="str">
        <f>IFERROR(__xludf.DUMMYFUNCTION("GOOGLETRANSLATE(A1391 , ""auto"", ""ar"")"),"ثلاجة")</f>
        <v>ثلاجة</v>
      </c>
    </row>
    <row r="1392" ht="15.75" customHeight="1">
      <c r="A1392" s="1" t="s">
        <v>2942</v>
      </c>
      <c r="B1392" s="1" t="s">
        <v>2943</v>
      </c>
      <c r="C1392" s="2" t="s">
        <v>2944</v>
      </c>
      <c r="D1392" s="1" t="str">
        <f>IFERROR(__xludf.DUMMYFUNCTION("GOOGLETRANSLATE(A1392 , ""auto"", ""ar"")"),"المقلية")</f>
        <v>المقلية</v>
      </c>
    </row>
    <row r="1393" ht="15.75" customHeight="1">
      <c r="A1393" s="1" t="s">
        <v>2945</v>
      </c>
      <c r="B1393" s="1" t="s">
        <v>2946</v>
      </c>
      <c r="C1393" s="1"/>
      <c r="D1393" s="1" t="str">
        <f>IFERROR(__xludf.DUMMYFUNCTION("GOOGLETRANSLATE(A1393 , ""auto"", ""ar"")"),"سمك مقلى")</f>
        <v>سمك مقلى</v>
      </c>
    </row>
    <row r="1394" ht="15.75" customHeight="1">
      <c r="A1394" s="1" t="s">
        <v>2947</v>
      </c>
      <c r="B1394" s="1" t="s">
        <v>2948</v>
      </c>
      <c r="C1394" s="2" t="s">
        <v>2949</v>
      </c>
      <c r="D1394" s="1" t="str">
        <f>IFERROR(__xludf.DUMMYFUNCTION("GOOGLETRANSLATE(A1394 , ""auto"", ""ar"")"),"صديق")</f>
        <v>صديق</v>
      </c>
    </row>
    <row r="1395" ht="15.75" customHeight="1">
      <c r="A1395" s="1" t="s">
        <v>2950</v>
      </c>
      <c r="B1395" s="1" t="s">
        <v>1396</v>
      </c>
      <c r="C1395" s="2" t="s">
        <v>1397</v>
      </c>
      <c r="D1395" s="1" t="str">
        <f>IFERROR(__xludf.DUMMYFUNCTION("GOOGLETRANSLATE(A1395 , ""auto"", ""ar"")"),"بطاطس مقلية")</f>
        <v>بطاطس مقلية</v>
      </c>
    </row>
    <row r="1396" ht="15.75" customHeight="1">
      <c r="A1396" s="1" t="s">
        <v>2951</v>
      </c>
      <c r="B1396" s="1" t="s">
        <v>120</v>
      </c>
      <c r="C1396" s="2" t="s">
        <v>121</v>
      </c>
      <c r="D1396" s="1" t="str">
        <f>IFERROR(__xludf.DUMMYFUNCTION("GOOGLETRANSLATE(A1396 , ""auto"", ""ar"")"),"مرتعب")</f>
        <v>مرتعب</v>
      </c>
    </row>
    <row r="1397" ht="15.75" customHeight="1">
      <c r="A1397" s="1" t="s">
        <v>2951</v>
      </c>
      <c r="B1397" s="1" t="s">
        <v>122</v>
      </c>
      <c r="C1397" s="2" t="s">
        <v>123</v>
      </c>
      <c r="D1397" s="1" t="str">
        <f>IFERROR(__xludf.DUMMYFUNCTION("GOOGLETRANSLATE(A1397 , ""auto"", ""ar"")"),"مرتعب")</f>
        <v>مرتعب</v>
      </c>
    </row>
    <row r="1398" ht="15.75" customHeight="1">
      <c r="A1398" s="1" t="s">
        <v>2951</v>
      </c>
      <c r="B1398" s="1" t="s">
        <v>124</v>
      </c>
      <c r="C1398" s="2" t="s">
        <v>65</v>
      </c>
      <c r="D1398" s="1" t="str">
        <f>IFERROR(__xludf.DUMMYFUNCTION("GOOGLETRANSLATE(A1398 , ""auto"", ""ar"")"),"مرتعب")</f>
        <v>مرتعب</v>
      </c>
    </row>
    <row r="1399" ht="15.75" customHeight="1">
      <c r="A1399" s="1" t="s">
        <v>2952</v>
      </c>
      <c r="B1399" s="1" t="s">
        <v>2953</v>
      </c>
      <c r="C1399" s="2" t="s">
        <v>2954</v>
      </c>
      <c r="D1399" s="1" t="str">
        <f>IFERROR(__xludf.DUMMYFUNCTION("GOOGLETRANSLATE(A1399 , ""auto"", ""ar"")"),"ضفدع")</f>
        <v>ضفدع</v>
      </c>
    </row>
    <row r="1400" ht="15.75" customHeight="1">
      <c r="A1400" s="1" t="s">
        <v>2955</v>
      </c>
      <c r="B1400" s="1" t="s">
        <v>2858</v>
      </c>
      <c r="C1400" s="2" t="s">
        <v>2859</v>
      </c>
      <c r="D1400" s="1" t="str">
        <f>IFERROR(__xludf.DUMMYFUNCTION("GOOGLETRANSLATE(A1400 , ""auto"", ""ar"")"),"من")</f>
        <v>من</v>
      </c>
    </row>
    <row r="1401" ht="15.75" customHeight="1">
      <c r="A1401" s="1" t="s">
        <v>2956</v>
      </c>
      <c r="B1401" s="1" t="s">
        <v>2957</v>
      </c>
      <c r="C1401" s="2" t="s">
        <v>2958</v>
      </c>
      <c r="D1401" s="1" t="str">
        <f>IFERROR(__xludf.DUMMYFUNCTION("GOOGLETRANSLATE(A1401 , ""auto"", ""ar"")"),"من وقت لآخر")</f>
        <v>من وقت لآخر</v>
      </c>
    </row>
    <row r="1402" ht="15.75" customHeight="1">
      <c r="A1402" s="1" t="s">
        <v>2959</v>
      </c>
      <c r="B1402" s="1" t="s">
        <v>2960</v>
      </c>
      <c r="C1402" s="2" t="s">
        <v>2961</v>
      </c>
      <c r="D1402" s="1" t="str">
        <f>IFERROR(__xludf.DUMMYFUNCTION("GOOGLETRANSLATE(A1402 , ""auto"", ""ar"")"),"من اين")</f>
        <v>من اين</v>
      </c>
    </row>
    <row r="1403" ht="15.75" customHeight="1">
      <c r="A1403" s="1" t="s">
        <v>2962</v>
      </c>
      <c r="B1403" s="1" t="s">
        <v>2963</v>
      </c>
      <c r="C1403" s="2" t="s">
        <v>2964</v>
      </c>
      <c r="D1403" s="1" t="str">
        <f>IFERROR(__xludf.DUMMYFUNCTION("GOOGLETRANSLATE(A1403 , ""auto"", ""ar"")"),"المجمدة")</f>
        <v>المجمدة</v>
      </c>
    </row>
    <row r="1404" ht="15.75" customHeight="1">
      <c r="A1404" s="1" t="s">
        <v>2962</v>
      </c>
      <c r="B1404" s="1" t="s">
        <v>2965</v>
      </c>
      <c r="C1404" s="2" t="s">
        <v>2966</v>
      </c>
      <c r="D1404" s="1" t="str">
        <f>IFERROR(__xludf.DUMMYFUNCTION("GOOGLETRANSLATE(A1404 , ""auto"", ""ar"")"),"المجمدة")</f>
        <v>المجمدة</v>
      </c>
    </row>
    <row r="1405" ht="15.75" customHeight="1">
      <c r="A1405" s="1" t="s">
        <v>2962</v>
      </c>
      <c r="B1405" s="1" t="s">
        <v>2967</v>
      </c>
      <c r="C1405" s="2" t="s">
        <v>65</v>
      </c>
      <c r="D1405" s="1" t="str">
        <f>IFERROR(__xludf.DUMMYFUNCTION("GOOGLETRANSLATE(A1405 , ""auto"", ""ar"")"),"المجمدة")</f>
        <v>المجمدة</v>
      </c>
    </row>
    <row r="1406" ht="15.75" customHeight="1">
      <c r="A1406" s="1" t="s">
        <v>2968</v>
      </c>
      <c r="B1406" s="1" t="s">
        <v>2029</v>
      </c>
      <c r="C1406" s="2" t="s">
        <v>2969</v>
      </c>
      <c r="D1406" s="1" t="str">
        <f>IFERROR(__xludf.DUMMYFUNCTION("GOOGLETRANSLATE(A1406 , ""auto"", ""ar"")"),"فاكهة")</f>
        <v>فاكهة</v>
      </c>
    </row>
    <row r="1407" ht="15.75" customHeight="1">
      <c r="A1407" s="1" t="s">
        <v>2968</v>
      </c>
      <c r="B1407" s="1" t="s">
        <v>2970</v>
      </c>
      <c r="C1407" s="1"/>
      <c r="D1407" s="1" t="str">
        <f>IFERROR(__xludf.DUMMYFUNCTION("GOOGLETRANSLATE(A1407 , ""auto"", ""ar"")"),"فاكهة")</f>
        <v>فاكهة</v>
      </c>
    </row>
    <row r="1408" ht="15.75" customHeight="1">
      <c r="A1408" s="1" t="s">
        <v>2968</v>
      </c>
      <c r="B1408" s="1" t="s">
        <v>2971</v>
      </c>
      <c r="C1408" s="1"/>
      <c r="D1408" s="1" t="str">
        <f>IFERROR(__xludf.DUMMYFUNCTION("GOOGLETRANSLATE(A1408 , ""auto"", ""ar"")"),"فاكهة")</f>
        <v>فاكهة</v>
      </c>
    </row>
    <row r="1409" ht="15.75" customHeight="1">
      <c r="A1409" s="1" t="s">
        <v>2972</v>
      </c>
      <c r="B1409" s="1" t="s">
        <v>2973</v>
      </c>
      <c r="C1409" s="2" t="s">
        <v>2974</v>
      </c>
      <c r="D1409" s="1" t="str">
        <f>IFERROR(__xludf.DUMMYFUNCTION("GOOGLETRANSLATE(A1409 , ""auto"", ""ar"")"),"يقلى")</f>
        <v>يقلى</v>
      </c>
    </row>
    <row r="1410" ht="15.75" customHeight="1">
      <c r="A1410" s="1" t="s">
        <v>2975</v>
      </c>
      <c r="B1410" s="1" t="s">
        <v>2976</v>
      </c>
      <c r="C1410" s="2" t="s">
        <v>2977</v>
      </c>
      <c r="D1410" s="1" t="str">
        <f>IFERROR(__xludf.DUMMYFUNCTION("GOOGLETRANSLATE(A1410 , ""auto"", ""ar"")"),"قدر القلي")</f>
        <v>قدر القلي</v>
      </c>
    </row>
    <row r="1411" ht="15.75" customHeight="1">
      <c r="A1411" s="1" t="s">
        <v>2978</v>
      </c>
      <c r="B1411" s="1" t="s">
        <v>2979</v>
      </c>
      <c r="C1411" s="1"/>
      <c r="D1411" s="1" t="str">
        <f>IFERROR(__xludf.DUMMYFUNCTION("GOOGLETRANSLATE(A1411 , ""auto"", ""ar"")"),"وقود")</f>
        <v>وقود</v>
      </c>
    </row>
    <row r="1412" ht="15.75" customHeight="1">
      <c r="A1412" s="1" t="s">
        <v>2980</v>
      </c>
      <c r="B1412" s="1" t="s">
        <v>51</v>
      </c>
      <c r="C1412" s="2" t="s">
        <v>52</v>
      </c>
      <c r="D1412" s="1" t="str">
        <f>IFERROR(__xludf.DUMMYFUNCTION("GOOGLETRANSLATE(A1412 , ""auto"", ""ar"")"),"بكمل")</f>
        <v>بكمل</v>
      </c>
    </row>
    <row r="1413" ht="15.75" customHeight="1">
      <c r="A1413" s="1" t="s">
        <v>2980</v>
      </c>
      <c r="B1413" s="1" t="s">
        <v>610</v>
      </c>
      <c r="C1413" s="2" t="s">
        <v>611</v>
      </c>
      <c r="D1413" s="1" t="str">
        <f>IFERROR(__xludf.DUMMYFUNCTION("GOOGLETRANSLATE(A1413 , ""auto"", ""ar"")"),"بكمل")</f>
        <v>بكمل</v>
      </c>
    </row>
    <row r="1414" ht="15.75" customHeight="1">
      <c r="A1414" s="1" t="s">
        <v>2981</v>
      </c>
      <c r="B1414" s="1" t="s">
        <v>1777</v>
      </c>
      <c r="C1414" s="2" t="s">
        <v>1778</v>
      </c>
      <c r="D1414" s="1" t="str">
        <f>IFERROR(__xludf.DUMMYFUNCTION("GOOGLETRANSLATE(A1414 , ""auto"", ""ar"")"),"ممتلىء")</f>
        <v>ممتلىء</v>
      </c>
    </row>
    <row r="1415" ht="15.75" customHeight="1">
      <c r="A1415" s="1" t="s">
        <v>2981</v>
      </c>
      <c r="B1415" s="1" t="s">
        <v>200</v>
      </c>
      <c r="C1415" s="2" t="s">
        <v>1626</v>
      </c>
      <c r="D1415" s="1" t="str">
        <f>IFERROR(__xludf.DUMMYFUNCTION("GOOGLETRANSLATE(A1415 , ""auto"", ""ar"")"),"ممتلىء")</f>
        <v>ممتلىء</v>
      </c>
    </row>
    <row r="1416" ht="15.75" customHeight="1">
      <c r="A1416" s="1" t="s">
        <v>2981</v>
      </c>
      <c r="B1416" s="1" t="s">
        <v>2982</v>
      </c>
      <c r="C1416" s="2" t="s">
        <v>2709</v>
      </c>
      <c r="D1416" s="1" t="str">
        <f>IFERROR(__xludf.DUMMYFUNCTION("GOOGLETRANSLATE(A1416 , ""auto"", ""ar"")"),"ممتلىء")</f>
        <v>ممتلىء</v>
      </c>
    </row>
    <row r="1417" ht="15.75" customHeight="1">
      <c r="A1417" s="1" t="s">
        <v>2983</v>
      </c>
      <c r="B1417" s="1" t="s">
        <v>2984</v>
      </c>
      <c r="C1417" s="2" t="s">
        <v>2985</v>
      </c>
      <c r="D1417" s="1" t="str">
        <f>IFERROR(__xludf.DUMMYFUNCTION("GOOGLETRANSLATE(A1417 , ""auto"", ""ar"")"),"وظيفة")</f>
        <v>وظيفة</v>
      </c>
    </row>
    <row r="1418" ht="15.75" customHeight="1">
      <c r="A1418" s="1" t="s">
        <v>2986</v>
      </c>
      <c r="B1418" s="1" t="s">
        <v>2987</v>
      </c>
      <c r="C1418" s="2" t="s">
        <v>2988</v>
      </c>
      <c r="D1418" s="1" t="str">
        <f>IFERROR(__xludf.DUMMYFUNCTION("GOOGLETRANSLATE(A1418 , ""auto"", ""ar"")"),"موكب الجنازة")</f>
        <v>موكب الجنازة</v>
      </c>
    </row>
    <row r="1419" ht="15.75" customHeight="1">
      <c r="A1419" s="1" t="s">
        <v>2989</v>
      </c>
      <c r="B1419" s="1" t="s">
        <v>2990</v>
      </c>
      <c r="C1419" s="2" t="s">
        <v>2991</v>
      </c>
      <c r="D1419" s="1" t="str">
        <f>IFERROR(__xludf.DUMMYFUNCTION("GOOGLETRANSLATE(A1419 , ""auto"", ""ar"")"),"مضحك")</f>
        <v>مضحك</v>
      </c>
    </row>
    <row r="1420" ht="15.75" customHeight="1">
      <c r="A1420" s="1" t="s">
        <v>2992</v>
      </c>
      <c r="B1420" s="1" t="s">
        <v>2993</v>
      </c>
      <c r="C1420" s="1"/>
      <c r="D1420" s="1" t="str">
        <f>IFERROR(__xludf.DUMMYFUNCTION("GOOGLETRANSLATE(A1420 , ""auto"", ""ar"")"),"الفراء")</f>
        <v>الفراء</v>
      </c>
    </row>
    <row r="1421" ht="15.75" customHeight="1">
      <c r="A1421" s="1" t="s">
        <v>2994</v>
      </c>
      <c r="B1421" s="1" t="s">
        <v>2995</v>
      </c>
      <c r="C1421" s="2" t="s">
        <v>65</v>
      </c>
      <c r="D1421" s="1" t="str">
        <f>IFERROR(__xludf.DUMMYFUNCTION("GOOGLETRANSLATE(A1421 , ""auto"", ""ar"")"),"حانِق")</f>
        <v>حانِق</v>
      </c>
    </row>
    <row r="1422" ht="15.75" customHeight="1">
      <c r="A1422" s="1" t="s">
        <v>2996</v>
      </c>
      <c r="B1422" s="1" t="s">
        <v>2997</v>
      </c>
      <c r="C1422" s="2" t="s">
        <v>2998</v>
      </c>
      <c r="D1422" s="1" t="str">
        <f>IFERROR(__xludf.DUMMYFUNCTION("GOOGLETRANSLATE(A1422 , ""auto"", ""ar"")"),"مستقبل")</f>
        <v>مستقبل</v>
      </c>
    </row>
    <row r="1423" ht="15.75" customHeight="1">
      <c r="A1423" s="1" t="s">
        <v>466</v>
      </c>
      <c r="B1423" s="1" t="s">
        <v>467</v>
      </c>
      <c r="C1423" s="2" t="s">
        <v>468</v>
      </c>
      <c r="D1423" s="1" t="str">
        <f>IFERROR(__xludf.DUMMYFUNCTION("GOOGLETRANSLATE(A1423 , ""auto"", ""ar"")"),"اسم العائلة")</f>
        <v>اسم العائلة</v>
      </c>
    </row>
    <row r="1424" ht="15.75" customHeight="1">
      <c r="A1424" s="1" t="s">
        <v>43</v>
      </c>
      <c r="B1424" s="1" t="s">
        <v>44</v>
      </c>
      <c r="C1424" s="2" t="s">
        <v>45</v>
      </c>
      <c r="D1424" s="1" t="str">
        <f>IFERROR(__xludf.DUMMYFUNCTION("GOOGLETRANSLATE(A1424 , ""auto"", ""ar"")"),"مقبول")</f>
        <v>مقبول</v>
      </c>
    </row>
    <row r="1425" ht="15.75" customHeight="1">
      <c r="A1425" s="1" t="s">
        <v>469</v>
      </c>
      <c r="B1425" s="1" t="s">
        <v>470</v>
      </c>
      <c r="C1425" s="2" t="s">
        <v>471</v>
      </c>
      <c r="D1425" s="1" t="str">
        <f>IFERROR(__xludf.DUMMYFUNCTION("GOOGLETRANSLATE(A1425 , ""auto"", ""ar"")"),"التصالح")</f>
        <v>التصالح</v>
      </c>
    </row>
    <row r="1426" ht="15.75" customHeight="1">
      <c r="A1426" s="1" t="s">
        <v>472</v>
      </c>
      <c r="B1426" s="1" t="s">
        <v>473</v>
      </c>
      <c r="C1426" s="2" t="s">
        <v>474</v>
      </c>
      <c r="D1426" s="1" t="str">
        <f>IFERROR(__xludf.DUMMYFUNCTION("GOOGLETRANSLATE(A1426 , ""auto"", ""ar"")"),"مغفرة")</f>
        <v>مغفرة</v>
      </c>
    </row>
    <row r="1427" ht="15.75" customHeight="1">
      <c r="A1427" s="1" t="s">
        <v>475</v>
      </c>
      <c r="B1427" s="1" t="s">
        <v>476</v>
      </c>
      <c r="C1427" s="2" t="s">
        <v>477</v>
      </c>
      <c r="D1427" s="1" t="str">
        <f>IFERROR(__xludf.DUMMYFUNCTION("GOOGLETRANSLATE(A1427 , ""auto"", ""ar"")"),"يخبر")</f>
        <v>يخبر</v>
      </c>
    </row>
    <row r="1428" ht="15.75" customHeight="1">
      <c r="A1428" s="1" t="s">
        <v>2999</v>
      </c>
      <c r="B1428" s="1" t="s">
        <v>3000</v>
      </c>
      <c r="C1428" s="2" t="s">
        <v>3001</v>
      </c>
      <c r="D1428" s="1" t="str">
        <f>IFERROR(__xludf.DUMMYFUNCTION("GOOGLETRANSLATE(A1428 , ""auto"", ""ar"")"),"مغامرة")</f>
        <v>مغامرة</v>
      </c>
    </row>
    <row r="1429" ht="15.75" customHeight="1">
      <c r="A1429" s="1" t="s">
        <v>3002</v>
      </c>
      <c r="B1429" s="1" t="s">
        <v>3003</v>
      </c>
      <c r="C1429" s="2" t="s">
        <v>3004</v>
      </c>
      <c r="D1429" s="1" t="str">
        <f>IFERROR(__xludf.DUMMYFUNCTION("GOOGLETRANSLATE(A1429 , ""auto"", ""ar"")"),"مقامر")</f>
        <v>مقامر</v>
      </c>
    </row>
    <row r="1430" ht="15.75" customHeight="1">
      <c r="A1430" s="1" t="s">
        <v>3005</v>
      </c>
      <c r="B1430" s="1" t="s">
        <v>3006</v>
      </c>
      <c r="C1430" s="2" t="s">
        <v>3007</v>
      </c>
      <c r="D1430" s="1" t="str">
        <f>IFERROR(__xludf.DUMMYFUNCTION("GOOGLETRANSLATE(A1430 , ""auto"", ""ar"")"),"المقامرة")</f>
        <v>المقامرة</v>
      </c>
    </row>
    <row r="1431" ht="15.75" customHeight="1">
      <c r="A1431" s="1" t="s">
        <v>3008</v>
      </c>
      <c r="B1431" s="1" t="s">
        <v>3009</v>
      </c>
      <c r="C1431" s="2" t="s">
        <v>3010</v>
      </c>
      <c r="D1431" s="1" t="str">
        <f>IFERROR(__xludf.DUMMYFUNCTION("GOOGLETRANSLATE(A1431 , ""auto"", ""ar"")"),"لعبة")</f>
        <v>لعبة</v>
      </c>
    </row>
    <row r="1432" ht="15.75" customHeight="1">
      <c r="A1432" s="1" t="s">
        <v>3011</v>
      </c>
      <c r="B1432" s="1" t="s">
        <v>3012</v>
      </c>
      <c r="C1432" s="2" t="s">
        <v>3013</v>
      </c>
      <c r="D1432" s="1" t="str">
        <f>IFERROR(__xludf.DUMMYFUNCTION("GOOGLETRANSLATE(A1432 , ""auto"", ""ar"")"),"كراج")</f>
        <v>كراج</v>
      </c>
    </row>
    <row r="1433" ht="15.75" customHeight="1">
      <c r="A1433" s="1" t="s">
        <v>3014</v>
      </c>
      <c r="B1433" s="1" t="s">
        <v>770</v>
      </c>
      <c r="C1433" s="1"/>
      <c r="D1433" s="1" t="str">
        <f>IFERROR(__xludf.DUMMYFUNCTION("GOOGLETRANSLATE(A1433 , ""auto"", ""ar"")"),"علبة القمامة")</f>
        <v>علبة القمامة</v>
      </c>
    </row>
    <row r="1434" ht="15.75" customHeight="1">
      <c r="A1434" s="1" t="s">
        <v>3014</v>
      </c>
      <c r="B1434" s="1" t="s">
        <v>771</v>
      </c>
      <c r="C1434" s="1"/>
      <c r="D1434" s="1" t="str">
        <f>IFERROR(__xludf.DUMMYFUNCTION("GOOGLETRANSLATE(A1434 , ""auto"", ""ar"")"),"علبة القمامة")</f>
        <v>علبة القمامة</v>
      </c>
    </row>
    <row r="1435" ht="15.75" customHeight="1">
      <c r="A1435" s="1" t="s">
        <v>3015</v>
      </c>
      <c r="B1435" s="1" t="s">
        <v>3016</v>
      </c>
      <c r="C1435" s="2" t="s">
        <v>3017</v>
      </c>
      <c r="D1435" s="1" t="str">
        <f>IFERROR(__xludf.DUMMYFUNCTION("GOOGLETRANSLATE(A1435 , ""auto"", ""ar"")"),"حديقة")</f>
        <v>حديقة</v>
      </c>
    </row>
    <row r="1436" ht="15.75" customHeight="1">
      <c r="A1436" s="1" t="s">
        <v>3015</v>
      </c>
      <c r="B1436" s="1" t="s">
        <v>3018</v>
      </c>
      <c r="C1436" s="2" t="s">
        <v>3019</v>
      </c>
      <c r="D1436" s="1" t="str">
        <f>IFERROR(__xludf.DUMMYFUNCTION("GOOGLETRANSLATE(A1436 , ""auto"", ""ar"")"),"حديقة")</f>
        <v>حديقة</v>
      </c>
    </row>
    <row r="1437" ht="15.75" customHeight="1">
      <c r="A1437" s="1" t="s">
        <v>3020</v>
      </c>
      <c r="B1437" s="1" t="s">
        <v>3021</v>
      </c>
      <c r="C1437" s="2" t="s">
        <v>3022</v>
      </c>
      <c r="D1437" s="1" t="str">
        <f>IFERROR(__xludf.DUMMYFUNCTION("GOOGLETRANSLATE(A1437 , ""auto"", ""ar"")"),"بستاني")</f>
        <v>بستاني</v>
      </c>
    </row>
    <row r="1438" ht="15.75" customHeight="1">
      <c r="A1438" s="1" t="s">
        <v>3023</v>
      </c>
      <c r="B1438" s="1" t="s">
        <v>3024</v>
      </c>
      <c r="C1438" s="2" t="s">
        <v>3025</v>
      </c>
      <c r="D1438" s="1" t="str">
        <f>IFERROR(__xludf.DUMMYFUNCTION("GOOGLETRANSLATE(A1438 , ""auto"", ""ar"")"),"ثوم")</f>
        <v>ثوم</v>
      </c>
    </row>
    <row r="1439" ht="15.75" customHeight="1">
      <c r="A1439" s="1" t="s">
        <v>3026</v>
      </c>
      <c r="B1439" s="1" t="s">
        <v>3027</v>
      </c>
      <c r="C1439" s="1"/>
      <c r="D1439" s="1" t="str">
        <f>IFERROR(__xludf.DUMMYFUNCTION("GOOGLETRANSLATE(A1439 , ""auto"", ""ar"")"),"مطبعة الثوم")</f>
        <v>مطبعة الثوم</v>
      </c>
    </row>
    <row r="1440" ht="15.75" customHeight="1">
      <c r="A1440" s="1" t="s">
        <v>3028</v>
      </c>
      <c r="B1440" s="1" t="s">
        <v>3029</v>
      </c>
      <c r="C1440" s="1"/>
      <c r="D1440" s="1" t="str">
        <f>IFERROR(__xludf.DUMMYFUNCTION("GOOGLETRANSLATE(A1440 , ""auto"", ""ar"")"),"غاز")</f>
        <v>غاز</v>
      </c>
    </row>
    <row r="1441" ht="15.75" customHeight="1">
      <c r="A1441" s="1" t="s">
        <v>3030</v>
      </c>
      <c r="B1441" s="1" t="s">
        <v>1694</v>
      </c>
      <c r="C1441" s="2" t="s">
        <v>1695</v>
      </c>
      <c r="D1441" s="1" t="str">
        <f>IFERROR(__xludf.DUMMYFUNCTION("GOOGLETRANSLATE(A1441 , ""auto"", ""ar"")"),"قنينة غاز")</f>
        <v>قنينة غاز</v>
      </c>
    </row>
    <row r="1442" ht="15.75" customHeight="1">
      <c r="A1442" s="1" t="s">
        <v>3030</v>
      </c>
      <c r="B1442" s="1" t="s">
        <v>914</v>
      </c>
      <c r="C1442" s="2" t="s">
        <v>3031</v>
      </c>
      <c r="D1442" s="1" t="str">
        <f>IFERROR(__xludf.DUMMYFUNCTION("GOOGLETRANSLATE(A1442 , ""auto"", ""ar"")"),"قنينة غاز")</f>
        <v>قنينة غاز</v>
      </c>
    </row>
    <row r="1443" ht="15.75" customHeight="1">
      <c r="A1443" s="1" t="s">
        <v>3032</v>
      </c>
      <c r="B1443" s="1" t="s">
        <v>3033</v>
      </c>
      <c r="C1443" s="1"/>
      <c r="D1443" s="1" t="str">
        <f>IFERROR(__xludf.DUMMYFUNCTION("GOOGLETRANSLATE(A1443 , ""auto"", ""ar"")"),"منظم غاز")</f>
        <v>منظم غاز</v>
      </c>
    </row>
    <row r="1444" ht="15.75" customHeight="1">
      <c r="A1444" s="1" t="s">
        <v>3034</v>
      </c>
      <c r="B1444" s="1" t="s">
        <v>400</v>
      </c>
      <c r="C1444" s="2" t="s">
        <v>401</v>
      </c>
      <c r="D1444" s="1" t="str">
        <f>IFERROR(__xludf.DUMMYFUNCTION("GOOGLETRANSLATE(A1444 , ""auto"", ""ar"")"),"جمع معا")</f>
        <v>جمع معا</v>
      </c>
    </row>
    <row r="1445" ht="15.75" customHeight="1">
      <c r="A1445" s="1" t="s">
        <v>3035</v>
      </c>
      <c r="B1445" s="1" t="s">
        <v>3036</v>
      </c>
      <c r="C1445" s="2" t="s">
        <v>3037</v>
      </c>
      <c r="D1445" s="1" t="str">
        <f>IFERROR(__xludf.DUMMYFUNCTION("GOOGLETRANSLATE(A1445 , ""auto"", ""ar"")"),"اجمع الخشب في الغابة")</f>
        <v>اجمع الخشب في الغابة</v>
      </c>
    </row>
    <row r="1446" ht="15.75" customHeight="1">
      <c r="A1446" s="1" t="s">
        <v>3038</v>
      </c>
      <c r="B1446" s="1" t="s">
        <v>639</v>
      </c>
      <c r="C1446" s="1"/>
      <c r="D1446" s="1" t="str">
        <f>IFERROR(__xludf.DUMMYFUNCTION("GOOGLETRANSLATE(A1446 , ""auto"", ""ar"")"),"غزال")</f>
        <v>غزال</v>
      </c>
    </row>
    <row r="1447" ht="15.75" customHeight="1">
      <c r="A1447" s="1" t="s">
        <v>3039</v>
      </c>
      <c r="B1447" s="1" t="s">
        <v>3040</v>
      </c>
      <c r="C1447" s="1"/>
      <c r="D1447" s="1" t="str">
        <f>IFERROR(__xludf.DUMMYFUNCTION("GOOGLETRANSLATE(A1447 , ""auto"", ""ar"")"),"عمومًا")</f>
        <v>عمومًا</v>
      </c>
    </row>
    <row r="1448" ht="15.75" customHeight="1">
      <c r="A1448" s="1" t="s">
        <v>3041</v>
      </c>
      <c r="B1448" s="1" t="s">
        <v>3042</v>
      </c>
      <c r="C1448" s="2" t="s">
        <v>3043</v>
      </c>
      <c r="D1448" s="1" t="str">
        <f>IFERROR(__xludf.DUMMYFUNCTION("GOOGLETRANSLATE(A1448 , ""auto"", ""ar"")"),"سخاء")</f>
        <v>سخاء</v>
      </c>
    </row>
    <row r="1449" ht="15.75" customHeight="1">
      <c r="A1449" s="1" t="s">
        <v>3044</v>
      </c>
      <c r="B1449" s="1" t="s">
        <v>3045</v>
      </c>
      <c r="C1449" s="2" t="s">
        <v>3046</v>
      </c>
      <c r="D1449" s="1" t="str">
        <f>IFERROR(__xludf.DUMMYFUNCTION("GOOGLETRANSLATE(A1449 , ""auto"", ""ar"")"),"كريم")</f>
        <v>كريم</v>
      </c>
    </row>
    <row r="1450" ht="15.75" customHeight="1">
      <c r="A1450" s="1" t="s">
        <v>3044</v>
      </c>
      <c r="B1450" s="1" t="s">
        <v>3047</v>
      </c>
      <c r="C1450" s="2" t="s">
        <v>3048</v>
      </c>
      <c r="D1450" s="1" t="str">
        <f>IFERROR(__xludf.DUMMYFUNCTION("GOOGLETRANSLATE(A1450 , ""auto"", ""ar"")"),"كريم")</f>
        <v>كريم</v>
      </c>
    </row>
    <row r="1451" ht="15.75" customHeight="1">
      <c r="A1451" s="1" t="s">
        <v>3044</v>
      </c>
      <c r="B1451" s="1" t="s">
        <v>2698</v>
      </c>
      <c r="C1451" s="2" t="s">
        <v>3049</v>
      </c>
      <c r="D1451" s="1" t="str">
        <f>IFERROR(__xludf.DUMMYFUNCTION("GOOGLETRANSLATE(A1451 , ""auto"", ""ar"")"),"كريم")</f>
        <v>كريم</v>
      </c>
    </row>
    <row r="1452" ht="15.75" customHeight="1">
      <c r="A1452" s="1" t="s">
        <v>3050</v>
      </c>
      <c r="B1452" s="1" t="s">
        <v>3051</v>
      </c>
      <c r="C1452" s="1"/>
      <c r="D1452" s="1" t="str">
        <f>IFERROR(__xludf.DUMMYFUNCTION("GOOGLETRANSLATE(A1452 , ""auto"", ""ar"")"),"جني")</f>
        <v>جني</v>
      </c>
    </row>
    <row r="1453" ht="15.75" customHeight="1">
      <c r="A1453" s="1" t="s">
        <v>3050</v>
      </c>
      <c r="B1453" s="1" t="s">
        <v>3052</v>
      </c>
      <c r="C1453" s="1"/>
      <c r="D1453" s="1" t="str">
        <f>IFERROR(__xludf.DUMMYFUNCTION("GOOGLETRANSLATE(A1453 , ""auto"", ""ar"")"),"جني")</f>
        <v>جني</v>
      </c>
    </row>
    <row r="1454" ht="15.75" customHeight="1">
      <c r="A1454" s="1" t="s">
        <v>3053</v>
      </c>
      <c r="B1454" s="1" t="s">
        <v>3054</v>
      </c>
      <c r="C1454" s="2" t="s">
        <v>3055</v>
      </c>
      <c r="D1454" s="1" t="str">
        <f>IFERROR(__xludf.DUMMYFUNCTION("GOOGLETRANSLATE(A1454 , ""auto"", ""ar"")"),"جرثومة")</f>
        <v>جرثومة</v>
      </c>
    </row>
    <row r="1455" ht="15.75" customHeight="1">
      <c r="A1455" s="1" t="s">
        <v>3056</v>
      </c>
      <c r="B1455" s="1" t="s">
        <v>3057</v>
      </c>
      <c r="C1455" s="2" t="s">
        <v>3058</v>
      </c>
      <c r="D1455" s="1" t="str">
        <f>IFERROR(__xludf.DUMMYFUNCTION("GOOGLETRANSLATE(A1455 , ""auto"", ""ar"")"),"ألمانية")</f>
        <v>ألمانية</v>
      </c>
    </row>
    <row r="1456" ht="15.75" customHeight="1">
      <c r="A1456" s="1" t="s">
        <v>3056</v>
      </c>
      <c r="B1456" s="1" t="s">
        <v>3059</v>
      </c>
      <c r="C1456" s="2" t="s">
        <v>3060</v>
      </c>
      <c r="D1456" s="1" t="str">
        <f>IFERROR(__xludf.DUMMYFUNCTION("GOOGLETRANSLATE(A1456 , ""auto"", ""ar"")"),"ألمانية")</f>
        <v>ألمانية</v>
      </c>
    </row>
    <row r="1457" ht="15.75" customHeight="1">
      <c r="A1457" s="1" t="s">
        <v>3056</v>
      </c>
      <c r="B1457" s="1" t="s">
        <v>3057</v>
      </c>
      <c r="C1457" s="2" t="s">
        <v>3058</v>
      </c>
      <c r="D1457" s="1" t="str">
        <f>IFERROR(__xludf.DUMMYFUNCTION("GOOGLETRANSLATE(A1457 , ""auto"", ""ar"")"),"ألمانية")</f>
        <v>ألمانية</v>
      </c>
    </row>
    <row r="1458" ht="15.75" customHeight="1">
      <c r="A1458" s="1" t="s">
        <v>3061</v>
      </c>
      <c r="B1458" s="1" t="s">
        <v>3062</v>
      </c>
      <c r="C1458" s="2" t="s">
        <v>3063</v>
      </c>
      <c r="D1458" s="1" t="str">
        <f>IFERROR(__xludf.DUMMYFUNCTION("GOOGLETRANSLATE(A1458 , ""auto"", ""ar"")"),"ألمانيا")</f>
        <v>ألمانيا</v>
      </c>
    </row>
    <row r="1459" ht="15.75" customHeight="1">
      <c r="A1459" s="1" t="s">
        <v>3064</v>
      </c>
      <c r="B1459" s="1" t="s">
        <v>3065</v>
      </c>
      <c r="C1459" s="2" t="s">
        <v>3066</v>
      </c>
      <c r="D1459" s="1" t="str">
        <f>IFERROR(__xludf.DUMMYFUNCTION("GOOGLETRANSLATE(A1459 , ""auto"", ""ar"")"),"إيماءة")</f>
        <v>إيماءة</v>
      </c>
    </row>
    <row r="1460" ht="15.75" customHeight="1">
      <c r="A1460" s="1" t="s">
        <v>3067</v>
      </c>
      <c r="B1460" s="1" t="s">
        <v>589</v>
      </c>
      <c r="C1460" s="2" t="s">
        <v>590</v>
      </c>
      <c r="D1460" s="1" t="str">
        <f>IFERROR(__xludf.DUMMYFUNCTION("GOOGLETRANSLATE(A1460 , ""auto"", ""ar"")"),"تعتاد")</f>
        <v>تعتاد</v>
      </c>
    </row>
    <row r="1461" ht="15.75" customHeight="1">
      <c r="A1461" s="1" t="s">
        <v>3067</v>
      </c>
      <c r="B1461" s="1" t="s">
        <v>3068</v>
      </c>
      <c r="C1461" s="2" t="s">
        <v>3069</v>
      </c>
      <c r="D1461" s="1" t="str">
        <f>IFERROR(__xludf.DUMMYFUNCTION("GOOGLETRANSLATE(A1461 , ""auto"", ""ar"")"),"تعتاد")</f>
        <v>تعتاد</v>
      </c>
    </row>
    <row r="1462" ht="15.75" customHeight="1">
      <c r="A1462" s="1" t="s">
        <v>3070</v>
      </c>
      <c r="B1462" s="1" t="s">
        <v>650</v>
      </c>
      <c r="C1462" s="2" t="s">
        <v>3071</v>
      </c>
      <c r="D1462" s="1" t="str">
        <f>IFERROR(__xludf.DUMMYFUNCTION("GOOGLETRANSLATE(A1462 , ""auto"", ""ar"")"),"الحصول على أفضل")</f>
        <v>الحصول على أفضل</v>
      </c>
    </row>
    <row r="1463" ht="15.75" customHeight="1">
      <c r="A1463" s="1" t="s">
        <v>3070</v>
      </c>
      <c r="B1463" s="1" t="s">
        <v>650</v>
      </c>
      <c r="C1463" s="1"/>
      <c r="D1463" s="1" t="str">
        <f>IFERROR(__xludf.DUMMYFUNCTION("GOOGLETRANSLATE(A1463 , ""auto"", ""ar"")"),"الحصول على أفضل")</f>
        <v>الحصول على أفضل</v>
      </c>
    </row>
    <row r="1464" ht="15.75" customHeight="1">
      <c r="A1464" s="1" t="s">
        <v>3070</v>
      </c>
      <c r="B1464" s="1" t="s">
        <v>1862</v>
      </c>
      <c r="C1464" s="1"/>
      <c r="D1464" s="1" t="str">
        <f>IFERROR(__xludf.DUMMYFUNCTION("GOOGLETRANSLATE(A1464 , ""auto"", ""ar"")"),"الحصول على أفضل")</f>
        <v>الحصول على أفضل</v>
      </c>
    </row>
    <row r="1465" ht="15.75" customHeight="1">
      <c r="A1465" s="1" t="s">
        <v>3072</v>
      </c>
      <c r="B1465" s="1" t="s">
        <v>3073</v>
      </c>
      <c r="C1465" s="2" t="s">
        <v>3074</v>
      </c>
      <c r="D1465" s="1" t="str">
        <f>IFERROR(__xludf.DUMMYFUNCTION("GOOGLETRANSLATE(A1465 , ""auto"", ""ar"")"),"يصيبه الملل")</f>
        <v>يصيبه الملل</v>
      </c>
    </row>
    <row r="1466" ht="15.75" customHeight="1">
      <c r="A1466" s="1" t="s">
        <v>3075</v>
      </c>
      <c r="B1466" s="1" t="s">
        <v>3076</v>
      </c>
      <c r="C1466" s="2" t="s">
        <v>3077</v>
      </c>
      <c r="D1466" s="1" t="str">
        <f>IFERROR(__xludf.DUMMYFUNCTION("GOOGLETRANSLATE(A1466 , ""auto"", ""ar"")"),"يرتدى ملابسة")</f>
        <v>يرتدى ملابسة</v>
      </c>
    </row>
    <row r="1467" ht="15.75" customHeight="1">
      <c r="A1467" s="1" t="s">
        <v>3078</v>
      </c>
      <c r="B1467" s="1" t="s">
        <v>3079</v>
      </c>
      <c r="C1467" s="2" t="s">
        <v>3080</v>
      </c>
      <c r="D1467" s="1" t="str">
        <f>IFERROR(__xludf.DUMMYFUNCTION("GOOGLETRANSLATE(A1467 , ""auto"", ""ar"")"),"يسكر")</f>
        <v>يسكر</v>
      </c>
    </row>
    <row r="1468" ht="15.75" customHeight="1">
      <c r="A1468" s="1" t="s">
        <v>3081</v>
      </c>
      <c r="B1468" s="1" t="s">
        <v>3082</v>
      </c>
      <c r="C1468" s="2" t="s">
        <v>3083</v>
      </c>
      <c r="D1468" s="1" t="str">
        <f>IFERROR(__xludf.DUMMYFUNCTION("GOOGLETRANSLATE(A1468 , ""auto"", ""ar"")"),"يتاذى")</f>
        <v>يتاذى</v>
      </c>
    </row>
    <row r="1469" ht="15.75" customHeight="1">
      <c r="A1469" s="1" t="s">
        <v>3084</v>
      </c>
      <c r="B1469" s="1" t="s">
        <v>3085</v>
      </c>
      <c r="C1469" s="2" t="s">
        <v>3086</v>
      </c>
      <c r="D1469" s="1" t="str">
        <f>IFERROR(__xludf.DUMMYFUNCTION("GOOGLETRANSLATE(A1469 , ""auto"", ""ar"")"),"اخرج")</f>
        <v>اخرج</v>
      </c>
    </row>
    <row r="1470" ht="15.75" customHeight="1">
      <c r="A1470" s="1" t="s">
        <v>3084</v>
      </c>
      <c r="B1470" s="1" t="s">
        <v>3087</v>
      </c>
      <c r="C1470" s="2" t="s">
        <v>3088</v>
      </c>
      <c r="D1470" s="1" t="str">
        <f>IFERROR(__xludf.DUMMYFUNCTION("GOOGLETRANSLATE(A1470 , ""auto"", ""ar"")"),"اخرج")</f>
        <v>اخرج</v>
      </c>
    </row>
    <row r="1471" ht="15.75" customHeight="1">
      <c r="A1471" s="1" t="s">
        <v>3089</v>
      </c>
      <c r="B1471" s="1" t="s">
        <v>3090</v>
      </c>
      <c r="C1471" s="2" t="s">
        <v>3091</v>
      </c>
      <c r="D1471" s="1" t="str">
        <f>IFERROR(__xludf.DUMMYFUNCTION("GOOGLETRANSLATE(A1471 , ""auto"", ""ar"")"),"حملت")</f>
        <v>حملت</v>
      </c>
    </row>
    <row r="1472" ht="15.75" customHeight="1">
      <c r="A1472" s="1" t="s">
        <v>3092</v>
      </c>
      <c r="B1472" s="1" t="s">
        <v>3093</v>
      </c>
      <c r="C1472" s="2" t="s">
        <v>3094</v>
      </c>
      <c r="D1472" s="1" t="str">
        <f>IFERROR(__xludf.DUMMYFUNCTION("GOOGLETRANSLATE(A1472 , ""auto"", ""ar"")"),"بدأ أن يفهم")</f>
        <v>بدأ أن يفهم</v>
      </c>
    </row>
    <row r="1473" ht="15.75" customHeight="1">
      <c r="A1473" s="1" t="s">
        <v>3095</v>
      </c>
      <c r="B1473" s="1" t="s">
        <v>3096</v>
      </c>
      <c r="C1473" s="2" t="s">
        <v>3097</v>
      </c>
      <c r="D1473" s="1" t="str">
        <f>IFERROR(__xludf.DUMMYFUNCTION("GOOGLETRANSLATE(A1473 , ""auto"", ""ar"")"),"استيقظ")</f>
        <v>استيقظ</v>
      </c>
    </row>
    <row r="1474" ht="15.75" customHeight="1">
      <c r="A1474" s="1" t="s">
        <v>3095</v>
      </c>
      <c r="B1474" s="1" t="s">
        <v>3098</v>
      </c>
      <c r="C1474" s="2" t="s">
        <v>3099</v>
      </c>
      <c r="D1474" s="1" t="str">
        <f>IFERROR(__xludf.DUMMYFUNCTION("GOOGLETRANSLATE(A1474 , ""auto"", ""ar"")"),"استيقظ")</f>
        <v>استيقظ</v>
      </c>
    </row>
    <row r="1475" ht="15.75" customHeight="1">
      <c r="A1475" s="1" t="s">
        <v>3095</v>
      </c>
      <c r="B1475" s="1" t="s">
        <v>3100</v>
      </c>
      <c r="C1475" s="2" t="s">
        <v>3101</v>
      </c>
      <c r="D1475" s="1" t="str">
        <f>IFERROR(__xludf.DUMMYFUNCTION("GOOGLETRANSLATE(A1475 , ""auto"", ""ar"")"),"استيقظ")</f>
        <v>استيقظ</v>
      </c>
    </row>
    <row r="1476" ht="15.75" customHeight="1">
      <c r="A1476" s="1" t="s">
        <v>3102</v>
      </c>
      <c r="B1476" s="1" t="s">
        <v>589</v>
      </c>
      <c r="C1476" s="2" t="s">
        <v>590</v>
      </c>
      <c r="D1476" s="1" t="str">
        <f>IFERROR(__xludf.DUMMYFUNCTION("GOOGLETRANSLATE(A1476 , ""auto"", ""ar"")"),"تعتاد على")</f>
        <v>تعتاد على</v>
      </c>
    </row>
    <row r="1477" ht="15.75" customHeight="1">
      <c r="A1477" s="1" t="s">
        <v>3102</v>
      </c>
      <c r="B1477" s="1" t="s">
        <v>3068</v>
      </c>
      <c r="C1477" s="2" t="s">
        <v>3069</v>
      </c>
      <c r="D1477" s="1" t="str">
        <f>IFERROR(__xludf.DUMMYFUNCTION("GOOGLETRANSLATE(A1477 , ""auto"", ""ar"")"),"تعتاد على")</f>
        <v>تعتاد على</v>
      </c>
    </row>
    <row r="1478" ht="15.75" customHeight="1">
      <c r="A1478" s="1" t="s">
        <v>3103</v>
      </c>
      <c r="B1478" s="1" t="s">
        <v>3104</v>
      </c>
      <c r="C1478" s="1"/>
      <c r="D1478" s="1" t="str">
        <f>IFERROR(__xludf.DUMMYFUNCTION("GOOGLETRANSLATE(A1478 , ""auto"", ""ar"")"),"شبح")</f>
        <v>شبح</v>
      </c>
    </row>
    <row r="1479" ht="15.75" customHeight="1">
      <c r="A1479" s="1" t="s">
        <v>3105</v>
      </c>
      <c r="B1479" s="1" t="s">
        <v>3106</v>
      </c>
      <c r="C1479" s="2" t="s">
        <v>3107</v>
      </c>
      <c r="D1479" s="1" t="str">
        <f>IFERROR(__xludf.DUMMYFUNCTION("GOOGLETRANSLATE(A1479 , ""auto"", ""ar"")"),"هدية")</f>
        <v>هدية</v>
      </c>
    </row>
    <row r="1480" ht="15.75" customHeight="1">
      <c r="A1480" s="1" t="s">
        <v>3108</v>
      </c>
      <c r="B1480" s="1" t="s">
        <v>3109</v>
      </c>
      <c r="C1480" s="1"/>
      <c r="D1480" s="1" t="str">
        <f>IFERROR(__xludf.DUMMYFUNCTION("GOOGLETRANSLATE(A1480 , ""auto"", ""ar"")"),"قسيمة الهدية")</f>
        <v>قسيمة الهدية</v>
      </c>
    </row>
    <row r="1481" ht="15.75" customHeight="1">
      <c r="A1481" s="1" t="s">
        <v>3110</v>
      </c>
      <c r="B1481" s="1" t="s">
        <v>3111</v>
      </c>
      <c r="C1481" s="2" t="s">
        <v>3112</v>
      </c>
      <c r="D1481" s="1" t="str">
        <f>IFERROR(__xludf.DUMMYFUNCTION("GOOGLETRANSLATE(A1481 , ""auto"", ""ar"")"),"زنجبيل")</f>
        <v>زنجبيل</v>
      </c>
    </row>
    <row r="1482" ht="15.75" customHeight="1">
      <c r="A1482" s="1" t="s">
        <v>3113</v>
      </c>
      <c r="B1482" s="1" t="s">
        <v>3114</v>
      </c>
      <c r="C1482" s="2" t="s">
        <v>3115</v>
      </c>
      <c r="D1482" s="1" t="str">
        <f>IFERROR(__xludf.DUMMYFUNCTION("GOOGLETRANSLATE(A1482 , ""auto"", ""ar"")"),"زرافة")</f>
        <v>زرافة</v>
      </c>
    </row>
    <row r="1483" ht="15.75" customHeight="1">
      <c r="A1483" s="1" t="s">
        <v>3116</v>
      </c>
      <c r="B1483" s="1" t="s">
        <v>1766</v>
      </c>
      <c r="C1483" s="2" t="s">
        <v>1923</v>
      </c>
      <c r="D1483" s="1" t="str">
        <f>IFERROR(__xludf.DUMMYFUNCTION("GOOGLETRANSLATE(A1483 , ""auto"", ""ar"")"),"بنت")</f>
        <v>بنت</v>
      </c>
    </row>
    <row r="1484" ht="15.75" customHeight="1">
      <c r="A1484" s="1" t="s">
        <v>3117</v>
      </c>
      <c r="B1484" s="1" t="s">
        <v>3118</v>
      </c>
      <c r="C1484" s="2" t="s">
        <v>3119</v>
      </c>
      <c r="D1484" s="1" t="str">
        <f>IFERROR(__xludf.DUMMYFUNCTION("GOOGLETRANSLATE(A1484 , ""auto"", ""ar"")"),"يعطي")</f>
        <v>يعطي</v>
      </c>
    </row>
    <row r="1485" ht="15.75" customHeight="1">
      <c r="A1485" s="1" t="s">
        <v>3117</v>
      </c>
      <c r="B1485" s="1" t="s">
        <v>3120</v>
      </c>
      <c r="C1485" s="2" t="s">
        <v>3121</v>
      </c>
      <c r="D1485" s="1" t="str">
        <f>IFERROR(__xludf.DUMMYFUNCTION("GOOGLETRANSLATE(A1485 , ""auto"", ""ar"")"),"يعطي")</f>
        <v>يعطي</v>
      </c>
    </row>
    <row r="1486" ht="15.75" customHeight="1">
      <c r="A1486" s="1" t="s">
        <v>3122</v>
      </c>
      <c r="B1486" s="1" t="s">
        <v>3123</v>
      </c>
      <c r="C1486" s="1"/>
      <c r="D1486" s="1" t="str">
        <f>IFERROR(__xludf.DUMMYFUNCTION("GOOGLETRANSLATE(A1486 , ""auto"", ""ar"")"),"إعطاء الصدقات")</f>
        <v>إعطاء الصدقات</v>
      </c>
    </row>
    <row r="1487" ht="15.75" customHeight="1">
      <c r="A1487" s="1" t="s">
        <v>3122</v>
      </c>
      <c r="B1487" s="1" t="s">
        <v>3124</v>
      </c>
      <c r="C1487" s="1"/>
      <c r="D1487" s="1" t="str">
        <f>IFERROR(__xludf.DUMMYFUNCTION("GOOGLETRANSLATE(A1487 , ""auto"", ""ar"")"),"إعطاء الصدقات")</f>
        <v>إعطاء الصدقات</v>
      </c>
    </row>
    <row r="1488" ht="15.75" customHeight="1">
      <c r="A1488" s="1" t="s">
        <v>3125</v>
      </c>
      <c r="B1488" s="1" t="s">
        <v>293</v>
      </c>
      <c r="C1488" s="2" t="s">
        <v>294</v>
      </c>
      <c r="D1488" s="1" t="str">
        <f>IFERROR(__xludf.DUMMYFUNCTION("GOOGLETRANSLATE(A1488 , ""auto"", ""ar"")"),"يرجع")</f>
        <v>يرجع</v>
      </c>
    </row>
    <row r="1489" ht="15.75" customHeight="1">
      <c r="A1489" s="1" t="s">
        <v>3126</v>
      </c>
      <c r="B1489" s="1" t="s">
        <v>493</v>
      </c>
      <c r="C1489" s="2" t="s">
        <v>939</v>
      </c>
      <c r="D1489" s="1" t="str">
        <f>IFERROR(__xludf.DUMMYFUNCTION("GOOGLETRANSLATE(A1489 , ""auto"", ""ar"")"),"يولد")</f>
        <v>يولد</v>
      </c>
    </row>
    <row r="1490" ht="15.75" customHeight="1">
      <c r="A1490" s="1" t="s">
        <v>3127</v>
      </c>
      <c r="B1490" s="1" t="s">
        <v>3128</v>
      </c>
      <c r="C1490" s="2" t="s">
        <v>3129</v>
      </c>
      <c r="D1490" s="1" t="str">
        <f>IFERROR(__xludf.DUMMYFUNCTION("GOOGLETRANSLATE(A1490 , ""auto"", ""ar"")"),"اتصل بالصلاة")</f>
        <v>اتصل بالصلاة</v>
      </c>
    </row>
    <row r="1491" ht="15.75" customHeight="1">
      <c r="A1491" s="1" t="s">
        <v>3130</v>
      </c>
      <c r="B1491" s="1" t="s">
        <v>3131</v>
      </c>
      <c r="C1491" s="1"/>
      <c r="D1491" s="1" t="str">
        <f>IFERROR(__xludf.DUMMYFUNCTION("GOOGLETRANSLATE(A1491 , ""auto"", ""ar"")"),"يلمح")</f>
        <v>يلمح</v>
      </c>
    </row>
    <row r="1492" ht="15.75" customHeight="1">
      <c r="A1492" s="1" t="s">
        <v>3132</v>
      </c>
      <c r="B1492" s="1" t="s">
        <v>1851</v>
      </c>
      <c r="C1492" s="2" t="s">
        <v>1852</v>
      </c>
      <c r="D1492" s="1" t="str">
        <f>IFERROR(__xludf.DUMMYFUNCTION("GOOGLETRANSLATE(A1492 , ""auto"", ""ar"")"),"زجاج")</f>
        <v>زجاج</v>
      </c>
    </row>
    <row r="1493" ht="15.75" customHeight="1">
      <c r="A1493" s="1" t="s">
        <v>3132</v>
      </c>
      <c r="B1493" s="1" t="s">
        <v>3133</v>
      </c>
      <c r="C1493" s="1"/>
      <c r="D1493" s="1" t="str">
        <f>IFERROR(__xludf.DUMMYFUNCTION("GOOGLETRANSLATE(A1493 , ""auto"", ""ar"")"),"زجاج")</f>
        <v>زجاج</v>
      </c>
    </row>
    <row r="1494" ht="15.75" customHeight="1">
      <c r="A1494" s="1" t="s">
        <v>3134</v>
      </c>
      <c r="B1494" s="1" t="s">
        <v>3135</v>
      </c>
      <c r="C1494" s="1"/>
      <c r="D1494" s="1" t="str">
        <f>IFERROR(__xludf.DUMMYFUNCTION("GOOGLETRANSLATE(A1494 , ""auto"", ""ar"")"),"نظارات")</f>
        <v>نظارات</v>
      </c>
    </row>
    <row r="1495" ht="15.75" customHeight="1">
      <c r="A1495" s="1" t="s">
        <v>3136</v>
      </c>
      <c r="B1495" s="1" t="s">
        <v>3137</v>
      </c>
      <c r="C1495" s="1"/>
      <c r="D1495" s="1" t="str">
        <f>IFERROR(__xludf.DUMMYFUNCTION("GOOGLETRANSLATE(A1495 , ""auto"", ""ar"")"),"قفاز")</f>
        <v>قفاز</v>
      </c>
    </row>
    <row r="1496" ht="15.75" customHeight="1">
      <c r="A1496" s="1" t="s">
        <v>3136</v>
      </c>
      <c r="B1496" s="1" t="s">
        <v>3138</v>
      </c>
      <c r="C1496" s="2" t="s">
        <v>3139</v>
      </c>
      <c r="D1496" s="1" t="str">
        <f>IFERROR(__xludf.DUMMYFUNCTION("GOOGLETRANSLATE(A1496 , ""auto"", ""ar"")"),"قفاز")</f>
        <v>قفاز</v>
      </c>
    </row>
    <row r="1497" ht="15.75" customHeight="1">
      <c r="A1497" s="1" t="s">
        <v>3140</v>
      </c>
      <c r="B1497" s="1" t="s">
        <v>3141</v>
      </c>
      <c r="C1497" s="1"/>
      <c r="D1497" s="1" t="str">
        <f>IFERROR(__xludf.DUMMYFUNCTION("GOOGLETRANSLATE(A1497 , ""auto"", ""ar"")"),"صمغ")</f>
        <v>صمغ</v>
      </c>
    </row>
    <row r="1498" ht="15.75" customHeight="1">
      <c r="A1498" s="1" t="s">
        <v>3140</v>
      </c>
      <c r="B1498" s="1" t="s">
        <v>3142</v>
      </c>
      <c r="C1498" s="2" t="s">
        <v>3143</v>
      </c>
      <c r="D1498" s="1" t="str">
        <f>IFERROR(__xludf.DUMMYFUNCTION("GOOGLETRANSLATE(A1498 , ""auto"", ""ar"")"),"صمغ")</f>
        <v>صمغ</v>
      </c>
    </row>
    <row r="1499" ht="15.75" customHeight="1">
      <c r="A1499" s="1" t="s">
        <v>3144</v>
      </c>
      <c r="B1499" s="1" t="s">
        <v>3145</v>
      </c>
      <c r="C1499" s="1"/>
      <c r="D1499" s="1" t="str">
        <f>IFERROR(__xludf.DUMMYFUNCTION("GOOGLETRANSLATE(A1499 , ""auto"", ""ar"")"),"غنات")</f>
        <v>غنات</v>
      </c>
    </row>
    <row r="1500" ht="15.75" customHeight="1">
      <c r="A1500" s="1" t="s">
        <v>3146</v>
      </c>
      <c r="B1500" s="1" t="s">
        <v>3147</v>
      </c>
      <c r="C1500" s="2" t="s">
        <v>3148</v>
      </c>
      <c r="D1500" s="1" t="str">
        <f>IFERROR(__xludf.DUMMYFUNCTION("GOOGLETRANSLATE(A1500 , ""auto"", ""ar"")"),"يذهب")</f>
        <v>يذهب</v>
      </c>
    </row>
    <row r="1501" ht="15.75" customHeight="1">
      <c r="A1501" s="1" t="s">
        <v>3146</v>
      </c>
      <c r="B1501" s="1" t="s">
        <v>3149</v>
      </c>
      <c r="C1501" s="2" t="s">
        <v>3150</v>
      </c>
      <c r="D1501" s="1" t="str">
        <f>IFERROR(__xludf.DUMMYFUNCTION("GOOGLETRANSLATE(A1501 , ""auto"", ""ar"")"),"يذهب")</f>
        <v>يذهب</v>
      </c>
    </row>
    <row r="1502" ht="15.75" customHeight="1">
      <c r="A1502" s="1" t="s">
        <v>3146</v>
      </c>
      <c r="B1502" s="1" t="s">
        <v>79</v>
      </c>
      <c r="C1502" s="2" t="s">
        <v>80</v>
      </c>
      <c r="D1502" s="1" t="str">
        <f>IFERROR(__xludf.DUMMYFUNCTION("GOOGLETRANSLATE(A1502 , ""auto"", ""ar"")"),"يذهب")</f>
        <v>يذهب</v>
      </c>
    </row>
    <row r="1503" ht="15.75" customHeight="1">
      <c r="A1503" s="1" t="s">
        <v>3146</v>
      </c>
      <c r="B1503" s="1" t="s">
        <v>3151</v>
      </c>
      <c r="C1503" s="2" t="s">
        <v>3152</v>
      </c>
      <c r="D1503" s="1" t="str">
        <f>IFERROR(__xludf.DUMMYFUNCTION("GOOGLETRANSLATE(A1503 , ""auto"", ""ar"")"),"يذهب")</f>
        <v>يذهب</v>
      </c>
    </row>
    <row r="1504" ht="15.75" customHeight="1">
      <c r="A1504" s="1" t="s">
        <v>3153</v>
      </c>
      <c r="B1504" s="1" t="s">
        <v>3154</v>
      </c>
      <c r="C1504" s="2" t="s">
        <v>3155</v>
      </c>
      <c r="D1504" s="1" t="str">
        <f>IFERROR(__xludf.DUMMYFUNCTION("GOOGLETRANSLATE(A1504 , ""auto"", ""ar"")"),"يبتعد")</f>
        <v>يبتعد</v>
      </c>
    </row>
    <row r="1505" ht="15.75" customHeight="1">
      <c r="A1505" s="1" t="s">
        <v>3156</v>
      </c>
      <c r="B1505" s="1" t="s">
        <v>1995</v>
      </c>
      <c r="C1505" s="2" t="s">
        <v>1996</v>
      </c>
      <c r="D1505" s="1" t="str">
        <f>IFERROR(__xludf.DUMMYFUNCTION("GOOGLETRANSLATE(A1505 , ""auto"", ""ar"")"),"انزل")</f>
        <v>انزل</v>
      </c>
    </row>
    <row r="1506" ht="15.75" customHeight="1">
      <c r="A1506" s="1" t="s">
        <v>3156</v>
      </c>
      <c r="B1506" s="1" t="s">
        <v>1997</v>
      </c>
      <c r="C1506" s="2" t="s">
        <v>1998</v>
      </c>
      <c r="D1506" s="1" t="str">
        <f>IFERROR(__xludf.DUMMYFUNCTION("GOOGLETRANSLATE(A1506 , ""auto"", ""ar"")"),"انزل")</f>
        <v>انزل</v>
      </c>
    </row>
    <row r="1507" ht="15.75" customHeight="1">
      <c r="A1507" s="1" t="s">
        <v>3157</v>
      </c>
      <c r="B1507" s="1" t="s">
        <v>2761</v>
      </c>
      <c r="C1507" s="2" t="s">
        <v>2762</v>
      </c>
      <c r="D1507" s="1" t="str">
        <f>IFERROR(__xludf.DUMMYFUNCTION("GOOGLETRANSLATE(A1507 , ""auto"", ""ar"")"),"اذهب لصيد السمك")</f>
        <v>اذهب لصيد السمك</v>
      </c>
    </row>
    <row r="1508" ht="15.75" customHeight="1">
      <c r="A1508" s="1" t="s">
        <v>3158</v>
      </c>
      <c r="B1508" s="1" t="s">
        <v>3159</v>
      </c>
      <c r="C1508" s="2" t="s">
        <v>3160</v>
      </c>
      <c r="D1508" s="1" t="str">
        <f>IFERROR(__xludf.DUMMYFUNCTION("GOOGLETRANSLATE(A1508 , ""auto"", ""ar"")"),"يذهب للمشي")</f>
        <v>يذهب للمشي</v>
      </c>
    </row>
    <row r="1509" ht="15.75" customHeight="1">
      <c r="A1509" s="1" t="s">
        <v>3158</v>
      </c>
      <c r="B1509" s="1" t="s">
        <v>3161</v>
      </c>
      <c r="C1509" s="2" t="s">
        <v>3162</v>
      </c>
      <c r="D1509" s="1" t="str">
        <f>IFERROR(__xludf.DUMMYFUNCTION("GOOGLETRANSLATE(A1509 , ""auto"", ""ar"")"),"يذهب للمشي")</f>
        <v>يذهب للمشي</v>
      </c>
    </row>
    <row r="1510" ht="15.75" customHeight="1">
      <c r="A1510" s="1" t="s">
        <v>3158</v>
      </c>
      <c r="B1510" s="1" t="s">
        <v>3163</v>
      </c>
      <c r="C1510" s="2" t="s">
        <v>3164</v>
      </c>
      <c r="D1510" s="1" t="str">
        <f>IFERROR(__xludf.DUMMYFUNCTION("GOOGLETRANSLATE(A1510 , ""auto"", ""ar"")"),"يذهب للمشي")</f>
        <v>يذهب للمشي</v>
      </c>
    </row>
    <row r="1511" ht="15.75" customHeight="1">
      <c r="A1511" s="1" t="s">
        <v>3165</v>
      </c>
      <c r="B1511" s="1" t="s">
        <v>3166</v>
      </c>
      <c r="C1511" s="2" t="s">
        <v>3167</v>
      </c>
      <c r="D1511" s="1" t="str">
        <f>IFERROR(__xludf.DUMMYFUNCTION("GOOGLETRANSLATE(A1511 , ""auto"", ""ar"")"),"نزول")</f>
        <v>نزول</v>
      </c>
    </row>
    <row r="1512" ht="15.75" customHeight="1">
      <c r="A1512" s="1" t="s">
        <v>3168</v>
      </c>
      <c r="B1512" s="1" t="s">
        <v>2076</v>
      </c>
      <c r="C1512" s="2" t="s">
        <v>3169</v>
      </c>
      <c r="D1512" s="1" t="str">
        <f>IFERROR(__xludf.DUMMYFUNCTION("GOOGLETRANSLATE(A1512 , ""auto"", ""ar"")"),"الخروج")</f>
        <v>الخروج</v>
      </c>
    </row>
    <row r="1513" ht="15.75" customHeight="1">
      <c r="A1513" s="1" t="s">
        <v>3168</v>
      </c>
      <c r="B1513" s="1" t="s">
        <v>3170</v>
      </c>
      <c r="C1513" s="2" t="s">
        <v>3171</v>
      </c>
      <c r="D1513" s="1" t="str">
        <f>IFERROR(__xludf.DUMMYFUNCTION("GOOGLETRANSLATE(A1513 , ""auto"", ""ar"")"),"الخروج")</f>
        <v>الخروج</v>
      </c>
    </row>
    <row r="1514" ht="15.75" customHeight="1">
      <c r="A1514" s="1" t="s">
        <v>3172</v>
      </c>
      <c r="B1514" s="1" t="s">
        <v>1136</v>
      </c>
      <c r="C1514" s="2" t="s">
        <v>1137</v>
      </c>
      <c r="D1514" s="1" t="str">
        <f>IFERROR(__xludf.DUMMYFUNCTION("GOOGLETRANSLATE(A1514 , ""auto"", ""ar"")"),"اذهب للتسوق")</f>
        <v>اذهب للتسوق</v>
      </c>
    </row>
    <row r="1515" ht="15.75" customHeight="1">
      <c r="A1515" s="1" t="s">
        <v>3172</v>
      </c>
      <c r="B1515" s="1" t="s">
        <v>209</v>
      </c>
      <c r="C1515" s="1"/>
      <c r="D1515" s="1" t="str">
        <f>IFERROR(__xludf.DUMMYFUNCTION("GOOGLETRANSLATE(A1515 , ""auto"", ""ar"")"),"اذهب للتسوق")</f>
        <v>اذهب للتسوق</v>
      </c>
    </row>
    <row r="1516" ht="15.75" customHeight="1">
      <c r="A1516" s="1" t="s">
        <v>3173</v>
      </c>
      <c r="B1516" s="1" t="s">
        <v>3147</v>
      </c>
      <c r="C1516" s="1"/>
      <c r="D1516" s="1" t="str">
        <f>IFERROR(__xludf.DUMMYFUNCTION("GOOGLETRANSLATE(A1516 , ""auto"", ""ar"")"),"اذهب إلى الفراش")</f>
        <v>اذهب إلى الفراش</v>
      </c>
    </row>
    <row r="1517" ht="15.75" customHeight="1">
      <c r="A1517" s="1" t="s">
        <v>3173</v>
      </c>
      <c r="B1517" s="1" t="s">
        <v>3174</v>
      </c>
      <c r="C1517" s="1"/>
      <c r="D1517" s="1" t="str">
        <f>IFERROR(__xludf.DUMMYFUNCTION("GOOGLETRANSLATE(A1517 , ""auto"", ""ar"")"),"اذهب إلى الفراش")</f>
        <v>اذهب إلى الفراش</v>
      </c>
    </row>
    <row r="1518" ht="15.75" customHeight="1">
      <c r="A1518" s="1" t="s">
        <v>3173</v>
      </c>
      <c r="B1518" s="1" t="s">
        <v>3175</v>
      </c>
      <c r="C1518" s="1"/>
      <c r="D1518" s="1" t="str">
        <f>IFERROR(__xludf.DUMMYFUNCTION("GOOGLETRANSLATE(A1518 , ""auto"", ""ar"")"),"اذهب إلى الفراش")</f>
        <v>اذهب إلى الفراش</v>
      </c>
    </row>
    <row r="1519" ht="15.75" customHeight="1">
      <c r="A1519" s="1" t="s">
        <v>3176</v>
      </c>
      <c r="B1519" s="1"/>
      <c r="C1519" s="2" t="s">
        <v>3177</v>
      </c>
      <c r="D1519" s="1" t="str">
        <f>IFERROR(__xludf.DUMMYFUNCTION("GOOGLETRANSLATE(A1519 , ""auto"", ""ar"")"),"اذهب إلى النوم")</f>
        <v>اذهب إلى النوم</v>
      </c>
    </row>
    <row r="1520" ht="15.75" customHeight="1">
      <c r="A1520" s="1" t="s">
        <v>3176</v>
      </c>
      <c r="B1520" s="1" t="s">
        <v>3178</v>
      </c>
      <c r="C1520" s="1"/>
      <c r="D1520" s="1" t="str">
        <f>IFERROR(__xludf.DUMMYFUNCTION("GOOGLETRANSLATE(A1520 , ""auto"", ""ar"")"),"اذهب إلى النوم")</f>
        <v>اذهب إلى النوم</v>
      </c>
    </row>
    <row r="1521" ht="15.75" customHeight="1">
      <c r="A1521" s="1" t="s">
        <v>3176</v>
      </c>
      <c r="B1521" s="1" t="s">
        <v>3179</v>
      </c>
      <c r="C1521" s="1"/>
      <c r="D1521" s="1" t="str">
        <f>IFERROR(__xludf.DUMMYFUNCTION("GOOGLETRANSLATE(A1521 , ""auto"", ""ar"")"),"اذهب إلى النوم")</f>
        <v>اذهب إلى النوم</v>
      </c>
    </row>
    <row r="1522" ht="15.75" customHeight="1">
      <c r="A1522" s="1" t="s">
        <v>3176</v>
      </c>
      <c r="B1522" s="1" t="s">
        <v>3180</v>
      </c>
      <c r="C1522" s="1"/>
      <c r="D1522" s="1" t="str">
        <f>IFERROR(__xludf.DUMMYFUNCTION("GOOGLETRANSLATE(A1522 , ""auto"", ""ar"")"),"اذهب إلى النوم")</f>
        <v>اذهب إلى النوم</v>
      </c>
    </row>
    <row r="1523" ht="15.75" customHeight="1">
      <c r="A1523" s="1" t="s">
        <v>3181</v>
      </c>
      <c r="B1523" s="1" t="s">
        <v>3182</v>
      </c>
      <c r="C1523" s="2" t="s">
        <v>3183</v>
      </c>
      <c r="D1523" s="1" t="str">
        <f>IFERROR(__xludf.DUMMYFUNCTION("GOOGLETRANSLATE(A1523 , ""auto"", ""ar"")"),"اذهب للأعلى")</f>
        <v>اذهب للأعلى</v>
      </c>
    </row>
    <row r="1524" ht="15.75" customHeight="1">
      <c r="A1524" s="1" t="s">
        <v>3184</v>
      </c>
      <c r="B1524" s="1" t="s">
        <v>3185</v>
      </c>
      <c r="C1524" s="2" t="s">
        <v>3186</v>
      </c>
      <c r="D1524" s="1" t="str">
        <f>IFERROR(__xludf.DUMMYFUNCTION("GOOGLETRANSLATE(A1524 , ""auto"", ""ar"")"),"معزة")</f>
        <v>معزة</v>
      </c>
    </row>
    <row r="1525" ht="15.75" customHeight="1">
      <c r="A1525" s="1" t="s">
        <v>3187</v>
      </c>
      <c r="B1525" s="1" t="s">
        <v>3188</v>
      </c>
      <c r="C1525" s="2" t="s">
        <v>3189</v>
      </c>
      <c r="D1525" s="1" t="str">
        <f>IFERROR(__xludf.DUMMYFUNCTION("GOOGLETRANSLATE(A1525 , ""auto"", ""ar"")"),"لحم الماعز")</f>
        <v>لحم الماعز</v>
      </c>
    </row>
    <row r="1526" ht="15.75" customHeight="1">
      <c r="A1526" s="1" t="s">
        <v>3190</v>
      </c>
      <c r="B1526" s="1" t="s">
        <v>3191</v>
      </c>
      <c r="C1526" s="2" t="s">
        <v>3192</v>
      </c>
      <c r="D1526" s="1" t="str">
        <f>IFERROR(__xludf.DUMMYFUNCTION("GOOGLETRANSLATE(A1526 , ""auto"", ""ar"")"),"إله")</f>
        <v>إله</v>
      </c>
    </row>
    <row r="1527" ht="15.75" customHeight="1">
      <c r="A1527" s="1" t="s">
        <v>3190</v>
      </c>
      <c r="B1527" s="1" t="s">
        <v>3193</v>
      </c>
      <c r="C1527" s="2" t="s">
        <v>3194</v>
      </c>
      <c r="D1527" s="1" t="str">
        <f>IFERROR(__xludf.DUMMYFUNCTION("GOOGLETRANSLATE(A1527 , ""auto"", ""ar"")"),"إله")</f>
        <v>إله</v>
      </c>
    </row>
    <row r="1528" ht="15.75" customHeight="1">
      <c r="A1528" s="1" t="s">
        <v>3195</v>
      </c>
      <c r="B1528" s="1" t="s">
        <v>3196</v>
      </c>
      <c r="C1528" s="1"/>
      <c r="D1528" s="1" t="str">
        <f>IFERROR(__xludf.DUMMYFUNCTION("GOOGLETRANSLATE(A1528 , ""auto"", ""ar"")"),"يرحمك الله")</f>
        <v>يرحمك الله</v>
      </c>
    </row>
    <row r="1529" ht="15.75" customHeight="1">
      <c r="A1529" s="1" t="s">
        <v>3195</v>
      </c>
      <c r="B1529" s="1" t="s">
        <v>3197</v>
      </c>
      <c r="C1529" s="1"/>
      <c r="D1529" s="1" t="str">
        <f>IFERROR(__xludf.DUMMYFUNCTION("GOOGLETRANSLATE(A1529 , ""auto"", ""ar"")"),"يرحمك الله")</f>
        <v>يرحمك الله</v>
      </c>
    </row>
    <row r="1530" ht="15.75" customHeight="1">
      <c r="A1530" s="1" t="s">
        <v>3195</v>
      </c>
      <c r="B1530" s="1" t="s">
        <v>3198</v>
      </c>
      <c r="C1530" s="1"/>
      <c r="D1530" s="1" t="str">
        <f>IFERROR(__xludf.DUMMYFUNCTION("GOOGLETRANSLATE(A1530 , ""auto"", ""ar"")"),"يرحمك الله")</f>
        <v>يرحمك الله</v>
      </c>
    </row>
    <row r="1531" ht="15.75" customHeight="1">
      <c r="A1531" s="1" t="s">
        <v>3199</v>
      </c>
      <c r="B1531" s="1" t="s">
        <v>3200</v>
      </c>
      <c r="C1531" s="2" t="s">
        <v>3201</v>
      </c>
      <c r="D1531" s="1" t="str">
        <f>IFERROR(__xludf.DUMMYFUNCTION("GOOGLETRANSLATE(A1531 , ""auto"", ""ar"")"),"إرادة قوية")</f>
        <v>إرادة قوية</v>
      </c>
    </row>
    <row r="1532" ht="15.75" customHeight="1">
      <c r="A1532" s="1" t="s">
        <v>3202</v>
      </c>
      <c r="B1532" s="1" t="s">
        <v>3203</v>
      </c>
      <c r="C1532" s="2" t="s">
        <v>3204</v>
      </c>
      <c r="D1532" s="1" t="str">
        <f>IFERROR(__xludf.DUMMYFUNCTION("GOOGLETRANSLATE(A1532 , ""auto"", ""ar"")"),"ذهب")</f>
        <v>ذهب</v>
      </c>
    </row>
    <row r="1533" ht="15.75" customHeight="1">
      <c r="A1533" s="1" t="s">
        <v>3205</v>
      </c>
      <c r="B1533" s="1" t="s">
        <v>3206</v>
      </c>
      <c r="C1533" s="2" t="s">
        <v>3207</v>
      </c>
      <c r="D1533" s="1" t="str">
        <f>IFERROR(__xludf.DUMMYFUNCTION("GOOGLETRANSLATE(A1533 , ""auto"", ""ar"")"),"ذهبي")</f>
        <v>ذهبي</v>
      </c>
    </row>
    <row r="1534" ht="15.75" customHeight="1">
      <c r="A1534" s="1" t="s">
        <v>3208</v>
      </c>
      <c r="B1534" s="1" t="s">
        <v>3209</v>
      </c>
      <c r="C1534" s="2" t="s">
        <v>3210</v>
      </c>
      <c r="D1534" s="1" t="str">
        <f>IFERROR(__xludf.DUMMYFUNCTION("GOOGLETRANSLATE(A1534 , ""auto"", ""ar"")"),"جيد")</f>
        <v>جيد</v>
      </c>
    </row>
    <row r="1535" ht="15.75" customHeight="1">
      <c r="A1535" s="1" t="s">
        <v>3211</v>
      </c>
      <c r="B1535" s="1" t="s">
        <v>3212</v>
      </c>
      <c r="C1535" s="2" t="s">
        <v>3213</v>
      </c>
      <c r="D1535" s="1" t="str">
        <f>IFERROR(__xludf.DUMMYFUNCTION("GOOGLETRANSLATE(A1535 , ""auto"", ""ar"")"),"مساء الخير")</f>
        <v>مساء الخير</v>
      </c>
    </row>
    <row r="1536" ht="15.75" customHeight="1">
      <c r="A1536" s="1" t="s">
        <v>3211</v>
      </c>
      <c r="B1536" s="1" t="s">
        <v>3214</v>
      </c>
      <c r="C1536" s="1"/>
      <c r="D1536" s="1" t="str">
        <f>IFERROR(__xludf.DUMMYFUNCTION("GOOGLETRANSLATE(A1536 , ""auto"", ""ar"")"),"مساء الخير")</f>
        <v>مساء الخير</v>
      </c>
    </row>
    <row r="1537" ht="15.75" customHeight="1">
      <c r="A1537" s="1" t="s">
        <v>3215</v>
      </c>
      <c r="B1537" s="1" t="s">
        <v>3212</v>
      </c>
      <c r="C1537" s="2" t="s">
        <v>3213</v>
      </c>
      <c r="D1537" s="1" t="str">
        <f>IFERROR(__xludf.DUMMYFUNCTION("GOOGLETRANSLATE(A1537 , ""auto"", ""ar"")"),"مساء الخير")</f>
        <v>مساء الخير</v>
      </c>
    </row>
    <row r="1538" ht="15.75" customHeight="1">
      <c r="A1538" s="1" t="s">
        <v>3215</v>
      </c>
      <c r="B1538" s="1" t="s">
        <v>3214</v>
      </c>
      <c r="C1538" s="1"/>
      <c r="D1538" s="1" t="str">
        <f>IFERROR(__xludf.DUMMYFUNCTION("GOOGLETRANSLATE(A1538 , ""auto"", ""ar"")"),"مساء الخير")</f>
        <v>مساء الخير</v>
      </c>
    </row>
    <row r="1539" ht="15.75" customHeight="1">
      <c r="A1539" s="1" t="s">
        <v>3216</v>
      </c>
      <c r="B1539" s="1" t="s">
        <v>3217</v>
      </c>
      <c r="C1539" s="2" t="s">
        <v>3218</v>
      </c>
      <c r="D1539" s="1" t="str">
        <f>IFERROR(__xludf.DUMMYFUNCTION("GOOGLETRANSLATE(A1539 , ""auto"", ""ar"")"),"صباح الخير")</f>
        <v>صباح الخير</v>
      </c>
    </row>
    <row r="1540" ht="15.75" customHeight="1">
      <c r="A1540" s="1" t="s">
        <v>3216</v>
      </c>
      <c r="B1540" s="1" t="s">
        <v>3219</v>
      </c>
      <c r="C1540" s="2" t="s">
        <v>3220</v>
      </c>
      <c r="D1540" s="1" t="str">
        <f>IFERROR(__xludf.DUMMYFUNCTION("GOOGLETRANSLATE(A1540 , ""auto"", ""ar"")"),"صباح الخير")</f>
        <v>صباح الخير</v>
      </c>
    </row>
    <row r="1541" ht="15.75" customHeight="1">
      <c r="A1541" s="1" t="s">
        <v>3221</v>
      </c>
      <c r="B1541" s="1" t="s">
        <v>3222</v>
      </c>
      <c r="C1541" s="2" t="s">
        <v>3223</v>
      </c>
      <c r="D1541" s="1" t="str">
        <f>IFERROR(__xludf.DUMMYFUNCTION("GOOGLETRANSLATE(A1541 , ""auto"", ""ar"")"),"طاب مساؤك")</f>
        <v>طاب مساؤك</v>
      </c>
    </row>
    <row r="1542" ht="15.75" customHeight="1">
      <c r="A1542" s="1" t="s">
        <v>3221</v>
      </c>
      <c r="B1542" s="1" t="s">
        <v>3224</v>
      </c>
      <c r="C1542" s="2" t="s">
        <v>3225</v>
      </c>
      <c r="D1542" s="1" t="str">
        <f>IFERROR(__xludf.DUMMYFUNCTION("GOOGLETRANSLATE(A1542 , ""auto"", ""ar"")"),"طاب مساؤك")</f>
        <v>طاب مساؤك</v>
      </c>
    </row>
    <row r="1543" ht="15.75" customHeight="1">
      <c r="A1543" s="1" t="s">
        <v>3221</v>
      </c>
      <c r="B1543" s="1" t="s">
        <v>3226</v>
      </c>
      <c r="C1543" s="2" t="s">
        <v>3227</v>
      </c>
      <c r="D1543" s="1" t="str">
        <f>IFERROR(__xludf.DUMMYFUNCTION("GOOGLETRANSLATE(A1543 , ""auto"", ""ar"")"),"طاب مساؤك")</f>
        <v>طاب مساؤك</v>
      </c>
    </row>
    <row r="1544" ht="15.75" customHeight="1">
      <c r="A1544" s="1" t="s">
        <v>3228</v>
      </c>
      <c r="B1544" s="1" t="s">
        <v>3229</v>
      </c>
      <c r="C1544" s="2" t="s">
        <v>3230</v>
      </c>
      <c r="D1544" s="1" t="str">
        <f>IFERROR(__xludf.DUMMYFUNCTION("GOOGLETRANSLATE(A1544 , ""auto"", ""ar"")"),"مع السلامة")</f>
        <v>مع السلامة</v>
      </c>
    </row>
    <row r="1545" ht="15.75" customHeight="1">
      <c r="A1545" s="1" t="s">
        <v>3228</v>
      </c>
      <c r="B1545" s="1" t="s">
        <v>3231</v>
      </c>
      <c r="C1545" s="2" t="s">
        <v>3232</v>
      </c>
      <c r="D1545" s="1" t="str">
        <f>IFERROR(__xludf.DUMMYFUNCTION("GOOGLETRANSLATE(A1545 , ""auto"", ""ar"")"),"مع السلامة")</f>
        <v>مع السلامة</v>
      </c>
    </row>
    <row r="1546" ht="15.75" customHeight="1">
      <c r="A1546" s="1" t="s">
        <v>3228</v>
      </c>
      <c r="B1546" s="1" t="s">
        <v>3233</v>
      </c>
      <c r="C1546" s="2" t="s">
        <v>3234</v>
      </c>
      <c r="D1546" s="1" t="str">
        <f>IFERROR(__xludf.DUMMYFUNCTION("GOOGLETRANSLATE(A1546 , ""auto"", ""ar"")"),"مع السلامة")</f>
        <v>مع السلامة</v>
      </c>
    </row>
    <row r="1547" ht="15.75" customHeight="1">
      <c r="A1547" s="1" t="s">
        <v>3228</v>
      </c>
      <c r="B1547" s="1" t="s">
        <v>3235</v>
      </c>
      <c r="C1547" s="2" t="s">
        <v>3236</v>
      </c>
      <c r="D1547" s="1" t="str">
        <f>IFERROR(__xludf.DUMMYFUNCTION("GOOGLETRANSLATE(A1547 , ""auto"", ""ar"")"),"مع السلامة")</f>
        <v>مع السلامة</v>
      </c>
    </row>
    <row r="1548" ht="15.75" customHeight="1">
      <c r="A1548" s="1" t="s">
        <v>3228</v>
      </c>
      <c r="B1548" s="1" t="s">
        <v>3237</v>
      </c>
      <c r="C1548" s="2" t="s">
        <v>3238</v>
      </c>
      <c r="D1548" s="1" t="str">
        <f>IFERROR(__xludf.DUMMYFUNCTION("GOOGLETRANSLATE(A1548 , ""auto"", ""ar"")"),"مع السلامة")</f>
        <v>مع السلامة</v>
      </c>
    </row>
    <row r="1549" ht="15.75" customHeight="1">
      <c r="A1549" s="1" t="s">
        <v>3239</v>
      </c>
      <c r="B1549" s="1" t="s">
        <v>816</v>
      </c>
      <c r="C1549" s="2" t="s">
        <v>817</v>
      </c>
      <c r="D1549" s="1" t="str">
        <f>IFERROR(__xludf.DUMMYFUNCTION("GOOGLETRANSLATE(A1549 , ""auto"", ""ar"")"),"جمال")</f>
        <v>جمال</v>
      </c>
    </row>
    <row r="1550" ht="15.75" customHeight="1">
      <c r="A1550" s="1" t="s">
        <v>3240</v>
      </c>
      <c r="B1550" s="1" t="s">
        <v>2261</v>
      </c>
      <c r="C1550" s="2" t="s">
        <v>2262</v>
      </c>
      <c r="D1550" s="1" t="str">
        <f>IFERROR(__xludf.DUMMYFUNCTION("GOOGLETRANSLATE(A1550 , ""auto"", ""ar"")"),"درجة")</f>
        <v>درجة</v>
      </c>
    </row>
    <row r="1551" ht="15.75" customHeight="1">
      <c r="A1551" s="1" t="s">
        <v>3240</v>
      </c>
      <c r="B1551" s="1" t="s">
        <v>3241</v>
      </c>
      <c r="C1551" s="1"/>
      <c r="D1551" s="1" t="str">
        <f>IFERROR(__xludf.DUMMYFUNCTION("GOOGLETRANSLATE(A1551 , ""auto"", ""ar"")"),"درجة")</f>
        <v>درجة</v>
      </c>
    </row>
    <row r="1552" ht="15.75" customHeight="1">
      <c r="A1552" s="1" t="s">
        <v>3242</v>
      </c>
      <c r="B1552" s="1" t="s">
        <v>3243</v>
      </c>
      <c r="C1552" s="2" t="s">
        <v>3244</v>
      </c>
      <c r="D1552" s="1" t="str">
        <f>IFERROR(__xludf.DUMMYFUNCTION("GOOGLETRANSLATE(A1552 , ""auto"", ""ar"")"),"قمح")</f>
        <v>قمح</v>
      </c>
    </row>
    <row r="1553" ht="15.75" customHeight="1">
      <c r="A1553" s="1" t="s">
        <v>3245</v>
      </c>
      <c r="B1553" s="1" t="s">
        <v>3246</v>
      </c>
      <c r="C1553" s="2" t="s">
        <v>3247</v>
      </c>
      <c r="D1553" s="1" t="str">
        <f>IFERROR(__xludf.DUMMYFUNCTION("GOOGLETRANSLATE(A1553 , ""auto"", ""ar"")"),"غرام")</f>
        <v>غرام</v>
      </c>
    </row>
    <row r="1554" ht="15.75" customHeight="1">
      <c r="A1554" s="1" t="s">
        <v>3248</v>
      </c>
      <c r="B1554" s="1" t="s">
        <v>3249</v>
      </c>
      <c r="C1554" s="2" t="s">
        <v>3250</v>
      </c>
      <c r="D1554" s="1" t="str">
        <f>IFERROR(__xludf.DUMMYFUNCTION("GOOGLETRANSLATE(A1554 , ""auto"", ""ar"")"),"جد")</f>
        <v>جد</v>
      </c>
    </row>
    <row r="1555" ht="15.75" customHeight="1">
      <c r="A1555" s="1" t="s">
        <v>3251</v>
      </c>
      <c r="B1555" s="1" t="s">
        <v>3252</v>
      </c>
      <c r="C1555" s="2" t="s">
        <v>3253</v>
      </c>
      <c r="D1555" s="1" t="str">
        <f>IFERROR(__xludf.DUMMYFUNCTION("GOOGLETRANSLATE(A1555 , ""auto"", ""ar"")"),"جدة")</f>
        <v>جدة</v>
      </c>
    </row>
    <row r="1556" ht="15.75" customHeight="1">
      <c r="A1556" s="1" t="s">
        <v>3254</v>
      </c>
      <c r="B1556" s="1" t="s">
        <v>3249</v>
      </c>
      <c r="C1556" s="2" t="s">
        <v>3250</v>
      </c>
      <c r="D1556" s="1" t="str">
        <f>IFERROR(__xludf.DUMMYFUNCTION("GOOGLETRANSLATE(A1556 , ""auto"", ""ar"")"),"الجد")</f>
        <v>الجد</v>
      </c>
    </row>
    <row r="1557" ht="15.75" customHeight="1">
      <c r="A1557" s="1" t="s">
        <v>3255</v>
      </c>
      <c r="B1557" s="1" t="s">
        <v>3256</v>
      </c>
      <c r="C1557" s="1"/>
      <c r="D1557" s="1" t="str">
        <f>IFERROR(__xludf.DUMMYFUNCTION("GOOGLETRANSLATE(A1557 , ""auto"", ""ar"")"),"السكر المحبب")</f>
        <v>السكر المحبب</v>
      </c>
    </row>
    <row r="1558" ht="15.75" customHeight="1">
      <c r="A1558" s="1" t="s">
        <v>3257</v>
      </c>
      <c r="B1558" s="1" t="s">
        <v>3258</v>
      </c>
      <c r="C1558" s="2" t="s">
        <v>3259</v>
      </c>
      <c r="D1558" s="1" t="str">
        <f>IFERROR(__xludf.DUMMYFUNCTION("GOOGLETRANSLATE(A1558 , ""auto"", ""ar"")"),"عنب")</f>
        <v>عنب</v>
      </c>
    </row>
    <row r="1559" ht="15.75" customHeight="1">
      <c r="A1559" s="1" t="s">
        <v>3260</v>
      </c>
      <c r="B1559" s="1" t="s">
        <v>3261</v>
      </c>
      <c r="C1559" s="1"/>
      <c r="D1559" s="1" t="str">
        <f>IFERROR(__xludf.DUMMYFUNCTION("GOOGLETRANSLATE(A1559 , ""auto"", ""ar"")"),"جريب فروت")</f>
        <v>جريب فروت</v>
      </c>
    </row>
    <row r="1560" ht="15.75" customHeight="1">
      <c r="A1560" s="1" t="s">
        <v>3262</v>
      </c>
      <c r="B1560" s="1" t="s">
        <v>3263</v>
      </c>
      <c r="C1560" s="2" t="s">
        <v>3264</v>
      </c>
      <c r="D1560" s="1" t="str">
        <f>IFERROR(__xludf.DUMMYFUNCTION("GOOGLETRANSLATE(A1560 , ""auto"", ""ar"")"),"عشب")</f>
        <v>عشب</v>
      </c>
    </row>
    <row r="1561" ht="15.75" customHeight="1">
      <c r="A1561" s="1" t="s">
        <v>3265</v>
      </c>
      <c r="B1561" s="1" t="s">
        <v>3266</v>
      </c>
      <c r="C1561" s="1"/>
      <c r="D1561" s="1" t="str">
        <f>IFERROR(__xludf.DUMMYFUNCTION("GOOGLETRANSLATE(A1561 , ""auto"", ""ar"")"),"خطير")</f>
        <v>خطير</v>
      </c>
    </row>
    <row r="1562" ht="15.75" customHeight="1">
      <c r="A1562" s="1" t="s">
        <v>3267</v>
      </c>
      <c r="B1562" s="1" t="s">
        <v>3268</v>
      </c>
      <c r="C1562" s="1"/>
      <c r="D1562" s="1" t="str">
        <f>IFERROR(__xludf.DUMMYFUNCTION("GOOGLETRANSLATE(A1562 , ""auto"", ""ar"")"),"الحصى")</f>
        <v>الحصى</v>
      </c>
    </row>
    <row r="1563" ht="15.75" customHeight="1">
      <c r="A1563" s="1" t="s">
        <v>3269</v>
      </c>
      <c r="B1563" s="1" t="s">
        <v>3270</v>
      </c>
      <c r="C1563" s="1"/>
      <c r="D1563" s="1" t="str">
        <f>IFERROR(__xludf.DUMMYFUNCTION("GOOGLETRANSLATE(A1563 , ""auto"", ""ar"")"),"عظيم")</f>
        <v>عظيم</v>
      </c>
    </row>
    <row r="1564" ht="15.75" customHeight="1">
      <c r="A1564" s="1" t="s">
        <v>3271</v>
      </c>
      <c r="B1564" s="1" t="s">
        <v>3272</v>
      </c>
      <c r="C1564" s="2" t="s">
        <v>3273</v>
      </c>
      <c r="D1564" s="1" t="str">
        <f>IFERROR(__xludf.DUMMYFUNCTION("GOOGLETRANSLATE(A1564 , ""auto"", ""ar"")"),"جشع")</f>
        <v>جشع</v>
      </c>
    </row>
    <row r="1565" ht="15.75" customHeight="1">
      <c r="A1565" s="1" t="s">
        <v>3274</v>
      </c>
      <c r="B1565" s="1" t="s">
        <v>3275</v>
      </c>
      <c r="C1565" s="2" t="s">
        <v>3276</v>
      </c>
      <c r="D1565" s="1" t="str">
        <f>IFERROR(__xludf.DUMMYFUNCTION("GOOGLETRANSLATE(A1565 , ""auto"", ""ar"")"),"أخضر")</f>
        <v>أخضر</v>
      </c>
    </row>
    <row r="1566" ht="15.75" customHeight="1">
      <c r="A1566" s="1" t="s">
        <v>3277</v>
      </c>
      <c r="B1566" s="1" t="s">
        <v>3278</v>
      </c>
      <c r="C1566" s="2" t="s">
        <v>3279</v>
      </c>
      <c r="D1566" s="1" t="str">
        <f>IFERROR(__xludf.DUMMYFUNCTION("GOOGLETRANSLATE(A1566 , ""auto"", ""ar"")"),"فاصوليا خضراء")</f>
        <v>فاصوليا خضراء</v>
      </c>
    </row>
    <row r="1567" ht="15.75" customHeight="1">
      <c r="A1567" s="1" t="s">
        <v>3280</v>
      </c>
      <c r="B1567" s="1" t="s">
        <v>3263</v>
      </c>
      <c r="C1567" s="2" t="s">
        <v>3264</v>
      </c>
      <c r="D1567" s="1" t="str">
        <f>IFERROR(__xludf.DUMMYFUNCTION("GOOGLETRANSLATE(A1567 , ""auto"", ""ar"")"),"المساحات الخضراء")</f>
        <v>المساحات الخضراء</v>
      </c>
    </row>
    <row r="1568" ht="15.75" customHeight="1">
      <c r="A1568" s="1" t="s">
        <v>3281</v>
      </c>
      <c r="B1568" s="1" t="s">
        <v>3282</v>
      </c>
      <c r="C1568" s="2" t="s">
        <v>3283</v>
      </c>
      <c r="D1568" s="1" t="str">
        <f>IFERROR(__xludf.DUMMYFUNCTION("GOOGLETRANSLATE(A1568 , ""auto"", ""ar"")"),"Greengrocer")</f>
        <v>Greengrocer</v>
      </c>
    </row>
    <row r="1569" ht="15.75" customHeight="1">
      <c r="A1569" s="1" t="s">
        <v>3284</v>
      </c>
      <c r="B1569" s="1" t="s">
        <v>3285</v>
      </c>
      <c r="C1569" s="2" t="s">
        <v>3286</v>
      </c>
      <c r="D1569" s="1" t="str">
        <f>IFERROR(__xludf.DUMMYFUNCTION("GOOGLETRANSLATE(A1569 , ""auto"", ""ar"")"),"تحية")</f>
        <v>تحية</v>
      </c>
    </row>
    <row r="1570" ht="15.75" customHeight="1">
      <c r="A1570" s="1" t="s">
        <v>3287</v>
      </c>
      <c r="B1570" s="1" t="s">
        <v>3288</v>
      </c>
      <c r="C1570" s="2" t="s">
        <v>3289</v>
      </c>
      <c r="D1570" s="1" t="str">
        <f>IFERROR(__xludf.DUMMYFUNCTION("GOOGLETRANSLATE(A1570 , ""auto"", ""ar"")"),"رمادي")</f>
        <v>رمادي</v>
      </c>
    </row>
    <row r="1571" ht="15.75" customHeight="1">
      <c r="A1571" s="1" t="s">
        <v>3287</v>
      </c>
      <c r="B1571" s="1" t="s">
        <v>3290</v>
      </c>
      <c r="C1571" s="1"/>
      <c r="D1571" s="1" t="str">
        <f>IFERROR(__xludf.DUMMYFUNCTION("GOOGLETRANSLATE(A1571 , ""auto"", ""ar"")"),"رمادي")</f>
        <v>رمادي</v>
      </c>
    </row>
    <row r="1572" ht="15.75" customHeight="1">
      <c r="A1572" s="1" t="s">
        <v>3291</v>
      </c>
      <c r="B1572" s="1" t="s">
        <v>3292</v>
      </c>
      <c r="C1572" s="2" t="s">
        <v>3293</v>
      </c>
      <c r="D1572" s="1" t="str">
        <f>IFERROR(__xludf.DUMMYFUNCTION("GOOGLETRANSLATE(A1572 , ""auto"", ""ar"")"),"شواية")</f>
        <v>شواية</v>
      </c>
    </row>
    <row r="1573" ht="15.75" customHeight="1">
      <c r="A1573" s="1" t="s">
        <v>3294</v>
      </c>
      <c r="B1573" s="1" t="s">
        <v>3295</v>
      </c>
      <c r="C1573" s="2" t="s">
        <v>65</v>
      </c>
      <c r="D1573" s="1" t="str">
        <f>IFERROR(__xludf.DUMMYFUNCTION("GOOGLETRANSLATE(A1573 , ""auto"", ""ar"")"),"مشوي")</f>
        <v>مشوي</v>
      </c>
    </row>
    <row r="1574" ht="15.75" customHeight="1">
      <c r="A1574" s="1" t="s">
        <v>3296</v>
      </c>
      <c r="B1574" s="1" t="s">
        <v>3297</v>
      </c>
      <c r="C1574" s="1"/>
      <c r="D1574" s="1" t="str">
        <f>IFERROR(__xludf.DUMMYFUNCTION("GOOGLETRANSLATE(A1574 , ""auto"", ""ar"")"),"الدقيق المشوي مع بذور السمسم الأرضية ، اللوز ، إلخ.")</f>
        <v>الدقيق المشوي مع بذور السمسم الأرضية ، اللوز ، إلخ.</v>
      </c>
    </row>
    <row r="1575" ht="15.75" customHeight="1">
      <c r="A1575" s="1" t="s">
        <v>3298</v>
      </c>
      <c r="B1575" s="1" t="s">
        <v>3065</v>
      </c>
      <c r="C1575" s="1"/>
      <c r="D1575" s="1" t="str">
        <f>IFERROR(__xludf.DUMMYFUNCTION("GOOGLETRANSLATE(A1575 , ""auto"", ""ar"")"),"كشر")</f>
        <v>كشر</v>
      </c>
    </row>
    <row r="1576" ht="15.75" customHeight="1">
      <c r="A1576" s="1" t="s">
        <v>3299</v>
      </c>
      <c r="B1576" s="1" t="s">
        <v>3300</v>
      </c>
      <c r="C1576" s="2" t="s">
        <v>3301</v>
      </c>
      <c r="D1576" s="1" t="str">
        <f>IFERROR(__xludf.DUMMYFUNCTION("GOOGLETRANSLATE(A1576 , ""auto"", ""ar"")"),"طَحن")</f>
        <v>طَحن</v>
      </c>
    </row>
    <row r="1577" ht="15.75" customHeight="1">
      <c r="A1577" s="1" t="s">
        <v>3302</v>
      </c>
      <c r="B1577" s="1" t="s">
        <v>3303</v>
      </c>
      <c r="C1577" s="2" t="s">
        <v>3304</v>
      </c>
      <c r="D1577" s="1" t="str">
        <f>IFERROR(__xludf.DUMMYFUNCTION("GOOGLETRANSLATE(A1577 , ""auto"", ""ar"")"),"بقال")</f>
        <v>بقال</v>
      </c>
    </row>
    <row r="1578" ht="15.75" customHeight="1">
      <c r="A1578" s="1" t="s">
        <v>3302</v>
      </c>
      <c r="B1578" s="1" t="s">
        <v>3305</v>
      </c>
      <c r="C1578" s="1"/>
      <c r="D1578" s="1" t="str">
        <f>IFERROR(__xludf.DUMMYFUNCTION("GOOGLETRANSLATE(A1578 , ""auto"", ""ar"")"),"بقال")</f>
        <v>بقال</v>
      </c>
    </row>
    <row r="1579" ht="15.75" customHeight="1">
      <c r="A1579" s="1" t="s">
        <v>3306</v>
      </c>
      <c r="B1579" s="1" t="s">
        <v>3307</v>
      </c>
      <c r="C1579" s="2" t="s">
        <v>3308</v>
      </c>
      <c r="D1579" s="1" t="str">
        <f>IFERROR(__xludf.DUMMYFUNCTION("GOOGLETRANSLATE(A1579 , ""auto"", ""ar"")"),"محل بقالة")</f>
        <v>محل بقالة</v>
      </c>
    </row>
    <row r="1580" ht="15.75" customHeight="1">
      <c r="A1580" s="1" t="s">
        <v>3306</v>
      </c>
      <c r="B1580" s="1" t="s">
        <v>3309</v>
      </c>
      <c r="C1580" s="1"/>
      <c r="D1580" s="1" t="str">
        <f>IFERROR(__xludf.DUMMYFUNCTION("GOOGLETRANSLATE(A1580 , ""auto"", ""ar"")"),"محل بقالة")</f>
        <v>محل بقالة</v>
      </c>
    </row>
    <row r="1581" ht="15.75" customHeight="1">
      <c r="A1581" s="1" t="s">
        <v>3310</v>
      </c>
      <c r="B1581" s="1" t="s">
        <v>3311</v>
      </c>
      <c r="C1581" s="2" t="s">
        <v>3312</v>
      </c>
      <c r="D1581" s="1" t="str">
        <f>IFERROR(__xludf.DUMMYFUNCTION("GOOGLETRANSLATE(A1581 , ""auto"", ""ar"")"),"زوج")</f>
        <v>زوج</v>
      </c>
    </row>
    <row r="1582" ht="15.75" customHeight="1">
      <c r="A1582" s="1" t="s">
        <v>3310</v>
      </c>
      <c r="B1582" s="1" t="s">
        <v>3313</v>
      </c>
      <c r="C1582" s="2" t="s">
        <v>65</v>
      </c>
      <c r="D1582" s="1" t="str">
        <f>IFERROR(__xludf.DUMMYFUNCTION("GOOGLETRANSLATE(A1582 , ""auto"", ""ar"")"),"زوج")</f>
        <v>زوج</v>
      </c>
    </row>
    <row r="1583" ht="15.75" customHeight="1">
      <c r="A1583" s="1" t="s">
        <v>3314</v>
      </c>
      <c r="B1583" s="1" t="s">
        <v>2300</v>
      </c>
      <c r="C1583" s="2" t="s">
        <v>2301</v>
      </c>
      <c r="D1583" s="1" t="str">
        <f>IFERROR(__xludf.DUMMYFUNCTION("GOOGLETRANSLATE(A1583 , ""auto"", ""ar"")"),"أرضي")</f>
        <v>أرضي</v>
      </c>
    </row>
    <row r="1584" ht="15.75" customHeight="1">
      <c r="A1584" s="1" t="s">
        <v>3314</v>
      </c>
      <c r="B1584" s="1" t="s">
        <v>3315</v>
      </c>
      <c r="C1584" s="2" t="s">
        <v>3316</v>
      </c>
      <c r="D1584" s="1" t="str">
        <f>IFERROR(__xludf.DUMMYFUNCTION("GOOGLETRANSLATE(A1584 , ""auto"", ""ar"")"),"أرضي")</f>
        <v>أرضي</v>
      </c>
    </row>
    <row r="1585" ht="15.75" customHeight="1">
      <c r="A1585" s="1" t="s">
        <v>3317</v>
      </c>
      <c r="B1585" s="1" t="s">
        <v>3318</v>
      </c>
      <c r="C1585" s="2" t="s">
        <v>3319</v>
      </c>
      <c r="D1585" s="1" t="str">
        <f>IFERROR(__xludf.DUMMYFUNCTION("GOOGLETRANSLATE(A1585 , ""auto"", ""ar"")"),"اللحم المفروم")</f>
        <v>اللحم المفروم</v>
      </c>
    </row>
    <row r="1586" ht="15.75" customHeight="1">
      <c r="A1586" s="1" t="s">
        <v>3320</v>
      </c>
      <c r="B1586" s="1" t="s">
        <v>3321</v>
      </c>
      <c r="C1586" s="1"/>
      <c r="D1586" s="1" t="str">
        <f>IFERROR(__xludf.DUMMYFUNCTION("GOOGLETRANSLATE(A1586 , ""auto"", ""ar"")"),"الطابق الأرضي")</f>
        <v>الطابق الأرضي</v>
      </c>
    </row>
    <row r="1587" ht="15.75" customHeight="1">
      <c r="A1587" s="1" t="s">
        <v>3322</v>
      </c>
      <c r="B1587" s="1" t="s">
        <v>1786</v>
      </c>
      <c r="C1587" s="1"/>
      <c r="D1587" s="1" t="str">
        <f>IFERROR(__xludf.DUMMYFUNCTION("GOOGLETRANSLATE(A1587 , ""auto"", ""ar"")"),"مجموعة")</f>
        <v>مجموعة</v>
      </c>
    </row>
    <row r="1588" ht="15.75" customHeight="1">
      <c r="A1588" s="1" t="s">
        <v>3322</v>
      </c>
      <c r="B1588" s="1" t="s">
        <v>3323</v>
      </c>
      <c r="C1588" s="1"/>
      <c r="D1588" s="1" t="str">
        <f>IFERROR(__xludf.DUMMYFUNCTION("GOOGLETRANSLATE(A1588 , ""auto"", ""ar"")"),"مجموعة")</f>
        <v>مجموعة</v>
      </c>
    </row>
    <row r="1589" ht="15.75" customHeight="1">
      <c r="A1589" s="1" t="s">
        <v>3322</v>
      </c>
      <c r="B1589" s="1" t="s">
        <v>3324</v>
      </c>
      <c r="C1589" s="1"/>
      <c r="D1589" s="1" t="str">
        <f>IFERROR(__xludf.DUMMYFUNCTION("GOOGLETRANSLATE(A1589 , ""auto"", ""ar"")"),"مجموعة")</f>
        <v>مجموعة</v>
      </c>
    </row>
    <row r="1590" ht="15.75" customHeight="1">
      <c r="A1590" s="1" t="s">
        <v>3325</v>
      </c>
      <c r="B1590" s="1" t="s">
        <v>3326</v>
      </c>
      <c r="C1590" s="2" t="s">
        <v>759</v>
      </c>
      <c r="D1590" s="1" t="str">
        <f>IFERROR(__xludf.DUMMYFUNCTION("GOOGLETRANSLATE(A1590 , ""auto"", ""ar"")"),"ينمو")</f>
        <v>ينمو</v>
      </c>
    </row>
    <row r="1591" ht="15.75" customHeight="1">
      <c r="A1591" s="1" t="s">
        <v>3327</v>
      </c>
      <c r="B1591" s="1" t="s">
        <v>3328</v>
      </c>
      <c r="C1591" s="2" t="s">
        <v>3329</v>
      </c>
      <c r="D1591" s="1" t="str">
        <f>IFERROR(__xludf.DUMMYFUNCTION("GOOGLETRANSLATE(A1591 , ""auto"", ""ar"")"),"يكبر")</f>
        <v>يكبر</v>
      </c>
    </row>
    <row r="1592" ht="15.75" customHeight="1">
      <c r="A1592" s="1" t="s">
        <v>3330</v>
      </c>
      <c r="B1592" s="1" t="s">
        <v>1623</v>
      </c>
      <c r="C1592" s="2" t="s">
        <v>1624</v>
      </c>
      <c r="D1592" s="1" t="str">
        <f>IFERROR(__xludf.DUMMYFUNCTION("GOOGLETRANSLATE(A1592 , ""auto"", ""ar"")"),"التذمر")</f>
        <v>التذمر</v>
      </c>
    </row>
    <row r="1593" ht="15.75" customHeight="1">
      <c r="A1593" s="1" t="s">
        <v>3331</v>
      </c>
      <c r="B1593" s="1" t="s">
        <v>3332</v>
      </c>
      <c r="C1593" s="2" t="s">
        <v>3333</v>
      </c>
      <c r="D1593" s="1" t="str">
        <f>IFERROR(__xludf.DUMMYFUNCTION("GOOGLETRANSLATE(A1593 , ""auto"", ""ar"")"),"ضيف")</f>
        <v>ضيف</v>
      </c>
    </row>
    <row r="1594" ht="15.75" customHeight="1">
      <c r="A1594" s="1" t="s">
        <v>3331</v>
      </c>
      <c r="B1594" s="1" t="s">
        <v>3334</v>
      </c>
      <c r="C1594" s="2" t="s">
        <v>3335</v>
      </c>
      <c r="D1594" s="1" t="str">
        <f>IFERROR(__xludf.DUMMYFUNCTION("GOOGLETRANSLATE(A1594 , ""auto"", ""ar"")"),"ضيف")</f>
        <v>ضيف</v>
      </c>
    </row>
    <row r="1595" ht="15.75" customHeight="1">
      <c r="A1595" s="1" t="s">
        <v>3331</v>
      </c>
      <c r="B1595" s="1" t="s">
        <v>3332</v>
      </c>
      <c r="C1595" s="2" t="s">
        <v>3333</v>
      </c>
      <c r="D1595" s="1" t="str">
        <f>IFERROR(__xludf.DUMMYFUNCTION("GOOGLETRANSLATE(A1595 , ""auto"", ""ar"")"),"ضيف")</f>
        <v>ضيف</v>
      </c>
    </row>
    <row r="1596" ht="15.75" customHeight="1">
      <c r="A1596" s="1" t="s">
        <v>3336</v>
      </c>
      <c r="B1596" s="1" t="s">
        <v>3337</v>
      </c>
      <c r="C1596" s="2" t="s">
        <v>3338</v>
      </c>
      <c r="D1596" s="1" t="str">
        <f>IFERROR(__xludf.DUMMYFUNCTION("GOOGLETRANSLATE(A1596 , ""auto"", ""ar"")"),"غيتار")</f>
        <v>غيتار</v>
      </c>
    </row>
    <row r="1597" ht="15.75" customHeight="1">
      <c r="A1597" s="1" t="s">
        <v>3339</v>
      </c>
      <c r="B1597" s="1" t="s">
        <v>3340</v>
      </c>
      <c r="C1597" s="1"/>
      <c r="D1597" s="1" t="str">
        <f>IFERROR(__xludf.DUMMYFUNCTION("GOOGLETRANSLATE(A1597 , ""auto"", ""ar"")"),"صمغ")</f>
        <v>صمغ</v>
      </c>
    </row>
    <row r="1598" ht="15.75" customHeight="1">
      <c r="A1598" s="1" t="s">
        <v>3339</v>
      </c>
      <c r="B1598" s="1" t="s">
        <v>2792</v>
      </c>
      <c r="C1598" s="2" t="s">
        <v>3341</v>
      </c>
      <c r="D1598" s="1" t="str">
        <f>IFERROR(__xludf.DUMMYFUNCTION("GOOGLETRANSLATE(A1598 , ""auto"", ""ar"")"),"صمغ")</f>
        <v>صمغ</v>
      </c>
    </row>
    <row r="1599" ht="15.75" customHeight="1">
      <c r="A1599" s="1" t="s">
        <v>3342</v>
      </c>
      <c r="B1599" s="1" t="s">
        <v>2767</v>
      </c>
      <c r="C1599" s="1"/>
      <c r="D1599" s="1" t="str">
        <f>IFERROR(__xludf.DUMMYFUNCTION("GOOGLETRANSLATE(A1599 , ""auto"", ""ar"")"),"نادي رياضي")</f>
        <v>نادي رياضي</v>
      </c>
    </row>
    <row r="1600" ht="15.75" customHeight="1">
      <c r="A1600" s="1" t="s">
        <v>3342</v>
      </c>
      <c r="B1600" s="1" t="s">
        <v>2767</v>
      </c>
      <c r="C1600" s="1"/>
      <c r="D1600" s="1" t="str">
        <f>IFERROR(__xludf.DUMMYFUNCTION("GOOGLETRANSLATE(A1600 , ""auto"", ""ar"")"),"نادي رياضي")</f>
        <v>نادي رياضي</v>
      </c>
    </row>
    <row r="1601" ht="15.75" customHeight="1">
      <c r="A1601" s="1" t="s">
        <v>466</v>
      </c>
      <c r="B1601" s="1" t="s">
        <v>467</v>
      </c>
      <c r="C1601" s="2" t="s">
        <v>468</v>
      </c>
      <c r="D1601" s="1" t="str">
        <f>IFERROR(__xludf.DUMMYFUNCTION("GOOGLETRANSLATE(A1601 , ""auto"", ""ar"")"),"اسم العائلة")</f>
        <v>اسم العائلة</v>
      </c>
    </row>
    <row r="1602" ht="15.75" customHeight="1">
      <c r="A1602" s="1" t="s">
        <v>43</v>
      </c>
      <c r="B1602" s="1" t="s">
        <v>44</v>
      </c>
      <c r="C1602" s="2" t="s">
        <v>45</v>
      </c>
      <c r="D1602" s="1" t="str">
        <f>IFERROR(__xludf.DUMMYFUNCTION("GOOGLETRANSLATE(A1602 , ""auto"", ""ar"")"),"مقبول")</f>
        <v>مقبول</v>
      </c>
    </row>
    <row r="1603" ht="15.75" customHeight="1">
      <c r="A1603" s="1" t="s">
        <v>469</v>
      </c>
      <c r="B1603" s="1" t="s">
        <v>470</v>
      </c>
      <c r="C1603" s="2" t="s">
        <v>471</v>
      </c>
      <c r="D1603" s="1" t="str">
        <f>IFERROR(__xludf.DUMMYFUNCTION("GOOGLETRANSLATE(A1603 , ""auto"", ""ar"")"),"التصالح")</f>
        <v>التصالح</v>
      </c>
    </row>
    <row r="1604" ht="15.75" customHeight="1">
      <c r="A1604" s="1" t="s">
        <v>472</v>
      </c>
      <c r="B1604" s="1" t="s">
        <v>473</v>
      </c>
      <c r="C1604" s="2" t="s">
        <v>474</v>
      </c>
      <c r="D1604" s="1" t="str">
        <f>IFERROR(__xludf.DUMMYFUNCTION("GOOGLETRANSLATE(A1604 , ""auto"", ""ar"")"),"مغفرة")</f>
        <v>مغفرة</v>
      </c>
    </row>
    <row r="1605" ht="15.75" customHeight="1">
      <c r="A1605" s="1" t="s">
        <v>475</v>
      </c>
      <c r="B1605" s="1" t="s">
        <v>476</v>
      </c>
      <c r="C1605" s="2" t="s">
        <v>477</v>
      </c>
      <c r="D1605" s="1" t="str">
        <f>IFERROR(__xludf.DUMMYFUNCTION("GOOGLETRANSLATE(A1605 , ""auto"", ""ar"")"),"يخبر")</f>
        <v>يخبر</v>
      </c>
    </row>
    <row r="1606" ht="15.75" customHeight="1">
      <c r="A1606" s="1" t="s">
        <v>3343</v>
      </c>
      <c r="B1606" s="1" t="s">
        <v>3344</v>
      </c>
      <c r="C1606" s="2" t="s">
        <v>3345</v>
      </c>
      <c r="D1606" s="1" t="str">
        <f>IFERROR(__xludf.DUMMYFUNCTION("GOOGLETRANSLATE(A1606 , ""auto"", ""ar"")"),"عادة")</f>
        <v>عادة</v>
      </c>
    </row>
    <row r="1607" ht="15.75" customHeight="1">
      <c r="A1607" s="1" t="s">
        <v>3343</v>
      </c>
      <c r="B1607" s="1" t="s">
        <v>3346</v>
      </c>
      <c r="C1607" s="2" t="s">
        <v>3347</v>
      </c>
      <c r="D1607" s="1" t="str">
        <f>IFERROR(__xludf.DUMMYFUNCTION("GOOGLETRANSLATE(A1607 , ""auto"", ""ar"")"),"عادة")</f>
        <v>عادة</v>
      </c>
    </row>
    <row r="1608" ht="15.75" customHeight="1">
      <c r="A1608" s="1" t="s">
        <v>3348</v>
      </c>
      <c r="B1608" s="1" t="s">
        <v>3349</v>
      </c>
      <c r="C1608" s="2" t="s">
        <v>3350</v>
      </c>
      <c r="D1608" s="1" t="str">
        <f>IFERROR(__xludf.DUMMYFUNCTION("GOOGLETRANSLATE(A1608 , ""auto"", ""ar"")"),"شعر")</f>
        <v>شعر</v>
      </c>
    </row>
    <row r="1609" ht="15.75" customHeight="1">
      <c r="A1609" s="1" t="s">
        <v>3348</v>
      </c>
      <c r="B1609" s="1" t="s">
        <v>3351</v>
      </c>
      <c r="C1609" s="1"/>
      <c r="D1609" s="1" t="str">
        <f>IFERROR(__xludf.DUMMYFUNCTION("GOOGLETRANSLATE(A1609 , ""auto"", ""ar"")"),"شعر")</f>
        <v>شعر</v>
      </c>
    </row>
    <row r="1610" ht="15.75" customHeight="1">
      <c r="A1610" s="1" t="s">
        <v>3352</v>
      </c>
      <c r="B1610" s="1" t="s">
        <v>3353</v>
      </c>
      <c r="C1610" s="1"/>
      <c r="D1610" s="1" t="str">
        <f>IFERROR(__xludf.DUMMYFUNCTION("GOOGLETRANSLATE(A1610 , ""auto"", ""ar"")"),"مشبك شعر")</f>
        <v>مشبك شعر</v>
      </c>
    </row>
    <row r="1611" ht="15.75" customHeight="1">
      <c r="A1611" s="1" t="s">
        <v>3352</v>
      </c>
      <c r="B1611" s="1" t="s">
        <v>3354</v>
      </c>
      <c r="C1611" s="1"/>
      <c r="D1611" s="1" t="str">
        <f>IFERROR(__xludf.DUMMYFUNCTION("GOOGLETRANSLATE(A1611 , ""auto"", ""ar"")"),"مشبك شعر")</f>
        <v>مشبك شعر</v>
      </c>
    </row>
    <row r="1612" ht="15.75" customHeight="1">
      <c r="A1612" s="1" t="s">
        <v>3355</v>
      </c>
      <c r="B1612" s="1" t="s">
        <v>3356</v>
      </c>
      <c r="C1612" s="1"/>
      <c r="D1612" s="1" t="str">
        <f>IFERROR(__xludf.DUMMYFUNCTION("GOOGLETRANSLATE(A1612 , ""auto"", ""ar"")"),"صالون الشعر")</f>
        <v>صالون الشعر</v>
      </c>
    </row>
    <row r="1613" ht="15.75" customHeight="1">
      <c r="A1613" s="1" t="s">
        <v>3355</v>
      </c>
      <c r="B1613" s="1" t="s">
        <v>3357</v>
      </c>
      <c r="C1613" s="1"/>
      <c r="D1613" s="1" t="str">
        <f>IFERROR(__xludf.DUMMYFUNCTION("GOOGLETRANSLATE(A1613 , ""auto"", ""ar"")"),"صالون الشعر")</f>
        <v>صالون الشعر</v>
      </c>
    </row>
    <row r="1614" ht="15.75" customHeight="1">
      <c r="A1614" s="1" t="s">
        <v>3355</v>
      </c>
      <c r="B1614" s="1" t="s">
        <v>3358</v>
      </c>
      <c r="C1614" s="1"/>
      <c r="D1614" s="1" t="str">
        <f>IFERROR(__xludf.DUMMYFUNCTION("GOOGLETRANSLATE(A1614 , ""auto"", ""ar"")"),"صالون الشعر")</f>
        <v>صالون الشعر</v>
      </c>
    </row>
    <row r="1615" ht="15.75" customHeight="1">
      <c r="A1615" s="1" t="s">
        <v>3359</v>
      </c>
      <c r="B1615" s="1" t="s">
        <v>1060</v>
      </c>
      <c r="C1615" s="2" t="s">
        <v>3360</v>
      </c>
      <c r="D1615" s="1" t="str">
        <f>IFERROR(__xludf.DUMMYFUNCTION("GOOGLETRANSLATE(A1615 , ""auto"", ""ar"")"),"فرشاة الشعر")</f>
        <v>فرشاة الشعر</v>
      </c>
    </row>
    <row r="1616" ht="15.75" customHeight="1">
      <c r="A1616" s="1" t="s">
        <v>3359</v>
      </c>
      <c r="B1616" s="1" t="s">
        <v>3361</v>
      </c>
      <c r="C1616" s="2" t="s">
        <v>3362</v>
      </c>
      <c r="D1616" s="1" t="str">
        <f>IFERROR(__xludf.DUMMYFUNCTION("GOOGLETRANSLATE(A1616 , ""auto"", ""ar"")"),"فرشاة الشعر")</f>
        <v>فرشاة الشعر</v>
      </c>
    </row>
    <row r="1617" ht="15.75" customHeight="1">
      <c r="A1617" s="1" t="s">
        <v>3363</v>
      </c>
      <c r="B1617" s="1" t="s">
        <v>3364</v>
      </c>
      <c r="C1617" s="2" t="s">
        <v>3365</v>
      </c>
      <c r="D1617" s="1" t="str">
        <f>IFERROR(__xludf.DUMMYFUNCTION("GOOGLETRANSLATE(A1617 , ""auto"", ""ar"")"),"حلاق")</f>
        <v>حلاق</v>
      </c>
    </row>
    <row r="1618" ht="15.75" customHeight="1">
      <c r="A1618" s="1" t="s">
        <v>3363</v>
      </c>
      <c r="B1618" s="1" t="s">
        <v>3366</v>
      </c>
      <c r="C1618" s="2" t="s">
        <v>3367</v>
      </c>
      <c r="D1618" s="1" t="str">
        <f>IFERROR(__xludf.DUMMYFUNCTION("GOOGLETRANSLATE(A1618 , ""auto"", ""ar"")"),"حلاق")</f>
        <v>حلاق</v>
      </c>
    </row>
    <row r="1619" ht="15.75" customHeight="1">
      <c r="A1619" s="1" t="s">
        <v>3368</v>
      </c>
      <c r="B1619" s="1" t="s">
        <v>3369</v>
      </c>
      <c r="C1619" s="2" t="s">
        <v>3370</v>
      </c>
      <c r="D1619" s="1" t="str">
        <f>IFERROR(__xludf.DUMMYFUNCTION("GOOGLETRANSLATE(A1619 , ""auto"", ""ar"")"),"تسريحه شعر")</f>
        <v>تسريحه شعر</v>
      </c>
    </row>
    <row r="1620" ht="15.75" customHeight="1">
      <c r="A1620" s="1" t="s">
        <v>3371</v>
      </c>
      <c r="B1620" s="1" t="s">
        <v>3372</v>
      </c>
      <c r="C1620" s="2" t="s">
        <v>3373</v>
      </c>
      <c r="D1620" s="1" t="str">
        <f>IFERROR(__xludf.DUMMYFUNCTION("GOOGLETRANSLATE(A1620 , ""auto"", ""ar"")"),"نصف")</f>
        <v>نصف</v>
      </c>
    </row>
    <row r="1621" ht="15.75" customHeight="1">
      <c r="A1621" s="1" t="s">
        <v>3371</v>
      </c>
      <c r="B1621" s="1" t="s">
        <v>3372</v>
      </c>
      <c r="C1621" s="2" t="s">
        <v>3373</v>
      </c>
      <c r="D1621" s="1" t="str">
        <f>IFERROR(__xludf.DUMMYFUNCTION("GOOGLETRANSLATE(A1621 , ""auto"", ""ar"")"),"نصف")</f>
        <v>نصف</v>
      </c>
    </row>
    <row r="1622" ht="15.75" customHeight="1">
      <c r="A1622" s="1" t="s">
        <v>3371</v>
      </c>
      <c r="B1622" s="1" t="s">
        <v>3372</v>
      </c>
      <c r="C1622" s="2" t="s">
        <v>3373</v>
      </c>
      <c r="D1622" s="1" t="str">
        <f>IFERROR(__xludf.DUMMYFUNCTION("GOOGLETRANSLATE(A1622 , ""auto"", ""ar"")"),"نصف")</f>
        <v>نصف</v>
      </c>
    </row>
    <row r="1623" ht="15.75" customHeight="1">
      <c r="A1623" s="1" t="s">
        <v>3374</v>
      </c>
      <c r="B1623" s="1" t="s">
        <v>1047</v>
      </c>
      <c r="C1623" s="1"/>
      <c r="D1623" s="1" t="str">
        <f>IFERROR(__xludf.DUMMYFUNCTION("GOOGLETRANSLATE(A1623 , ""auto"", ""ar"")"),"نصف أخ")</f>
        <v>نصف أخ</v>
      </c>
    </row>
    <row r="1624" ht="15.75" customHeight="1">
      <c r="A1624" s="1" t="s">
        <v>3374</v>
      </c>
      <c r="B1624" s="1" t="s">
        <v>1047</v>
      </c>
      <c r="C1624" s="1"/>
      <c r="D1624" s="1" t="str">
        <f>IFERROR(__xludf.DUMMYFUNCTION("GOOGLETRANSLATE(A1624 , ""auto"", ""ar"")"),"نصف أخ")</f>
        <v>نصف أخ</v>
      </c>
    </row>
    <row r="1625" ht="15.75" customHeight="1">
      <c r="A1625" s="1" t="s">
        <v>3375</v>
      </c>
      <c r="B1625" s="1" t="s">
        <v>3376</v>
      </c>
      <c r="C1625" s="1"/>
      <c r="D1625" s="1" t="str">
        <f>IFERROR(__xludf.DUMMYFUNCTION("GOOGLETRANSLATE(A1625 , ""auto"", ""ar"")"),"أخت غير شقيقة")</f>
        <v>أخت غير شقيقة</v>
      </c>
    </row>
    <row r="1626" ht="15.75" customHeight="1">
      <c r="A1626" s="1" t="s">
        <v>3375</v>
      </c>
      <c r="B1626" s="1" t="s">
        <v>3376</v>
      </c>
      <c r="C1626" s="1"/>
      <c r="D1626" s="1" t="str">
        <f>IFERROR(__xludf.DUMMYFUNCTION("GOOGLETRANSLATE(A1626 , ""auto"", ""ar"")"),"أخت غير شقيقة")</f>
        <v>أخت غير شقيقة</v>
      </c>
    </row>
    <row r="1627" ht="15.75" customHeight="1">
      <c r="A1627" s="1" t="s">
        <v>3377</v>
      </c>
      <c r="B1627" s="1" t="s">
        <v>3378</v>
      </c>
      <c r="C1627" s="2" t="s">
        <v>3379</v>
      </c>
      <c r="D1627" s="1" t="str">
        <f>IFERROR(__xludf.DUMMYFUNCTION("GOOGLETRANSLATE(A1627 , ""auto"", ""ar"")"),"همبرغر")</f>
        <v>همبرغر</v>
      </c>
    </row>
    <row r="1628" ht="15.75" customHeight="1">
      <c r="A1628" s="1" t="s">
        <v>3380</v>
      </c>
      <c r="B1628" s="1" t="s">
        <v>3381</v>
      </c>
      <c r="C1628" s="2" t="s">
        <v>3382</v>
      </c>
      <c r="D1628" s="1" t="str">
        <f>IFERROR(__xludf.DUMMYFUNCTION("GOOGLETRANSLATE(A1628 , ""auto"", ""ar"")"),"يُسلِّم")</f>
        <v>يُسلِّم</v>
      </c>
    </row>
    <row r="1629" ht="15.75" customHeight="1">
      <c r="A1629" s="1" t="s">
        <v>3383</v>
      </c>
      <c r="B1629" s="1" t="s">
        <v>1060</v>
      </c>
      <c r="C1629" s="1"/>
      <c r="D1629" s="1" t="str">
        <f>IFERROR(__xludf.DUMMYFUNCTION("GOOGLETRANSLATE(A1629 , ""auto"", ""ar"")"),"فرشاة اليد")</f>
        <v>فرشاة اليد</v>
      </c>
    </row>
    <row r="1630" ht="15.75" customHeight="1">
      <c r="A1630" s="1" t="s">
        <v>3384</v>
      </c>
      <c r="B1630" s="1" t="s">
        <v>495</v>
      </c>
      <c r="C1630" s="2" t="s">
        <v>496</v>
      </c>
      <c r="D1630" s="1" t="str">
        <f>IFERROR(__xludf.DUMMYFUNCTION("GOOGLETRANSLATE(A1630 , ""auto"", ""ar"")"),"حقيبة يد")</f>
        <v>حقيبة يد</v>
      </c>
    </row>
    <row r="1631" ht="15.75" customHeight="1">
      <c r="A1631" s="1" t="s">
        <v>3385</v>
      </c>
      <c r="B1631" s="1" t="s">
        <v>3386</v>
      </c>
      <c r="C1631" s="1"/>
      <c r="D1631" s="1" t="str">
        <f>IFERROR(__xludf.DUMMYFUNCTION("GOOGLETRANSLATE(A1631 , ""auto"", ""ar"")"),"أصفاد")</f>
        <v>أصفاد</v>
      </c>
    </row>
    <row r="1632" ht="15.75" customHeight="1">
      <c r="A1632" s="1" t="s">
        <v>3387</v>
      </c>
      <c r="B1632" s="1" t="s">
        <v>2093</v>
      </c>
      <c r="C1632" s="2" t="s">
        <v>2094</v>
      </c>
      <c r="D1632" s="1" t="str">
        <f>IFERROR(__xludf.DUMMYFUNCTION("GOOGLETRANSLATE(A1632 , ""auto"", ""ar"")"),"معاق")</f>
        <v>معاق</v>
      </c>
    </row>
    <row r="1633" ht="15.75" customHeight="1">
      <c r="A1633" s="1" t="s">
        <v>3388</v>
      </c>
      <c r="B1633" s="1" t="s">
        <v>3389</v>
      </c>
      <c r="C1633" s="2" t="s">
        <v>3390</v>
      </c>
      <c r="D1633" s="1" t="str">
        <f>IFERROR(__xludf.DUMMYFUNCTION("GOOGLETRANSLATE(A1633 , ""auto"", ""ar"")"),"يشنق")</f>
        <v>يشنق</v>
      </c>
    </row>
    <row r="1634" ht="15.75" customHeight="1">
      <c r="A1634" s="1" t="s">
        <v>3388</v>
      </c>
      <c r="B1634" s="1" t="s">
        <v>3391</v>
      </c>
      <c r="C1634" s="2" t="s">
        <v>3392</v>
      </c>
      <c r="D1634" s="1" t="str">
        <f>IFERROR(__xludf.DUMMYFUNCTION("GOOGLETRANSLATE(A1634 , ""auto"", ""ar"")"),"يشنق")</f>
        <v>يشنق</v>
      </c>
    </row>
    <row r="1635" ht="15.75" customHeight="1">
      <c r="A1635" s="1" t="s">
        <v>3393</v>
      </c>
      <c r="B1635" s="1" t="s">
        <v>3394</v>
      </c>
      <c r="C1635" s="2" t="s">
        <v>3395</v>
      </c>
      <c r="D1635" s="1" t="str">
        <f>IFERROR(__xludf.DUMMYFUNCTION("GOOGLETRANSLATE(A1635 , ""auto"", ""ar"")"),"تمسك ب")</f>
        <v>تمسك ب</v>
      </c>
    </row>
    <row r="1636" ht="15.75" customHeight="1">
      <c r="A1636" s="1" t="s">
        <v>3396</v>
      </c>
      <c r="B1636" s="1" t="s">
        <v>3397</v>
      </c>
      <c r="C1636" s="2" t="s">
        <v>3398</v>
      </c>
      <c r="D1636" s="1" t="str">
        <f>IFERROR(__xludf.DUMMYFUNCTION("GOOGLETRANSLATE(A1636 , ""auto"", ""ar"")"),"يتسكع")</f>
        <v>يتسكع</v>
      </c>
    </row>
    <row r="1637" ht="15.75" customHeight="1">
      <c r="A1637" s="1" t="s">
        <v>3399</v>
      </c>
      <c r="B1637" s="1" t="s">
        <v>3389</v>
      </c>
      <c r="C1637" s="2" t="s">
        <v>3390</v>
      </c>
      <c r="D1637" s="1" t="str">
        <f>IFERROR(__xludf.DUMMYFUNCTION("GOOGLETRANSLATE(A1637 , ""auto"", ""ar"")"),"يشنق")</f>
        <v>يشنق</v>
      </c>
    </row>
    <row r="1638" ht="15.75" customHeight="1">
      <c r="A1638" s="1" t="s">
        <v>3399</v>
      </c>
      <c r="B1638" s="1" t="s">
        <v>618</v>
      </c>
      <c r="C1638" s="2" t="s">
        <v>1138</v>
      </c>
      <c r="D1638" s="1" t="str">
        <f>IFERROR(__xludf.DUMMYFUNCTION("GOOGLETRANSLATE(A1638 , ""auto"", ""ar"")"),"يشنق")</f>
        <v>يشنق</v>
      </c>
    </row>
    <row r="1639" ht="15.75" customHeight="1">
      <c r="A1639" s="1" t="s">
        <v>3400</v>
      </c>
      <c r="B1639" s="1" t="s">
        <v>3401</v>
      </c>
      <c r="C1639" s="2" t="s">
        <v>3402</v>
      </c>
      <c r="D1639" s="1" t="str">
        <f>IFERROR(__xludf.DUMMYFUNCTION("GOOGLETRANSLATE(A1639 , ""auto"", ""ar"")"),"يعض")</f>
        <v>يعض</v>
      </c>
    </row>
    <row r="1640" ht="15.75" customHeight="1">
      <c r="A1640" s="1" t="s">
        <v>3400</v>
      </c>
      <c r="B1640" s="1" t="s">
        <v>3403</v>
      </c>
      <c r="C1640" s="2" t="s">
        <v>65</v>
      </c>
      <c r="D1640" s="1" t="str">
        <f>IFERROR(__xludf.DUMMYFUNCTION("GOOGLETRANSLATE(A1640 , ""auto"", ""ar"")"),"يعض")</f>
        <v>يعض</v>
      </c>
    </row>
    <row r="1641" ht="15.75" customHeight="1">
      <c r="A1641" s="1" t="s">
        <v>3404</v>
      </c>
      <c r="B1641" s="1" t="s">
        <v>3405</v>
      </c>
      <c r="C1641" s="1"/>
      <c r="D1641" s="1" t="str">
        <f>IFERROR(__xludf.DUMMYFUNCTION("GOOGLETRANSLATE(A1641 , ""auto"", ""ar"")"),"سعادة")</f>
        <v>سعادة</v>
      </c>
    </row>
    <row r="1642" ht="15.75" customHeight="1">
      <c r="A1642" s="1" t="s">
        <v>3404</v>
      </c>
      <c r="B1642" s="1" t="s">
        <v>3406</v>
      </c>
      <c r="C1642" s="1"/>
      <c r="D1642" s="1" t="str">
        <f>IFERROR(__xludf.DUMMYFUNCTION("GOOGLETRANSLATE(A1642 , ""auto"", ""ar"")"),"سعادة")</f>
        <v>سعادة</v>
      </c>
    </row>
    <row r="1643" ht="15.75" customHeight="1">
      <c r="A1643" s="1" t="s">
        <v>3407</v>
      </c>
      <c r="B1643" s="1" t="s">
        <v>3408</v>
      </c>
      <c r="C1643" s="2" t="s">
        <v>3409</v>
      </c>
      <c r="D1643" s="1" t="str">
        <f>IFERROR(__xludf.DUMMYFUNCTION("GOOGLETRANSLATE(A1643 , ""auto"", ""ar"")"),"سعيد")</f>
        <v>سعيد</v>
      </c>
    </row>
    <row r="1644" ht="15.75" customHeight="1">
      <c r="A1644" s="1" t="s">
        <v>3407</v>
      </c>
      <c r="B1644" s="1" t="s">
        <v>3410</v>
      </c>
      <c r="C1644" s="2" t="s">
        <v>3411</v>
      </c>
      <c r="D1644" s="1" t="str">
        <f>IFERROR(__xludf.DUMMYFUNCTION("GOOGLETRANSLATE(A1644 , ""auto"", ""ar"")"),"سعيد")</f>
        <v>سعيد</v>
      </c>
    </row>
    <row r="1645" ht="15.75" customHeight="1">
      <c r="A1645" s="1" t="s">
        <v>3407</v>
      </c>
      <c r="B1645" s="1" t="s">
        <v>3412</v>
      </c>
      <c r="C1645" s="2" t="s">
        <v>3413</v>
      </c>
      <c r="D1645" s="1" t="str">
        <f>IFERROR(__xludf.DUMMYFUNCTION("GOOGLETRANSLATE(A1645 , ""auto"", ""ar"")"),"سعيد")</f>
        <v>سعيد</v>
      </c>
    </row>
    <row r="1646" ht="15.75" customHeight="1">
      <c r="A1646" s="1" t="s">
        <v>3414</v>
      </c>
      <c r="B1646" s="1" t="s">
        <v>3415</v>
      </c>
      <c r="C1646" s="2" t="s">
        <v>3416</v>
      </c>
      <c r="D1646" s="1" t="str">
        <f>IFERROR(__xludf.DUMMYFUNCTION("GOOGLETRANSLATE(A1646 , ""auto"", ""ar"")"),"عيد ميلاد سعيد")</f>
        <v>عيد ميلاد سعيد</v>
      </c>
    </row>
    <row r="1647" ht="15.75" customHeight="1">
      <c r="A1647" s="1" t="s">
        <v>3414</v>
      </c>
      <c r="B1647" s="1" t="s">
        <v>3417</v>
      </c>
      <c r="C1647" s="2" t="s">
        <v>3418</v>
      </c>
      <c r="D1647" s="1" t="str">
        <f>IFERROR(__xludf.DUMMYFUNCTION("GOOGLETRANSLATE(A1647 , ""auto"", ""ar"")"),"عيد ميلاد سعيد")</f>
        <v>عيد ميلاد سعيد</v>
      </c>
    </row>
    <row r="1648" ht="15.75" customHeight="1">
      <c r="A1648" s="1" t="s">
        <v>3419</v>
      </c>
      <c r="B1648" s="1" t="s">
        <v>3420</v>
      </c>
      <c r="C1648" s="2" t="s">
        <v>2966</v>
      </c>
      <c r="D1648" s="1" t="str">
        <f>IFERROR(__xludf.DUMMYFUNCTION("GOOGLETRANSLATE(A1648 , ""auto"", ""ar"")"),"صعب")</f>
        <v>صعب</v>
      </c>
    </row>
    <row r="1649" ht="15.75" customHeight="1">
      <c r="A1649" s="1" t="s">
        <v>3419</v>
      </c>
      <c r="B1649" s="1" t="s">
        <v>3420</v>
      </c>
      <c r="C1649" s="2" t="s">
        <v>2966</v>
      </c>
      <c r="D1649" s="1" t="str">
        <f>IFERROR(__xludf.DUMMYFUNCTION("GOOGLETRANSLATE(A1649 , ""auto"", ""ar"")"),"صعب")</f>
        <v>صعب</v>
      </c>
    </row>
    <row r="1650" ht="15.75" customHeight="1">
      <c r="A1650" s="1" t="s">
        <v>3419</v>
      </c>
      <c r="B1650" s="1" t="s">
        <v>3421</v>
      </c>
      <c r="C1650" s="2" t="s">
        <v>3422</v>
      </c>
      <c r="D1650" s="1" t="str">
        <f>IFERROR(__xludf.DUMMYFUNCTION("GOOGLETRANSLATE(A1650 , ""auto"", ""ar"")"),"صعب")</f>
        <v>صعب</v>
      </c>
    </row>
    <row r="1651" ht="15.75" customHeight="1">
      <c r="A1651" s="1" t="s">
        <v>3423</v>
      </c>
      <c r="B1651" s="1" t="s">
        <v>3424</v>
      </c>
      <c r="C1651" s="1"/>
      <c r="D1651" s="1" t="str">
        <f>IFERROR(__xludf.DUMMYFUNCTION("GOOGLETRANSLATE(A1651 , ""auto"", ""ar"")"),"عامل مجد")</f>
        <v>عامل مجد</v>
      </c>
    </row>
    <row r="1652" ht="15.75" customHeight="1">
      <c r="A1652" s="1" t="s">
        <v>3425</v>
      </c>
      <c r="B1652" s="1" t="s">
        <v>3426</v>
      </c>
      <c r="C1652" s="2" t="s">
        <v>3427</v>
      </c>
      <c r="D1652" s="1" t="str">
        <f>IFERROR(__xludf.DUMMYFUNCTION("GOOGLETRANSLATE(A1652 , ""auto"", ""ar"")"),"العمل الجاد")</f>
        <v>العمل الجاد</v>
      </c>
    </row>
    <row r="1653" ht="15.75" customHeight="1">
      <c r="A1653" s="1" t="s">
        <v>3428</v>
      </c>
      <c r="B1653" s="1" t="s">
        <v>3426</v>
      </c>
      <c r="C1653" s="2" t="s">
        <v>3427</v>
      </c>
      <c r="D1653" s="1" t="str">
        <f>IFERROR(__xludf.DUMMYFUNCTION("GOOGLETRANSLATE(A1653 , ""auto"", ""ar"")"),"العمل الجاد")</f>
        <v>العمل الجاد</v>
      </c>
    </row>
    <row r="1654" ht="15.75" customHeight="1">
      <c r="A1654" s="1" t="s">
        <v>3429</v>
      </c>
      <c r="B1654" s="1" t="s">
        <v>3430</v>
      </c>
      <c r="C1654" s="2" t="s">
        <v>3431</v>
      </c>
      <c r="D1654" s="1" t="str">
        <f>IFERROR(__xludf.DUMMYFUNCTION("GOOGLETRANSLATE(A1654 , ""auto"", ""ar"")"),"ضرر")</f>
        <v>ضرر</v>
      </c>
    </row>
    <row r="1655" ht="15.75" customHeight="1">
      <c r="A1655" s="1" t="s">
        <v>3432</v>
      </c>
      <c r="B1655" s="1" t="s">
        <v>3433</v>
      </c>
      <c r="C1655" s="2" t="s">
        <v>3434</v>
      </c>
      <c r="D1655" s="1" t="str">
        <f>IFERROR(__xludf.DUMMYFUNCTION("GOOGLETRANSLATE(A1655 , ""auto"", ""ar"")"),"محصول")</f>
        <v>محصول</v>
      </c>
    </row>
    <row r="1656" ht="15.75" customHeight="1">
      <c r="A1656" s="1" t="s">
        <v>3432</v>
      </c>
      <c r="B1656" s="1" t="s">
        <v>3435</v>
      </c>
      <c r="C1656" s="2" t="s">
        <v>3436</v>
      </c>
      <c r="D1656" s="1" t="str">
        <f>IFERROR(__xludf.DUMMYFUNCTION("GOOGLETRANSLATE(A1656 , ""auto"", ""ar"")"),"محصول")</f>
        <v>محصول</v>
      </c>
    </row>
    <row r="1657" ht="15.75" customHeight="1">
      <c r="A1657" s="1" t="s">
        <v>3437</v>
      </c>
      <c r="B1657" s="1" t="s">
        <v>3438</v>
      </c>
      <c r="C1657" s="2" t="s">
        <v>3439</v>
      </c>
      <c r="D1657" s="1" t="str">
        <f>IFERROR(__xludf.DUMMYFUNCTION("GOOGLETRANSLATE(A1657 , ""auto"", ""ar"")"),"الحشيش")</f>
        <v>الحشيش</v>
      </c>
    </row>
    <row r="1658" ht="15.75" customHeight="1">
      <c r="A1658" s="1" t="s">
        <v>3440</v>
      </c>
      <c r="B1658" s="1" t="s">
        <v>3441</v>
      </c>
      <c r="C1658" s="2" t="s">
        <v>3442</v>
      </c>
      <c r="D1658" s="1" t="str">
        <f>IFERROR(__xludf.DUMMYFUNCTION("GOOGLETRANSLATE(A1658 , ""auto"", ""ar"")"),"تسرع")</f>
        <v>تسرع</v>
      </c>
    </row>
    <row r="1659" ht="15.75" customHeight="1">
      <c r="A1659" s="1" t="s">
        <v>3443</v>
      </c>
      <c r="B1659" s="1" t="s">
        <v>3444</v>
      </c>
      <c r="C1659" s="1"/>
      <c r="D1659" s="1" t="str">
        <f>IFERROR(__xludf.DUMMYFUNCTION("GOOGLETRANSLATE(A1659 , ""auto"", ""ar"")"),"لديه")</f>
        <v>لديه</v>
      </c>
    </row>
    <row r="1660" ht="15.75" customHeight="1">
      <c r="A1660" s="1" t="s">
        <v>3445</v>
      </c>
      <c r="B1660" s="1" t="s">
        <v>3446</v>
      </c>
      <c r="C1660" s="2" t="s">
        <v>3447</v>
      </c>
      <c r="D1660" s="1" t="str">
        <f>IFERROR(__xludf.DUMMYFUNCTION("GOOGLETRANSLATE(A1660 , ""auto"", ""ar"")"),"يكره")</f>
        <v>يكره</v>
      </c>
    </row>
    <row r="1661" ht="15.75" customHeight="1">
      <c r="A1661" s="1" t="s">
        <v>3448</v>
      </c>
      <c r="B1661" s="1" t="s">
        <v>620</v>
      </c>
      <c r="C1661" s="2" t="s">
        <v>3449</v>
      </c>
      <c r="D1661" s="1" t="str">
        <f>IFERROR(__xludf.DUMMYFUNCTION("GOOGLETRANSLATE(A1661 , ""auto"", ""ar"")"),"يملك")</f>
        <v>يملك</v>
      </c>
    </row>
    <row r="1662" ht="15.75" customHeight="1">
      <c r="A1662" s="1" t="s">
        <v>3450</v>
      </c>
      <c r="B1662" s="1" t="s">
        <v>493</v>
      </c>
      <c r="C1662" s="2" t="s">
        <v>939</v>
      </c>
      <c r="D1662" s="1" t="str">
        <f>IFERROR(__xludf.DUMMYFUNCTION("GOOGLETRANSLATE(A1662 , ""auto"", ""ar"")"),"لديه طفل")</f>
        <v>لديه طفل</v>
      </c>
    </row>
    <row r="1663" ht="15.75" customHeight="1">
      <c r="A1663" s="1" t="s">
        <v>3451</v>
      </c>
      <c r="B1663" s="1" t="s">
        <v>2231</v>
      </c>
      <c r="C1663" s="2" t="s">
        <v>2232</v>
      </c>
      <c r="D1663" s="1" t="str">
        <f>IFERROR(__xludf.DUMMYFUNCTION("GOOGLETRANSLATE(A1663 , ""auto"", ""ar"")"),"يملك حلما")</f>
        <v>يملك حلما</v>
      </c>
    </row>
    <row r="1664" ht="15.75" customHeight="1">
      <c r="A1664" s="1" t="s">
        <v>3452</v>
      </c>
      <c r="B1664" s="1" t="s">
        <v>3453</v>
      </c>
      <c r="C1664" s="2" t="s">
        <v>3454</v>
      </c>
      <c r="D1664" s="1" t="str">
        <f>IFERROR(__xludf.DUMMYFUNCTION("GOOGLETRANSLATE(A1664 , ""auto"", ""ar"")"),"اضحك")</f>
        <v>اضحك</v>
      </c>
    </row>
    <row r="1665" ht="15.75" customHeight="1">
      <c r="A1665" s="1" t="s">
        <v>3455</v>
      </c>
      <c r="B1665" s="1" t="s">
        <v>209</v>
      </c>
      <c r="C1665" s="2" t="s">
        <v>3456</v>
      </c>
      <c r="D1665" s="1" t="str">
        <f>IFERROR(__xludf.DUMMYFUNCTION("GOOGLETRANSLATE(A1665 , ""auto"", ""ar"")"),"لديه عملية")</f>
        <v>لديه عملية</v>
      </c>
    </row>
    <row r="1666" ht="15.75" customHeight="1">
      <c r="A1666" s="1" t="s">
        <v>3455</v>
      </c>
      <c r="B1666" s="1" t="s">
        <v>3457</v>
      </c>
      <c r="C1666" s="2" t="s">
        <v>3458</v>
      </c>
      <c r="D1666" s="1" t="str">
        <f>IFERROR(__xludf.DUMMYFUNCTION("GOOGLETRANSLATE(A1666 , ""auto"", ""ar"")"),"لديه عملية")</f>
        <v>لديه عملية</v>
      </c>
    </row>
    <row r="1667" ht="15.75" customHeight="1">
      <c r="A1667" s="1" t="s">
        <v>3459</v>
      </c>
      <c r="B1667" s="1" t="s">
        <v>994</v>
      </c>
      <c r="C1667" s="2" t="s">
        <v>995</v>
      </c>
      <c r="D1667" s="1" t="str">
        <f>IFERROR(__xludf.DUMMYFUNCTION("GOOGLETRANSLATE(A1667 , ""auto"", ""ar"")"),"تناول الفطور")</f>
        <v>تناول الفطور</v>
      </c>
    </row>
    <row r="1668" ht="15.75" customHeight="1">
      <c r="A1668" s="1" t="s">
        <v>3460</v>
      </c>
      <c r="B1668" s="1" t="s">
        <v>2073</v>
      </c>
      <c r="C1668" s="2" t="s">
        <v>2074</v>
      </c>
      <c r="D1668" s="1" t="str">
        <f>IFERROR(__xludf.DUMMYFUNCTION("GOOGLETRANSLATE(A1668 , ""auto"", ""ar"")"),"تناول العشاء")</f>
        <v>تناول العشاء</v>
      </c>
    </row>
    <row r="1669" ht="15.75" customHeight="1">
      <c r="A1669" s="1" t="s">
        <v>3461</v>
      </c>
      <c r="B1669" s="1" t="s">
        <v>3462</v>
      </c>
      <c r="C1669" s="1"/>
      <c r="D1669" s="1" t="str">
        <f>IFERROR(__xludf.DUMMYFUNCTION("GOOGLETRANSLATE(A1669 , ""auto"", ""ar"")"),"لديك نتوءات أوزة")</f>
        <v>لديك نتوءات أوزة</v>
      </c>
    </row>
    <row r="1670" ht="15.75" customHeight="1">
      <c r="A1670" s="1" t="s">
        <v>3463</v>
      </c>
      <c r="B1670" s="1" t="s">
        <v>3464</v>
      </c>
      <c r="C1670" s="2" t="s">
        <v>3465</v>
      </c>
      <c r="D1670" s="1" t="str">
        <f>IFERROR(__xludf.DUMMYFUNCTION("GOOGLETRANSLATE(A1670 , ""auto"", ""ar"")"),"فقط ... (فعل شيء ما)")</f>
        <v>فقط ... (فعل شيء ما)</v>
      </c>
    </row>
    <row r="1671" ht="15.75" customHeight="1">
      <c r="A1671" s="1" t="s">
        <v>3463</v>
      </c>
      <c r="B1671" s="1" t="s">
        <v>3466</v>
      </c>
      <c r="C1671" s="2" t="s">
        <v>3467</v>
      </c>
      <c r="D1671" s="1" t="str">
        <f>IFERROR(__xludf.DUMMYFUNCTION("GOOGLETRANSLATE(A1671 , ""auto"", ""ar"")"),"فقط ... (فعل شيء ما)")</f>
        <v>فقط ... (فعل شيء ما)</v>
      </c>
    </row>
    <row r="1672" ht="15.75" customHeight="1">
      <c r="A1672" s="1" t="s">
        <v>3468</v>
      </c>
      <c r="B1672" s="1" t="s">
        <v>3469</v>
      </c>
      <c r="C1672" s="2" t="s">
        <v>3470</v>
      </c>
      <c r="D1672" s="1" t="str">
        <f>IFERROR(__xludf.DUMMYFUNCTION("GOOGLETRANSLATE(A1672 , ""auto"", ""ar"")"),"يتناول الغداء")</f>
        <v>يتناول الغداء</v>
      </c>
    </row>
    <row r="1673" ht="15.75" customHeight="1">
      <c r="A1673" s="1" t="s">
        <v>3471</v>
      </c>
      <c r="B1673" s="1" t="s">
        <v>3472</v>
      </c>
      <c r="C1673" s="2" t="s">
        <v>3473</v>
      </c>
      <c r="D1673" s="1" t="str">
        <f>IFERROR(__xludf.DUMMYFUNCTION("GOOGLETRANSLATE(A1673 , ""auto"", ""ar"")"),"يجب أن")</f>
        <v>يجب أن</v>
      </c>
    </row>
    <row r="1674" ht="15.75" customHeight="1">
      <c r="A1674" s="1" t="s">
        <v>3474</v>
      </c>
      <c r="B1674" s="1" t="s">
        <v>3475</v>
      </c>
      <c r="C1674" s="1"/>
      <c r="D1674" s="1" t="str">
        <f>IFERROR(__xludf.DUMMYFUNCTION("GOOGLETRANSLATE(A1674 , ""auto"", ""ar"")"),"لم بعد ...")</f>
        <v>لم بعد ...</v>
      </c>
    </row>
    <row r="1675" ht="15.75" customHeight="1">
      <c r="A1675" s="1" t="s">
        <v>3474</v>
      </c>
      <c r="B1675" s="1" t="s">
        <v>3476</v>
      </c>
      <c r="C1675" s="1"/>
      <c r="D1675" s="1" t="str">
        <f>IFERROR(__xludf.DUMMYFUNCTION("GOOGLETRANSLATE(A1675 , ""auto"", ""ar"")"),"لم بعد ...")</f>
        <v>لم بعد ...</v>
      </c>
    </row>
    <row r="1676" ht="15.75" customHeight="1">
      <c r="A1676" s="1" t="s">
        <v>3477</v>
      </c>
      <c r="B1676" s="1" t="s">
        <v>3478</v>
      </c>
      <c r="C1676" s="2" t="s">
        <v>3479</v>
      </c>
      <c r="D1676" s="1" t="str">
        <f>IFERROR(__xludf.DUMMYFUNCTION("GOOGLETRANSLATE(A1676 , ""auto"", ""ar"")"),"هو")</f>
        <v>هو</v>
      </c>
    </row>
    <row r="1677" ht="15.75" customHeight="1">
      <c r="A1677" s="1" t="s">
        <v>3480</v>
      </c>
      <c r="B1677" s="1" t="s">
        <v>3481</v>
      </c>
      <c r="C1677" s="2" t="s">
        <v>3482</v>
      </c>
      <c r="D1677" s="1" t="str">
        <f>IFERROR(__xludf.DUMMYFUNCTION("GOOGLETRANSLATE(A1677 , ""auto"", ""ar"")"),"رأس")</f>
        <v>رأس</v>
      </c>
    </row>
    <row r="1678" ht="15.75" customHeight="1">
      <c r="A1678" s="1" t="s">
        <v>3483</v>
      </c>
      <c r="B1678" s="1" t="s">
        <v>1163</v>
      </c>
      <c r="C1678" s="1"/>
      <c r="D1678" s="1" t="str">
        <f>IFERROR(__xludf.DUMMYFUNCTION("GOOGLETRANSLATE(A1678 , ""auto"", ""ar"")"),"رب الأسرة")</f>
        <v>رب الأسرة</v>
      </c>
    </row>
    <row r="1679" ht="15.75" customHeight="1">
      <c r="A1679" s="1" t="s">
        <v>3484</v>
      </c>
      <c r="B1679" s="1" t="s">
        <v>3485</v>
      </c>
      <c r="C1679" s="1"/>
      <c r="D1679" s="1" t="str">
        <f>IFERROR(__xludf.DUMMYFUNCTION("GOOGLETRANSLATE(A1679 , ""auto"", ""ar"")"),"عقال الرأس")</f>
        <v>عقال الرأس</v>
      </c>
    </row>
    <row r="1680" ht="15.75" customHeight="1">
      <c r="A1680" s="1" t="s">
        <v>3486</v>
      </c>
      <c r="B1680" s="1" t="s">
        <v>3487</v>
      </c>
      <c r="C1680" s="2" t="s">
        <v>3488</v>
      </c>
      <c r="D1680" s="1" t="str">
        <f>IFERROR(__xludf.DUMMYFUNCTION("GOOGLETRANSLATE(A1680 , ""auto"", ""ar"")"),"حجاب")</f>
        <v>حجاب</v>
      </c>
    </row>
    <row r="1681" ht="15.75" customHeight="1">
      <c r="A1681" s="1" t="s">
        <v>3486</v>
      </c>
      <c r="B1681" s="1" t="s">
        <v>3489</v>
      </c>
      <c r="C1681" s="2" t="s">
        <v>3490</v>
      </c>
      <c r="D1681" s="1" t="str">
        <f>IFERROR(__xludf.DUMMYFUNCTION("GOOGLETRANSLATE(A1681 , ""auto"", ""ar"")"),"حجاب")</f>
        <v>حجاب</v>
      </c>
    </row>
    <row r="1682" ht="15.75" customHeight="1">
      <c r="A1682" s="1" t="s">
        <v>3491</v>
      </c>
      <c r="B1682" s="1" t="s">
        <v>1858</v>
      </c>
      <c r="C1682" s="2" t="s">
        <v>1859</v>
      </c>
      <c r="D1682" s="1" t="str">
        <f>IFERROR(__xludf.DUMMYFUNCTION("GOOGLETRANSLATE(A1682 , ""auto"", ""ar"")"),"يشفي")</f>
        <v>يشفي</v>
      </c>
    </row>
    <row r="1683" ht="15.75" customHeight="1">
      <c r="A1683" s="1" t="s">
        <v>3491</v>
      </c>
      <c r="B1683" s="1" t="s">
        <v>1860</v>
      </c>
      <c r="C1683" s="2" t="s">
        <v>1861</v>
      </c>
      <c r="D1683" s="1" t="str">
        <f>IFERROR(__xludf.DUMMYFUNCTION("GOOGLETRANSLATE(A1683 , ""auto"", ""ar"")"),"يشفي")</f>
        <v>يشفي</v>
      </c>
    </row>
    <row r="1684" ht="15.75" customHeight="1">
      <c r="A1684" s="1" t="s">
        <v>3492</v>
      </c>
      <c r="B1684" s="1" t="s">
        <v>3493</v>
      </c>
      <c r="C1684" s="2" t="s">
        <v>3494</v>
      </c>
      <c r="D1684" s="1" t="str">
        <f>IFERROR(__xludf.DUMMYFUNCTION("GOOGLETRANSLATE(A1684 , ""auto"", ""ar"")"),"شفاء")</f>
        <v>شفاء</v>
      </c>
    </row>
    <row r="1685" ht="15.75" customHeight="1">
      <c r="A1685" s="1" t="s">
        <v>3495</v>
      </c>
      <c r="B1685" s="1" t="s">
        <v>3496</v>
      </c>
      <c r="C1685" s="2" t="s">
        <v>3497</v>
      </c>
      <c r="D1685" s="1" t="str">
        <f>IFERROR(__xludf.DUMMYFUNCTION("GOOGLETRANSLATE(A1685 , ""auto"", ""ar"")"),"صحة")</f>
        <v>صحة</v>
      </c>
    </row>
    <row r="1686" ht="15.75" customHeight="1">
      <c r="A1686" s="1" t="s">
        <v>3498</v>
      </c>
      <c r="B1686" s="1" t="s">
        <v>3499</v>
      </c>
      <c r="C1686" s="2" t="s">
        <v>65</v>
      </c>
      <c r="D1686" s="1" t="str">
        <f>IFERROR(__xludf.DUMMYFUNCTION("GOOGLETRANSLATE(A1686 , ""auto"", ""ar"")"),"صحيح")</f>
        <v>صحيح</v>
      </c>
    </row>
    <row r="1687" ht="15.75" customHeight="1">
      <c r="A1687" s="1" t="s">
        <v>3500</v>
      </c>
      <c r="B1687" s="1" t="s">
        <v>3501</v>
      </c>
      <c r="C1687" s="2" t="s">
        <v>3502</v>
      </c>
      <c r="D1687" s="1" t="str">
        <f>IFERROR(__xludf.DUMMYFUNCTION("GOOGLETRANSLATE(A1687 , ""auto"", ""ar"")"),"يسمع")</f>
        <v>يسمع</v>
      </c>
    </row>
    <row r="1688" ht="15.75" customHeight="1">
      <c r="A1688" s="1" t="s">
        <v>3500</v>
      </c>
      <c r="B1688" s="1" t="s">
        <v>3503</v>
      </c>
      <c r="C1688" s="2" t="s">
        <v>3504</v>
      </c>
      <c r="D1688" s="1" t="str">
        <f>IFERROR(__xludf.DUMMYFUNCTION("GOOGLETRANSLATE(A1688 , ""auto"", ""ar"")"),"يسمع")</f>
        <v>يسمع</v>
      </c>
    </row>
    <row r="1689" ht="15.75" customHeight="1">
      <c r="A1689" s="1" t="s">
        <v>3505</v>
      </c>
      <c r="B1689" s="1" t="s">
        <v>3506</v>
      </c>
      <c r="C1689" s="1"/>
      <c r="D1689" s="1" t="str">
        <f>IFERROR(__xludf.DUMMYFUNCTION("GOOGLETRANSLATE(A1689 , ""auto"", ""ar"")"),"سماع عن")</f>
        <v>سماع عن</v>
      </c>
    </row>
    <row r="1690" ht="15.75" customHeight="1">
      <c r="A1690" s="1" t="s">
        <v>3507</v>
      </c>
      <c r="B1690" s="1" t="s">
        <v>3508</v>
      </c>
      <c r="C1690" s="2" t="s">
        <v>3509</v>
      </c>
      <c r="D1690" s="1" t="str">
        <f>IFERROR(__xludf.DUMMYFUNCTION("GOOGLETRANSLATE(A1690 , ""auto"", ""ar"")"),"قلب")</f>
        <v>قلب</v>
      </c>
    </row>
    <row r="1691" ht="15.75" customHeight="1">
      <c r="A1691" s="1" t="s">
        <v>3510</v>
      </c>
      <c r="B1691" s="1" t="s">
        <v>3511</v>
      </c>
      <c r="C1691" s="2" t="s">
        <v>3512</v>
      </c>
      <c r="D1691" s="1" t="str">
        <f>IFERROR(__xludf.DUMMYFUNCTION("GOOGLETRANSLATE(A1691 , ""auto"", ""ar"")"),"نوبة قلبية")</f>
        <v>نوبة قلبية</v>
      </c>
    </row>
    <row r="1692" ht="15.75" customHeight="1">
      <c r="A1692" s="1" t="s">
        <v>3513</v>
      </c>
      <c r="B1692" s="1" t="s">
        <v>3514</v>
      </c>
      <c r="C1692" s="2" t="s">
        <v>3515</v>
      </c>
      <c r="D1692" s="1" t="str">
        <f>IFERROR(__xludf.DUMMYFUNCTION("GOOGLETRANSLATE(A1692 , ""auto"", ""ar"")"),"حرارة")</f>
        <v>حرارة</v>
      </c>
    </row>
    <row r="1693" ht="15.75" customHeight="1">
      <c r="A1693" s="1" t="s">
        <v>3513</v>
      </c>
      <c r="B1693" s="1" t="s">
        <v>3516</v>
      </c>
      <c r="C1693" s="1"/>
      <c r="D1693" s="1" t="str">
        <f>IFERROR(__xludf.DUMMYFUNCTION("GOOGLETRANSLATE(A1693 , ""auto"", ""ar"")"),"حرارة")</f>
        <v>حرارة</v>
      </c>
    </row>
    <row r="1694" ht="15.75" customHeight="1">
      <c r="A1694" s="1" t="s">
        <v>3517</v>
      </c>
      <c r="B1694" s="1" t="s">
        <v>3518</v>
      </c>
      <c r="C1694" s="2" t="s">
        <v>3519</v>
      </c>
      <c r="D1694" s="1" t="str">
        <f>IFERROR(__xludf.DUMMYFUNCTION("GOOGLETRANSLATE(A1694 , ""auto"", ""ar"")"),"ناشر الحرارة المستخدمة تحت تاجين")</f>
        <v>ناشر الحرارة المستخدمة تحت تاجين</v>
      </c>
    </row>
    <row r="1695" ht="15.75" customHeight="1">
      <c r="A1695" s="1" t="s">
        <v>3517</v>
      </c>
      <c r="B1695" s="1" t="s">
        <v>3520</v>
      </c>
      <c r="C1695" s="1"/>
      <c r="D1695" s="1" t="str">
        <f>IFERROR(__xludf.DUMMYFUNCTION("GOOGLETRANSLATE(A1695 , ""auto"", ""ar"")"),"ناشر الحرارة المستخدمة تحت تاجين")</f>
        <v>ناشر الحرارة المستخدمة تحت تاجين</v>
      </c>
    </row>
    <row r="1696" ht="15.75" customHeight="1">
      <c r="A1696" s="1" t="s">
        <v>3521</v>
      </c>
      <c r="B1696" s="1" t="s">
        <v>3522</v>
      </c>
      <c r="C1696" s="2" t="s">
        <v>3523</v>
      </c>
      <c r="D1696" s="1" t="str">
        <f>IFERROR(__xludf.DUMMYFUNCTION("GOOGLETRANSLATE(A1696 , ""auto"", ""ar"")"),"يسخن")</f>
        <v>يسخن</v>
      </c>
    </row>
    <row r="1697" ht="15.75" customHeight="1">
      <c r="A1697" s="1" t="s">
        <v>3521</v>
      </c>
      <c r="B1697" s="1" t="s">
        <v>1688</v>
      </c>
      <c r="C1697" s="2" t="s">
        <v>3524</v>
      </c>
      <c r="D1697" s="1" t="str">
        <f>IFERROR(__xludf.DUMMYFUNCTION("GOOGLETRANSLATE(A1697 , ""auto"", ""ar"")"),"يسخن")</f>
        <v>يسخن</v>
      </c>
    </row>
    <row r="1698" ht="15.75" customHeight="1">
      <c r="A1698" s="1" t="s">
        <v>3521</v>
      </c>
      <c r="B1698" s="1" t="s">
        <v>856</v>
      </c>
      <c r="C1698" s="2" t="s">
        <v>857</v>
      </c>
      <c r="D1698" s="1" t="str">
        <f>IFERROR(__xludf.DUMMYFUNCTION("GOOGLETRANSLATE(A1698 , ""auto"", ""ar"")"),"يسخن")</f>
        <v>يسخن</v>
      </c>
    </row>
    <row r="1699" ht="15.75" customHeight="1">
      <c r="A1699" s="1" t="s">
        <v>3525</v>
      </c>
      <c r="B1699" s="1" t="s">
        <v>3526</v>
      </c>
      <c r="C1699" s="2" t="s">
        <v>3527</v>
      </c>
      <c r="D1699" s="1" t="str">
        <f>IFERROR(__xludf.DUMMYFUNCTION("GOOGLETRANSLATE(A1699 , ""auto"", ""ar"")"),"التدفئة")</f>
        <v>التدفئة</v>
      </c>
    </row>
    <row r="1700" ht="15.75" customHeight="1">
      <c r="A1700" s="1" t="s">
        <v>3525</v>
      </c>
      <c r="B1700" s="1" t="s">
        <v>3528</v>
      </c>
      <c r="C1700" s="1"/>
      <c r="D1700" s="1" t="str">
        <f>IFERROR(__xludf.DUMMYFUNCTION("GOOGLETRANSLATE(A1700 , ""auto"", ""ar"")"),"التدفئة")</f>
        <v>التدفئة</v>
      </c>
    </row>
    <row r="1701" ht="15.75" customHeight="1">
      <c r="A1701" s="1" t="s">
        <v>3529</v>
      </c>
      <c r="B1701" s="1" t="s">
        <v>3530</v>
      </c>
      <c r="C1701" s="1"/>
      <c r="D1701" s="1" t="str">
        <f>IFERROR(__xludf.DUMMYFUNCTION("GOOGLETRANSLATE(A1701 , ""auto"", ""ar"")"),"سماء")</f>
        <v>سماء</v>
      </c>
    </row>
    <row r="1702" ht="15.75" customHeight="1">
      <c r="A1702" s="1" t="s">
        <v>3531</v>
      </c>
      <c r="B1702" s="1" t="s">
        <v>3532</v>
      </c>
      <c r="C1702" s="2" t="s">
        <v>3533</v>
      </c>
      <c r="D1702" s="1" t="str">
        <f>IFERROR(__xludf.DUMMYFUNCTION("GOOGLETRANSLATE(A1702 , ""auto"", ""ar"")"),"أثقل")</f>
        <v>أثقل</v>
      </c>
    </row>
    <row r="1703" ht="15.75" customHeight="1">
      <c r="A1703" s="1" t="s">
        <v>3534</v>
      </c>
      <c r="B1703" s="1" t="s">
        <v>3535</v>
      </c>
      <c r="C1703" s="2" t="s">
        <v>3536</v>
      </c>
      <c r="D1703" s="1" t="str">
        <f>IFERROR(__xludf.DUMMYFUNCTION("GOOGLETRANSLATE(A1703 , ""auto"", ""ar"")"),"ثقيل")</f>
        <v>ثقيل</v>
      </c>
    </row>
    <row r="1704" ht="15.75" customHeight="1">
      <c r="A1704" s="1" t="s">
        <v>3537</v>
      </c>
      <c r="B1704" s="1" t="s">
        <v>3538</v>
      </c>
      <c r="C1704" s="1"/>
      <c r="D1704" s="1" t="str">
        <f>IFERROR(__xludf.DUMMYFUNCTION("GOOGLETRANSLATE(A1704 , ""auto"", ""ar"")"),"هكتار")</f>
        <v>هكتار</v>
      </c>
    </row>
    <row r="1705" ht="15.75" customHeight="1">
      <c r="A1705" s="1" t="s">
        <v>3539</v>
      </c>
      <c r="B1705" s="1" t="s">
        <v>3540</v>
      </c>
      <c r="C1705" s="2" t="s">
        <v>3541</v>
      </c>
      <c r="D1705" s="1" t="str">
        <f>IFERROR(__xludf.DUMMYFUNCTION("GOOGLETRANSLATE(A1705 , ""auto"", ""ar"")"),"الجميع")</f>
        <v>الجميع</v>
      </c>
    </row>
    <row r="1706" ht="15.75" customHeight="1">
      <c r="A1706" s="1" t="s">
        <v>3542</v>
      </c>
      <c r="B1706" s="1" t="s">
        <v>3543</v>
      </c>
      <c r="C1706" s="1"/>
      <c r="D1706" s="1" t="str">
        <f>IFERROR(__xludf.DUMMYFUNCTION("GOOGLETRANSLATE(A1706 , ""auto"", ""ar"")"),"ارتفاع")</f>
        <v>ارتفاع</v>
      </c>
    </row>
    <row r="1707" ht="15.75" customHeight="1">
      <c r="A1707" s="1" t="s">
        <v>3544</v>
      </c>
      <c r="B1707" s="1" t="s">
        <v>3545</v>
      </c>
      <c r="C1707" s="2" t="s">
        <v>3546</v>
      </c>
      <c r="D1707" s="1" t="str">
        <f>IFERROR(__xludf.DUMMYFUNCTION("GOOGLETRANSLATE(A1707 , ""auto"", ""ar"")"),"مرحبًا")</f>
        <v>مرحبًا</v>
      </c>
    </row>
    <row r="1708" ht="15.75" customHeight="1">
      <c r="A1708" s="1" t="s">
        <v>3544</v>
      </c>
      <c r="B1708" s="1" t="s">
        <v>3547</v>
      </c>
      <c r="C1708" s="1"/>
      <c r="D1708" s="1" t="str">
        <f>IFERROR(__xludf.DUMMYFUNCTION("GOOGLETRANSLATE(A1708 , ""auto"", ""ar"")"),"مرحبًا")</f>
        <v>مرحبًا</v>
      </c>
    </row>
    <row r="1709" ht="15.75" customHeight="1">
      <c r="A1709" s="1" t="s">
        <v>3548</v>
      </c>
      <c r="B1709" s="1" t="s">
        <v>3549</v>
      </c>
      <c r="C1709" s="2" t="s">
        <v>3550</v>
      </c>
      <c r="D1709" s="1" t="str">
        <f>IFERROR(__xludf.DUMMYFUNCTION("GOOGLETRANSLATE(A1709 , ""auto"", ""ar"")"),"يساعد")</f>
        <v>يساعد</v>
      </c>
    </row>
    <row r="1710" ht="15.75" customHeight="1">
      <c r="A1710" s="1" t="s">
        <v>3551</v>
      </c>
      <c r="B1710" s="1" t="s">
        <v>3552</v>
      </c>
      <c r="C1710" s="1"/>
      <c r="D1710" s="1" t="str">
        <f>IFERROR(__xludf.DUMMYFUNCTION("GOOGLETRANSLATE(A1710 , ""auto"", ""ar"")"),"مساعدة")</f>
        <v>مساعدة</v>
      </c>
    </row>
    <row r="1711" ht="15.75" customHeight="1">
      <c r="A1711" s="1" t="s">
        <v>3553</v>
      </c>
      <c r="B1711" s="1" t="s">
        <v>3554</v>
      </c>
      <c r="C1711" s="2" t="s">
        <v>65</v>
      </c>
      <c r="D1711" s="1" t="str">
        <f>IFERROR(__xludf.DUMMYFUNCTION("GOOGLETRANSLATE(A1711 , ""auto"", ""ar"")"),"متعاون")</f>
        <v>متعاون</v>
      </c>
    </row>
    <row r="1712" ht="15.75" customHeight="1">
      <c r="A1712" s="1" t="s">
        <v>3555</v>
      </c>
      <c r="B1712" s="1" t="s">
        <v>1371</v>
      </c>
      <c r="C1712" s="2" t="s">
        <v>1372</v>
      </c>
      <c r="D1712" s="1" t="str">
        <f>IFERROR(__xludf.DUMMYFUNCTION("GOOGLETRANSLATE(A1712 , ""auto"", ""ar"")"),"دجاجة")</f>
        <v>دجاجة</v>
      </c>
    </row>
    <row r="1713" ht="15.75" customHeight="1">
      <c r="A1713" s="1" t="s">
        <v>3556</v>
      </c>
      <c r="B1713" s="1" t="s">
        <v>3557</v>
      </c>
      <c r="C1713" s="2" t="s">
        <v>3558</v>
      </c>
      <c r="D1713" s="1" t="str">
        <f>IFERROR(__xludf.DUMMYFUNCTION("GOOGLETRANSLATE(A1713 , ""auto"", ""ar"")"),"الحناء")</f>
        <v>الحناء</v>
      </c>
    </row>
    <row r="1714" ht="15.75" customHeight="1">
      <c r="A1714" s="1" t="s">
        <v>3556</v>
      </c>
      <c r="B1714" s="1" t="s">
        <v>3559</v>
      </c>
      <c r="C1714" s="2" t="s">
        <v>3560</v>
      </c>
      <c r="D1714" s="1" t="str">
        <f>IFERROR(__xludf.DUMMYFUNCTION("GOOGLETRANSLATE(A1714 , ""auto"", ""ar"")"),"الحناء")</f>
        <v>الحناء</v>
      </c>
    </row>
    <row r="1715" ht="15.75" customHeight="1">
      <c r="A1715" s="1" t="s">
        <v>3556</v>
      </c>
      <c r="B1715" s="1" t="s">
        <v>3561</v>
      </c>
      <c r="C1715" s="2" t="s">
        <v>3562</v>
      </c>
      <c r="D1715" s="1" t="str">
        <f>IFERROR(__xludf.DUMMYFUNCTION("GOOGLETRANSLATE(A1715 , ""auto"", ""ar"")"),"الحناء")</f>
        <v>الحناء</v>
      </c>
    </row>
    <row r="1716" ht="15.75" customHeight="1">
      <c r="A1716" s="1" t="s">
        <v>3556</v>
      </c>
      <c r="B1716" s="1" t="s">
        <v>3563</v>
      </c>
      <c r="C1716" s="2" t="s">
        <v>3564</v>
      </c>
      <c r="D1716" s="1" t="str">
        <f>IFERROR(__xludf.DUMMYFUNCTION("GOOGLETRANSLATE(A1716 , ""auto"", ""ar"")"),"الحناء")</f>
        <v>الحناء</v>
      </c>
    </row>
    <row r="1717" ht="15.75" customHeight="1">
      <c r="A1717" s="1" t="s">
        <v>3565</v>
      </c>
      <c r="B1717" s="1" t="s">
        <v>3566</v>
      </c>
      <c r="C1717" s="2" t="s">
        <v>3567</v>
      </c>
      <c r="D1717" s="1" t="str">
        <f>IFERROR(__xludf.DUMMYFUNCTION("GOOGLETRANSLATE(A1717 , ""auto"", ""ar"")"),"ها")</f>
        <v>ها</v>
      </c>
    </row>
    <row r="1718" ht="15.75" customHeight="1">
      <c r="A1718" s="1" t="s">
        <v>3565</v>
      </c>
      <c r="B1718" s="1" t="s">
        <v>3568</v>
      </c>
      <c r="C1718" s="2" t="s">
        <v>3569</v>
      </c>
      <c r="D1718" s="1" t="str">
        <f>IFERROR(__xludf.DUMMYFUNCTION("GOOGLETRANSLATE(A1718 , ""auto"", ""ar"")"),"ها")</f>
        <v>ها</v>
      </c>
    </row>
    <row r="1719" ht="15.75" customHeight="1">
      <c r="A1719" s="1" t="s">
        <v>3565</v>
      </c>
      <c r="B1719" s="1" t="s">
        <v>3570</v>
      </c>
      <c r="C1719" s="1"/>
      <c r="D1719" s="1" t="str">
        <f>IFERROR(__xludf.DUMMYFUNCTION("GOOGLETRANSLATE(A1719 , ""auto"", ""ar"")"),"ها")</f>
        <v>ها</v>
      </c>
    </row>
    <row r="1720" ht="15.75" customHeight="1">
      <c r="A1720" s="1" t="s">
        <v>3571</v>
      </c>
      <c r="B1720" s="1" t="s">
        <v>3572</v>
      </c>
      <c r="C1720" s="2" t="s">
        <v>3573</v>
      </c>
      <c r="D1720" s="1" t="str">
        <f>IFERROR(__xludf.DUMMYFUNCTION("GOOGLETRANSLATE(A1720 , ""auto"", ""ar"")"),"هنا")</f>
        <v>هنا</v>
      </c>
    </row>
    <row r="1721" ht="15.75" customHeight="1">
      <c r="A1721" s="1" t="s">
        <v>3571</v>
      </c>
      <c r="B1721" s="1" t="s">
        <v>3574</v>
      </c>
      <c r="C1721" s="1"/>
      <c r="D1721" s="1" t="str">
        <f>IFERROR(__xludf.DUMMYFUNCTION("GOOGLETRANSLATE(A1721 , ""auto"", ""ar"")"),"هنا")</f>
        <v>هنا</v>
      </c>
    </row>
    <row r="1722" ht="15.75" customHeight="1">
      <c r="A1722" s="1" t="s">
        <v>3575</v>
      </c>
      <c r="B1722" s="1"/>
      <c r="C1722" s="1"/>
      <c r="D1722" s="1" t="str">
        <f>IFERROR(__xludf.DUMMYFUNCTION("GOOGLETRANSLATE(A1722 , ""auto"", ""ar"")"),"ها أنت ذا")</f>
        <v>ها أنت ذا</v>
      </c>
    </row>
    <row r="1723" ht="15.75" customHeight="1">
      <c r="A1723" s="1" t="s">
        <v>3576</v>
      </c>
      <c r="B1723" s="1" t="s">
        <v>3547</v>
      </c>
      <c r="C1723" s="1"/>
      <c r="D1723" s="1" t="str">
        <f>IFERROR(__xludf.DUMMYFUNCTION("GOOGLETRANSLATE(A1723 , ""auto"", ""ar"")"),"أهلاً")</f>
        <v>أهلاً</v>
      </c>
    </row>
    <row r="1724" ht="15.75" customHeight="1">
      <c r="A1724" s="1" t="s">
        <v>3577</v>
      </c>
      <c r="B1724" s="1" t="s">
        <v>3578</v>
      </c>
      <c r="C1724" s="2" t="s">
        <v>3579</v>
      </c>
      <c r="D1724" s="1" t="str">
        <f>IFERROR(__xludf.DUMMYFUNCTION("GOOGLETRANSLATE(A1724 , ""auto"", ""ar"")"),"يخفي")</f>
        <v>يخفي</v>
      </c>
    </row>
    <row r="1725" ht="15.75" customHeight="1">
      <c r="A1725" s="1" t="s">
        <v>3577</v>
      </c>
      <c r="B1725" s="1" t="s">
        <v>3580</v>
      </c>
      <c r="C1725" s="1"/>
      <c r="D1725" s="1" t="str">
        <f>IFERROR(__xludf.DUMMYFUNCTION("GOOGLETRANSLATE(A1725 , ""auto"", ""ar"")"),"يخفي")</f>
        <v>يخفي</v>
      </c>
    </row>
    <row r="1726" ht="15.75" customHeight="1">
      <c r="A1726" s="1" t="s">
        <v>3577</v>
      </c>
      <c r="B1726" s="1" t="s">
        <v>3581</v>
      </c>
      <c r="C1726" s="2" t="s">
        <v>65</v>
      </c>
      <c r="D1726" s="1" t="str">
        <f>IFERROR(__xludf.DUMMYFUNCTION("GOOGLETRANSLATE(A1726 , ""auto"", ""ar"")"),"يخفي")</f>
        <v>يخفي</v>
      </c>
    </row>
    <row r="1727" ht="15.75" customHeight="1">
      <c r="A1727" s="1" t="s">
        <v>3582</v>
      </c>
      <c r="B1727" s="1" t="s">
        <v>3583</v>
      </c>
      <c r="C1727" s="2" t="s">
        <v>3584</v>
      </c>
      <c r="D1727" s="1" t="str">
        <f>IFERROR(__xludf.DUMMYFUNCTION("GOOGLETRANSLATE(A1727 , ""auto"", ""ar"")"),"عالي")</f>
        <v>عالي</v>
      </c>
    </row>
    <row r="1728" ht="15.75" customHeight="1">
      <c r="A1728" s="1" t="s">
        <v>3585</v>
      </c>
      <c r="B1728" s="1" t="s">
        <v>10</v>
      </c>
      <c r="C1728" s="2" t="s">
        <v>11</v>
      </c>
      <c r="D1728" s="1" t="str">
        <f>IFERROR(__xludf.DUMMYFUNCTION("GOOGLETRANSLATE(A1728 , ""auto"", ""ar"")"),"أعلى")</f>
        <v>أعلى</v>
      </c>
    </row>
    <row r="1729" ht="15.75" customHeight="1">
      <c r="A1729" s="1" t="s">
        <v>3586</v>
      </c>
      <c r="B1729" s="1" t="s">
        <v>3587</v>
      </c>
      <c r="C1729" s="2" t="s">
        <v>3588</v>
      </c>
      <c r="D1729" s="1" t="str">
        <f>IFERROR(__xludf.DUMMYFUNCTION("GOOGLETRANSLATE(A1729 , ""auto"", ""ar"")"),"أعلى")</f>
        <v>أعلى</v>
      </c>
    </row>
    <row r="1730" ht="15.75" customHeight="1">
      <c r="A1730" s="1" t="s">
        <v>3589</v>
      </c>
      <c r="B1730" s="1" t="s">
        <v>3590</v>
      </c>
      <c r="C1730" s="2" t="s">
        <v>265</v>
      </c>
      <c r="D1730" s="1" t="str">
        <f>IFERROR(__xludf.DUMMYFUNCTION("GOOGLETRANSLATE(A1730 , ""auto"", ""ar"")"),"له")</f>
        <v>له</v>
      </c>
    </row>
    <row r="1731" ht="15.75" customHeight="1">
      <c r="A1731" s="1" t="s">
        <v>3589</v>
      </c>
      <c r="B1731" s="1" t="s">
        <v>3591</v>
      </c>
      <c r="C1731" s="2" t="s">
        <v>3592</v>
      </c>
      <c r="D1731" s="1" t="str">
        <f>IFERROR(__xludf.DUMMYFUNCTION("GOOGLETRANSLATE(A1731 , ""auto"", ""ar"")"),"له")</f>
        <v>له</v>
      </c>
    </row>
    <row r="1732" ht="15.75" customHeight="1">
      <c r="A1732" s="1" t="s">
        <v>3589</v>
      </c>
      <c r="B1732" s="1" t="s">
        <v>3593</v>
      </c>
      <c r="C1732" s="2" t="s">
        <v>3594</v>
      </c>
      <c r="D1732" s="1" t="str">
        <f>IFERROR(__xludf.DUMMYFUNCTION("GOOGLETRANSLATE(A1732 , ""auto"", ""ar"")"),"له")</f>
        <v>له</v>
      </c>
    </row>
    <row r="1733" ht="15.75" customHeight="1">
      <c r="A1733" s="1" t="s">
        <v>3589</v>
      </c>
      <c r="B1733" s="1" t="s">
        <v>3595</v>
      </c>
      <c r="C1733" s="1"/>
      <c r="D1733" s="1" t="str">
        <f>IFERROR(__xludf.DUMMYFUNCTION("GOOGLETRANSLATE(A1733 , ""auto"", ""ar"")"),"له")</f>
        <v>له</v>
      </c>
    </row>
    <row r="1734" ht="15.75" customHeight="1">
      <c r="A1734" s="1" t="s">
        <v>3596</v>
      </c>
      <c r="B1734" s="1" t="s">
        <v>1918</v>
      </c>
      <c r="C1734" s="2" t="s">
        <v>1919</v>
      </c>
      <c r="D1734" s="1" t="str">
        <f>IFERROR(__xludf.DUMMYFUNCTION("GOOGLETRANSLATE(A1734 , ""auto"", ""ar"")"),"تاريخ")</f>
        <v>تاريخ</v>
      </c>
    </row>
    <row r="1735" ht="15.75" customHeight="1">
      <c r="A1735" s="1" t="s">
        <v>3597</v>
      </c>
      <c r="B1735" s="1" t="s">
        <v>631</v>
      </c>
      <c r="C1735" s="2" t="s">
        <v>632</v>
      </c>
      <c r="D1735" s="1" t="str">
        <f>IFERROR(__xludf.DUMMYFUNCTION("GOOGLETRANSLATE(A1735 , ""auto"", ""ar"")"),"يضرب")</f>
        <v>يضرب</v>
      </c>
    </row>
    <row r="1736" ht="15.75" customHeight="1">
      <c r="A1736" s="1" t="s">
        <v>3597</v>
      </c>
      <c r="B1736" s="1" t="s">
        <v>3598</v>
      </c>
      <c r="C1736" s="2" t="s">
        <v>3599</v>
      </c>
      <c r="D1736" s="1" t="str">
        <f>IFERROR(__xludf.DUMMYFUNCTION("GOOGLETRANSLATE(A1736 , ""auto"", ""ar"")"),"يضرب")</f>
        <v>يضرب</v>
      </c>
    </row>
    <row r="1737" ht="15.75" customHeight="1">
      <c r="A1737" s="1" t="s">
        <v>3600</v>
      </c>
      <c r="B1737" s="1" t="s">
        <v>3601</v>
      </c>
      <c r="C1737" s="2" t="s">
        <v>3602</v>
      </c>
      <c r="D1737" s="1" t="str">
        <f>IFERROR(__xludf.DUMMYFUNCTION("GOOGLETRANSLATE(A1737 , ""auto"", ""ar"")"),"خلية نحل")</f>
        <v>خلية نحل</v>
      </c>
    </row>
    <row r="1738" ht="15.75" customHeight="1">
      <c r="A1738" s="1" t="s">
        <v>3603</v>
      </c>
      <c r="B1738" s="1" t="s">
        <v>3604</v>
      </c>
      <c r="C1738" s="1"/>
      <c r="D1738" s="1" t="str">
        <f>IFERROR(__xludf.DUMMYFUNCTION("GOOGLETRANSLATE(A1738 , ""auto"", ""ar"")"),"هواية")</f>
        <v>هواية</v>
      </c>
    </row>
    <row r="1739" ht="15.75" customHeight="1">
      <c r="A1739" s="1" t="s">
        <v>3605</v>
      </c>
      <c r="B1739" s="1" t="s">
        <v>3606</v>
      </c>
      <c r="C1739" s="2" t="s">
        <v>3607</v>
      </c>
      <c r="D1739" s="1" t="str">
        <f>IFERROR(__xludf.DUMMYFUNCTION("GOOGLETRANSLATE(A1739 , ""auto"", ""ar"")"),"يمسك")</f>
        <v>يمسك</v>
      </c>
    </row>
    <row r="1740" ht="15.75" customHeight="1">
      <c r="A1740" s="1" t="s">
        <v>3605</v>
      </c>
      <c r="B1740" s="1" t="s">
        <v>3608</v>
      </c>
      <c r="C1740" s="2" t="s">
        <v>3609</v>
      </c>
      <c r="D1740" s="1" t="str">
        <f>IFERROR(__xludf.DUMMYFUNCTION("GOOGLETRANSLATE(A1740 , ""auto"", ""ar"")"),"يمسك")</f>
        <v>يمسك</v>
      </c>
    </row>
    <row r="1741" ht="15.75" customHeight="1">
      <c r="A1741" s="1" t="s">
        <v>3610</v>
      </c>
      <c r="B1741" s="1" t="s">
        <v>3611</v>
      </c>
      <c r="C1741" s="2" t="s">
        <v>3612</v>
      </c>
      <c r="D1741" s="1" t="str">
        <f>IFERROR(__xludf.DUMMYFUNCTION("GOOGLETRANSLATE(A1741 , ""auto"", ""ar"")"),"فتحة")</f>
        <v>فتحة</v>
      </c>
    </row>
    <row r="1742" ht="15.75" customHeight="1">
      <c r="A1742" s="1" t="s">
        <v>3610</v>
      </c>
      <c r="B1742" s="1" t="s">
        <v>3613</v>
      </c>
      <c r="C1742" s="2" t="s">
        <v>3614</v>
      </c>
      <c r="D1742" s="1" t="str">
        <f>IFERROR(__xludf.DUMMYFUNCTION("GOOGLETRANSLATE(A1742 , ""auto"", ""ar"")"),"فتحة")</f>
        <v>فتحة</v>
      </c>
    </row>
    <row r="1743" ht="15.75" customHeight="1">
      <c r="A1743" s="1" t="s">
        <v>3615</v>
      </c>
      <c r="B1743" s="1" t="s">
        <v>3616</v>
      </c>
      <c r="C1743" s="2" t="s">
        <v>3617</v>
      </c>
      <c r="D1743" s="1" t="str">
        <f>IFERROR(__xludf.DUMMYFUNCTION("GOOGLETRANSLATE(A1743 , ""auto"", ""ar"")"),"هوي")</f>
        <v>هوي</v>
      </c>
    </row>
    <row r="1744" ht="15.75" customHeight="1">
      <c r="A1744" s="1" t="s">
        <v>3618</v>
      </c>
      <c r="B1744" s="1" t="s">
        <v>3619</v>
      </c>
      <c r="C1744" s="2" t="s">
        <v>3620</v>
      </c>
      <c r="D1744" s="1" t="str">
        <f>IFERROR(__xludf.DUMMYFUNCTION("GOOGLETRANSLATE(A1744 , ""auto"", ""ar"")"),"العطلات")</f>
        <v>العطلات</v>
      </c>
    </row>
    <row r="1745" ht="15.75" customHeight="1">
      <c r="A1745" s="1" t="s">
        <v>3621</v>
      </c>
      <c r="B1745" s="1" t="s">
        <v>620</v>
      </c>
      <c r="C1745" s="2" t="s">
        <v>3449</v>
      </c>
      <c r="D1745" s="1" t="str">
        <f>IFERROR(__xludf.DUMMYFUNCTION("GOOGLETRANSLATE(A1745 , ""auto"", ""ar"")"),"بيت")</f>
        <v>بيت</v>
      </c>
    </row>
    <row r="1746" ht="15.75" customHeight="1">
      <c r="A1746" s="1" t="s">
        <v>3622</v>
      </c>
      <c r="B1746" s="1" t="s">
        <v>3623</v>
      </c>
      <c r="C1746" s="1"/>
      <c r="D1746" s="1" t="str">
        <f>IFERROR(__xludf.DUMMYFUNCTION("GOOGLETRANSLATE(A1746 , ""auto"", ""ar"")"),"العمل في المنزل")</f>
        <v>العمل في المنزل</v>
      </c>
    </row>
    <row r="1747" ht="15.75" customHeight="1">
      <c r="A1747" s="1" t="s">
        <v>3624</v>
      </c>
      <c r="B1747" s="1" t="s">
        <v>3625</v>
      </c>
      <c r="C1747" s="2" t="s">
        <v>3626</v>
      </c>
      <c r="D1747" s="1" t="str">
        <f>IFERROR(__xludf.DUMMYFUNCTION("GOOGLETRANSLATE(A1747 , ""auto"", ""ar"")"),"أمين")</f>
        <v>أمين</v>
      </c>
    </row>
    <row r="1748" ht="15.75" customHeight="1">
      <c r="A1748" s="1" t="s">
        <v>3627</v>
      </c>
      <c r="B1748" s="1" t="s">
        <v>3628</v>
      </c>
      <c r="C1748" s="2" t="s">
        <v>3629</v>
      </c>
      <c r="D1748" s="1" t="str">
        <f>IFERROR(__xludf.DUMMYFUNCTION("GOOGLETRANSLATE(A1748 , ""auto"", ""ar"")"),"عسل")</f>
        <v>عسل</v>
      </c>
    </row>
    <row r="1749" ht="15.75" customHeight="1">
      <c r="A1749" s="1" t="s">
        <v>3630</v>
      </c>
      <c r="B1749" s="1" t="s">
        <v>3631</v>
      </c>
      <c r="C1749" s="1"/>
      <c r="D1749" s="1" t="str">
        <f>IFERROR(__xludf.DUMMYFUNCTION("GOOGLETRANSLATE(A1749 , ""auto"", ""ar"")"),"كَبُّوت")</f>
        <v>كَبُّوت</v>
      </c>
    </row>
    <row r="1750" ht="15.75" customHeight="1">
      <c r="A1750" s="1" t="s">
        <v>3632</v>
      </c>
      <c r="B1750" s="1" t="s">
        <v>3633</v>
      </c>
      <c r="C1750" s="1"/>
      <c r="D1750" s="1" t="str">
        <f>IFERROR(__xludf.DUMMYFUNCTION("GOOGLETRANSLATE(A1750 , ""auto"", ""ar"")"),"زُنط")</f>
        <v>زُنط</v>
      </c>
    </row>
    <row r="1751" ht="15.75" customHeight="1">
      <c r="A1751" s="1" t="s">
        <v>3634</v>
      </c>
      <c r="B1751" s="1" t="s">
        <v>1539</v>
      </c>
      <c r="C1751" s="1"/>
      <c r="D1751" s="1" t="str">
        <f>IFERROR(__xludf.DUMMYFUNCTION("GOOGLETRANSLATE(A1751 , ""auto"", ""ar"")"),"خطاف")</f>
        <v>خطاف</v>
      </c>
    </row>
    <row r="1752" ht="15.75" customHeight="1">
      <c r="A1752" s="1" t="s">
        <v>3634</v>
      </c>
      <c r="B1752" s="1" t="s">
        <v>1500</v>
      </c>
      <c r="C1752" s="2" t="s">
        <v>1501</v>
      </c>
      <c r="D1752" s="1" t="str">
        <f>IFERROR(__xludf.DUMMYFUNCTION("GOOGLETRANSLATE(A1752 , ""auto"", ""ar"")"),"خطاف")</f>
        <v>خطاف</v>
      </c>
    </row>
    <row r="1753" ht="15.75" customHeight="1">
      <c r="A1753" s="1" t="s">
        <v>3635</v>
      </c>
      <c r="B1753" s="1" t="s">
        <v>3636</v>
      </c>
      <c r="C1753" s="2" t="s">
        <v>3637</v>
      </c>
      <c r="D1753" s="1" t="str">
        <f>IFERROR(__xludf.DUMMYFUNCTION("GOOGLETRANSLATE(A1753 , ""auto"", ""ar"")"),"يأمل")</f>
        <v>يأمل</v>
      </c>
    </row>
    <row r="1754" ht="15.75" customHeight="1">
      <c r="A1754" s="1" t="s">
        <v>3638</v>
      </c>
      <c r="B1754" s="1" t="s">
        <v>3639</v>
      </c>
      <c r="C1754" s="1"/>
      <c r="D1754" s="1" t="str">
        <f>IFERROR(__xludf.DUMMYFUNCTION("GOOGLETRANSLATE(A1754 , ""auto"", ""ar"")"),"بوق")</f>
        <v>بوق</v>
      </c>
    </row>
    <row r="1755" ht="15.75" customHeight="1">
      <c r="A1755" s="1" t="s">
        <v>3640</v>
      </c>
      <c r="B1755" s="1" t="s">
        <v>3641</v>
      </c>
      <c r="C1755" s="2" t="s">
        <v>3642</v>
      </c>
      <c r="D1755" s="1" t="str">
        <f>IFERROR(__xludf.DUMMYFUNCTION("GOOGLETRANSLATE(A1755 , ""auto"", ""ar"")"),"حصان")</f>
        <v>حصان</v>
      </c>
    </row>
    <row r="1756" ht="15.75" customHeight="1">
      <c r="A1756" s="1" t="s">
        <v>3643</v>
      </c>
      <c r="B1756" s="1" t="s">
        <v>3644</v>
      </c>
      <c r="C1756" s="1"/>
      <c r="D1756" s="1" t="str">
        <f>IFERROR(__xludf.DUMMYFUNCTION("GOOGLETRANSLATE(A1756 , ""auto"", ""ar"")"),"أنبوب")</f>
        <v>أنبوب</v>
      </c>
    </row>
    <row r="1757" ht="15.75" customHeight="1">
      <c r="A1757" s="1" t="s">
        <v>3645</v>
      </c>
      <c r="B1757" s="1" t="s">
        <v>3646</v>
      </c>
      <c r="C1757" s="2" t="s">
        <v>3647</v>
      </c>
      <c r="D1757" s="1" t="str">
        <f>IFERROR(__xludf.DUMMYFUNCTION("GOOGLETRANSLATE(A1757 , ""auto"", ""ar"")"),"مستشفى")</f>
        <v>مستشفى</v>
      </c>
    </row>
    <row r="1758" ht="15.75" customHeight="1">
      <c r="A1758" s="1" t="s">
        <v>3645</v>
      </c>
      <c r="B1758" s="1" t="s">
        <v>1490</v>
      </c>
      <c r="C1758" s="1"/>
      <c r="D1758" s="1" t="str">
        <f>IFERROR(__xludf.DUMMYFUNCTION("GOOGLETRANSLATE(A1758 , ""auto"", ""ar"")"),"مستشفى")</f>
        <v>مستشفى</v>
      </c>
    </row>
    <row r="1759" ht="15.75" customHeight="1">
      <c r="A1759" s="1" t="s">
        <v>3648</v>
      </c>
      <c r="B1759" s="1" t="s">
        <v>3649</v>
      </c>
      <c r="C1759" s="2" t="s">
        <v>3650</v>
      </c>
      <c r="D1759" s="1" t="str">
        <f>IFERROR(__xludf.DUMMYFUNCTION("GOOGLETRANSLATE(A1759 , ""auto"", ""ar"")"),"ضيافة")</f>
        <v>ضيافة</v>
      </c>
    </row>
    <row r="1760" ht="15.75" customHeight="1">
      <c r="A1760" s="1" t="s">
        <v>3651</v>
      </c>
      <c r="B1760" s="1" t="s">
        <v>3652</v>
      </c>
      <c r="C1760" s="2" t="s">
        <v>3653</v>
      </c>
      <c r="D1760" s="1" t="str">
        <f>IFERROR(__xludf.DUMMYFUNCTION("GOOGLETRANSLATE(A1760 , ""auto"", ""ar"")"),"حار")</f>
        <v>حار</v>
      </c>
    </row>
    <row r="1761" ht="15.75" customHeight="1">
      <c r="A1761" s="1" t="s">
        <v>3651</v>
      </c>
      <c r="B1761" s="1" t="s">
        <v>3654</v>
      </c>
      <c r="C1761" s="2" t="s">
        <v>3655</v>
      </c>
      <c r="D1761" s="1" t="str">
        <f>IFERROR(__xludf.DUMMYFUNCTION("GOOGLETRANSLATE(A1761 , ""auto"", ""ar"")"),"حار")</f>
        <v>حار</v>
      </c>
    </row>
    <row r="1762" ht="15.75" customHeight="1">
      <c r="A1762" s="1" t="s">
        <v>3656</v>
      </c>
      <c r="B1762" s="1" t="s">
        <v>3657</v>
      </c>
      <c r="C1762" s="2" t="s">
        <v>3658</v>
      </c>
      <c r="D1762" s="1" t="str">
        <f>IFERROR(__xludf.DUMMYFUNCTION("GOOGLETRANSLATE(A1762 , ""auto"", ""ar"")"),"حار وحار")</f>
        <v>حار وحار</v>
      </c>
    </row>
    <row r="1763" ht="15.75" customHeight="1">
      <c r="A1763" s="1" t="s">
        <v>3659</v>
      </c>
      <c r="B1763" s="1" t="s">
        <v>3660</v>
      </c>
      <c r="C1763" s="2" t="s">
        <v>3661</v>
      </c>
      <c r="D1763" s="1" t="str">
        <f>IFERROR(__xludf.DUMMYFUNCTION("GOOGLETRANSLATE(A1763 , ""auto"", ""ar"")"),"شكولاته ساخنة")</f>
        <v>شكولاته ساخنة</v>
      </c>
    </row>
    <row r="1764" ht="15.75" customHeight="1">
      <c r="A1764" s="1" t="s">
        <v>3662</v>
      </c>
      <c r="B1764" s="1" t="s">
        <v>3663</v>
      </c>
      <c r="C1764" s="2" t="s">
        <v>3664</v>
      </c>
      <c r="D1764" s="1" t="str">
        <f>IFERROR(__xludf.DUMMYFUNCTION("GOOGLETRANSLATE(A1764 , ""auto"", ""ar"")"),"قارورة ماء ساخن")</f>
        <v>قارورة ماء ساخن</v>
      </c>
    </row>
    <row r="1765" ht="15.75" customHeight="1">
      <c r="A1765" s="1" t="s">
        <v>3665</v>
      </c>
      <c r="B1765" s="1" t="s">
        <v>3666</v>
      </c>
      <c r="C1765" s="2" t="s">
        <v>3667</v>
      </c>
      <c r="D1765" s="1" t="str">
        <f>IFERROR(__xludf.DUMMYFUNCTION("GOOGLETRANSLATE(A1765 , ""auto"", ""ar"")"),"الفندق")</f>
        <v>الفندق</v>
      </c>
    </row>
    <row r="1766" ht="15.75" customHeight="1">
      <c r="A1766" s="1" t="s">
        <v>3665</v>
      </c>
      <c r="B1766" s="1" t="s">
        <v>1305</v>
      </c>
      <c r="C1766" s="1"/>
      <c r="D1766" s="1" t="str">
        <f>IFERROR(__xludf.DUMMYFUNCTION("GOOGLETRANSLATE(A1766 , ""auto"", ""ar"")"),"الفندق")</f>
        <v>الفندق</v>
      </c>
    </row>
    <row r="1767" ht="15.75" customHeight="1">
      <c r="A1767" s="1" t="s">
        <v>3668</v>
      </c>
      <c r="B1767" s="1" t="s">
        <v>184</v>
      </c>
      <c r="C1767" s="2" t="s">
        <v>185</v>
      </c>
      <c r="D1767" s="1" t="str">
        <f>IFERROR(__xludf.DUMMYFUNCTION("GOOGLETRANSLATE(A1767 , ""auto"", ""ar"")"),"ساعة")</f>
        <v>ساعة</v>
      </c>
    </row>
    <row r="1768" ht="15.75" customHeight="1">
      <c r="A1768" s="1" t="s">
        <v>3669</v>
      </c>
      <c r="B1768" s="1" t="s">
        <v>1305</v>
      </c>
      <c r="C1768" s="2" t="s">
        <v>2152</v>
      </c>
      <c r="D1768" s="1" t="str">
        <f>IFERROR(__xludf.DUMMYFUNCTION("GOOGLETRANSLATE(A1768 , ""auto"", ""ar"")"),"منزل")</f>
        <v>منزل</v>
      </c>
    </row>
    <row r="1769" ht="15.75" customHeight="1">
      <c r="A1769" s="1" t="s">
        <v>3670</v>
      </c>
      <c r="B1769" s="1" t="s">
        <v>3671</v>
      </c>
      <c r="C1769" s="2" t="s">
        <v>3672</v>
      </c>
      <c r="D1769" s="1" t="str">
        <f>IFERROR(__xludf.DUMMYFUNCTION("GOOGLETRANSLATE(A1769 , ""auto"", ""ar"")"),"واجبات منزلية")</f>
        <v>واجبات منزلية</v>
      </c>
    </row>
    <row r="1770" ht="15.75" customHeight="1">
      <c r="A1770" s="1" t="s">
        <v>3670</v>
      </c>
      <c r="B1770" s="1" t="s">
        <v>3673</v>
      </c>
      <c r="C1770" s="1"/>
      <c r="D1770" s="1" t="str">
        <f>IFERROR(__xludf.DUMMYFUNCTION("GOOGLETRANSLATE(A1770 , ""auto"", ""ar"")"),"واجبات منزلية")</f>
        <v>واجبات منزلية</v>
      </c>
    </row>
    <row r="1771" ht="15.75" customHeight="1">
      <c r="A1771" s="1" t="s">
        <v>3674</v>
      </c>
      <c r="B1771" s="1" t="s">
        <v>3671</v>
      </c>
      <c r="C1771" s="2" t="s">
        <v>3672</v>
      </c>
      <c r="D1771" s="1" t="str">
        <f>IFERROR(__xludf.DUMMYFUNCTION("GOOGLETRANSLATE(A1771 , ""auto"", ""ar"")"),"الأعمال المنزلية")</f>
        <v>الأعمال المنزلية</v>
      </c>
    </row>
    <row r="1772" ht="15.75" customHeight="1">
      <c r="A1772" s="1" t="s">
        <v>3674</v>
      </c>
      <c r="B1772" s="1" t="s">
        <v>3673</v>
      </c>
      <c r="C1772" s="1"/>
      <c r="D1772" s="1" t="str">
        <f>IFERROR(__xludf.DUMMYFUNCTION("GOOGLETRANSLATE(A1772 , ""auto"", ""ar"")"),"الأعمال المنزلية")</f>
        <v>الأعمال المنزلية</v>
      </c>
    </row>
    <row r="1773" ht="15.75" customHeight="1">
      <c r="A1773" s="1" t="s">
        <v>3675</v>
      </c>
      <c r="B1773" s="1" t="s">
        <v>3676</v>
      </c>
      <c r="C1773" s="2" t="s">
        <v>3677</v>
      </c>
      <c r="D1773" s="1" t="str">
        <f>IFERROR(__xludf.DUMMYFUNCTION("GOOGLETRANSLATE(A1773 , ""auto"", ""ar"")"),"كيف")</f>
        <v>كيف</v>
      </c>
    </row>
    <row r="1774" ht="15.75" customHeight="1">
      <c r="A1774" s="1" t="s">
        <v>3675</v>
      </c>
      <c r="B1774" s="1" t="s">
        <v>3678</v>
      </c>
      <c r="C1774" s="2" t="s">
        <v>3679</v>
      </c>
      <c r="D1774" s="1" t="str">
        <f>IFERROR(__xludf.DUMMYFUNCTION("GOOGLETRANSLATE(A1774 , ""auto"", ""ar"")"),"كيف")</f>
        <v>كيف</v>
      </c>
    </row>
    <row r="1775" ht="15.75" customHeight="1">
      <c r="A1775" s="1" t="s">
        <v>3680</v>
      </c>
      <c r="B1775" s="1" t="s">
        <v>3681</v>
      </c>
      <c r="C1775" s="2" t="s">
        <v>3682</v>
      </c>
      <c r="D1775" s="1" t="str">
        <f>IFERROR(__xludf.DUMMYFUNCTION("GOOGLETRANSLATE(A1775 , ""auto"", ""ar"")"),"كيف حالك؟")</f>
        <v>كيف حالك؟</v>
      </c>
    </row>
    <row r="1776" ht="15.75" customHeight="1">
      <c r="A1776" s="1" t="s">
        <v>3680</v>
      </c>
      <c r="B1776" s="1" t="s">
        <v>3683</v>
      </c>
      <c r="C1776" s="2" t="s">
        <v>3684</v>
      </c>
      <c r="D1776" s="1" t="str">
        <f>IFERROR(__xludf.DUMMYFUNCTION("GOOGLETRANSLATE(A1776 , ""auto"", ""ar"")"),"كيف حالك؟")</f>
        <v>كيف حالك؟</v>
      </c>
    </row>
    <row r="1777" ht="15.75" customHeight="1">
      <c r="A1777" s="1" t="s">
        <v>3680</v>
      </c>
      <c r="B1777" s="1" t="s">
        <v>3685</v>
      </c>
      <c r="C1777" s="2" t="s">
        <v>3686</v>
      </c>
      <c r="D1777" s="1" t="str">
        <f>IFERROR(__xludf.DUMMYFUNCTION("GOOGLETRANSLATE(A1777 , ""auto"", ""ar"")"),"كيف حالك؟")</f>
        <v>كيف حالك؟</v>
      </c>
    </row>
    <row r="1778" ht="15.75" customHeight="1">
      <c r="A1778" s="1" t="s">
        <v>3687</v>
      </c>
      <c r="B1778" s="1" t="s">
        <v>3688</v>
      </c>
      <c r="C1778" s="2" t="s">
        <v>3689</v>
      </c>
      <c r="D1778" s="1" t="str">
        <f>IFERROR(__xludf.DUMMYFUNCTION("GOOGLETRANSLATE(A1778 , ""auto"", ""ar"")"),"كم من الوقت كان منذ ...؟")</f>
        <v>كم من الوقت كان منذ ...؟</v>
      </c>
    </row>
    <row r="1779" ht="15.75" customHeight="1">
      <c r="A1779" s="1" t="s">
        <v>3687</v>
      </c>
      <c r="B1779" s="1" t="s">
        <v>3690</v>
      </c>
      <c r="C1779" s="2" t="s">
        <v>3691</v>
      </c>
      <c r="D1779" s="1" t="str">
        <f>IFERROR(__xludf.DUMMYFUNCTION("GOOGLETRANSLATE(A1779 , ""auto"", ""ar"")"),"كم من الوقت كان منذ ...؟")</f>
        <v>كم من الوقت كان منذ ...؟</v>
      </c>
    </row>
    <row r="1780" ht="15.75" customHeight="1">
      <c r="A1780" s="1" t="s">
        <v>3692</v>
      </c>
      <c r="B1780" s="1" t="s">
        <v>3693</v>
      </c>
      <c r="C1780" s="2" t="s">
        <v>3694</v>
      </c>
      <c r="D1780" s="1" t="str">
        <f>IFERROR(__xludf.DUMMYFUNCTION("GOOGLETRANSLATE(A1780 , ""auto"", ""ar"")"),"كم ثمن")</f>
        <v>كم ثمن</v>
      </c>
    </row>
    <row r="1781" ht="15.75" customHeight="1">
      <c r="A1781" s="1" t="s">
        <v>3692</v>
      </c>
      <c r="B1781" s="1" t="s">
        <v>3695</v>
      </c>
      <c r="C1781" s="2" t="s">
        <v>3696</v>
      </c>
      <c r="D1781" s="1" t="str">
        <f>IFERROR(__xludf.DUMMYFUNCTION("GOOGLETRANSLATE(A1781 , ""auto"", ""ar"")"),"كم ثمن")</f>
        <v>كم ثمن</v>
      </c>
    </row>
    <row r="1782" ht="15.75" customHeight="1">
      <c r="A1782" s="1" t="s">
        <v>3697</v>
      </c>
      <c r="B1782" s="1" t="s">
        <v>3681</v>
      </c>
      <c r="C1782" s="2" t="s">
        <v>3682</v>
      </c>
      <c r="D1782" s="1" t="str">
        <f>IFERROR(__xludf.DUMMYFUNCTION("GOOGLETRANSLATE(A1782 , ""auto"", ""ar"")"),"كيف تجري الامور؟")</f>
        <v>كيف تجري الامور؟</v>
      </c>
    </row>
    <row r="1783" ht="15.75" customHeight="1">
      <c r="A1783" s="1" t="s">
        <v>3697</v>
      </c>
      <c r="B1783" s="1" t="s">
        <v>3683</v>
      </c>
      <c r="C1783" s="2" t="s">
        <v>3684</v>
      </c>
      <c r="D1783" s="1" t="str">
        <f>IFERROR(__xludf.DUMMYFUNCTION("GOOGLETRANSLATE(A1783 , ""auto"", ""ar"")"),"كيف تجري الامور؟")</f>
        <v>كيف تجري الامور؟</v>
      </c>
    </row>
    <row r="1784" ht="15.75" customHeight="1">
      <c r="A1784" s="1" t="s">
        <v>3697</v>
      </c>
      <c r="B1784" s="1" t="s">
        <v>3685</v>
      </c>
      <c r="C1784" s="2" t="s">
        <v>3686</v>
      </c>
      <c r="D1784" s="1" t="str">
        <f>IFERROR(__xludf.DUMMYFUNCTION("GOOGLETRANSLATE(A1784 , ""auto"", ""ar"")"),"كيف تجري الامور؟")</f>
        <v>كيف تجري الامور؟</v>
      </c>
    </row>
    <row r="1785" ht="15.75" customHeight="1">
      <c r="A1785" s="1" t="s">
        <v>3698</v>
      </c>
      <c r="B1785" s="1" t="s">
        <v>3699</v>
      </c>
      <c r="C1785" s="1"/>
      <c r="D1785" s="1" t="str">
        <f>IFERROR(__xludf.DUMMYFUNCTION("GOOGLETRANSLATE(A1785 , ""auto"", ""ar"")"),"لكن")</f>
        <v>لكن</v>
      </c>
    </row>
    <row r="1786" ht="15.75" customHeight="1">
      <c r="A1786" s="1" t="s">
        <v>3700</v>
      </c>
      <c r="B1786" s="1" t="s">
        <v>1837</v>
      </c>
      <c r="C1786" s="1"/>
      <c r="D1786" s="1" t="str">
        <f>IFERROR(__xludf.DUMMYFUNCTION("GOOGLETRANSLATE(A1786 , ""auto"", ""ar"")"),"حضن")</f>
        <v>حضن</v>
      </c>
    </row>
    <row r="1787" ht="15.75" customHeight="1">
      <c r="A1787" s="1" t="s">
        <v>3700</v>
      </c>
      <c r="B1787" s="1" t="s">
        <v>1838</v>
      </c>
      <c r="C1787" s="2" t="s">
        <v>1839</v>
      </c>
      <c r="D1787" s="1" t="str">
        <f>IFERROR(__xludf.DUMMYFUNCTION("GOOGLETRANSLATE(A1787 , ""auto"", ""ar"")"),"حضن")</f>
        <v>حضن</v>
      </c>
    </row>
    <row r="1788" ht="15.75" customHeight="1">
      <c r="A1788" s="1" t="s">
        <v>3700</v>
      </c>
      <c r="B1788" s="1" t="s">
        <v>1840</v>
      </c>
      <c r="C1788" s="2" t="s">
        <v>1841</v>
      </c>
      <c r="D1788" s="1" t="str">
        <f>IFERROR(__xludf.DUMMYFUNCTION("GOOGLETRANSLATE(A1788 , ""auto"", ""ar"")"),"حضن")</f>
        <v>حضن</v>
      </c>
    </row>
    <row r="1789" ht="15.75" customHeight="1">
      <c r="A1789" s="1" t="s">
        <v>3700</v>
      </c>
      <c r="B1789" s="1" t="s">
        <v>209</v>
      </c>
      <c r="C1789" s="1"/>
      <c r="D1789" s="1" t="str">
        <f>IFERROR(__xludf.DUMMYFUNCTION("GOOGLETRANSLATE(A1789 , ""auto"", ""ar"")"),"حضن")</f>
        <v>حضن</v>
      </c>
    </row>
    <row r="1790" ht="15.75" customHeight="1">
      <c r="A1790" s="1" t="s">
        <v>3701</v>
      </c>
      <c r="B1790" s="1" t="s">
        <v>3702</v>
      </c>
      <c r="C1790" s="2" t="s">
        <v>3703</v>
      </c>
      <c r="D1790" s="1" t="str">
        <f>IFERROR(__xludf.DUMMYFUNCTION("GOOGLETRANSLATE(A1790 , ""auto"", ""ar"")"),"بشر")</f>
        <v>بشر</v>
      </c>
    </row>
    <row r="1791" ht="15.75" customHeight="1">
      <c r="A1791" s="1" t="s">
        <v>3704</v>
      </c>
      <c r="B1791" s="1" t="s">
        <v>3705</v>
      </c>
      <c r="C1791" s="2" t="s">
        <v>3706</v>
      </c>
      <c r="D1791" s="1" t="str">
        <f>IFERROR(__xludf.DUMMYFUNCTION("GOOGLETRANSLATE(A1791 , ""auto"", ""ar"")"),"مائة")</f>
        <v>مائة</v>
      </c>
    </row>
    <row r="1792" ht="15.75" customHeight="1">
      <c r="A1792" s="1" t="s">
        <v>3707</v>
      </c>
      <c r="B1792" s="1" t="s">
        <v>2599</v>
      </c>
      <c r="C1792" s="2" t="s">
        <v>2600</v>
      </c>
      <c r="D1792" s="1" t="str">
        <f>IFERROR(__xludf.DUMMYFUNCTION("GOOGLETRANSLATE(A1792 , ""auto"", ""ar"")"),"جوع")</f>
        <v>جوع</v>
      </c>
    </row>
    <row r="1793" ht="15.75" customHeight="1">
      <c r="A1793" s="1" t="s">
        <v>3708</v>
      </c>
      <c r="B1793" s="1" t="s">
        <v>3709</v>
      </c>
      <c r="C1793" s="2" t="s">
        <v>3710</v>
      </c>
      <c r="D1793" s="1" t="str">
        <f>IFERROR(__xludf.DUMMYFUNCTION("GOOGLETRANSLATE(A1793 , ""auto"", ""ar"")"),"جوعان")</f>
        <v>جوعان</v>
      </c>
    </row>
    <row r="1794" ht="15.75" customHeight="1">
      <c r="A1794" s="1" t="s">
        <v>3711</v>
      </c>
      <c r="B1794" s="1" t="s">
        <v>2761</v>
      </c>
      <c r="C1794" s="2" t="s">
        <v>2762</v>
      </c>
      <c r="D1794" s="1" t="str">
        <f>IFERROR(__xludf.DUMMYFUNCTION("GOOGLETRANSLATE(A1794 , ""auto"", ""ar"")"),"مطاردة")</f>
        <v>مطاردة</v>
      </c>
    </row>
    <row r="1795" ht="15.75" customHeight="1">
      <c r="A1795" s="1" t="s">
        <v>3712</v>
      </c>
      <c r="B1795" s="1" t="s">
        <v>3713</v>
      </c>
      <c r="C1795" s="2" t="s">
        <v>3714</v>
      </c>
      <c r="D1795" s="1" t="str">
        <f>IFERROR(__xludf.DUMMYFUNCTION("GOOGLETRANSLATE(A1795 , ""auto"", ""ar"")"),"عجل")</f>
        <v>عجل</v>
      </c>
    </row>
    <row r="1796" ht="15.75" customHeight="1">
      <c r="A1796" s="1" t="s">
        <v>3715</v>
      </c>
      <c r="B1796" s="1" t="s">
        <v>3716</v>
      </c>
      <c r="C1796" s="2" t="s">
        <v>3717</v>
      </c>
      <c r="D1796" s="1" t="str">
        <f>IFERROR(__xludf.DUMMYFUNCTION("GOOGLETRANSLATE(A1796 , ""auto"", ""ar"")"),"يؤذي")</f>
        <v>يؤذي</v>
      </c>
    </row>
    <row r="1797" ht="15.75" customHeight="1">
      <c r="A1797" s="1" t="s">
        <v>3715</v>
      </c>
      <c r="B1797" s="1" t="s">
        <v>3082</v>
      </c>
      <c r="C1797" s="2" t="s">
        <v>3083</v>
      </c>
      <c r="D1797" s="1" t="str">
        <f>IFERROR(__xludf.DUMMYFUNCTION("GOOGLETRANSLATE(A1797 , ""auto"", ""ar"")"),"يؤذي")</f>
        <v>يؤذي</v>
      </c>
    </row>
    <row r="1798" ht="15.75" customHeight="1">
      <c r="A1798" s="1" t="s">
        <v>3715</v>
      </c>
      <c r="B1798" s="1" t="s">
        <v>3718</v>
      </c>
      <c r="C1798" s="2" t="s">
        <v>3719</v>
      </c>
      <c r="D1798" s="1" t="str">
        <f>IFERROR(__xludf.DUMMYFUNCTION("GOOGLETRANSLATE(A1798 , ""auto"", ""ar"")"),"يؤذي")</f>
        <v>يؤذي</v>
      </c>
    </row>
    <row r="1799" ht="15.75" customHeight="1">
      <c r="A1799" s="1" t="s">
        <v>3715</v>
      </c>
      <c r="B1799" s="1" t="s">
        <v>3720</v>
      </c>
      <c r="C1799" s="2" t="s">
        <v>3721</v>
      </c>
      <c r="D1799" s="1" t="str">
        <f>IFERROR(__xludf.DUMMYFUNCTION("GOOGLETRANSLATE(A1799 , ""auto"", ""ar"")"),"يؤذي")</f>
        <v>يؤذي</v>
      </c>
    </row>
    <row r="1800" ht="15.75" customHeight="1">
      <c r="A1800" s="1" t="s">
        <v>3715</v>
      </c>
      <c r="B1800" s="1" t="s">
        <v>3722</v>
      </c>
      <c r="C1800" s="2" t="s">
        <v>3723</v>
      </c>
      <c r="D1800" s="1" t="str">
        <f>IFERROR(__xludf.DUMMYFUNCTION("GOOGLETRANSLATE(A1800 , ""auto"", ""ar"")"),"يؤذي")</f>
        <v>يؤذي</v>
      </c>
    </row>
    <row r="1801" ht="15.75" customHeight="1">
      <c r="A1801" s="1" t="s">
        <v>3724</v>
      </c>
      <c r="B1801" s="1" t="s">
        <v>3725</v>
      </c>
      <c r="C1801" s="2" t="s">
        <v>3726</v>
      </c>
      <c r="D1801" s="1" t="str">
        <f>IFERROR(__xludf.DUMMYFUNCTION("GOOGLETRANSLATE(A1801 , ""auto"", ""ar"")"),"زوج")</f>
        <v>زوج</v>
      </c>
    </row>
    <row r="1802" ht="15.75" customHeight="1">
      <c r="A1802" s="1" t="s">
        <v>3727</v>
      </c>
      <c r="B1802" s="1" t="s">
        <v>3728</v>
      </c>
      <c r="C1802" s="1"/>
      <c r="D1802" s="1" t="str">
        <f>IFERROR(__xludf.DUMMYFUNCTION("GOOGLETRANSLATE(A1802 , ""auto"", ""ar"")"),"ترنيمة")</f>
        <v>ترنيمة</v>
      </c>
    </row>
    <row r="1803" ht="15.75" customHeight="1">
      <c r="A1803" s="1" t="s">
        <v>466</v>
      </c>
      <c r="B1803" s="1" t="s">
        <v>467</v>
      </c>
      <c r="C1803" s="2" t="s">
        <v>468</v>
      </c>
      <c r="D1803" s="1" t="str">
        <f>IFERROR(__xludf.DUMMYFUNCTION("GOOGLETRANSLATE(A1803 , ""auto"", ""ar"")"),"اسم العائلة")</f>
        <v>اسم العائلة</v>
      </c>
    </row>
    <row r="1804" ht="15.75" customHeight="1">
      <c r="A1804" s="1" t="s">
        <v>43</v>
      </c>
      <c r="B1804" s="1" t="s">
        <v>44</v>
      </c>
      <c r="C1804" s="2" t="s">
        <v>45</v>
      </c>
      <c r="D1804" s="1" t="str">
        <f>IFERROR(__xludf.DUMMYFUNCTION("GOOGLETRANSLATE(A1804 , ""auto"", ""ar"")"),"مقبول")</f>
        <v>مقبول</v>
      </c>
    </row>
    <row r="1805" ht="15.75" customHeight="1">
      <c r="A1805" s="1" t="s">
        <v>469</v>
      </c>
      <c r="B1805" s="1" t="s">
        <v>470</v>
      </c>
      <c r="C1805" s="2" t="s">
        <v>471</v>
      </c>
      <c r="D1805" s="1" t="str">
        <f>IFERROR(__xludf.DUMMYFUNCTION("GOOGLETRANSLATE(A1805 , ""auto"", ""ar"")"),"التصالح")</f>
        <v>التصالح</v>
      </c>
    </row>
    <row r="1806" ht="15.75" customHeight="1">
      <c r="A1806" s="1" t="s">
        <v>472</v>
      </c>
      <c r="B1806" s="1" t="s">
        <v>473</v>
      </c>
      <c r="C1806" s="2" t="s">
        <v>474</v>
      </c>
      <c r="D1806" s="1" t="str">
        <f>IFERROR(__xludf.DUMMYFUNCTION("GOOGLETRANSLATE(A1806 , ""auto"", ""ar"")"),"مغفرة")</f>
        <v>مغفرة</v>
      </c>
    </row>
    <row r="1807" ht="15.75" customHeight="1">
      <c r="A1807" s="1" t="s">
        <v>475</v>
      </c>
      <c r="B1807" s="1" t="s">
        <v>476</v>
      </c>
      <c r="C1807" s="2" t="s">
        <v>477</v>
      </c>
      <c r="D1807" s="1" t="str">
        <f>IFERROR(__xludf.DUMMYFUNCTION("GOOGLETRANSLATE(A1807 , ""auto"", ""ar"")"),"يخبر")</f>
        <v>يخبر</v>
      </c>
    </row>
    <row r="1808" ht="15.75" customHeight="1">
      <c r="A1808" s="1" t="s">
        <v>3729</v>
      </c>
      <c r="B1808" s="1" t="s">
        <v>3730</v>
      </c>
      <c r="C1808" s="2" t="s">
        <v>3731</v>
      </c>
      <c r="D1808" s="1" t="str">
        <f>IFERROR(__xludf.DUMMYFUNCTION("GOOGLETRANSLATE(A1808 , ""auto"", ""ar"")"),"أنا")</f>
        <v>أنا</v>
      </c>
    </row>
    <row r="1809" ht="15.75" customHeight="1">
      <c r="A1809" s="1" t="s">
        <v>3729</v>
      </c>
      <c r="B1809" s="1" t="s">
        <v>3732</v>
      </c>
      <c r="C1809" s="1"/>
      <c r="D1809" s="1" t="str">
        <f>IFERROR(__xludf.DUMMYFUNCTION("GOOGLETRANSLATE(A1809 , ""auto"", ""ar"")"),"أنا")</f>
        <v>أنا</v>
      </c>
    </row>
    <row r="1810" ht="15.75" customHeight="1">
      <c r="A1810" s="1" t="s">
        <v>3733</v>
      </c>
      <c r="B1810" s="1" t="s">
        <v>3734</v>
      </c>
      <c r="C1810" s="1"/>
      <c r="D1810" s="1" t="str">
        <f>IFERROR(__xludf.DUMMYFUNCTION("GOOGLETRANSLATE(A1810 , ""auto"", ""ar"")"),"بوظة")</f>
        <v>بوظة</v>
      </c>
    </row>
    <row r="1811" ht="15.75" customHeight="1">
      <c r="A1811" s="1" t="s">
        <v>3735</v>
      </c>
      <c r="B1811" s="1" t="s">
        <v>3736</v>
      </c>
      <c r="C1811" s="2" t="s">
        <v>3737</v>
      </c>
      <c r="D1811" s="1" t="str">
        <f>IFERROR(__xludf.DUMMYFUNCTION("GOOGLETRANSLATE(A1811 , ""auto"", ""ar"")"),"مكعب ثلج")</f>
        <v>مكعب ثلج</v>
      </c>
    </row>
    <row r="1812" ht="15.75" customHeight="1">
      <c r="A1812" s="1" t="s">
        <v>3738</v>
      </c>
      <c r="B1812" s="1" t="s">
        <v>3739</v>
      </c>
      <c r="C1812" s="1"/>
      <c r="D1812" s="1" t="str">
        <f>IFERROR(__xludf.DUMMYFUNCTION("GOOGLETRANSLATE(A1812 , ""auto"", ""ar"")"),"مسحوق السكر")</f>
        <v>مسحوق السكر</v>
      </c>
    </row>
    <row r="1813" ht="15.75" customHeight="1">
      <c r="A1813" s="1" t="s">
        <v>3740</v>
      </c>
      <c r="B1813" s="1" t="s">
        <v>3741</v>
      </c>
      <c r="C1813" s="2" t="s">
        <v>3742</v>
      </c>
      <c r="D1813" s="1" t="str">
        <f>IFERROR(__xludf.DUMMYFUNCTION("GOOGLETRANSLATE(A1813 , ""auto"", ""ar"")"),"فكرة")</f>
        <v>فكرة</v>
      </c>
    </row>
    <row r="1814" ht="15.75" customHeight="1">
      <c r="A1814" s="1" t="s">
        <v>3743</v>
      </c>
      <c r="B1814" s="1" t="s">
        <v>3744</v>
      </c>
      <c r="C1814" s="2" t="s">
        <v>3745</v>
      </c>
      <c r="D1814" s="1" t="str">
        <f>IFERROR(__xludf.DUMMYFUNCTION("GOOGLETRANSLATE(A1814 , ""auto"", ""ar"")"),"لو")</f>
        <v>لو</v>
      </c>
    </row>
    <row r="1815" ht="15.75" customHeight="1">
      <c r="A1815" s="1" t="s">
        <v>3743</v>
      </c>
      <c r="B1815" s="1" t="s">
        <v>3746</v>
      </c>
      <c r="C1815" s="2" t="s">
        <v>2159</v>
      </c>
      <c r="D1815" s="1" t="str">
        <f>IFERROR(__xludf.DUMMYFUNCTION("GOOGLETRANSLATE(A1815 , ""auto"", ""ar"")"),"لو")</f>
        <v>لو</v>
      </c>
    </row>
    <row r="1816" ht="15.75" customHeight="1">
      <c r="A1816" s="1" t="s">
        <v>3743</v>
      </c>
      <c r="B1816" s="1" t="s">
        <v>3747</v>
      </c>
      <c r="C1816" s="1"/>
      <c r="D1816" s="1" t="str">
        <f>IFERROR(__xludf.DUMMYFUNCTION("GOOGLETRANSLATE(A1816 , ""auto"", ""ar"")"),"لو")</f>
        <v>لو</v>
      </c>
    </row>
    <row r="1817" ht="15.75" customHeight="1">
      <c r="A1817" s="1" t="s">
        <v>3748</v>
      </c>
      <c r="B1817" s="1" t="s">
        <v>3749</v>
      </c>
      <c r="C1817" s="2" t="s">
        <v>3750</v>
      </c>
      <c r="D1817" s="1" t="str">
        <f>IFERROR(__xludf.DUMMYFUNCTION("GOOGLETRANSLATE(A1817 , ""auto"", ""ar"")"),"سوف")</f>
        <v>سوف</v>
      </c>
    </row>
    <row r="1818" ht="15.75" customHeight="1">
      <c r="A1818" s="1" t="s">
        <v>3748</v>
      </c>
      <c r="B1818" s="1" t="s">
        <v>3751</v>
      </c>
      <c r="C1818" s="2" t="s">
        <v>3752</v>
      </c>
      <c r="D1818" s="1" t="str">
        <f>IFERROR(__xludf.DUMMYFUNCTION("GOOGLETRANSLATE(A1818 , ""auto"", ""ar"")"),"سوف")</f>
        <v>سوف</v>
      </c>
    </row>
    <row r="1819" ht="15.75" customHeight="1">
      <c r="A1819" s="1" t="s">
        <v>3753</v>
      </c>
      <c r="B1819" s="1" t="s">
        <v>3754</v>
      </c>
      <c r="C1819" s="2" t="s">
        <v>3755</v>
      </c>
      <c r="D1819" s="1" t="str">
        <f>IFERROR(__xludf.DUMMYFUNCTION("GOOGLETRANSLATE(A1819 , ""auto"", ""ar"")"),"مرض")</f>
        <v>مرض</v>
      </c>
    </row>
    <row r="1820" ht="15.75" customHeight="1">
      <c r="A1820" s="1" t="s">
        <v>3756</v>
      </c>
      <c r="B1820" s="1" t="s">
        <v>3757</v>
      </c>
      <c r="C1820" s="2" t="s">
        <v>3758</v>
      </c>
      <c r="D1820" s="1" t="str">
        <f>IFERROR(__xludf.DUMMYFUNCTION("GOOGLETRANSLATE(A1820 , ""auto"", ""ar"")"),"صورة")</f>
        <v>صورة</v>
      </c>
    </row>
    <row r="1821" ht="15.75" customHeight="1">
      <c r="A1821" s="1" t="s">
        <v>3759</v>
      </c>
      <c r="B1821" s="1" t="s">
        <v>1028</v>
      </c>
      <c r="C1821" s="1"/>
      <c r="D1821" s="1" t="str">
        <f>IFERROR(__xludf.DUMMYFUNCTION("GOOGLETRANSLATE(A1821 , ""auto"", ""ar"")"),"يتصور")</f>
        <v>يتصور</v>
      </c>
    </row>
    <row r="1822" ht="15.75" customHeight="1">
      <c r="A1822" s="1" t="s">
        <v>3760</v>
      </c>
      <c r="B1822" s="1" t="s">
        <v>3761</v>
      </c>
      <c r="C1822" s="2" t="s">
        <v>3762</v>
      </c>
      <c r="D1822" s="1" t="str">
        <f>IFERROR(__xludf.DUMMYFUNCTION("GOOGLETRANSLATE(A1822 , ""auto"", ""ar"")"),"مهم")</f>
        <v>مهم</v>
      </c>
    </row>
    <row r="1823" ht="15.75" customHeight="1">
      <c r="A1823" s="1" t="s">
        <v>3760</v>
      </c>
      <c r="B1823" s="1" t="s">
        <v>3763</v>
      </c>
      <c r="C1823" s="1"/>
      <c r="D1823" s="1" t="str">
        <f>IFERROR(__xludf.DUMMYFUNCTION("GOOGLETRANSLATE(A1823 , ""auto"", ""ar"")"),"مهم")</f>
        <v>مهم</v>
      </c>
    </row>
    <row r="1824" ht="15.75" customHeight="1">
      <c r="A1824" s="1" t="s">
        <v>3764</v>
      </c>
      <c r="B1824" s="1" t="s">
        <v>3765</v>
      </c>
      <c r="C1824" s="2" t="s">
        <v>3766</v>
      </c>
      <c r="D1824" s="1" t="str">
        <f>IFERROR(__xludf.DUMMYFUNCTION("GOOGLETRANSLATE(A1824 , ""auto"", ""ar"")"),"سجن")</f>
        <v>سجن</v>
      </c>
    </row>
    <row r="1825" ht="15.75" customHeight="1">
      <c r="A1825" s="1" t="s">
        <v>3767</v>
      </c>
      <c r="B1825" s="1" t="s">
        <v>3768</v>
      </c>
      <c r="C1825" s="1"/>
      <c r="D1825" s="1" t="str">
        <f>IFERROR(__xludf.DUMMYFUNCTION("GOOGLETRANSLATE(A1825 , ""auto"", ""ar"")"),"الإرهاق")</f>
        <v>الإرهاق</v>
      </c>
    </row>
    <row r="1826" ht="15.75" customHeight="1">
      <c r="A1826" s="1" t="s">
        <v>3769</v>
      </c>
      <c r="B1826" s="1" t="s">
        <v>409</v>
      </c>
      <c r="C1826" s="2" t="s">
        <v>3770</v>
      </c>
      <c r="D1826" s="1" t="str">
        <f>IFERROR(__xludf.DUMMYFUNCTION("GOOGLETRANSLATE(A1826 , ""auto"", ""ar"")"),"في")</f>
        <v>في</v>
      </c>
    </row>
    <row r="1827" ht="15.75" customHeight="1">
      <c r="A1827" s="1" t="s">
        <v>3769</v>
      </c>
      <c r="B1827" s="1" t="s">
        <v>409</v>
      </c>
      <c r="C1827" s="2" t="s">
        <v>3770</v>
      </c>
      <c r="D1827" s="1" t="str">
        <f>IFERROR(__xludf.DUMMYFUNCTION("GOOGLETRANSLATE(A1827 , ""auto"", ""ar"")"),"في")</f>
        <v>في</v>
      </c>
    </row>
    <row r="1828" ht="15.75" customHeight="1">
      <c r="A1828" s="1" t="s">
        <v>3769</v>
      </c>
      <c r="B1828" s="1" t="s">
        <v>134</v>
      </c>
      <c r="C1828" s="2" t="s">
        <v>135</v>
      </c>
      <c r="D1828" s="1" t="str">
        <f>IFERROR(__xludf.DUMMYFUNCTION("GOOGLETRANSLATE(A1828 , ""auto"", ""ar"")"),"في")</f>
        <v>في</v>
      </c>
    </row>
    <row r="1829" ht="15.75" customHeight="1">
      <c r="A1829" s="1" t="s">
        <v>3769</v>
      </c>
      <c r="B1829" s="1" t="s">
        <v>3771</v>
      </c>
      <c r="C1829" s="2" t="s">
        <v>3772</v>
      </c>
      <c r="D1829" s="1" t="str">
        <f>IFERROR(__xludf.DUMMYFUNCTION("GOOGLETRANSLATE(A1829 , ""auto"", ""ar"")"),"في")</f>
        <v>في</v>
      </c>
    </row>
    <row r="1830" ht="15.75" customHeight="1">
      <c r="A1830" s="1" t="s">
        <v>3773</v>
      </c>
      <c r="B1830" s="1" t="s">
        <v>3774</v>
      </c>
      <c r="C1830" s="1"/>
      <c r="D1830" s="1" t="str">
        <f>IFERROR(__xludf.DUMMYFUNCTION("GOOGLETRANSLATE(A1830 , ""auto"", ""ar"")"),"في لحظة")</f>
        <v>في لحظة</v>
      </c>
    </row>
    <row r="1831" ht="15.75" customHeight="1">
      <c r="A1831" s="1" t="s">
        <v>3775</v>
      </c>
      <c r="B1831" s="1" t="s">
        <v>3776</v>
      </c>
      <c r="C1831" s="2" t="s">
        <v>3777</v>
      </c>
      <c r="D1831" s="1" t="str">
        <f>IFERROR(__xludf.DUMMYFUNCTION("GOOGLETRANSLATE(A1831 , ""auto"", ""ar"")"),"مستعجل، في عجلة من أمري")</f>
        <v>مستعجل، في عجلة من أمري</v>
      </c>
    </row>
    <row r="1832" ht="15.75" customHeight="1">
      <c r="A1832" s="1" t="s">
        <v>3778</v>
      </c>
      <c r="B1832" s="1" t="s">
        <v>3779</v>
      </c>
      <c r="C1832" s="1"/>
      <c r="D1832" s="1" t="str">
        <f>IFERROR(__xludf.DUMMYFUNCTION("GOOGLETRANSLATE(A1832 , ""auto"", ""ar"")"),"فضلاً عن ذلك")</f>
        <v>فضلاً عن ذلك</v>
      </c>
    </row>
    <row r="1833" ht="15.75" customHeight="1">
      <c r="A1833" s="1" t="s">
        <v>3780</v>
      </c>
      <c r="B1833" s="1" t="s">
        <v>3781</v>
      </c>
      <c r="C1833" s="2" t="s">
        <v>3782</v>
      </c>
      <c r="D1833" s="1" t="str">
        <f>IFERROR(__xludf.DUMMYFUNCTION("GOOGLETRANSLATE(A1833 , ""auto"", ""ar"")"),"في الاتفاقية")</f>
        <v>في الاتفاقية</v>
      </c>
    </row>
    <row r="1834" ht="15.75" customHeight="1">
      <c r="A1834" s="1" t="s">
        <v>3783</v>
      </c>
      <c r="B1834" s="1" t="s">
        <v>3784</v>
      </c>
      <c r="C1834" s="2" t="s">
        <v>3785</v>
      </c>
      <c r="D1834" s="1" t="str">
        <f>IFERROR(__xludf.DUMMYFUNCTION("GOOGLETRANSLATE(A1834 , ""auto"", ""ar"")"),"مسؤول عن")</f>
        <v>مسؤول عن</v>
      </c>
    </row>
    <row r="1835" ht="15.75" customHeight="1">
      <c r="A1835" s="1" t="s">
        <v>3783</v>
      </c>
      <c r="B1835" s="1" t="s">
        <v>3786</v>
      </c>
      <c r="C1835" s="2" t="s">
        <v>3787</v>
      </c>
      <c r="D1835" s="1" t="str">
        <f>IFERROR(__xludf.DUMMYFUNCTION("GOOGLETRANSLATE(A1835 , ""auto"", ""ar"")"),"مسؤول عن")</f>
        <v>مسؤول عن</v>
      </c>
    </row>
    <row r="1836" ht="15.75" customHeight="1">
      <c r="A1836" s="1" t="s">
        <v>3788</v>
      </c>
      <c r="B1836" s="1" t="s">
        <v>359</v>
      </c>
      <c r="C1836" s="2" t="s">
        <v>360</v>
      </c>
      <c r="D1836" s="1" t="str">
        <f>IFERROR(__xludf.DUMMYFUNCTION("GOOGLETRANSLATE(A1836 , ""auto"", ""ar"")"),"امام")</f>
        <v>امام</v>
      </c>
    </row>
    <row r="1837" ht="15.75" customHeight="1">
      <c r="A1837" s="1" t="s">
        <v>3788</v>
      </c>
      <c r="B1837" s="1" t="s">
        <v>359</v>
      </c>
      <c r="C1837" s="2" t="s">
        <v>65</v>
      </c>
      <c r="D1837" s="1" t="str">
        <f>IFERROR(__xludf.DUMMYFUNCTION("GOOGLETRANSLATE(A1837 , ""auto"", ""ar"")"),"امام")</f>
        <v>امام</v>
      </c>
    </row>
    <row r="1838" ht="15.75" customHeight="1">
      <c r="A1838" s="1" t="s">
        <v>3789</v>
      </c>
      <c r="B1838" s="1" t="s">
        <v>3790</v>
      </c>
      <c r="C1838" s="2" t="s">
        <v>3791</v>
      </c>
      <c r="D1838" s="1" t="str">
        <f>IFERROR(__xludf.DUMMYFUNCTION("GOOGLETRANSLATE(A1838 , ""auto"", ""ar"")"),"بغرض")</f>
        <v>بغرض</v>
      </c>
    </row>
    <row r="1839" ht="15.75" customHeight="1">
      <c r="A1839" s="1" t="s">
        <v>3792</v>
      </c>
      <c r="B1839" s="1" t="s">
        <v>3793</v>
      </c>
      <c r="C1839" s="1"/>
      <c r="D1839" s="1" t="str">
        <f>IFERROR(__xludf.DUMMYFUNCTION("GOOGLETRANSLATE(A1839 , ""auto"", ""ar"")"),"فى المستقبل")</f>
        <v>فى المستقبل</v>
      </c>
    </row>
    <row r="1840" ht="15.75" customHeight="1">
      <c r="A1840" s="1" t="s">
        <v>3792</v>
      </c>
      <c r="B1840" s="1" t="s">
        <v>3794</v>
      </c>
      <c r="C1840" s="1"/>
      <c r="D1840" s="1" t="str">
        <f>IFERROR(__xludf.DUMMYFUNCTION("GOOGLETRANSLATE(A1840 , ""auto"", ""ar"")"),"فى المستقبل")</f>
        <v>فى المستقبل</v>
      </c>
    </row>
    <row r="1841" ht="15.75" customHeight="1">
      <c r="A1841" s="1" t="s">
        <v>3795</v>
      </c>
      <c r="B1841" s="1" t="s">
        <v>3796</v>
      </c>
      <c r="C1841" s="1"/>
      <c r="D1841" s="1" t="str">
        <f>IFERROR(__xludf.DUMMYFUNCTION("GOOGLETRANSLATE(A1841 , ""auto"", ""ar"")"),"فى الوسط ل")</f>
        <v>فى الوسط ل</v>
      </c>
    </row>
    <row r="1842" ht="15.75" customHeight="1">
      <c r="A1842" s="1" t="s">
        <v>3795</v>
      </c>
      <c r="B1842" s="1" t="s">
        <v>3797</v>
      </c>
      <c r="C1842" s="1"/>
      <c r="D1842" s="1" t="str">
        <f>IFERROR(__xludf.DUMMYFUNCTION("GOOGLETRANSLATE(A1842 , ""auto"", ""ar"")"),"فى الوسط ل")</f>
        <v>فى الوسط ل</v>
      </c>
    </row>
    <row r="1843" ht="15.75" customHeight="1">
      <c r="A1843" s="1" t="s">
        <v>3798</v>
      </c>
      <c r="B1843" s="1" t="s">
        <v>3799</v>
      </c>
      <c r="C1843" s="2" t="s">
        <v>3800</v>
      </c>
      <c r="D1843" s="1" t="str">
        <f>IFERROR(__xludf.DUMMYFUNCTION("GOOGLETRANSLATE(A1843 , ""auto"", ""ar"")"),"بسم الله")</f>
        <v>بسم الله</v>
      </c>
    </row>
    <row r="1844" ht="15.75" customHeight="1">
      <c r="A1844" s="1" t="s">
        <v>3801</v>
      </c>
      <c r="B1844" s="1" t="s">
        <v>3802</v>
      </c>
      <c r="C1844" s="1"/>
      <c r="D1844" s="1" t="str">
        <f>IFERROR(__xludf.DUMMYFUNCTION("GOOGLETRANSLATE(A1844 , ""auto"", ""ar"")"),"في القانون")</f>
        <v>في القانون</v>
      </c>
    </row>
    <row r="1845" ht="15.75" customHeight="1">
      <c r="A1845" s="1" t="s">
        <v>3801</v>
      </c>
      <c r="B1845" s="1" t="s">
        <v>3803</v>
      </c>
      <c r="C1845" s="1"/>
      <c r="D1845" s="1" t="str">
        <f>IFERROR(__xludf.DUMMYFUNCTION("GOOGLETRANSLATE(A1845 , ""auto"", ""ar"")"),"في القانون")</f>
        <v>في القانون</v>
      </c>
    </row>
    <row r="1846" ht="15.75" customHeight="1">
      <c r="A1846" s="1" t="s">
        <v>3804</v>
      </c>
      <c r="B1846" s="1" t="s">
        <v>2591</v>
      </c>
      <c r="C1846" s="2" t="s">
        <v>2592</v>
      </c>
      <c r="D1846" s="1" t="str">
        <f>IFERROR(__xludf.DUMMYFUNCTION("GOOGLETRANSLATE(A1846 , ""auto"", ""ar"")"),"غير صحيح")</f>
        <v>غير صحيح</v>
      </c>
    </row>
    <row r="1847" ht="15.75" customHeight="1">
      <c r="A1847" s="1" t="s">
        <v>3805</v>
      </c>
      <c r="B1847" s="1" t="s">
        <v>79</v>
      </c>
      <c r="C1847" s="2" t="s">
        <v>80</v>
      </c>
      <c r="D1847" s="1" t="str">
        <f>IFERROR(__xludf.DUMMYFUNCTION("GOOGLETRANSLATE(A1847 , ""auto"", ""ar"")"),"يزيد")</f>
        <v>يزيد</v>
      </c>
    </row>
    <row r="1848" ht="15.75" customHeight="1">
      <c r="A1848" s="1" t="s">
        <v>3806</v>
      </c>
      <c r="B1848" s="1" t="s">
        <v>3807</v>
      </c>
      <c r="C1848" s="2" t="s">
        <v>3808</v>
      </c>
      <c r="D1848" s="1" t="str">
        <f>IFERROR(__xludf.DUMMYFUNCTION("GOOGLETRANSLATE(A1848 , ""auto"", ""ar"")"),"الهند")</f>
        <v>الهند</v>
      </c>
    </row>
    <row r="1849" ht="15.75" customHeight="1">
      <c r="A1849" s="1" t="s">
        <v>3809</v>
      </c>
      <c r="B1849" s="1" t="s">
        <v>3810</v>
      </c>
      <c r="C1849" s="2" t="s">
        <v>3811</v>
      </c>
      <c r="D1849" s="1" t="str">
        <f>IFERROR(__xludf.DUMMYFUNCTION("GOOGLETRANSLATE(A1849 , ""auto"", ""ar"")"),"هندي")</f>
        <v>هندي</v>
      </c>
    </row>
    <row r="1850" ht="15.75" customHeight="1">
      <c r="A1850" s="1" t="s">
        <v>3812</v>
      </c>
      <c r="B1850" s="1" t="s">
        <v>3813</v>
      </c>
      <c r="C1850" s="2" t="s">
        <v>3814</v>
      </c>
      <c r="D1850" s="1" t="str">
        <f>IFERROR(__xludf.DUMMYFUNCTION("GOOGLETRANSLATE(A1850 , ""auto"", ""ar"")"),"صناعي")</f>
        <v>صناعي</v>
      </c>
    </row>
    <row r="1851" ht="15.75" customHeight="1">
      <c r="A1851" s="1" t="s">
        <v>3815</v>
      </c>
      <c r="B1851" s="1" t="s">
        <v>1334</v>
      </c>
      <c r="C1851" s="2" t="s">
        <v>1335</v>
      </c>
      <c r="D1851" s="1" t="str">
        <f>IFERROR(__xludf.DUMMYFUNCTION("GOOGLETRANSLATE(A1851 , ""auto"", ""ar"")"),"غير مكلف")</f>
        <v>غير مكلف</v>
      </c>
    </row>
    <row r="1852" ht="15.75" customHeight="1">
      <c r="A1852" s="1" t="s">
        <v>3816</v>
      </c>
      <c r="B1852" s="1" t="s">
        <v>1667</v>
      </c>
      <c r="C1852" s="2" t="s">
        <v>1668</v>
      </c>
      <c r="D1852" s="1" t="str">
        <f>IFERROR(__xludf.DUMMYFUNCTION("GOOGLETRANSLATE(A1852 , ""auto"", ""ar"")"),"إصابة")</f>
        <v>إصابة</v>
      </c>
    </row>
    <row r="1853" ht="15.75" customHeight="1">
      <c r="A1853" s="1" t="s">
        <v>3816</v>
      </c>
      <c r="B1853" s="1" t="s">
        <v>1670</v>
      </c>
      <c r="C1853" s="1"/>
      <c r="D1853" s="1" t="str">
        <f>IFERROR(__xludf.DUMMYFUNCTION("GOOGLETRANSLATE(A1853 , ""auto"", ""ar"")"),"إصابة")</f>
        <v>إصابة</v>
      </c>
    </row>
    <row r="1854" ht="15.75" customHeight="1">
      <c r="A1854" s="1" t="s">
        <v>475</v>
      </c>
      <c r="B1854" s="1" t="s">
        <v>476</v>
      </c>
      <c r="C1854" s="2" t="s">
        <v>477</v>
      </c>
      <c r="D1854" s="1" t="str">
        <f>IFERROR(__xludf.DUMMYFUNCTION("GOOGLETRANSLATE(A1854 , ""auto"", ""ar"")"),"يخبر")</f>
        <v>يخبر</v>
      </c>
    </row>
    <row r="1855" ht="15.75" customHeight="1">
      <c r="A1855" s="1" t="s">
        <v>3817</v>
      </c>
      <c r="B1855" s="1" t="s">
        <v>3818</v>
      </c>
      <c r="C1855" s="1"/>
      <c r="D1855" s="1" t="str">
        <f>IFERROR(__xludf.DUMMYFUNCTION("GOOGLETRANSLATE(A1855 , ""auto"", ""ar"")"),"معلومة")</f>
        <v>معلومة</v>
      </c>
    </row>
    <row r="1856" ht="15.75" customHeight="1">
      <c r="A1856" s="1" t="s">
        <v>3819</v>
      </c>
      <c r="B1856" s="1" t="s">
        <v>3820</v>
      </c>
      <c r="C1856" s="1"/>
      <c r="D1856" s="1" t="str">
        <f>IFERROR(__xludf.DUMMYFUNCTION("GOOGLETRANSLATE(A1856 , ""auto"", ""ar"")"),"مكونات")</f>
        <v>مكونات</v>
      </c>
    </row>
    <row r="1857" ht="15.75" customHeight="1">
      <c r="A1857" s="1" t="s">
        <v>3821</v>
      </c>
      <c r="B1857" s="1" t="s">
        <v>699</v>
      </c>
      <c r="C1857" s="2" t="s">
        <v>700</v>
      </c>
      <c r="D1857" s="1" t="str">
        <f>IFERROR(__xludf.DUMMYFUNCTION("GOOGLETRANSLATE(A1857 , ""auto"", ""ar"")"),"استنشاق")</f>
        <v>استنشاق</v>
      </c>
    </row>
    <row r="1858" ht="15.75" customHeight="1">
      <c r="A1858" s="1" t="s">
        <v>3822</v>
      </c>
      <c r="B1858" s="1" t="s">
        <v>3823</v>
      </c>
      <c r="C1858" s="1"/>
      <c r="D1858" s="1" t="str">
        <f>IFERROR(__xludf.DUMMYFUNCTION("GOOGLETRANSLATE(A1858 , ""auto"", ""ar"")"),"ميراث")</f>
        <v>ميراث</v>
      </c>
    </row>
    <row r="1859" ht="15.75" customHeight="1">
      <c r="A1859" s="1" t="s">
        <v>3824</v>
      </c>
      <c r="B1859" s="1" t="s">
        <v>3825</v>
      </c>
      <c r="C1859" s="1"/>
      <c r="D1859" s="1" t="str">
        <f>IFERROR(__xludf.DUMMYFUNCTION("GOOGLETRANSLATE(A1859 , ""auto"", ""ar"")"),"حقن")</f>
        <v>حقن</v>
      </c>
    </row>
    <row r="1860" ht="15.75" customHeight="1">
      <c r="A1860" s="1" t="s">
        <v>3824</v>
      </c>
      <c r="B1860" s="1" t="s">
        <v>631</v>
      </c>
      <c r="C1860" s="1"/>
      <c r="D1860" s="1" t="str">
        <f>IFERROR(__xludf.DUMMYFUNCTION("GOOGLETRANSLATE(A1860 , ""auto"", ""ar"")"),"حقن")</f>
        <v>حقن</v>
      </c>
    </row>
    <row r="1861" ht="15.75" customHeight="1">
      <c r="A1861" s="1" t="s">
        <v>3824</v>
      </c>
      <c r="B1861" s="1" t="s">
        <v>3826</v>
      </c>
      <c r="C1861" s="1"/>
      <c r="D1861" s="1" t="str">
        <f>IFERROR(__xludf.DUMMYFUNCTION("GOOGLETRANSLATE(A1861 , ""auto"", ""ar"")"),"حقن")</f>
        <v>حقن</v>
      </c>
    </row>
    <row r="1862" ht="15.75" customHeight="1">
      <c r="A1862" s="1" t="s">
        <v>3827</v>
      </c>
      <c r="B1862" s="1" t="s">
        <v>1714</v>
      </c>
      <c r="C1862" s="2" t="s">
        <v>3828</v>
      </c>
      <c r="D1862" s="1" t="str">
        <f>IFERROR(__xludf.DUMMYFUNCTION("GOOGLETRANSLATE(A1862 , ""auto"", ""ar"")"),"حقنة")</f>
        <v>حقنة</v>
      </c>
    </row>
    <row r="1863" ht="15.75" customHeight="1">
      <c r="A1863" s="1" t="s">
        <v>3829</v>
      </c>
      <c r="B1863" s="1" t="s">
        <v>3082</v>
      </c>
      <c r="C1863" s="2" t="s">
        <v>3083</v>
      </c>
      <c r="D1863" s="1" t="str">
        <f>IFERROR(__xludf.DUMMYFUNCTION("GOOGLETRANSLATE(A1863 , ""auto"", ""ar"")"),"إصابة")</f>
        <v>إصابة</v>
      </c>
    </row>
    <row r="1864" ht="15.75" customHeight="1">
      <c r="A1864" s="1" t="s">
        <v>3829</v>
      </c>
      <c r="B1864" s="1" t="s">
        <v>3718</v>
      </c>
      <c r="C1864" s="2" t="s">
        <v>3719</v>
      </c>
      <c r="D1864" s="1" t="str">
        <f>IFERROR(__xludf.DUMMYFUNCTION("GOOGLETRANSLATE(A1864 , ""auto"", ""ar"")"),"إصابة")</f>
        <v>إصابة</v>
      </c>
    </row>
    <row r="1865" ht="15.75" customHeight="1">
      <c r="A1865" s="1" t="s">
        <v>3829</v>
      </c>
      <c r="B1865" s="1" t="s">
        <v>3720</v>
      </c>
      <c r="C1865" s="2" t="s">
        <v>3721</v>
      </c>
      <c r="D1865" s="1" t="str">
        <f>IFERROR(__xludf.DUMMYFUNCTION("GOOGLETRANSLATE(A1865 , ""auto"", ""ar"")"),"إصابة")</f>
        <v>إصابة</v>
      </c>
    </row>
    <row r="1866" ht="15.75" customHeight="1">
      <c r="A1866" s="1" t="s">
        <v>3830</v>
      </c>
      <c r="B1866" s="1" t="s">
        <v>3722</v>
      </c>
      <c r="C1866" s="2" t="s">
        <v>3723</v>
      </c>
      <c r="D1866" s="1" t="str">
        <f>IFERROR(__xludf.DUMMYFUNCTION("GOOGLETRANSLATE(A1866 , ""auto"", ""ar"")"),"مصاب")</f>
        <v>مصاب</v>
      </c>
    </row>
    <row r="1867" ht="15.75" customHeight="1">
      <c r="A1867" s="1" t="s">
        <v>3831</v>
      </c>
      <c r="B1867" s="1" t="s">
        <v>3832</v>
      </c>
      <c r="C1867" s="2" t="s">
        <v>3833</v>
      </c>
      <c r="D1867" s="1" t="str">
        <f>IFERROR(__xludf.DUMMYFUNCTION("GOOGLETRANSLATE(A1867 , ""auto"", ""ar"")"),"حبر")</f>
        <v>حبر</v>
      </c>
    </row>
    <row r="1868" ht="15.75" customHeight="1">
      <c r="A1868" s="1" t="s">
        <v>3834</v>
      </c>
      <c r="B1868" s="1" t="s">
        <v>3835</v>
      </c>
      <c r="C1868" s="2" t="s">
        <v>65</v>
      </c>
      <c r="D1868" s="1" t="str">
        <f>IFERROR(__xludf.DUMMYFUNCTION("GOOGLETRANSLATE(A1868 , ""auto"", ""ar"")"),"البريء")</f>
        <v>البريء</v>
      </c>
    </row>
    <row r="1869" ht="15.75" customHeight="1">
      <c r="A1869" s="1" t="s">
        <v>3836</v>
      </c>
      <c r="B1869" s="1" t="s">
        <v>3837</v>
      </c>
      <c r="C1869" s="2" t="s">
        <v>3838</v>
      </c>
      <c r="D1869" s="1" t="str">
        <f>IFERROR(__xludf.DUMMYFUNCTION("GOOGLETRANSLATE(A1869 , ""auto"", ""ar"")"),"حشرة")</f>
        <v>حشرة</v>
      </c>
    </row>
    <row r="1870" ht="15.75" customHeight="1">
      <c r="A1870" s="1" t="s">
        <v>3839</v>
      </c>
      <c r="B1870" s="1" t="s">
        <v>3840</v>
      </c>
      <c r="C1870" s="1"/>
      <c r="D1870" s="1" t="str">
        <f>IFERROR(__xludf.DUMMYFUNCTION("GOOGLETRANSLATE(A1870 , ""auto"", ""ar"")"),"لدغة حشرة")</f>
        <v>لدغة حشرة</v>
      </c>
    </row>
    <row r="1871" ht="15.75" customHeight="1">
      <c r="A1871" s="1" t="s">
        <v>3841</v>
      </c>
      <c r="B1871" s="1" t="s">
        <v>3842</v>
      </c>
      <c r="C1871" s="2" t="s">
        <v>3843</v>
      </c>
      <c r="D1871" s="1" t="str">
        <f>IFERROR(__xludf.DUMMYFUNCTION("GOOGLETRANSLATE(A1871 , ""auto"", ""ar"")"),"داخل")</f>
        <v>داخل</v>
      </c>
    </row>
    <row r="1872" ht="15.75" customHeight="1">
      <c r="A1872" s="1" t="s">
        <v>3844</v>
      </c>
      <c r="B1872" s="1" t="s">
        <v>3845</v>
      </c>
      <c r="C1872" s="2" t="s">
        <v>3846</v>
      </c>
      <c r="D1872" s="1" t="str">
        <f>IFERROR(__xludf.DUMMYFUNCTION("GOOGLETRANSLATE(A1872 , ""auto"", ""ar"")"),"يصر")</f>
        <v>يصر</v>
      </c>
    </row>
    <row r="1873" ht="15.75" customHeight="1">
      <c r="A1873" s="1" t="s">
        <v>3847</v>
      </c>
      <c r="B1873" s="1" t="s">
        <v>3848</v>
      </c>
      <c r="C1873" s="1"/>
      <c r="D1873" s="1" t="str">
        <f>IFERROR(__xludf.DUMMYFUNCTION("GOOGLETRANSLATE(A1873 , ""auto"", ""ar"")"),"مفتش")</f>
        <v>مفتش</v>
      </c>
    </row>
    <row r="1874" ht="15.75" customHeight="1">
      <c r="A1874" s="1" t="s">
        <v>3849</v>
      </c>
      <c r="B1874" s="1" t="s">
        <v>3850</v>
      </c>
      <c r="C1874" s="2" t="s">
        <v>3851</v>
      </c>
      <c r="D1874" s="1" t="str">
        <f>IFERROR(__xludf.DUMMYFUNCTION("GOOGLETRANSLATE(A1874 , ""auto"", ""ar"")"),"ثَبَّتَ")</f>
        <v>ثَبَّتَ</v>
      </c>
    </row>
    <row r="1875" ht="15.75" customHeight="1">
      <c r="A1875" s="1" t="s">
        <v>3852</v>
      </c>
      <c r="B1875" s="1" t="s">
        <v>3850</v>
      </c>
      <c r="C1875" s="2" t="s">
        <v>3851</v>
      </c>
      <c r="D1875" s="1" t="str">
        <f>IFERROR(__xludf.DUMMYFUNCTION("GOOGLETRANSLATE(A1875 , ""auto"", ""ar"")"),"ثَبَّتَ")</f>
        <v>ثَبَّتَ</v>
      </c>
    </row>
    <row r="1876" ht="15.75" customHeight="1">
      <c r="A1876" s="1" t="s">
        <v>3853</v>
      </c>
      <c r="B1876" s="1" t="s">
        <v>3854</v>
      </c>
      <c r="C1876" s="1"/>
      <c r="D1876" s="1" t="str">
        <f>IFERROR(__xludf.DUMMYFUNCTION("GOOGLETRANSLATE(A1876 , ""auto"", ""ar"")"),"تثبيت")</f>
        <v>تثبيت</v>
      </c>
    </row>
    <row r="1877" ht="15.75" customHeight="1">
      <c r="A1877" s="1" t="s">
        <v>3855</v>
      </c>
      <c r="B1877" s="1" t="s">
        <v>3856</v>
      </c>
      <c r="C1877" s="1"/>
      <c r="D1877" s="1" t="str">
        <f>IFERROR(__xludf.DUMMYFUNCTION("GOOGLETRANSLATE(A1877 , ""auto"", ""ar"")"),"معهد")</f>
        <v>معهد</v>
      </c>
    </row>
    <row r="1878" ht="15.75" customHeight="1">
      <c r="A1878" s="1" t="s">
        <v>3857</v>
      </c>
      <c r="B1878" s="1" t="s">
        <v>3858</v>
      </c>
      <c r="C1878" s="1"/>
      <c r="D1878" s="1" t="str">
        <f>IFERROR(__xludf.DUMMYFUNCTION("GOOGLETRANSLATE(A1878 , ""auto"", ""ar"")"),"تعليمات")</f>
        <v>تعليمات</v>
      </c>
    </row>
    <row r="1879" ht="15.75" customHeight="1">
      <c r="A1879" s="1" t="s">
        <v>3859</v>
      </c>
      <c r="B1879" s="1" t="s">
        <v>3860</v>
      </c>
      <c r="C1879" s="2" t="s">
        <v>3861</v>
      </c>
      <c r="D1879" s="1" t="str">
        <f>IFERROR(__xludf.DUMMYFUNCTION("GOOGLETRANSLATE(A1879 , ""auto"", ""ar"")"),"يسُبّ")</f>
        <v>يسُبّ</v>
      </c>
    </row>
    <row r="1880" ht="15.75" customHeight="1">
      <c r="A1880" s="1" t="s">
        <v>3862</v>
      </c>
      <c r="B1880" s="1" t="s">
        <v>3863</v>
      </c>
      <c r="C1880" s="2" t="s">
        <v>3864</v>
      </c>
      <c r="D1880" s="1" t="str">
        <f>IFERROR(__xludf.DUMMYFUNCTION("GOOGLETRANSLATE(A1880 , ""auto"", ""ar"")"),"تأمين")</f>
        <v>تأمين</v>
      </c>
    </row>
    <row r="1881" ht="15.75" customHeight="1">
      <c r="A1881" s="1" t="s">
        <v>3862</v>
      </c>
      <c r="B1881" s="1" t="s">
        <v>3865</v>
      </c>
      <c r="C1881" s="2" t="s">
        <v>3866</v>
      </c>
      <c r="D1881" s="1" t="str">
        <f>IFERROR(__xludf.DUMMYFUNCTION("GOOGLETRANSLATE(A1881 , ""auto"", ""ar"")"),"تأمين")</f>
        <v>تأمين</v>
      </c>
    </row>
    <row r="1882" ht="15.75" customHeight="1">
      <c r="A1882" s="1" t="s">
        <v>3867</v>
      </c>
      <c r="B1882" s="1" t="s">
        <v>3868</v>
      </c>
      <c r="C1882" s="2" t="s">
        <v>3869</v>
      </c>
      <c r="D1882" s="1" t="str">
        <f>IFERROR(__xludf.DUMMYFUNCTION("GOOGLETRANSLATE(A1882 , ""auto"", ""ar"")"),"ذكي")</f>
        <v>ذكي</v>
      </c>
    </row>
    <row r="1883" ht="15.75" customHeight="1">
      <c r="A1883" s="1" t="s">
        <v>3867</v>
      </c>
      <c r="B1883" s="1" t="s">
        <v>1484</v>
      </c>
      <c r="C1883" s="2" t="s">
        <v>1485</v>
      </c>
      <c r="D1883" s="1" t="str">
        <f>IFERROR(__xludf.DUMMYFUNCTION("GOOGLETRANSLATE(A1883 , ""auto"", ""ar"")"),"ذكي")</f>
        <v>ذكي</v>
      </c>
    </row>
    <row r="1884" ht="15.75" customHeight="1">
      <c r="A1884" s="1" t="s">
        <v>3870</v>
      </c>
      <c r="B1884" s="1" t="s">
        <v>3761</v>
      </c>
      <c r="C1884" s="2" t="s">
        <v>3762</v>
      </c>
      <c r="D1884" s="1" t="str">
        <f>IFERROR(__xludf.DUMMYFUNCTION("GOOGLETRANSLATE(A1884 , ""auto"", ""ar"")"),"مثير للاهتمام")</f>
        <v>مثير للاهتمام</v>
      </c>
    </row>
    <row r="1885" ht="15.75" customHeight="1">
      <c r="A1885" s="1" t="s">
        <v>3871</v>
      </c>
      <c r="B1885" s="1" t="s">
        <v>3842</v>
      </c>
      <c r="C1885" s="2" t="s">
        <v>3843</v>
      </c>
      <c r="D1885" s="1" t="str">
        <f>IFERROR(__xludf.DUMMYFUNCTION("GOOGLETRANSLATE(A1885 , ""auto"", ""ar"")"),"الداخلية")</f>
        <v>الداخلية</v>
      </c>
    </row>
    <row r="1886" ht="15.75" customHeight="1">
      <c r="A1886" s="1" t="s">
        <v>3872</v>
      </c>
      <c r="B1886" s="1" t="s">
        <v>3873</v>
      </c>
      <c r="C1886" s="2" t="s">
        <v>3874</v>
      </c>
      <c r="D1886" s="1" t="str">
        <f>IFERROR(__xludf.DUMMYFUNCTION("GOOGLETRANSLATE(A1886 , ""auto"", ""ar"")"),"دولي")</f>
        <v>دولي</v>
      </c>
    </row>
    <row r="1887" ht="15.75" customHeight="1">
      <c r="A1887" s="1" t="s">
        <v>3872</v>
      </c>
      <c r="B1887" s="1" t="s">
        <v>3875</v>
      </c>
      <c r="C1887" s="2" t="s">
        <v>65</v>
      </c>
      <c r="D1887" s="1" t="str">
        <f>IFERROR(__xludf.DUMMYFUNCTION("GOOGLETRANSLATE(A1887 , ""auto"", ""ar"")"),"دولي")</f>
        <v>دولي</v>
      </c>
    </row>
    <row r="1888" ht="15.75" customHeight="1">
      <c r="A1888" s="1" t="s">
        <v>3876</v>
      </c>
      <c r="B1888" s="1" t="s">
        <v>1891</v>
      </c>
      <c r="C1888" s="2" t="s">
        <v>1892</v>
      </c>
      <c r="D1888" s="1" t="str">
        <f>IFERROR(__xludf.DUMMYFUNCTION("GOOGLETRANSLATE(A1888 , ""auto"", ""ar"")"),"مقهى انترنت")</f>
        <v>مقهى انترنت</v>
      </c>
    </row>
    <row r="1889" ht="15.75" customHeight="1">
      <c r="A1889" s="1" t="s">
        <v>3877</v>
      </c>
      <c r="B1889" s="1" t="s">
        <v>3878</v>
      </c>
      <c r="C1889" s="2" t="s">
        <v>3879</v>
      </c>
      <c r="D1889" s="1" t="str">
        <f>IFERROR(__xludf.DUMMYFUNCTION("GOOGLETRANSLATE(A1889 , ""auto"", ""ar"")"),"يفسر")</f>
        <v>يفسر</v>
      </c>
    </row>
    <row r="1890" ht="15.75" customHeight="1">
      <c r="A1890" s="1" t="s">
        <v>3880</v>
      </c>
      <c r="B1890" s="1" t="s">
        <v>3881</v>
      </c>
      <c r="C1890" s="2" t="s">
        <v>3882</v>
      </c>
      <c r="D1890" s="1" t="str">
        <f>IFERROR(__xludf.DUMMYFUNCTION("GOOGLETRANSLATE(A1890 , ""auto"", ""ar"")"),"تفسير")</f>
        <v>تفسير</v>
      </c>
    </row>
    <row r="1891" ht="15.75" customHeight="1">
      <c r="A1891" s="1" t="s">
        <v>3883</v>
      </c>
      <c r="B1891" s="1" t="s">
        <v>3884</v>
      </c>
      <c r="C1891" s="2" t="s">
        <v>3885</v>
      </c>
      <c r="D1891" s="1" t="str">
        <f>IFERROR(__xludf.DUMMYFUNCTION("GOOGLETRANSLATE(A1891 , ""auto"", ""ar"")"),"مترجم")</f>
        <v>مترجم</v>
      </c>
    </row>
    <row r="1892" ht="15.75" customHeight="1">
      <c r="A1892" s="1" t="s">
        <v>3886</v>
      </c>
      <c r="B1892" s="1" t="s">
        <v>3887</v>
      </c>
      <c r="C1892" s="2" t="s">
        <v>3888</v>
      </c>
      <c r="D1892" s="1" t="str">
        <f>IFERROR(__xludf.DUMMYFUNCTION("GOOGLETRANSLATE(A1892 , ""auto"", ""ar"")"),"الأمعاء")</f>
        <v>الأمعاء</v>
      </c>
    </row>
    <row r="1893" ht="15.75" customHeight="1">
      <c r="A1893" s="1" t="s">
        <v>3889</v>
      </c>
      <c r="B1893" s="1" t="s">
        <v>3890</v>
      </c>
      <c r="C1893" s="1"/>
      <c r="D1893" s="1" t="str">
        <f>IFERROR(__xludf.DUMMYFUNCTION("GOOGLETRANSLATE(A1893 , ""auto"", ""ar"")"),"في الساعات الصغيرة")</f>
        <v>في الساعات الصغيرة</v>
      </c>
    </row>
    <row r="1894" ht="15.75" customHeight="1">
      <c r="A1894" s="1" t="s">
        <v>3891</v>
      </c>
      <c r="B1894" s="1" t="s">
        <v>3892</v>
      </c>
      <c r="C1894" s="2" t="s">
        <v>3893</v>
      </c>
      <c r="D1894" s="1" t="str">
        <f>IFERROR(__xludf.DUMMYFUNCTION("GOOGLETRANSLATE(A1894 , ""auto"", ""ar"")"),"تعارف")</f>
        <v>تعارف</v>
      </c>
    </row>
    <row r="1895" ht="15.75" customHeight="1">
      <c r="A1895" s="1" t="s">
        <v>3894</v>
      </c>
      <c r="B1895" s="1" t="s">
        <v>3895</v>
      </c>
      <c r="C1895" s="1"/>
      <c r="D1895" s="1" t="str">
        <f>IFERROR(__xludf.DUMMYFUNCTION("GOOGLETRANSLATE(A1895 , ""auto"", ""ar"")"),"تحقيق")</f>
        <v>تحقيق</v>
      </c>
    </row>
    <row r="1896" ht="15.75" customHeight="1">
      <c r="A1896" s="1" t="s">
        <v>3896</v>
      </c>
      <c r="B1896" s="1" t="s">
        <v>3897</v>
      </c>
      <c r="C1896" s="2" t="s">
        <v>3898</v>
      </c>
      <c r="D1896" s="1" t="str">
        <f>IFERROR(__xludf.DUMMYFUNCTION("GOOGLETRANSLATE(A1896 , ""auto"", ""ar"")"),"دعوة")</f>
        <v>دعوة</v>
      </c>
    </row>
    <row r="1897" ht="15.75" customHeight="1">
      <c r="A1897" s="1" t="s">
        <v>3899</v>
      </c>
      <c r="B1897" s="1" t="s">
        <v>3900</v>
      </c>
      <c r="C1897" s="2" t="s">
        <v>3901</v>
      </c>
      <c r="D1897" s="1" t="str">
        <f>IFERROR(__xludf.DUMMYFUNCTION("GOOGLETRANSLATE(A1897 , ""auto"", ""ar"")"),"يدعو")</f>
        <v>يدعو</v>
      </c>
    </row>
    <row r="1898" ht="15.75" customHeight="1">
      <c r="A1898" s="1" t="s">
        <v>3902</v>
      </c>
      <c r="B1898" s="1" t="s">
        <v>3900</v>
      </c>
      <c r="C1898" s="2" t="s">
        <v>3903</v>
      </c>
      <c r="D1898" s="1" t="str">
        <f>IFERROR(__xludf.DUMMYFUNCTION("GOOGLETRANSLATE(A1898 , ""auto"", ""ar"")"),"دعوة للخروج")</f>
        <v>دعوة للخروج</v>
      </c>
    </row>
    <row r="1899" ht="15.75" customHeight="1">
      <c r="A1899" s="1" t="s">
        <v>3904</v>
      </c>
      <c r="B1899" s="1" t="s">
        <v>3905</v>
      </c>
      <c r="C1899" s="1"/>
      <c r="D1899" s="1" t="str">
        <f>IFERROR(__xludf.DUMMYFUNCTION("GOOGLETRANSLATE(A1899 , ""auto"", ""ar"")"),"قزحية")</f>
        <v>قزحية</v>
      </c>
    </row>
    <row r="1900" ht="15.75" customHeight="1">
      <c r="A1900" s="1" t="s">
        <v>3906</v>
      </c>
      <c r="B1900" s="1" t="s">
        <v>3907</v>
      </c>
      <c r="C1900" s="2" t="s">
        <v>3908</v>
      </c>
      <c r="D1900" s="1" t="str">
        <f>IFERROR(__xludf.DUMMYFUNCTION("GOOGLETRANSLATE(A1900 , ""auto"", ""ar"")"),"حديد")</f>
        <v>حديد</v>
      </c>
    </row>
    <row r="1901" ht="15.75" customHeight="1">
      <c r="A1901" s="1" t="s">
        <v>3906</v>
      </c>
      <c r="B1901" s="1" t="s">
        <v>3518</v>
      </c>
      <c r="C1901" s="2" t="s">
        <v>3909</v>
      </c>
      <c r="D1901" s="1" t="str">
        <f>IFERROR(__xludf.DUMMYFUNCTION("GOOGLETRANSLATE(A1901 , ""auto"", ""ar"")"),"حديد")</f>
        <v>حديد</v>
      </c>
    </row>
    <row r="1902" ht="15.75" customHeight="1">
      <c r="A1902" s="1" t="s">
        <v>3910</v>
      </c>
      <c r="B1902" s="1" t="s">
        <v>3911</v>
      </c>
      <c r="C1902" s="1"/>
      <c r="D1902" s="1" t="str">
        <f>IFERROR(__xludf.DUMMYFUNCTION("GOOGLETRANSLATE(A1902 , ""auto"", ""ar"")"),"قناة الري")</f>
        <v>قناة الري</v>
      </c>
    </row>
    <row r="1903" ht="15.75" customHeight="1">
      <c r="A1903" s="1" t="s">
        <v>3912</v>
      </c>
      <c r="B1903" s="1" t="s">
        <v>3913</v>
      </c>
      <c r="C1903" s="2" t="s">
        <v>3914</v>
      </c>
      <c r="D1903" s="1" t="str">
        <f>IFERROR(__xludf.DUMMYFUNCTION("GOOGLETRANSLATE(A1903 , ""auto"", ""ar"")"),"هل هذا كل شيء؟")</f>
        <v>هل هذا كل شيء؟</v>
      </c>
    </row>
    <row r="1904" ht="15.75" customHeight="1">
      <c r="A1904" s="1" t="s">
        <v>3915</v>
      </c>
      <c r="B1904" s="1" t="s">
        <v>3916</v>
      </c>
      <c r="C1904" s="1"/>
      <c r="D1904" s="1" t="str">
        <f>IFERROR(__xludf.DUMMYFUNCTION("GOOGLETRANSLATE(A1904 , ""auto"", ""ar"")"),"أليس كذلك؟")</f>
        <v>أليس كذلك؟</v>
      </c>
    </row>
    <row r="1905" ht="15.75" customHeight="1">
      <c r="A1905" s="1" t="s">
        <v>3917</v>
      </c>
      <c r="B1905" s="1" t="s">
        <v>3918</v>
      </c>
      <c r="C1905" s="1"/>
      <c r="D1905" s="1" t="str">
        <f>IFERROR(__xludf.DUMMYFUNCTION("GOOGLETRANSLATE(A1905 , ""auto"", ""ar"")"),"هذا يعتمد")</f>
        <v>هذا يعتمد</v>
      </c>
    </row>
    <row r="1906" ht="15.75" customHeight="1">
      <c r="A1906" s="1" t="s">
        <v>3919</v>
      </c>
      <c r="B1906" s="1" t="s">
        <v>3920</v>
      </c>
      <c r="C1906" s="2" t="s">
        <v>3921</v>
      </c>
      <c r="D1906" s="1" t="str">
        <f>IFERROR(__xludf.DUMMYFUNCTION("GOOGLETRANSLATE(A1906 , ""auto"", ""ar"")"),"الساعة ل")</f>
        <v>الساعة ل</v>
      </c>
    </row>
    <row r="1907" ht="15.75" customHeight="1">
      <c r="A1907" s="1" t="s">
        <v>3922</v>
      </c>
      <c r="B1907" s="1" t="s">
        <v>158</v>
      </c>
      <c r="C1907" s="2" t="s">
        <v>159</v>
      </c>
      <c r="D1907" s="1" t="str">
        <f>IFERROR(__xludf.DUMMYFUNCTION("GOOGLETRANSLATE(A1907 , ""auto"", ""ar"")"),"لقد كان")</f>
        <v>لقد كان</v>
      </c>
    </row>
    <row r="1908" ht="15.75" customHeight="1">
      <c r="A1908" s="1" t="s">
        <v>3923</v>
      </c>
      <c r="B1908" s="1" t="s">
        <v>158</v>
      </c>
      <c r="C1908" s="2" t="s">
        <v>159</v>
      </c>
      <c r="D1908" s="1" t="str">
        <f>IFERROR(__xludf.DUMMYFUNCTION("GOOGLETRANSLATE(A1908 , ""auto"", ""ar"")"),"لقد كان …")</f>
        <v>لقد كان …</v>
      </c>
    </row>
    <row r="1909" ht="15.75" customHeight="1">
      <c r="A1909" s="1" t="s">
        <v>3924</v>
      </c>
      <c r="B1909" s="1" t="s">
        <v>3925</v>
      </c>
      <c r="C1909" s="1"/>
      <c r="D1909" s="1" t="str">
        <f>IFERROR(__xludf.DUMMYFUNCTION("GOOGLETRANSLATE(A1909 , ""auto"", ""ar"")"),"من الصعب قول وداعا")</f>
        <v>من الصعب قول وداعا</v>
      </c>
    </row>
    <row r="1910" ht="15.75" customHeight="1">
      <c r="A1910" s="1" t="s">
        <v>3924</v>
      </c>
      <c r="B1910" s="1" t="s">
        <v>3926</v>
      </c>
      <c r="C1910" s="1"/>
      <c r="D1910" s="1" t="str">
        <f>IFERROR(__xludf.DUMMYFUNCTION("GOOGLETRANSLATE(A1910 , ""auto"", ""ar"")"),"من الصعب قول وداعا")</f>
        <v>من الصعب قول وداعا</v>
      </c>
    </row>
    <row r="1911" ht="15.75" customHeight="1">
      <c r="A1911" s="1" t="s">
        <v>3924</v>
      </c>
      <c r="B1911" s="1" t="s">
        <v>3927</v>
      </c>
      <c r="C1911" s="1"/>
      <c r="D1911" s="1" t="str">
        <f>IFERROR(__xludf.DUMMYFUNCTION("GOOGLETRANSLATE(A1911 , ""auto"", ""ar"")"),"من الصعب قول وداعا")</f>
        <v>من الصعب قول وداعا</v>
      </c>
    </row>
    <row r="1912" ht="15.75" customHeight="1">
      <c r="A1912" s="1" t="s">
        <v>3928</v>
      </c>
      <c r="B1912" s="1" t="s">
        <v>3929</v>
      </c>
      <c r="C1912" s="2" t="s">
        <v>3930</v>
      </c>
      <c r="D1912" s="1" t="str">
        <f>IFERROR(__xludf.DUMMYFUNCTION("GOOGLETRANSLATE(A1912 , ""auto"", ""ar"")"),"هذا ليس من شأنك")</f>
        <v>هذا ليس من شأنك</v>
      </c>
    </row>
    <row r="1913" ht="15.75" customHeight="1">
      <c r="A1913" s="1" t="s">
        <v>3931</v>
      </c>
      <c r="B1913" s="1" t="s">
        <v>2179</v>
      </c>
      <c r="C1913" s="1"/>
      <c r="D1913" s="1" t="str">
        <f>IFERROR(__xludf.DUMMYFUNCTION("GOOGLETRANSLATE(A1913 , ""auto"", ""ar"")"),"لا يستحق ذلك")</f>
        <v>لا يستحق ذلك</v>
      </c>
    </row>
    <row r="1914" ht="15.75" customHeight="1">
      <c r="A1914" s="1" t="s">
        <v>3932</v>
      </c>
      <c r="B1914" s="1" t="s">
        <v>3933</v>
      </c>
      <c r="C1914" s="2" t="s">
        <v>3934</v>
      </c>
      <c r="D1914" s="1" t="str">
        <f>IFERROR(__xludf.DUMMYFUNCTION("GOOGLETRANSLATE(A1914 , ""auto"", ""ar"")"),"هو نفسه")</f>
        <v>هو نفسه</v>
      </c>
    </row>
    <row r="1915" ht="15.75" customHeight="1">
      <c r="A1915" s="1" t="s">
        <v>3932</v>
      </c>
      <c r="B1915" s="1" t="s">
        <v>3935</v>
      </c>
      <c r="C1915" s="2" t="s">
        <v>3936</v>
      </c>
      <c r="D1915" s="1" t="str">
        <f>IFERROR(__xludf.DUMMYFUNCTION("GOOGLETRANSLATE(A1915 , ""auto"", ""ar"")"),"هو نفسه")</f>
        <v>هو نفسه</v>
      </c>
    </row>
    <row r="1916" ht="15.75" customHeight="1">
      <c r="A1916" s="1" t="s">
        <v>3937</v>
      </c>
      <c r="B1916" s="1" t="s">
        <v>3938</v>
      </c>
      <c r="C1916" s="1"/>
      <c r="D1916" s="1" t="str">
        <f>IFERROR(__xludf.DUMMYFUNCTION("GOOGLETRANSLATE(A1916 , ""auto"", ""ar"")"),"إيطالي")</f>
        <v>إيطالي</v>
      </c>
    </row>
    <row r="1917" ht="15.75" customHeight="1">
      <c r="A1917" s="1" t="s">
        <v>3937</v>
      </c>
      <c r="B1917" s="1" t="s">
        <v>3939</v>
      </c>
      <c r="C1917" s="2" t="s">
        <v>3940</v>
      </c>
      <c r="D1917" s="1" t="str">
        <f>IFERROR(__xludf.DUMMYFUNCTION("GOOGLETRANSLATE(A1917 , ""auto"", ""ar"")"),"إيطالي")</f>
        <v>إيطالي</v>
      </c>
    </row>
    <row r="1918" ht="15.75" customHeight="1">
      <c r="A1918" s="1" t="s">
        <v>3937</v>
      </c>
      <c r="B1918" s="1" t="s">
        <v>3941</v>
      </c>
      <c r="C1918" s="2" t="s">
        <v>3942</v>
      </c>
      <c r="D1918" s="1" t="str">
        <f>IFERROR(__xludf.DUMMYFUNCTION("GOOGLETRANSLATE(A1918 , ""auto"", ""ar"")"),"إيطالي")</f>
        <v>إيطالي</v>
      </c>
    </row>
    <row r="1919" ht="15.75" customHeight="1">
      <c r="A1919" s="1" t="s">
        <v>3943</v>
      </c>
      <c r="B1919" s="1" t="s">
        <v>3944</v>
      </c>
      <c r="C1919" s="2" t="s">
        <v>3945</v>
      </c>
      <c r="D1919" s="1" t="str">
        <f>IFERROR(__xludf.DUMMYFUNCTION("GOOGLETRANSLATE(A1919 , ""auto"", ""ar"")"),"إيطاليا")</f>
        <v>إيطاليا</v>
      </c>
    </row>
    <row r="1920" ht="15.75" customHeight="1">
      <c r="A1920" s="1" t="s">
        <v>3946</v>
      </c>
      <c r="B1920" s="1" t="s">
        <v>3947</v>
      </c>
      <c r="C1920" s="2" t="s">
        <v>3948</v>
      </c>
      <c r="D1920" s="1" t="str">
        <f>IFERROR(__xludf.DUMMYFUNCTION("GOOGLETRANSLATE(A1920 , ""auto"", ""ar"")"),"مثير للحكة")</f>
        <v>مثير للحكة</v>
      </c>
    </row>
    <row r="1921" ht="15.75" customHeight="1">
      <c r="A1921" s="1" t="s">
        <v>3949</v>
      </c>
      <c r="B1921" s="1" t="s">
        <v>3950</v>
      </c>
      <c r="C1921" s="2" t="s">
        <v>3951</v>
      </c>
      <c r="D1921" s="1" t="str">
        <f>IFERROR(__xludf.DUMMYFUNCTION("GOOGLETRANSLATE(A1921 , ""auto"", ""ar"")"),"عاج")</f>
        <v>عاج</v>
      </c>
    </row>
    <row r="1922" ht="15.75" customHeight="1">
      <c r="A1922" s="1" t="s">
        <v>3949</v>
      </c>
      <c r="B1922" s="1" t="s">
        <v>3952</v>
      </c>
      <c r="C1922" s="2" t="s">
        <v>3953</v>
      </c>
      <c r="D1922" s="1" t="str">
        <f>IFERROR(__xludf.DUMMYFUNCTION("GOOGLETRANSLATE(A1922 , ""auto"", ""ar"")"),"عاج")</f>
        <v>عاج</v>
      </c>
    </row>
    <row r="1923" ht="15.75" customHeight="1">
      <c r="A1923" s="1" t="s">
        <v>466</v>
      </c>
      <c r="B1923" s="1" t="s">
        <v>467</v>
      </c>
      <c r="C1923" s="2" t="s">
        <v>468</v>
      </c>
      <c r="D1923" s="1" t="str">
        <f>IFERROR(__xludf.DUMMYFUNCTION("GOOGLETRANSLATE(A1923 , ""auto"", ""ar"")"),"اسم العائلة")</f>
        <v>اسم العائلة</v>
      </c>
    </row>
    <row r="1924" ht="15.75" customHeight="1">
      <c r="A1924" s="1" t="s">
        <v>43</v>
      </c>
      <c r="B1924" s="1" t="s">
        <v>44</v>
      </c>
      <c r="C1924" s="2" t="s">
        <v>45</v>
      </c>
      <c r="D1924" s="1" t="str">
        <f>IFERROR(__xludf.DUMMYFUNCTION("GOOGLETRANSLATE(A1924 , ""auto"", ""ar"")"),"مقبول")</f>
        <v>مقبول</v>
      </c>
    </row>
    <row r="1925" ht="15.75" customHeight="1">
      <c r="A1925" s="1" t="s">
        <v>469</v>
      </c>
      <c r="B1925" s="1" t="s">
        <v>470</v>
      </c>
      <c r="C1925" s="2" t="s">
        <v>471</v>
      </c>
      <c r="D1925" s="1" t="str">
        <f>IFERROR(__xludf.DUMMYFUNCTION("GOOGLETRANSLATE(A1925 , ""auto"", ""ar"")"),"التصالح")</f>
        <v>التصالح</v>
      </c>
    </row>
    <row r="1926" ht="15.75" customHeight="1">
      <c r="A1926" s="1" t="s">
        <v>472</v>
      </c>
      <c r="B1926" s="1" t="s">
        <v>473</v>
      </c>
      <c r="C1926" s="2" t="s">
        <v>474</v>
      </c>
      <c r="D1926" s="1" t="str">
        <f>IFERROR(__xludf.DUMMYFUNCTION("GOOGLETRANSLATE(A1926 , ""auto"", ""ar"")"),"مغفرة")</f>
        <v>مغفرة</v>
      </c>
    </row>
    <row r="1927" ht="15.75" customHeight="1">
      <c r="A1927" s="1" t="s">
        <v>475</v>
      </c>
      <c r="B1927" s="1" t="s">
        <v>476</v>
      </c>
      <c r="C1927" s="2" t="s">
        <v>477</v>
      </c>
      <c r="D1927" s="1" t="str">
        <f>IFERROR(__xludf.DUMMYFUNCTION("GOOGLETRANSLATE(A1927 , ""auto"", ""ar"")"),"يخبر")</f>
        <v>يخبر</v>
      </c>
    </row>
    <row r="1928" ht="15.75" customHeight="1">
      <c r="A1928" s="1" t="s">
        <v>3954</v>
      </c>
      <c r="B1928" s="1" t="s">
        <v>1714</v>
      </c>
      <c r="C1928" s="2" t="s">
        <v>3828</v>
      </c>
      <c r="D1928" s="1" t="str">
        <f>IFERROR(__xludf.DUMMYFUNCTION("GOOGLETRANSLATE(A1928 , ""auto"", ""ar"")"),"ضربة")</f>
        <v>ضربة</v>
      </c>
    </row>
    <row r="1929" ht="15.75" customHeight="1">
      <c r="A1929" s="1" t="s">
        <v>3955</v>
      </c>
      <c r="B1929" s="1" t="s">
        <v>3956</v>
      </c>
      <c r="C1929" s="2" t="s">
        <v>3957</v>
      </c>
      <c r="D1929" s="1" t="str">
        <f>IFERROR(__xludf.DUMMYFUNCTION("GOOGLETRANSLATE(A1929 , ""auto"", ""ar"")"),"السترة")</f>
        <v>السترة</v>
      </c>
    </row>
    <row r="1930" ht="15.75" customHeight="1">
      <c r="A1930" s="1" t="s">
        <v>3955</v>
      </c>
      <c r="B1930" s="1" t="s">
        <v>3958</v>
      </c>
      <c r="C1930" s="2" t="s">
        <v>3959</v>
      </c>
      <c r="D1930" s="1" t="str">
        <f>IFERROR(__xludf.DUMMYFUNCTION("GOOGLETRANSLATE(A1930 , ""auto"", ""ar"")"),"السترة")</f>
        <v>السترة</v>
      </c>
    </row>
    <row r="1931" ht="15.75" customHeight="1">
      <c r="A1931" s="1" t="s">
        <v>3955</v>
      </c>
      <c r="B1931" s="1" t="s">
        <v>3960</v>
      </c>
      <c r="C1931" s="2" t="s">
        <v>3961</v>
      </c>
      <c r="D1931" s="1" t="str">
        <f>IFERROR(__xludf.DUMMYFUNCTION("GOOGLETRANSLATE(A1931 , ""auto"", ""ar"")"),"السترة")</f>
        <v>السترة</v>
      </c>
    </row>
    <row r="1932" ht="15.75" customHeight="1">
      <c r="A1932" s="1" t="s">
        <v>3962</v>
      </c>
      <c r="B1932" s="1" t="s">
        <v>3963</v>
      </c>
      <c r="C1932" s="2" t="s">
        <v>3964</v>
      </c>
      <c r="D1932" s="1" t="str">
        <f>IFERROR(__xludf.DUMMYFUNCTION("GOOGLETRANSLATE(A1932 , ""auto"", ""ar"")"),"يعقوب")</f>
        <v>يعقوب</v>
      </c>
    </row>
    <row r="1933" ht="15.75" customHeight="1">
      <c r="A1933" s="1" t="s">
        <v>3965</v>
      </c>
      <c r="B1933" s="1" t="s">
        <v>3966</v>
      </c>
      <c r="C1933" s="2" t="s">
        <v>3967</v>
      </c>
      <c r="D1933" s="1" t="str">
        <f>IFERROR(__xludf.DUMMYFUNCTION("GOOGLETRANSLATE(A1933 , ""auto"", ""ar"")"),"مربى")</f>
        <v>مربى</v>
      </c>
    </row>
    <row r="1934" ht="15.75" customHeight="1">
      <c r="A1934" s="1" t="s">
        <v>3965</v>
      </c>
      <c r="B1934" s="1" t="s">
        <v>3968</v>
      </c>
      <c r="C1934" s="2" t="s">
        <v>3969</v>
      </c>
      <c r="D1934" s="1" t="str">
        <f>IFERROR(__xludf.DUMMYFUNCTION("GOOGLETRANSLATE(A1934 , ""auto"", ""ar"")"),"مربى")</f>
        <v>مربى</v>
      </c>
    </row>
    <row r="1935" ht="15.75" customHeight="1">
      <c r="A1935" s="1" t="s">
        <v>3970</v>
      </c>
      <c r="B1935" s="1" t="s">
        <v>3971</v>
      </c>
      <c r="C1935" s="2" t="s">
        <v>3972</v>
      </c>
      <c r="D1935" s="1" t="str">
        <f>IFERROR(__xludf.DUMMYFUNCTION("GOOGLETRANSLATE(A1935 , ""auto"", ""ar"")"),"يناير")</f>
        <v>يناير</v>
      </c>
    </row>
    <row r="1936" ht="15.75" customHeight="1">
      <c r="A1936" s="1" t="s">
        <v>3970</v>
      </c>
      <c r="B1936" s="1" t="s">
        <v>3973</v>
      </c>
      <c r="C1936" s="2" t="s">
        <v>3974</v>
      </c>
      <c r="D1936" s="1" t="str">
        <f>IFERROR(__xludf.DUMMYFUNCTION("GOOGLETRANSLATE(A1936 , ""auto"", ""ar"")"),"يناير")</f>
        <v>يناير</v>
      </c>
    </row>
    <row r="1937" ht="15.75" customHeight="1">
      <c r="A1937" s="1" t="s">
        <v>3975</v>
      </c>
      <c r="B1937" s="1" t="s">
        <v>3976</v>
      </c>
      <c r="C1937" s="2" t="s">
        <v>3977</v>
      </c>
      <c r="D1937" s="1" t="str">
        <f>IFERROR(__xludf.DUMMYFUNCTION("GOOGLETRANSLATE(A1937 , ""auto"", ""ar"")"),"البرقوق الياباني")</f>
        <v>البرقوق الياباني</v>
      </c>
    </row>
    <row r="1938" ht="15.75" customHeight="1">
      <c r="A1938" s="1" t="s">
        <v>3978</v>
      </c>
      <c r="B1938" s="1" t="s">
        <v>914</v>
      </c>
      <c r="C1938" s="2" t="s">
        <v>915</v>
      </c>
      <c r="D1938" s="1" t="str">
        <f>IFERROR(__xludf.DUMMYFUNCTION("GOOGLETRANSLATE(A1938 , ""auto"", ""ar"")"),"إناء")</f>
        <v>إناء</v>
      </c>
    </row>
    <row r="1939" ht="15.75" customHeight="1">
      <c r="A1939" s="1" t="s">
        <v>3978</v>
      </c>
      <c r="B1939" s="1" t="s">
        <v>3979</v>
      </c>
      <c r="C1939" s="1"/>
      <c r="D1939" s="1" t="str">
        <f>IFERROR(__xludf.DUMMYFUNCTION("GOOGLETRANSLATE(A1939 , ""auto"", ""ar"")"),"إناء")</f>
        <v>إناء</v>
      </c>
    </row>
    <row r="1940" ht="15.75" customHeight="1">
      <c r="A1940" s="1" t="s">
        <v>3980</v>
      </c>
      <c r="B1940" s="1" t="s">
        <v>3981</v>
      </c>
      <c r="C1940" s="2" t="s">
        <v>3982</v>
      </c>
      <c r="D1940" s="1" t="str">
        <f>IFERROR(__xludf.DUMMYFUNCTION("GOOGLETRANSLATE(A1940 , ""auto"", ""ar"")"),"غيور")</f>
        <v>غيور</v>
      </c>
    </row>
    <row r="1941" ht="15.75" customHeight="1">
      <c r="A1941" s="1" t="s">
        <v>3980</v>
      </c>
      <c r="B1941" s="1" t="s">
        <v>409</v>
      </c>
      <c r="C1941" s="1"/>
      <c r="D1941" s="1" t="str">
        <f>IFERROR(__xludf.DUMMYFUNCTION("GOOGLETRANSLATE(A1941 , ""auto"", ""ar"")"),"غيور")</f>
        <v>غيور</v>
      </c>
    </row>
    <row r="1942" ht="15.75" customHeight="1">
      <c r="A1942" s="1" t="s">
        <v>3980</v>
      </c>
      <c r="B1942" s="1" t="s">
        <v>2658</v>
      </c>
      <c r="C1942" s="1"/>
      <c r="D1942" s="1" t="str">
        <f>IFERROR(__xludf.DUMMYFUNCTION("GOOGLETRANSLATE(A1942 , ""auto"", ""ar"")"),"غيور")</f>
        <v>غيور</v>
      </c>
    </row>
    <row r="1943" ht="15.75" customHeight="1">
      <c r="A1943" s="1" t="s">
        <v>3983</v>
      </c>
      <c r="B1943" s="1" t="s">
        <v>3984</v>
      </c>
      <c r="C1943" s="2" t="s">
        <v>3985</v>
      </c>
      <c r="D1943" s="1" t="str">
        <f>IFERROR(__xludf.DUMMYFUNCTION("GOOGLETRANSLATE(A1943 , ""auto"", ""ar"")"),"الغيرة")</f>
        <v>الغيرة</v>
      </c>
    </row>
    <row r="1944" ht="15.75" customHeight="1">
      <c r="A1944" s="1" t="s">
        <v>3986</v>
      </c>
      <c r="B1944" s="1" t="s">
        <v>3987</v>
      </c>
      <c r="C1944" s="2" t="s">
        <v>3988</v>
      </c>
      <c r="D1944" s="1" t="str">
        <f>IFERROR(__xludf.DUMMYFUNCTION("GOOGLETRANSLATE(A1944 , ""auto"", ""ar"")"),"جينز")</f>
        <v>جينز</v>
      </c>
    </row>
    <row r="1945" ht="15.75" customHeight="1">
      <c r="A1945" s="1" t="s">
        <v>3986</v>
      </c>
      <c r="B1945" s="1" t="s">
        <v>3989</v>
      </c>
      <c r="C1945" s="1"/>
      <c r="D1945" s="1" t="str">
        <f>IFERROR(__xludf.DUMMYFUNCTION("GOOGLETRANSLATE(A1945 , ""auto"", ""ar"")"),"جينز")</f>
        <v>جينز</v>
      </c>
    </row>
    <row r="1946" ht="15.75" customHeight="1">
      <c r="A1946" s="1" t="s">
        <v>3990</v>
      </c>
      <c r="B1946" s="1" t="s">
        <v>3991</v>
      </c>
      <c r="C1946" s="2" t="s">
        <v>3992</v>
      </c>
      <c r="D1946" s="1" t="str">
        <f>IFERROR(__xludf.DUMMYFUNCTION("GOOGLETRANSLATE(A1946 , ""auto"", ""ar"")"),"عيسى")</f>
        <v>عيسى</v>
      </c>
    </row>
    <row r="1947" ht="15.75" customHeight="1">
      <c r="A1947" s="1" t="s">
        <v>3993</v>
      </c>
      <c r="B1947" s="1" t="s">
        <v>3994</v>
      </c>
      <c r="C1947" s="2" t="s">
        <v>3995</v>
      </c>
      <c r="D1947" s="1" t="str">
        <f>IFERROR(__xludf.DUMMYFUNCTION("GOOGLETRANSLATE(A1947 , ""auto"", ""ar"")"),"أو")</f>
        <v>أو</v>
      </c>
    </row>
    <row r="1948" ht="15.75" customHeight="1">
      <c r="A1948" s="1" t="s">
        <v>3996</v>
      </c>
      <c r="B1948" s="1" t="s">
        <v>3997</v>
      </c>
      <c r="C1948" s="1"/>
      <c r="D1948" s="1" t="str">
        <f>IFERROR(__xludf.DUMMYFUNCTION("GOOGLETRANSLATE(A1948 , ""auto"", ""ar"")"),"جوهرة")</f>
        <v>جوهرة</v>
      </c>
    </row>
    <row r="1949" ht="15.75" customHeight="1">
      <c r="A1949" s="1" t="s">
        <v>3998</v>
      </c>
      <c r="B1949" s="1" t="s">
        <v>3999</v>
      </c>
      <c r="C1949" s="2" t="s">
        <v>3995</v>
      </c>
      <c r="D1949" s="1" t="str">
        <f>IFERROR(__xludf.DUMMYFUNCTION("GOOGLETRANSLATE(A1949 , ""auto"", ""ar"")"),"يهودي")</f>
        <v>يهودي</v>
      </c>
    </row>
    <row r="1950" ht="15.75" customHeight="1">
      <c r="A1950" s="1" t="s">
        <v>4000</v>
      </c>
      <c r="B1950" s="1" t="s">
        <v>4001</v>
      </c>
      <c r="C1950" s="2" t="s">
        <v>4002</v>
      </c>
      <c r="D1950" s="1" t="str">
        <f>IFERROR(__xludf.DUMMYFUNCTION("GOOGLETRANSLATE(A1950 , ""auto"", ""ar"")"),"الحي اليهودي")</f>
        <v>الحي اليهودي</v>
      </c>
    </row>
    <row r="1951" ht="15.75" customHeight="1">
      <c r="A1951" s="1" t="s">
        <v>4003</v>
      </c>
      <c r="B1951" s="1" t="s">
        <v>3051</v>
      </c>
      <c r="C1951" s="1"/>
      <c r="D1951" s="1" t="str">
        <f>IFERROR(__xludf.DUMMYFUNCTION("GOOGLETRANSLATE(A1951 , ""auto"", ""ar"")"),"جين")</f>
        <v>جين</v>
      </c>
    </row>
    <row r="1952" ht="15.75" customHeight="1">
      <c r="A1952" s="1" t="s">
        <v>4003</v>
      </c>
      <c r="B1952" s="1" t="s">
        <v>3052</v>
      </c>
      <c r="C1952" s="1"/>
      <c r="D1952" s="1" t="str">
        <f>IFERROR(__xludf.DUMMYFUNCTION("GOOGLETRANSLATE(A1952 , ""auto"", ""ar"")"),"جين")</f>
        <v>جين</v>
      </c>
    </row>
    <row r="1953" ht="15.75" customHeight="1">
      <c r="A1953" s="1" t="s">
        <v>4004</v>
      </c>
      <c r="B1953" s="1" t="s">
        <v>1243</v>
      </c>
      <c r="C1953" s="2" t="s">
        <v>1244</v>
      </c>
      <c r="D1953" s="1" t="str">
        <f>IFERROR(__xludf.DUMMYFUNCTION("GOOGLETRANSLATE(A1953 , ""auto"", ""ar"")"),"نجار")</f>
        <v>نجار</v>
      </c>
    </row>
    <row r="1954" ht="15.75" customHeight="1">
      <c r="A1954" s="1" t="s">
        <v>4005</v>
      </c>
      <c r="B1954" s="1" t="s">
        <v>4006</v>
      </c>
      <c r="C1954" s="2" t="s">
        <v>4007</v>
      </c>
      <c r="D1954" s="1" t="str">
        <f>IFERROR(__xludf.DUMMYFUNCTION("GOOGLETRANSLATE(A1954 , ""auto"", ""ar"")"),"نكتة")</f>
        <v>نكتة</v>
      </c>
    </row>
    <row r="1955" ht="15.75" customHeight="1">
      <c r="A1955" s="1" t="s">
        <v>4005</v>
      </c>
      <c r="B1955" s="1" t="s">
        <v>4008</v>
      </c>
      <c r="C1955" s="1"/>
      <c r="D1955" s="1" t="str">
        <f>IFERROR(__xludf.DUMMYFUNCTION("GOOGLETRANSLATE(A1955 , ""auto"", ""ar"")"),"نكتة")</f>
        <v>نكتة</v>
      </c>
    </row>
    <row r="1956" ht="15.75" customHeight="1">
      <c r="A1956" s="1" t="s">
        <v>4005</v>
      </c>
      <c r="B1956" s="1" t="s">
        <v>4009</v>
      </c>
      <c r="C1956" s="1"/>
      <c r="D1956" s="1" t="str">
        <f>IFERROR(__xludf.DUMMYFUNCTION("GOOGLETRANSLATE(A1956 , ""auto"", ""ar"")"),"نكتة")</f>
        <v>نكتة</v>
      </c>
    </row>
    <row r="1957" ht="15.75" customHeight="1">
      <c r="A1957" s="1" t="s">
        <v>4010</v>
      </c>
      <c r="B1957" s="1" t="s">
        <v>4011</v>
      </c>
      <c r="C1957" s="2" t="s">
        <v>4012</v>
      </c>
      <c r="D1957" s="1" t="str">
        <f>IFERROR(__xludf.DUMMYFUNCTION("GOOGLETRANSLATE(A1957 , ""auto"", ""ar"")"),"جوزيف")</f>
        <v>جوزيف</v>
      </c>
    </row>
    <row r="1958" ht="15.75" customHeight="1">
      <c r="A1958" s="1" t="s">
        <v>4013</v>
      </c>
      <c r="B1958" s="1" t="s">
        <v>4014</v>
      </c>
      <c r="C1958" s="2" t="s">
        <v>4015</v>
      </c>
      <c r="D1958" s="1" t="str">
        <f>IFERROR(__xludf.DUMMYFUNCTION("GOOGLETRANSLATE(A1958 , ""auto"", ""ar"")"),"صحافي")</f>
        <v>صحافي</v>
      </c>
    </row>
    <row r="1959" ht="15.75" customHeight="1">
      <c r="A1959" s="1" t="s">
        <v>4016</v>
      </c>
      <c r="B1959" s="1" t="s">
        <v>4017</v>
      </c>
      <c r="C1959" s="1"/>
      <c r="D1959" s="1" t="str">
        <f>IFERROR(__xludf.DUMMYFUNCTION("GOOGLETRANSLATE(A1959 , ""auto"", ""ar"")"),"رحلة")</f>
        <v>رحلة</v>
      </c>
    </row>
    <row r="1960" ht="15.75" customHeight="1">
      <c r="A1960" s="1" t="s">
        <v>4018</v>
      </c>
      <c r="B1960" s="1" t="s">
        <v>3406</v>
      </c>
      <c r="C1960" s="1"/>
      <c r="D1960" s="1" t="str">
        <f>IFERROR(__xludf.DUMMYFUNCTION("GOOGLETRANSLATE(A1960 , ""auto"", ""ar"")"),"مرح")</f>
        <v>مرح</v>
      </c>
    </row>
    <row r="1961" ht="15.75" customHeight="1">
      <c r="A1961" s="1" t="s">
        <v>4019</v>
      </c>
      <c r="B1961" s="1" t="s">
        <v>4020</v>
      </c>
      <c r="C1961" s="2" t="s">
        <v>4021</v>
      </c>
      <c r="D1961" s="1" t="str">
        <f>IFERROR(__xludf.DUMMYFUNCTION("GOOGLETRANSLATE(A1961 , ""auto"", ""ar"")"),"بهيجة")</f>
        <v>بهيجة</v>
      </c>
    </row>
    <row r="1962" ht="15.75" customHeight="1">
      <c r="A1962" s="1" t="s">
        <v>4022</v>
      </c>
      <c r="B1962" s="1" t="s">
        <v>4023</v>
      </c>
      <c r="C1962" s="2" t="s">
        <v>4024</v>
      </c>
      <c r="D1962" s="1" t="str">
        <f>IFERROR(__xludf.DUMMYFUNCTION("GOOGLETRANSLATE(A1962 , ""auto"", ""ar"")"),"يحكم على")</f>
        <v>يحكم على</v>
      </c>
    </row>
    <row r="1963" ht="15.75" customHeight="1">
      <c r="A1963" s="1" t="s">
        <v>4022</v>
      </c>
      <c r="B1963" s="1" t="s">
        <v>4025</v>
      </c>
      <c r="C1963" s="2" t="s">
        <v>4026</v>
      </c>
      <c r="D1963" s="1" t="str">
        <f>IFERROR(__xludf.DUMMYFUNCTION("GOOGLETRANSLATE(A1963 , ""auto"", ""ar"")"),"يحكم على")</f>
        <v>يحكم على</v>
      </c>
    </row>
    <row r="1964" ht="15.75" customHeight="1">
      <c r="A1964" s="1" t="s">
        <v>4027</v>
      </c>
      <c r="B1964" s="1" t="s">
        <v>4028</v>
      </c>
      <c r="C1964" s="2" t="s">
        <v>4029</v>
      </c>
      <c r="D1964" s="1" t="str">
        <f>IFERROR(__xludf.DUMMYFUNCTION("GOOGLETRANSLATE(A1964 , ""auto"", ""ar"")"),"إبريق")</f>
        <v>إبريق</v>
      </c>
    </row>
    <row r="1965" ht="15.75" customHeight="1">
      <c r="A1965" s="1" t="s">
        <v>4030</v>
      </c>
      <c r="B1965" s="1" t="s">
        <v>4031</v>
      </c>
      <c r="C1965" s="2" t="s">
        <v>4032</v>
      </c>
      <c r="D1965" s="1" t="str">
        <f>IFERROR(__xludf.DUMMYFUNCTION("GOOGLETRANSLATE(A1965 , ""auto"", ""ar"")"),"عصير")</f>
        <v>عصير</v>
      </c>
    </row>
    <row r="1966" ht="15.75" customHeight="1">
      <c r="A1966" s="1" t="s">
        <v>4033</v>
      </c>
      <c r="B1966" s="1" t="s">
        <v>4034</v>
      </c>
      <c r="C1966" s="2" t="s">
        <v>4035</v>
      </c>
      <c r="D1966" s="1" t="str">
        <f>IFERROR(__xludf.DUMMYFUNCTION("GOOGLETRANSLATE(A1966 , ""auto"", ""ar"")"),"العصارة")</f>
        <v>العصارة</v>
      </c>
    </row>
    <row r="1967" ht="15.75" customHeight="1">
      <c r="A1967" s="1" t="s">
        <v>4036</v>
      </c>
      <c r="B1967" s="1" t="s">
        <v>4037</v>
      </c>
      <c r="C1967" s="2" t="s">
        <v>4038</v>
      </c>
      <c r="D1967" s="1" t="str">
        <f>IFERROR(__xludf.DUMMYFUNCTION("GOOGLETRANSLATE(A1967 , ""auto"", ""ar"")"),"يوليو")</f>
        <v>يوليو</v>
      </c>
    </row>
    <row r="1968" ht="15.75" customHeight="1">
      <c r="A1968" s="1" t="s">
        <v>4036</v>
      </c>
      <c r="B1968" s="1" t="s">
        <v>4039</v>
      </c>
      <c r="C1968" s="2" t="s">
        <v>4040</v>
      </c>
      <c r="D1968" s="1" t="str">
        <f>IFERROR(__xludf.DUMMYFUNCTION("GOOGLETRANSLATE(A1968 , ""auto"", ""ar"")"),"يوليو")</f>
        <v>يوليو</v>
      </c>
    </row>
    <row r="1969" ht="15.75" customHeight="1">
      <c r="A1969" s="1" t="s">
        <v>4041</v>
      </c>
      <c r="B1969" s="1" t="s">
        <v>4042</v>
      </c>
      <c r="C1969" s="2" t="s">
        <v>4043</v>
      </c>
      <c r="D1969" s="1" t="str">
        <f>IFERROR(__xludf.DUMMYFUNCTION("GOOGLETRANSLATE(A1969 , ""auto"", ""ar"")"),"القفز")</f>
        <v>القفز</v>
      </c>
    </row>
    <row r="1970" ht="15.75" customHeight="1">
      <c r="A1970" s="1" t="s">
        <v>4041</v>
      </c>
      <c r="B1970" s="1" t="s">
        <v>4044</v>
      </c>
      <c r="C1970" s="2" t="s">
        <v>4045</v>
      </c>
      <c r="D1970" s="1" t="str">
        <f>IFERROR(__xludf.DUMMYFUNCTION("GOOGLETRANSLATE(A1970 , ""auto"", ""ar"")"),"القفز")</f>
        <v>القفز</v>
      </c>
    </row>
    <row r="1971" ht="15.75" customHeight="1">
      <c r="A1971" s="1" t="s">
        <v>4046</v>
      </c>
      <c r="B1971" s="1" t="s">
        <v>4047</v>
      </c>
      <c r="C1971" s="2" t="s">
        <v>4048</v>
      </c>
      <c r="D1971" s="1" t="str">
        <f>IFERROR(__xludf.DUMMYFUNCTION("GOOGLETRANSLATE(A1971 , ""auto"", ""ar"")"),"سترة او قفاز او لاعب قفز")</f>
        <v>سترة او قفاز او لاعب قفز</v>
      </c>
    </row>
    <row r="1972" ht="15.75" customHeight="1">
      <c r="A1972" s="1" t="s">
        <v>4049</v>
      </c>
      <c r="B1972" s="1" t="s">
        <v>4050</v>
      </c>
      <c r="C1972" s="2" t="s">
        <v>4051</v>
      </c>
      <c r="D1972" s="1" t="str">
        <f>IFERROR(__xludf.DUMMYFUNCTION("GOOGLETRANSLATE(A1972 , ""auto"", ""ar"")"),"يونيو")</f>
        <v>يونيو</v>
      </c>
    </row>
    <row r="1973" ht="15.75" customHeight="1">
      <c r="A1973" s="1" t="s">
        <v>4049</v>
      </c>
      <c r="B1973" s="1" t="s">
        <v>4052</v>
      </c>
      <c r="C1973" s="2" t="s">
        <v>4053</v>
      </c>
      <c r="D1973" s="1" t="str">
        <f>IFERROR(__xludf.DUMMYFUNCTION("GOOGLETRANSLATE(A1973 , ""auto"", ""ar"")"),"يونيو")</f>
        <v>يونيو</v>
      </c>
    </row>
    <row r="1974" ht="15.75" customHeight="1">
      <c r="A1974" s="1" t="s">
        <v>4054</v>
      </c>
      <c r="B1974" s="1" t="s">
        <v>2584</v>
      </c>
      <c r="C1974" s="2" t="s">
        <v>2585</v>
      </c>
      <c r="D1974" s="1" t="str">
        <f>IFERROR(__xludf.DUMMYFUNCTION("GOOGLETRANSLATE(A1974 , ""auto"", ""ar"")"),"فقط")</f>
        <v>فقط</v>
      </c>
    </row>
    <row r="1975" ht="15.75" customHeight="1">
      <c r="A1975" s="1" t="s">
        <v>4054</v>
      </c>
      <c r="B1975" s="1" t="s">
        <v>4055</v>
      </c>
      <c r="C1975" s="2" t="s">
        <v>4056</v>
      </c>
      <c r="D1975" s="1" t="str">
        <f>IFERROR(__xludf.DUMMYFUNCTION("GOOGLETRANSLATE(A1975 , ""auto"", ""ar"")"),"فقط")</f>
        <v>فقط</v>
      </c>
    </row>
    <row r="1976" ht="15.75" customHeight="1">
      <c r="A1976" s="1" t="s">
        <v>4057</v>
      </c>
      <c r="B1976" s="1" t="s">
        <v>4058</v>
      </c>
      <c r="C1976" s="1"/>
      <c r="D1976" s="1" t="str">
        <f>IFERROR(__xludf.DUMMYFUNCTION("GOOGLETRANSLATE(A1976 , ""auto"", ""ar"")"),"الآن")</f>
        <v>الآن</v>
      </c>
    </row>
    <row r="1977" ht="15.75" customHeight="1">
      <c r="A1977" s="1" t="s">
        <v>4059</v>
      </c>
      <c r="B1977" s="1" t="s">
        <v>2584</v>
      </c>
      <c r="C1977" s="2" t="s">
        <v>2585</v>
      </c>
      <c r="D1977" s="1" t="str">
        <f>IFERROR(__xludf.DUMMYFUNCTION("GOOGLETRANSLATE(A1977 , ""auto"", ""ar"")"),"عدالة")</f>
        <v>عدالة</v>
      </c>
    </row>
    <row r="1978" ht="15.75" customHeight="1">
      <c r="A1978" s="1" t="s">
        <v>466</v>
      </c>
      <c r="B1978" s="1" t="s">
        <v>467</v>
      </c>
      <c r="C1978" s="2" t="s">
        <v>468</v>
      </c>
      <c r="D1978" s="1" t="str">
        <f>IFERROR(__xludf.DUMMYFUNCTION("GOOGLETRANSLATE(A1978 , ""auto"", ""ar"")"),"اسم العائلة")</f>
        <v>اسم العائلة</v>
      </c>
    </row>
    <row r="1979" ht="15.75" customHeight="1">
      <c r="A1979" s="1" t="s">
        <v>43</v>
      </c>
      <c r="B1979" s="1" t="s">
        <v>44</v>
      </c>
      <c r="C1979" s="2" t="s">
        <v>45</v>
      </c>
      <c r="D1979" s="1" t="str">
        <f>IFERROR(__xludf.DUMMYFUNCTION("GOOGLETRANSLATE(A1979 , ""auto"", ""ar"")"),"مقبول")</f>
        <v>مقبول</v>
      </c>
    </row>
    <row r="1980" ht="15.75" customHeight="1">
      <c r="A1980" s="1" t="s">
        <v>469</v>
      </c>
      <c r="B1980" s="1" t="s">
        <v>470</v>
      </c>
      <c r="C1980" s="2" t="s">
        <v>471</v>
      </c>
      <c r="D1980" s="1" t="str">
        <f>IFERROR(__xludf.DUMMYFUNCTION("GOOGLETRANSLATE(A1980 , ""auto"", ""ar"")"),"التصالح")</f>
        <v>التصالح</v>
      </c>
    </row>
    <row r="1981" ht="15.75" customHeight="1">
      <c r="A1981" s="1" t="s">
        <v>472</v>
      </c>
      <c r="B1981" s="1" t="s">
        <v>473</v>
      </c>
      <c r="C1981" s="2" t="s">
        <v>474</v>
      </c>
      <c r="D1981" s="1" t="str">
        <f>IFERROR(__xludf.DUMMYFUNCTION("GOOGLETRANSLATE(A1981 , ""auto"", ""ar"")"),"مغفرة")</f>
        <v>مغفرة</v>
      </c>
    </row>
    <row r="1982" ht="15.75" customHeight="1">
      <c r="A1982" s="1" t="s">
        <v>475</v>
      </c>
      <c r="B1982" s="1" t="s">
        <v>476</v>
      </c>
      <c r="C1982" s="2" t="s">
        <v>477</v>
      </c>
      <c r="D1982" s="1" t="str">
        <f>IFERROR(__xludf.DUMMYFUNCTION("GOOGLETRANSLATE(A1982 , ""auto"", ""ar"")"),"يخبر")</f>
        <v>يخبر</v>
      </c>
    </row>
    <row r="1983" ht="15.75" customHeight="1">
      <c r="A1983" s="1" t="s">
        <v>4060</v>
      </c>
      <c r="B1983" s="1" t="s">
        <v>4061</v>
      </c>
      <c r="C1983" s="2" t="s">
        <v>4062</v>
      </c>
      <c r="D1983" s="1" t="str">
        <f>IFERROR(__xludf.DUMMYFUNCTION("GOOGLETRANSLATE(A1983 , ""auto"", ""ar"")"),"مزاح")</f>
        <v>مزاح</v>
      </c>
    </row>
    <row r="1984" ht="15.75" customHeight="1">
      <c r="A1984" s="1" t="s">
        <v>4063</v>
      </c>
      <c r="B1984" s="1" t="s">
        <v>4064</v>
      </c>
      <c r="C1984" s="2" t="s">
        <v>4065</v>
      </c>
      <c r="D1984" s="1" t="str">
        <f>IFERROR(__xludf.DUMMYFUNCTION("GOOGLETRANSLATE(A1984 , ""auto"", ""ar"")"),"كباب")</f>
        <v>كباب</v>
      </c>
    </row>
    <row r="1985" ht="15.75" customHeight="1">
      <c r="A1985" s="1" t="s">
        <v>4066</v>
      </c>
      <c r="B1985" s="1" t="s">
        <v>4067</v>
      </c>
      <c r="C1985" s="2" t="s">
        <v>4068</v>
      </c>
      <c r="D1985" s="1" t="str">
        <f>IFERROR(__xludf.DUMMYFUNCTION("GOOGLETRANSLATE(A1985 , ""auto"", ""ar"")"),"يحفظ")</f>
        <v>يحفظ</v>
      </c>
    </row>
    <row r="1986" ht="15.75" customHeight="1">
      <c r="A1986" s="1" t="s">
        <v>4066</v>
      </c>
      <c r="B1986" s="1" t="s">
        <v>4069</v>
      </c>
      <c r="C1986" s="2" t="s">
        <v>4070</v>
      </c>
      <c r="D1986" s="1" t="str">
        <f>IFERROR(__xludf.DUMMYFUNCTION("GOOGLETRANSLATE(A1986 , ""auto"", ""ar"")"),"يحفظ")</f>
        <v>يحفظ</v>
      </c>
    </row>
    <row r="1987" ht="15.75" customHeight="1">
      <c r="A1987" s="1" t="s">
        <v>4071</v>
      </c>
      <c r="B1987" s="1" t="s">
        <v>4072</v>
      </c>
      <c r="C1987" s="2" t="s">
        <v>4073</v>
      </c>
      <c r="D1987" s="1" t="str">
        <f>IFERROR(__xludf.DUMMYFUNCTION("GOOGLETRANSLATE(A1987 , ""auto"", ""ar"")"),"حافظ على مراقبة")</f>
        <v>حافظ على مراقبة</v>
      </c>
    </row>
    <row r="1988" ht="15.75" customHeight="1">
      <c r="A1988" s="1" t="s">
        <v>4071</v>
      </c>
      <c r="B1988" s="1" t="s">
        <v>4074</v>
      </c>
      <c r="C1988" s="2" t="s">
        <v>4075</v>
      </c>
      <c r="D1988" s="1" t="str">
        <f>IFERROR(__xludf.DUMMYFUNCTION("GOOGLETRANSLATE(A1988 , ""auto"", ""ar"")"),"حافظ على مراقبة")</f>
        <v>حافظ على مراقبة</v>
      </c>
    </row>
    <row r="1989" ht="15.75" customHeight="1">
      <c r="A1989" s="1" t="s">
        <v>4076</v>
      </c>
      <c r="B1989" s="1" t="s">
        <v>4077</v>
      </c>
      <c r="C1989" s="2" t="s">
        <v>4078</v>
      </c>
      <c r="D1989" s="1" t="str">
        <f>IFERROR(__xludf.DUMMYFUNCTION("GOOGLETRANSLATE(A1989 , ""auto"", ""ar"")"),"غلاية")</f>
        <v>غلاية</v>
      </c>
    </row>
    <row r="1990" ht="15.75" customHeight="1">
      <c r="A1990" s="1" t="s">
        <v>4079</v>
      </c>
      <c r="B1990" s="1" t="s">
        <v>4080</v>
      </c>
      <c r="C1990" s="2" t="s">
        <v>4081</v>
      </c>
      <c r="D1990" s="1" t="str">
        <f>IFERROR(__xludf.DUMMYFUNCTION("GOOGLETRANSLATE(A1990 , ""auto"", ""ar"")"),"مفتاح")</f>
        <v>مفتاح</v>
      </c>
    </row>
    <row r="1991" ht="15.75" customHeight="1">
      <c r="A1991" s="1" t="s">
        <v>4082</v>
      </c>
      <c r="B1991" s="1" t="s">
        <v>4083</v>
      </c>
      <c r="C1991" s="2" t="s">
        <v>4084</v>
      </c>
      <c r="D1991" s="1" t="str">
        <f>IFERROR(__xludf.DUMMYFUNCTION("GOOGLETRANSLATE(A1991 , ""auto"", ""ar"")"),"كلية")</f>
        <v>كلية</v>
      </c>
    </row>
    <row r="1992" ht="15.75" customHeight="1">
      <c r="A1992" s="1" t="s">
        <v>4085</v>
      </c>
      <c r="B1992" s="1" t="s">
        <v>4086</v>
      </c>
      <c r="C1992" s="2" t="s">
        <v>4087</v>
      </c>
      <c r="D1992" s="1" t="str">
        <f>IFERROR(__xludf.DUMMYFUNCTION("GOOGLETRANSLATE(A1992 , ""auto"", ""ar"")"),"قتل")</f>
        <v>قتل</v>
      </c>
    </row>
    <row r="1993" ht="15.75" customHeight="1">
      <c r="A1993" s="1" t="s">
        <v>4085</v>
      </c>
      <c r="B1993" s="1" t="s">
        <v>4088</v>
      </c>
      <c r="C1993" s="2" t="s">
        <v>4089</v>
      </c>
      <c r="D1993" s="1" t="str">
        <f>IFERROR(__xludf.DUMMYFUNCTION("GOOGLETRANSLATE(A1993 , ""auto"", ""ar"")"),"قتل")</f>
        <v>قتل</v>
      </c>
    </row>
    <row r="1994" ht="15.75" customHeight="1">
      <c r="A1994" s="1" t="s">
        <v>4090</v>
      </c>
      <c r="B1994" s="1" t="s">
        <v>4091</v>
      </c>
      <c r="C1994" s="2" t="s">
        <v>4092</v>
      </c>
      <c r="D1994" s="1" t="str">
        <f>IFERROR(__xludf.DUMMYFUNCTION("GOOGLETRANSLATE(A1994 , ""auto"", ""ar"")"),"كيلو")</f>
        <v>كيلو</v>
      </c>
    </row>
    <row r="1995" ht="15.75" customHeight="1">
      <c r="A1995" s="1" t="s">
        <v>4093</v>
      </c>
      <c r="B1995" s="1" t="s">
        <v>4094</v>
      </c>
      <c r="C1995" s="2" t="s">
        <v>4095</v>
      </c>
      <c r="D1995" s="1" t="str">
        <f>IFERROR(__xludf.DUMMYFUNCTION("GOOGLETRANSLATE(A1995 , ""auto"", ""ar"")"),"عطوف")</f>
        <v>عطوف</v>
      </c>
    </row>
    <row r="1996" ht="15.75" customHeight="1">
      <c r="A1996" s="1" t="s">
        <v>4096</v>
      </c>
      <c r="B1996" s="1" t="s">
        <v>4097</v>
      </c>
      <c r="C1996" s="2" t="s">
        <v>4098</v>
      </c>
      <c r="D1996" s="1" t="str">
        <f>IFERROR(__xludf.DUMMYFUNCTION("GOOGLETRANSLATE(A1996 , ""auto"", ""ar"")"),"أطفال")</f>
        <v>أطفال</v>
      </c>
    </row>
    <row r="1997" ht="15.75" customHeight="1">
      <c r="A1997" s="1" t="s">
        <v>4099</v>
      </c>
      <c r="B1997" s="1" t="s">
        <v>4100</v>
      </c>
      <c r="C1997" s="2" t="s">
        <v>4101</v>
      </c>
      <c r="D1997" s="1" t="str">
        <f>IFERROR(__xludf.DUMMYFUNCTION("GOOGLETRANSLATE(A1997 , ""auto"", ""ar"")"),"ملِك")</f>
        <v>ملِك</v>
      </c>
    </row>
    <row r="1998" ht="15.75" customHeight="1">
      <c r="A1998" s="1" t="s">
        <v>4102</v>
      </c>
      <c r="B1998" s="1" t="s">
        <v>4103</v>
      </c>
      <c r="C1998" s="2" t="s">
        <v>4104</v>
      </c>
      <c r="D1998" s="1" t="str">
        <f>IFERROR(__xludf.DUMMYFUNCTION("GOOGLETRANSLATE(A1998 , ""auto"", ""ar"")"),"مملكة")</f>
        <v>مملكة</v>
      </c>
    </row>
    <row r="1999" ht="15.75" customHeight="1">
      <c r="A1999" s="1" t="s">
        <v>4105</v>
      </c>
      <c r="B1999" s="1" t="s">
        <v>4106</v>
      </c>
      <c r="C1999" s="2" t="s">
        <v>3431</v>
      </c>
      <c r="D1999" s="1" t="str">
        <f>IFERROR(__xludf.DUMMYFUNCTION("GOOGLETRANSLATE(A1999 , ""auto"", ""ar"")"),"قبلة")</f>
        <v>قبلة</v>
      </c>
    </row>
    <row r="2000" ht="15.75" customHeight="1">
      <c r="A2000" s="1" t="s">
        <v>4107</v>
      </c>
      <c r="B2000" s="1" t="s">
        <v>4108</v>
      </c>
      <c r="C2000" s="2" t="s">
        <v>4109</v>
      </c>
      <c r="D2000" s="1" t="str">
        <f>IFERROR(__xludf.DUMMYFUNCTION("GOOGLETRANSLATE(A2000 , ""auto"", ""ar"")"),"مطبخ")</f>
        <v>مطبخ</v>
      </c>
    </row>
    <row r="2001" ht="15.75" customHeight="1">
      <c r="A2001" s="1" t="s">
        <v>4110</v>
      </c>
      <c r="B2001" s="1" t="s">
        <v>4111</v>
      </c>
      <c r="C2001" s="1"/>
      <c r="D2001" s="1" t="str">
        <f>IFERROR(__xludf.DUMMYFUNCTION("GOOGLETRANSLATE(A2001 , ""auto"", ""ar"")"),"عداد المطبخ")</f>
        <v>عداد المطبخ</v>
      </c>
    </row>
    <row r="2002" ht="15.75" customHeight="1">
      <c r="A2002" s="1" t="s">
        <v>4112</v>
      </c>
      <c r="B2002" s="1" t="s">
        <v>4111</v>
      </c>
      <c r="C2002" s="1"/>
      <c r="D2002" s="1" t="str">
        <f>IFERROR(__xludf.DUMMYFUNCTION("GOOGLETRANSLATE(A2002 , ""auto"", ""ar"")"),"سطح العمل المطبخ")</f>
        <v>سطح العمل المطبخ</v>
      </c>
    </row>
    <row r="2003" ht="15.75" customHeight="1">
      <c r="A2003" s="1" t="s">
        <v>4113</v>
      </c>
      <c r="B2003" s="1" t="s">
        <v>4114</v>
      </c>
      <c r="C2003" s="1"/>
      <c r="D2003" s="1" t="str">
        <f>IFERROR(__xludf.DUMMYFUNCTION("GOOGLETRANSLATE(A2003 , ""auto"", ""ar"")"),"قطه صغيرة")</f>
        <v>قطه صغيرة</v>
      </c>
    </row>
    <row r="2004" ht="15.75" customHeight="1">
      <c r="A2004" s="1" t="s">
        <v>4115</v>
      </c>
      <c r="B2004" s="1" t="s">
        <v>4116</v>
      </c>
      <c r="C2004" s="2" t="s">
        <v>4117</v>
      </c>
      <c r="D2004" s="1" t="str">
        <f>IFERROR(__xludf.DUMMYFUNCTION("GOOGLETRANSLATE(A2004 , ""auto"", ""ar"")"),"كيوي")</f>
        <v>كيوي</v>
      </c>
    </row>
    <row r="2005" ht="15.75" customHeight="1">
      <c r="A2005" s="1" t="s">
        <v>4118</v>
      </c>
      <c r="B2005" s="1" t="s">
        <v>4119</v>
      </c>
      <c r="C2005" s="2" t="s">
        <v>4120</v>
      </c>
      <c r="D2005" s="1" t="str">
        <f>IFERROR(__xludf.DUMMYFUNCTION("GOOGLETRANSLATE(A2005 , ""auto"", ""ar"")"),"دلك")</f>
        <v>دلك</v>
      </c>
    </row>
    <row r="2006" ht="15.75" customHeight="1">
      <c r="A2006" s="1" t="s">
        <v>4121</v>
      </c>
      <c r="B2006" s="1" t="s">
        <v>4122</v>
      </c>
      <c r="C2006" s="2" t="s">
        <v>4123</v>
      </c>
      <c r="D2006" s="1" t="str">
        <f>IFERROR(__xludf.DUMMYFUNCTION("GOOGLETRANSLATE(A2006 , ""auto"", ""ar"")"),"ركبة")</f>
        <v>ركبة</v>
      </c>
    </row>
    <row r="2007" ht="15.75" customHeight="1">
      <c r="A2007" s="1" t="s">
        <v>4124</v>
      </c>
      <c r="B2007" s="1" t="s">
        <v>4125</v>
      </c>
      <c r="C2007" s="2" t="s">
        <v>4126</v>
      </c>
      <c r="D2007" s="1" t="str">
        <f>IFERROR(__xludf.DUMMYFUNCTION("GOOGLETRANSLATE(A2007 , ""auto"", ""ar"")"),"سكين")</f>
        <v>سكين</v>
      </c>
    </row>
    <row r="2008" ht="15.75" customHeight="1">
      <c r="A2008" s="1" t="s">
        <v>4127</v>
      </c>
      <c r="B2008" s="1" t="s">
        <v>4128</v>
      </c>
      <c r="C2008" s="2" t="s">
        <v>4129</v>
      </c>
      <c r="D2008" s="1" t="str">
        <f>IFERROR(__xludf.DUMMYFUNCTION("GOOGLETRANSLATE(A2008 , ""auto"", ""ar"")"),"طرق")</f>
        <v>طرق</v>
      </c>
    </row>
    <row r="2009" ht="15.75" customHeight="1">
      <c r="A2009" s="1" t="s">
        <v>4127</v>
      </c>
      <c r="B2009" s="1" t="s">
        <v>4130</v>
      </c>
      <c r="C2009" s="1"/>
      <c r="D2009" s="1" t="str">
        <f>IFERROR(__xludf.DUMMYFUNCTION("GOOGLETRANSLATE(A2009 , ""auto"", ""ar"")"),"طرق")</f>
        <v>طرق</v>
      </c>
    </row>
    <row r="2010" ht="15.75" customHeight="1">
      <c r="A2010" s="1" t="s">
        <v>4131</v>
      </c>
      <c r="B2010" s="1" t="s">
        <v>4132</v>
      </c>
      <c r="C2010" s="2" t="s">
        <v>4133</v>
      </c>
      <c r="D2010" s="1" t="str">
        <f>IFERROR(__xludf.DUMMYFUNCTION("GOOGLETRANSLATE(A2010 , ""auto"", ""ar"")"),"عقدة")</f>
        <v>عقدة</v>
      </c>
    </row>
    <row r="2011" ht="15.75" customHeight="1">
      <c r="A2011" s="1" t="s">
        <v>4131</v>
      </c>
      <c r="B2011" s="1" t="s">
        <v>4134</v>
      </c>
      <c r="C2011" s="2" t="s">
        <v>4135</v>
      </c>
      <c r="D2011" s="1" t="str">
        <f>IFERROR(__xludf.DUMMYFUNCTION("GOOGLETRANSLATE(A2011 , ""auto"", ""ar"")"),"عقدة")</f>
        <v>عقدة</v>
      </c>
    </row>
    <row r="2012" ht="15.75" customHeight="1">
      <c r="A2012" s="1" t="s">
        <v>4131</v>
      </c>
      <c r="B2012" s="1" t="s">
        <v>4136</v>
      </c>
      <c r="C2012" s="2" t="s">
        <v>4137</v>
      </c>
      <c r="D2012" s="1" t="str">
        <f>IFERROR(__xludf.DUMMYFUNCTION("GOOGLETRANSLATE(A2012 , ""auto"", ""ar"")"),"عقدة")</f>
        <v>عقدة</v>
      </c>
    </row>
    <row r="2013" ht="15.75" customHeight="1">
      <c r="A2013" s="1" t="s">
        <v>4138</v>
      </c>
      <c r="B2013" s="1" t="s">
        <v>4139</v>
      </c>
      <c r="C2013" s="2" t="s">
        <v>4140</v>
      </c>
      <c r="D2013" s="1" t="str">
        <f>IFERROR(__xludf.DUMMYFUNCTION("GOOGLETRANSLATE(A2013 , ""auto"", ""ar"")"),"يعرف")</f>
        <v>يعرف</v>
      </c>
    </row>
    <row r="2014" ht="15.75" customHeight="1">
      <c r="A2014" s="1" t="s">
        <v>4141</v>
      </c>
      <c r="B2014" s="1" t="s">
        <v>2602</v>
      </c>
      <c r="C2014" s="2" t="s">
        <v>2603</v>
      </c>
      <c r="D2014" s="1" t="str">
        <f>IFERROR(__xludf.DUMMYFUNCTION("GOOGLETRANSLATE(A2014 , ""auto"", ""ar"")"),"معروف")</f>
        <v>معروف</v>
      </c>
    </row>
    <row r="2015" ht="15.75" customHeight="1">
      <c r="A2015" s="1" t="s">
        <v>4142</v>
      </c>
      <c r="B2015" s="1" t="s">
        <v>4143</v>
      </c>
      <c r="C2015" s="2" t="s">
        <v>792</v>
      </c>
      <c r="D2015" s="1" t="str">
        <f>IFERROR(__xludf.DUMMYFUNCTION("GOOGLETRANSLATE(A2015 , ""auto"", ""ar"")"),"الكحل")</f>
        <v>الكحل</v>
      </c>
    </row>
    <row r="2016" ht="15.75" customHeight="1">
      <c r="A2016" s="1" t="s">
        <v>4144</v>
      </c>
      <c r="B2016" s="1" t="s">
        <v>4145</v>
      </c>
      <c r="C2016" s="2" t="s">
        <v>4146</v>
      </c>
      <c r="D2016" s="1" t="str">
        <f>IFERROR(__xludf.DUMMYFUNCTION("GOOGLETRANSLATE(A2016 , ""auto"", ""ar"")"),"القرآن")</f>
        <v>القرآن</v>
      </c>
    </row>
    <row r="2017" ht="15.75" customHeight="1">
      <c r="A2017" s="1" t="s">
        <v>466</v>
      </c>
      <c r="B2017" s="1" t="s">
        <v>467</v>
      </c>
      <c r="C2017" s="2" t="s">
        <v>468</v>
      </c>
      <c r="D2017" s="1" t="str">
        <f>IFERROR(__xludf.DUMMYFUNCTION("GOOGLETRANSLATE(A2017 , ""auto"", ""ar"")"),"اسم العائلة")</f>
        <v>اسم العائلة</v>
      </c>
    </row>
    <row r="2018" ht="15.75" customHeight="1">
      <c r="A2018" s="1" t="s">
        <v>43</v>
      </c>
      <c r="B2018" s="1" t="s">
        <v>44</v>
      </c>
      <c r="C2018" s="2" t="s">
        <v>45</v>
      </c>
      <c r="D2018" s="1" t="str">
        <f>IFERROR(__xludf.DUMMYFUNCTION("GOOGLETRANSLATE(A2018 , ""auto"", ""ar"")"),"مقبول")</f>
        <v>مقبول</v>
      </c>
    </row>
    <row r="2019" ht="15.75" customHeight="1">
      <c r="A2019" s="1" t="s">
        <v>469</v>
      </c>
      <c r="B2019" s="1" t="s">
        <v>470</v>
      </c>
      <c r="C2019" s="2" t="s">
        <v>471</v>
      </c>
      <c r="D2019" s="1" t="str">
        <f>IFERROR(__xludf.DUMMYFUNCTION("GOOGLETRANSLATE(A2019 , ""auto"", ""ar"")"),"التصالح")</f>
        <v>التصالح</v>
      </c>
    </row>
    <row r="2020" ht="15.75" customHeight="1">
      <c r="A2020" s="1" t="s">
        <v>472</v>
      </c>
      <c r="B2020" s="1" t="s">
        <v>473</v>
      </c>
      <c r="C2020" s="2" t="s">
        <v>474</v>
      </c>
      <c r="D2020" s="1" t="str">
        <f>IFERROR(__xludf.DUMMYFUNCTION("GOOGLETRANSLATE(A2020 , ""auto"", ""ar"")"),"مغفرة")</f>
        <v>مغفرة</v>
      </c>
    </row>
    <row r="2021" ht="15.75" customHeight="1">
      <c r="A2021" s="1" t="s">
        <v>475</v>
      </c>
      <c r="B2021" s="1" t="s">
        <v>476</v>
      </c>
      <c r="C2021" s="2" t="s">
        <v>477</v>
      </c>
      <c r="D2021" s="1" t="str">
        <f>IFERROR(__xludf.DUMMYFUNCTION("GOOGLETRANSLATE(A2021 , ""auto"", ""ar"")"),"يخبر")</f>
        <v>يخبر</v>
      </c>
    </row>
    <row r="2022" ht="15.75" customHeight="1">
      <c r="A2022" s="1" t="s">
        <v>4147</v>
      </c>
      <c r="B2022" s="1" t="s">
        <v>4148</v>
      </c>
      <c r="C2022" s="2" t="s">
        <v>4149</v>
      </c>
      <c r="D2022" s="1" t="str">
        <f>IFERROR(__xludf.DUMMYFUNCTION("GOOGLETRANSLATE(A2022 , ""auto"", ""ar"")"),"مختبر")</f>
        <v>مختبر</v>
      </c>
    </row>
    <row r="2023" ht="15.75" customHeight="1">
      <c r="A2023" s="1" t="s">
        <v>4147</v>
      </c>
      <c r="B2023" s="1" t="s">
        <v>4150</v>
      </c>
      <c r="C2023" s="2" t="s">
        <v>4151</v>
      </c>
      <c r="D2023" s="1" t="str">
        <f>IFERROR(__xludf.DUMMYFUNCTION("GOOGLETRANSLATE(A2023 , ""auto"", ""ar"")"),"مختبر")</f>
        <v>مختبر</v>
      </c>
    </row>
    <row r="2024" ht="15.75" customHeight="1">
      <c r="A2024" s="1" t="s">
        <v>4152</v>
      </c>
      <c r="B2024" s="1" t="s">
        <v>4148</v>
      </c>
      <c r="C2024" s="2" t="s">
        <v>4149</v>
      </c>
      <c r="D2024" s="1" t="str">
        <f>IFERROR(__xludf.DUMMYFUNCTION("GOOGLETRANSLATE(A2024 , ""auto"", ""ar"")"),"معمل")</f>
        <v>معمل</v>
      </c>
    </row>
    <row r="2025" ht="15.75" customHeight="1">
      <c r="A2025" s="1" t="s">
        <v>4152</v>
      </c>
      <c r="B2025" s="1" t="s">
        <v>4150</v>
      </c>
      <c r="C2025" s="2" t="s">
        <v>4151</v>
      </c>
      <c r="D2025" s="1" t="str">
        <f>IFERROR(__xludf.DUMMYFUNCTION("GOOGLETRANSLATE(A2025 , ""auto"", ""ar"")"),"معمل")</f>
        <v>معمل</v>
      </c>
    </row>
    <row r="2026" ht="15.75" customHeight="1">
      <c r="A2026" s="1" t="s">
        <v>4153</v>
      </c>
      <c r="B2026" s="1" t="s">
        <v>4154</v>
      </c>
      <c r="C2026" s="1"/>
      <c r="D2026" s="1" t="str">
        <f>IFERROR(__xludf.DUMMYFUNCTION("GOOGLETRANSLATE(A2026 , ""auto"", ""ar"")"),"نقص")</f>
        <v>نقص</v>
      </c>
    </row>
    <row r="2027" ht="15.75" customHeight="1">
      <c r="A2027" s="1" t="s">
        <v>4153</v>
      </c>
      <c r="B2027" s="1" t="s">
        <v>4155</v>
      </c>
      <c r="C2027" s="2" t="s">
        <v>4156</v>
      </c>
      <c r="D2027" s="1" t="str">
        <f>IFERROR(__xludf.DUMMYFUNCTION("GOOGLETRANSLATE(A2027 , ""auto"", ""ar"")"),"نقص")</f>
        <v>نقص</v>
      </c>
    </row>
    <row r="2028" ht="15.75" customHeight="1">
      <c r="A2028" s="1" t="s">
        <v>4157</v>
      </c>
      <c r="B2028" s="1" t="s">
        <v>4155</v>
      </c>
      <c r="C2028" s="2" t="s">
        <v>4156</v>
      </c>
      <c r="D2028" s="1" t="str">
        <f>IFERROR(__xludf.DUMMYFUNCTION("GOOGLETRANSLATE(A2028 , ""auto"", ""ar"")"),"تفتقر إلى")</f>
        <v>تفتقر إلى</v>
      </c>
    </row>
    <row r="2029" ht="15.75" customHeight="1">
      <c r="A2029" s="1" t="s">
        <v>4158</v>
      </c>
      <c r="B2029" s="1" t="s">
        <v>4159</v>
      </c>
      <c r="C2029" s="1"/>
      <c r="D2029" s="1" t="str">
        <f>IFERROR(__xludf.DUMMYFUNCTION("GOOGLETRANSLATE(A2029 , ""auto"", ""ar"")"),"سُلُّم")</f>
        <v>سُلُّم</v>
      </c>
    </row>
    <row r="2030" ht="15.75" customHeight="1">
      <c r="A2030" s="1" t="s">
        <v>4160</v>
      </c>
      <c r="B2030" s="1" t="s">
        <v>4161</v>
      </c>
      <c r="C2030" s="2" t="s">
        <v>4162</v>
      </c>
      <c r="D2030" s="1" t="str">
        <f>IFERROR(__xludf.DUMMYFUNCTION("GOOGLETRANSLATE(A2030 , ""auto"", ""ar"")"),"مغرفة")</f>
        <v>مغرفة</v>
      </c>
    </row>
    <row r="2031" ht="15.75" customHeight="1">
      <c r="A2031" s="1" t="s">
        <v>4163</v>
      </c>
      <c r="B2031" s="1" t="s">
        <v>397</v>
      </c>
      <c r="C2031" s="2" t="s">
        <v>398</v>
      </c>
      <c r="D2031" s="1" t="str">
        <f>IFERROR(__xludf.DUMMYFUNCTION("GOOGLETRANSLATE(A2031 , ""auto"", ""ar"")"),"وضعت فوق")</f>
        <v>وضعت فوق</v>
      </c>
    </row>
    <row r="2032" ht="15.75" customHeight="1">
      <c r="A2032" s="1" t="s">
        <v>4164</v>
      </c>
      <c r="B2032" s="1" t="s">
        <v>4165</v>
      </c>
      <c r="C2032" s="2" t="s">
        <v>4166</v>
      </c>
      <c r="D2032" s="1" t="str">
        <f>IFERROR(__xludf.DUMMYFUNCTION("GOOGLETRANSLATE(A2032 , ""auto"", ""ar"")"),"حمَل")</f>
        <v>حمَل</v>
      </c>
    </row>
    <row r="2033" ht="15.75" customHeight="1">
      <c r="A2033" s="1" t="s">
        <v>4164</v>
      </c>
      <c r="B2033" s="1" t="s">
        <v>4167</v>
      </c>
      <c r="C2033" s="2" t="s">
        <v>4168</v>
      </c>
      <c r="D2033" s="1" t="str">
        <f>IFERROR(__xludf.DUMMYFUNCTION("GOOGLETRANSLATE(A2033 , ""auto"", ""ar"")"),"حمَل")</f>
        <v>حمَل</v>
      </c>
    </row>
    <row r="2034" ht="15.75" customHeight="1">
      <c r="A2034" s="1" t="s">
        <v>4164</v>
      </c>
      <c r="B2034" s="1" t="s">
        <v>4169</v>
      </c>
      <c r="C2034" s="2" t="s">
        <v>4170</v>
      </c>
      <c r="D2034" s="1" t="str">
        <f>IFERROR(__xludf.DUMMYFUNCTION("GOOGLETRANSLATE(A2034 , ""auto"", ""ar"")"),"حمَل")</f>
        <v>حمَل</v>
      </c>
    </row>
    <row r="2035" ht="15.75" customHeight="1">
      <c r="A2035" s="1" t="s">
        <v>4171</v>
      </c>
      <c r="B2035" s="1" t="s">
        <v>4172</v>
      </c>
      <c r="C2035" s="1"/>
      <c r="D2035" s="1" t="str">
        <f>IFERROR(__xludf.DUMMYFUNCTION("GOOGLETRANSLATE(A2035 , ""auto"", ""ar"")"),"المالك")</f>
        <v>المالك</v>
      </c>
    </row>
    <row r="2036" ht="15.75" customHeight="1">
      <c r="A2036" s="1" t="s">
        <v>4171</v>
      </c>
      <c r="B2036" s="1" t="s">
        <v>4173</v>
      </c>
      <c r="C2036" s="1"/>
      <c r="D2036" s="1" t="str">
        <f>IFERROR(__xludf.DUMMYFUNCTION("GOOGLETRANSLATE(A2036 , ""auto"", ""ar"")"),"المالك")</f>
        <v>المالك</v>
      </c>
    </row>
    <row r="2037" ht="15.75" customHeight="1">
      <c r="A2037" s="1" t="s">
        <v>4174</v>
      </c>
      <c r="B2037" s="1" t="s">
        <v>4175</v>
      </c>
      <c r="C2037" s="2" t="s">
        <v>4176</v>
      </c>
      <c r="D2037" s="1" t="str">
        <f>IFERROR(__xludf.DUMMYFUNCTION("GOOGLETRANSLATE(A2037 , ""auto"", ""ar"")"),"لغة")</f>
        <v>لغة</v>
      </c>
    </row>
    <row r="2038" ht="15.75" customHeight="1">
      <c r="A2038" s="1" t="s">
        <v>4177</v>
      </c>
      <c r="B2038" s="1" t="s">
        <v>4178</v>
      </c>
      <c r="C2038" s="2" t="s">
        <v>4179</v>
      </c>
      <c r="D2038" s="1" t="str">
        <f>IFERROR(__xludf.DUMMYFUNCTION("GOOGLETRANSLATE(A2038 , ""auto"", ""ar"")"),"فانوس")</f>
        <v>فانوس</v>
      </c>
    </row>
    <row r="2039" ht="15.75" customHeight="1">
      <c r="A2039" s="1" t="s">
        <v>4180</v>
      </c>
      <c r="B2039" s="1" t="s">
        <v>1633</v>
      </c>
      <c r="C2039" s="1"/>
      <c r="D2039" s="1" t="str">
        <f>IFERROR(__xludf.DUMMYFUNCTION("GOOGLETRANSLATE(A2039 , ""auto"", ""ar"")"),"كمبيوتر محمول")</f>
        <v>كمبيوتر محمول</v>
      </c>
    </row>
    <row r="2040" ht="15.75" customHeight="1">
      <c r="A2040" s="1" t="s">
        <v>4181</v>
      </c>
      <c r="B2040" s="1" t="s">
        <v>1033</v>
      </c>
      <c r="C2040" s="2" t="s">
        <v>65</v>
      </c>
      <c r="D2040" s="1" t="str">
        <f>IFERROR(__xludf.DUMMYFUNCTION("GOOGLETRANSLATE(A2040 , ""auto"", ""ar"")"),"كبير")</f>
        <v>كبير</v>
      </c>
    </row>
    <row r="2041" ht="15.75" customHeight="1">
      <c r="A2041" s="1" t="s">
        <v>4182</v>
      </c>
      <c r="B2041" s="1" t="s">
        <v>2558</v>
      </c>
      <c r="C2041" s="1"/>
      <c r="D2041" s="1" t="str">
        <f>IFERROR(__xludf.DUMMYFUNCTION("GOOGLETRANSLATE(A2041 , ""auto"", ""ar"")"),"جلسة")</f>
        <v>جلسة</v>
      </c>
    </row>
    <row r="2042" ht="15.75" customHeight="1">
      <c r="A2042" s="1" t="s">
        <v>4183</v>
      </c>
      <c r="B2042" s="1" t="s">
        <v>2335</v>
      </c>
      <c r="C2042" s="2" t="s">
        <v>65</v>
      </c>
      <c r="D2042" s="1" t="str">
        <f>IFERROR(__xludf.DUMMYFUNCTION("GOOGLETRANSLATE(A2042 , ""auto"", ""ar"")"),"آخر")</f>
        <v>آخر</v>
      </c>
    </row>
    <row r="2043" ht="15.75" customHeight="1">
      <c r="A2043" s="1" t="s">
        <v>4183</v>
      </c>
      <c r="B2043" s="1" t="s">
        <v>4184</v>
      </c>
      <c r="C2043" s="2" t="s">
        <v>4185</v>
      </c>
      <c r="D2043" s="1" t="str">
        <f>IFERROR(__xludf.DUMMYFUNCTION("GOOGLETRANSLATE(A2043 , ""auto"", ""ar"")"),"آخر")</f>
        <v>آخر</v>
      </c>
    </row>
    <row r="2044" ht="15.75" customHeight="1">
      <c r="A2044" s="1" t="s">
        <v>4183</v>
      </c>
      <c r="B2044" s="1" t="s">
        <v>4186</v>
      </c>
      <c r="C2044" s="2" t="s">
        <v>4187</v>
      </c>
      <c r="D2044" s="1" t="str">
        <f>IFERROR(__xludf.DUMMYFUNCTION("GOOGLETRANSLATE(A2044 , ""auto"", ""ar"")"),"آخر")</f>
        <v>آخر</v>
      </c>
    </row>
    <row r="2045" ht="15.75" customHeight="1">
      <c r="A2045" s="1" t="s">
        <v>4183</v>
      </c>
      <c r="B2045" s="1" t="s">
        <v>4188</v>
      </c>
      <c r="C2045" s="1"/>
      <c r="D2045" s="1" t="str">
        <f>IFERROR(__xludf.DUMMYFUNCTION("GOOGLETRANSLATE(A2045 , ""auto"", ""ar"")"),"آخر")</f>
        <v>آخر</v>
      </c>
    </row>
    <row r="2046" ht="15.75" customHeight="1">
      <c r="A2046" s="1" t="s">
        <v>4189</v>
      </c>
      <c r="B2046" s="1" t="s">
        <v>4190</v>
      </c>
      <c r="C2046" s="2" t="s">
        <v>4191</v>
      </c>
      <c r="D2046" s="1" t="str">
        <f>IFERROR(__xludf.DUMMYFUNCTION("GOOGLETRANSLATE(A2046 , ""auto"", ""ar"")"),"متأخر")</f>
        <v>متأخر</v>
      </c>
    </row>
    <row r="2047" ht="15.75" customHeight="1">
      <c r="A2047" s="1" t="s">
        <v>4189</v>
      </c>
      <c r="B2047" s="1" t="s">
        <v>4192</v>
      </c>
      <c r="C2047" s="2" t="s">
        <v>4193</v>
      </c>
      <c r="D2047" s="1" t="str">
        <f>IFERROR(__xludf.DUMMYFUNCTION("GOOGLETRANSLATE(A2047 , ""auto"", ""ar"")"),"متأخر")</f>
        <v>متأخر</v>
      </c>
    </row>
    <row r="2048" ht="15.75" customHeight="1">
      <c r="A2048" s="1" t="s">
        <v>4189</v>
      </c>
      <c r="B2048" s="1" t="s">
        <v>209</v>
      </c>
      <c r="C2048" s="1"/>
      <c r="D2048" s="1" t="str">
        <f>IFERROR(__xludf.DUMMYFUNCTION("GOOGLETRANSLATE(A2048 , ""auto"", ""ar"")"),"متأخر")</f>
        <v>متأخر</v>
      </c>
    </row>
    <row r="2049" ht="15.75" customHeight="1">
      <c r="A2049" s="1" t="s">
        <v>4194</v>
      </c>
      <c r="B2049" s="1" t="s">
        <v>134</v>
      </c>
      <c r="C2049" s="2" t="s">
        <v>135</v>
      </c>
      <c r="D2049" s="1" t="str">
        <f>IFERROR(__xludf.DUMMYFUNCTION("GOOGLETRANSLATE(A2049 , ""auto"", ""ar"")"),"لاحقاً")</f>
        <v>لاحقاً</v>
      </c>
    </row>
    <row r="2050" ht="15.75" customHeight="1">
      <c r="A2050" s="1" t="s">
        <v>4195</v>
      </c>
      <c r="B2050" s="1" t="s">
        <v>4196</v>
      </c>
      <c r="C2050" s="2" t="s">
        <v>4197</v>
      </c>
      <c r="D2050" s="1" t="str">
        <f>IFERROR(__xludf.DUMMYFUNCTION("GOOGLETRANSLATE(A2050 , ""auto"", ""ar"")"),"يضحك")</f>
        <v>يضحك</v>
      </c>
    </row>
    <row r="2051" ht="15.75" customHeight="1">
      <c r="A2051" s="1" t="s">
        <v>4195</v>
      </c>
      <c r="B2051" s="1" t="s">
        <v>3453</v>
      </c>
      <c r="C2051" s="2" t="s">
        <v>3454</v>
      </c>
      <c r="D2051" s="1" t="str">
        <f>IFERROR(__xludf.DUMMYFUNCTION("GOOGLETRANSLATE(A2051 , ""auto"", ""ar"")"),"يضحك")</f>
        <v>يضحك</v>
      </c>
    </row>
    <row r="2052" ht="15.75" customHeight="1">
      <c r="A2052" s="1" t="s">
        <v>4195</v>
      </c>
      <c r="B2052" s="1" t="s">
        <v>4198</v>
      </c>
      <c r="C2052" s="2" t="s">
        <v>4199</v>
      </c>
      <c r="D2052" s="1" t="str">
        <f>IFERROR(__xludf.DUMMYFUNCTION("GOOGLETRANSLATE(A2052 , ""auto"", ""ar"")"),"يضحك")</f>
        <v>يضحك</v>
      </c>
    </row>
    <row r="2053" ht="15.75" customHeight="1">
      <c r="A2053" s="1" t="s">
        <v>4200</v>
      </c>
      <c r="B2053" s="1" t="s">
        <v>4201</v>
      </c>
      <c r="C2053" s="1"/>
      <c r="D2053" s="1" t="str">
        <f>IFERROR(__xludf.DUMMYFUNCTION("GOOGLETRANSLATE(A2053 , ""auto"", ""ar"")"),"مغسلة")</f>
        <v>مغسلة</v>
      </c>
    </row>
    <row r="2054" ht="15.75" customHeight="1">
      <c r="A2054" s="1" t="s">
        <v>4200</v>
      </c>
      <c r="B2054" s="1" t="s">
        <v>4202</v>
      </c>
      <c r="C2054" s="2" t="s">
        <v>4203</v>
      </c>
      <c r="D2054" s="1" t="str">
        <f>IFERROR(__xludf.DUMMYFUNCTION("GOOGLETRANSLATE(A2054 , ""auto"", ""ar"")"),"مغسلة")</f>
        <v>مغسلة</v>
      </c>
    </row>
    <row r="2055" ht="15.75" customHeight="1">
      <c r="A2055" s="1" t="s">
        <v>4204</v>
      </c>
      <c r="B2055" s="1" t="s">
        <v>2211</v>
      </c>
      <c r="C2055" s="2" t="s">
        <v>4205</v>
      </c>
      <c r="D2055" s="1" t="str">
        <f>IFERROR(__xludf.DUMMYFUNCTION("GOOGLETRANSLATE(A2055 , ""auto"", ""ar"")"),"سلة الغسيل")</f>
        <v>سلة الغسيل</v>
      </c>
    </row>
    <row r="2056" ht="15.75" customHeight="1">
      <c r="A2056" s="1" t="s">
        <v>4206</v>
      </c>
      <c r="B2056" s="1" t="s">
        <v>568</v>
      </c>
      <c r="C2056" s="1"/>
      <c r="D2056" s="1" t="str">
        <f>IFERROR(__xludf.DUMMYFUNCTION("GOOGLETRANSLATE(A2056 , ""auto"", ""ar"")"),"غرفة الغسيل")</f>
        <v>غرفة الغسيل</v>
      </c>
    </row>
    <row r="2057" ht="15.75" customHeight="1">
      <c r="A2057" s="1" t="s">
        <v>4207</v>
      </c>
      <c r="B2057" s="1" t="s">
        <v>568</v>
      </c>
      <c r="C2057" s="2" t="s">
        <v>569</v>
      </c>
      <c r="D2057" s="1" t="str">
        <f>IFERROR(__xludf.DUMMYFUNCTION("GOOGLETRANSLATE(A2057 , ""auto"", ""ar"")"),"مرحاض")</f>
        <v>مرحاض</v>
      </c>
    </row>
    <row r="2058" ht="15.75" customHeight="1">
      <c r="A2058" s="1" t="s">
        <v>4207</v>
      </c>
      <c r="B2058" s="1" t="s">
        <v>570</v>
      </c>
      <c r="C2058" s="1"/>
      <c r="D2058" s="1" t="str">
        <f>IFERROR(__xludf.DUMMYFUNCTION("GOOGLETRANSLATE(A2058 , ""auto"", ""ar"")"),"مرحاض")</f>
        <v>مرحاض</v>
      </c>
    </row>
    <row r="2059" ht="15.75" customHeight="1">
      <c r="A2059" s="1" t="s">
        <v>4207</v>
      </c>
      <c r="B2059" s="1" t="s">
        <v>571</v>
      </c>
      <c r="C2059" s="2" t="s">
        <v>572</v>
      </c>
      <c r="D2059" s="1" t="str">
        <f>IFERROR(__xludf.DUMMYFUNCTION("GOOGLETRANSLATE(A2059 , ""auto"", ""ar"")"),"مرحاض")</f>
        <v>مرحاض</v>
      </c>
    </row>
    <row r="2060" ht="15.75" customHeight="1">
      <c r="A2060" s="1" t="s">
        <v>4207</v>
      </c>
      <c r="B2060" s="1" t="s">
        <v>4208</v>
      </c>
      <c r="C2060" s="1"/>
      <c r="D2060" s="1" t="str">
        <f>IFERROR(__xludf.DUMMYFUNCTION("GOOGLETRANSLATE(A2060 , ""auto"", ""ar"")"),"مرحاض")</f>
        <v>مرحاض</v>
      </c>
    </row>
    <row r="2061" ht="15.75" customHeight="1">
      <c r="A2061" s="1" t="s">
        <v>4209</v>
      </c>
      <c r="B2061" s="1" t="s">
        <v>4210</v>
      </c>
      <c r="C2061" s="2" t="s">
        <v>4211</v>
      </c>
      <c r="D2061" s="1" t="str">
        <f>IFERROR(__xludf.DUMMYFUNCTION("GOOGLETRANSLATE(A2061 , ""auto"", ""ar"")"),"قانون")</f>
        <v>قانون</v>
      </c>
    </row>
    <row r="2062" ht="15.75" customHeight="1">
      <c r="A2062" s="1" t="s">
        <v>4212</v>
      </c>
      <c r="B2062" s="1" t="s">
        <v>4213</v>
      </c>
      <c r="C2062" s="2" t="s">
        <v>4214</v>
      </c>
      <c r="D2062" s="1" t="str">
        <f>IFERROR(__xludf.DUMMYFUNCTION("GOOGLETRANSLATE(A2062 , ""auto"", ""ar"")"),"محامي")</f>
        <v>محامي</v>
      </c>
    </row>
    <row r="2063" ht="15.75" customHeight="1">
      <c r="A2063" s="1" t="s">
        <v>4215</v>
      </c>
      <c r="B2063" s="1" t="s">
        <v>4216</v>
      </c>
      <c r="C2063" s="2" t="s">
        <v>4217</v>
      </c>
      <c r="D2063" s="1" t="str">
        <f>IFERROR(__xludf.DUMMYFUNCTION("GOOGLETRANSLATE(A2063 , ""auto"", ""ar"")"),"جهز مائدة الطعام")</f>
        <v>جهز مائدة الطعام</v>
      </c>
    </row>
    <row r="2064" ht="15.75" customHeight="1">
      <c r="A2064" s="1" t="s">
        <v>4218</v>
      </c>
      <c r="B2064" s="1" t="s">
        <v>4219</v>
      </c>
      <c r="C2064" s="2" t="s">
        <v>4220</v>
      </c>
      <c r="D2064" s="1" t="str">
        <f>IFERROR(__xludf.DUMMYFUNCTION("GOOGLETRANSLATE(A2064 , ""auto"", ""ar"")"),"كسول")</f>
        <v>كسول</v>
      </c>
    </row>
    <row r="2065" ht="15.75" customHeight="1">
      <c r="A2065" s="1" t="s">
        <v>4218</v>
      </c>
      <c r="B2065" s="1" t="s">
        <v>4221</v>
      </c>
      <c r="C2065" s="2" t="s">
        <v>65</v>
      </c>
      <c r="D2065" s="1" t="str">
        <f>IFERROR(__xludf.DUMMYFUNCTION("GOOGLETRANSLATE(A2065 , ""auto"", ""ar"")"),"كسول")</f>
        <v>كسول</v>
      </c>
    </row>
    <row r="2066" ht="15.75" customHeight="1">
      <c r="A2066" s="1" t="s">
        <v>4218</v>
      </c>
      <c r="B2066" s="1" t="s">
        <v>4222</v>
      </c>
      <c r="C2066" s="1"/>
      <c r="D2066" s="1" t="str">
        <f>IFERROR(__xludf.DUMMYFUNCTION("GOOGLETRANSLATE(A2066 , ""auto"", ""ar"")"),"كسول")</f>
        <v>كسول</v>
      </c>
    </row>
    <row r="2067" ht="15.75" customHeight="1">
      <c r="A2067" s="1" t="s">
        <v>4223</v>
      </c>
      <c r="B2067" s="1" t="s">
        <v>4224</v>
      </c>
      <c r="C2067" s="2" t="s">
        <v>4225</v>
      </c>
      <c r="D2067" s="1" t="str">
        <f>IFERROR(__xludf.DUMMYFUNCTION("GOOGLETRANSLATE(A2067 , ""auto"", ""ar"")"),"ورقة")</f>
        <v>ورقة</v>
      </c>
    </row>
    <row r="2068" ht="15.75" customHeight="1">
      <c r="A2068" s="1" t="s">
        <v>4226</v>
      </c>
      <c r="B2068" s="1" t="s">
        <v>4227</v>
      </c>
      <c r="C2068" s="2" t="s">
        <v>4228</v>
      </c>
      <c r="D2068" s="1" t="str">
        <f>IFERROR(__xludf.DUMMYFUNCTION("GOOGLETRANSLATE(A2068 , ""auto"", ""ar"")"),"تسريب")</f>
        <v>تسريب</v>
      </c>
    </row>
    <row r="2069" ht="15.75" customHeight="1">
      <c r="A2069" s="1" t="s">
        <v>4229</v>
      </c>
      <c r="B2069" s="1" t="s">
        <v>4230</v>
      </c>
      <c r="C2069" s="2" t="s">
        <v>4231</v>
      </c>
      <c r="D2069" s="1" t="str">
        <f>IFERROR(__xludf.DUMMYFUNCTION("GOOGLETRANSLATE(A2069 , ""auto"", ""ar"")"),"يتعلم")</f>
        <v>يتعلم</v>
      </c>
    </row>
    <row r="2070" ht="15.75" customHeight="1">
      <c r="A2070" s="1" t="s">
        <v>4232</v>
      </c>
      <c r="B2070" s="1" t="s">
        <v>4233</v>
      </c>
      <c r="C2070" s="1"/>
      <c r="D2070" s="1" t="str">
        <f>IFERROR(__xludf.DUMMYFUNCTION("GOOGLETRANSLATE(A2070 , ""auto"", ""ar"")"),"جلد")</f>
        <v>جلد</v>
      </c>
    </row>
    <row r="2071" ht="15.75" customHeight="1">
      <c r="A2071" s="1" t="s">
        <v>4234</v>
      </c>
      <c r="B2071" s="1" t="s">
        <v>2076</v>
      </c>
      <c r="C2071" s="2" t="s">
        <v>4235</v>
      </c>
      <c r="D2071" s="1" t="str">
        <f>IFERROR(__xludf.DUMMYFUNCTION("GOOGLETRANSLATE(A2071 , ""auto"", ""ar"")"),"يترك")</f>
        <v>يترك</v>
      </c>
    </row>
    <row r="2072" ht="15.75" customHeight="1">
      <c r="A2072" s="1" t="s">
        <v>4234</v>
      </c>
      <c r="B2072" s="1" t="s">
        <v>4069</v>
      </c>
      <c r="C2072" s="2" t="s">
        <v>4070</v>
      </c>
      <c r="D2072" s="1" t="str">
        <f>IFERROR(__xludf.DUMMYFUNCTION("GOOGLETRANSLATE(A2072 , ""auto"", ""ar"")"),"يترك")</f>
        <v>يترك</v>
      </c>
    </row>
    <row r="2073" ht="15.75" customHeight="1">
      <c r="A2073" s="1" t="s">
        <v>4234</v>
      </c>
      <c r="B2073" s="1" t="s">
        <v>4236</v>
      </c>
      <c r="C2073" s="1"/>
      <c r="D2073" s="1" t="str">
        <f>IFERROR(__xludf.DUMMYFUNCTION("GOOGLETRANSLATE(A2073 , ""auto"", ""ar"")"),"يترك")</f>
        <v>يترك</v>
      </c>
    </row>
    <row r="2074" ht="15.75" customHeight="1">
      <c r="A2074" s="1" t="s">
        <v>4237</v>
      </c>
      <c r="B2074" s="1" t="s">
        <v>4238</v>
      </c>
      <c r="C2074" s="2" t="s">
        <v>4239</v>
      </c>
      <c r="D2074" s="1" t="str">
        <f>IFERROR(__xludf.DUMMYFUNCTION("GOOGLETRANSLATE(A2074 , ""auto"", ""ar"")"),"بدت")</f>
        <v>بدت</v>
      </c>
    </row>
    <row r="2075" ht="15.75" customHeight="1">
      <c r="A2075" s="1" t="s">
        <v>4240</v>
      </c>
      <c r="B2075" s="1" t="s">
        <v>4241</v>
      </c>
      <c r="C2075" s="2" t="s">
        <v>4242</v>
      </c>
      <c r="D2075" s="1" t="str">
        <f>IFERROR(__xludf.DUMMYFUNCTION("GOOGLETRANSLATE(A2075 , ""auto"", ""ar"")"),"غادر")</f>
        <v>غادر</v>
      </c>
    </row>
    <row r="2076" ht="15.75" customHeight="1">
      <c r="A2076" s="1" t="s">
        <v>4240</v>
      </c>
      <c r="B2076" s="1" t="s">
        <v>4243</v>
      </c>
      <c r="C2076" s="2" t="s">
        <v>4244</v>
      </c>
      <c r="D2076" s="1" t="str">
        <f>IFERROR(__xludf.DUMMYFUNCTION("GOOGLETRANSLATE(A2076 , ""auto"", ""ar"")"),"غادر")</f>
        <v>غادر</v>
      </c>
    </row>
    <row r="2077" ht="15.75" customHeight="1">
      <c r="A2077" s="1" t="s">
        <v>4245</v>
      </c>
      <c r="B2077" s="1" t="s">
        <v>2843</v>
      </c>
      <c r="C2077" s="2" t="s">
        <v>2844</v>
      </c>
      <c r="D2077" s="1" t="str">
        <f>IFERROR(__xludf.DUMMYFUNCTION("GOOGLETRANSLATE(A2077 , ""auto"", ""ar"")"),"رجل")</f>
        <v>رجل</v>
      </c>
    </row>
    <row r="2078" ht="15.75" customHeight="1">
      <c r="A2078" s="1" t="s">
        <v>4245</v>
      </c>
      <c r="B2078" s="1" t="s">
        <v>4246</v>
      </c>
      <c r="C2078" s="2" t="s">
        <v>4247</v>
      </c>
      <c r="D2078" s="1" t="str">
        <f>IFERROR(__xludf.DUMMYFUNCTION("GOOGLETRANSLATE(A2078 , ""auto"", ""ar"")"),"رجل")</f>
        <v>رجل</v>
      </c>
    </row>
    <row r="2079" ht="15.75" customHeight="1">
      <c r="A2079" s="1" t="s">
        <v>4248</v>
      </c>
      <c r="B2079" s="1" t="s">
        <v>4249</v>
      </c>
      <c r="C2079" s="1"/>
      <c r="D2079" s="1" t="str">
        <f>IFERROR(__xludf.DUMMYFUNCTION("GOOGLETRANSLATE(A2079 , ""auto"", ""ar"")"),"مركز تقنين")</f>
        <v>مركز تقنين</v>
      </c>
    </row>
    <row r="2080" ht="15.75" customHeight="1">
      <c r="A2080" s="1" t="s">
        <v>4250</v>
      </c>
      <c r="B2080" s="1" t="s">
        <v>4251</v>
      </c>
      <c r="C2080" s="2" t="s">
        <v>4252</v>
      </c>
      <c r="D2080" s="1" t="str">
        <f>IFERROR(__xludf.DUMMYFUNCTION("GOOGLETRANSLATE(A2080 , ""auto"", ""ar"")"),"إضفاء الشرعية")</f>
        <v>إضفاء الشرعية</v>
      </c>
    </row>
    <row r="2081" ht="15.75" customHeight="1">
      <c r="A2081" s="1" t="s">
        <v>4250</v>
      </c>
      <c r="B2081" s="1" t="s">
        <v>4253</v>
      </c>
      <c r="C2081" s="1"/>
      <c r="D2081" s="1" t="str">
        <f>IFERROR(__xludf.DUMMYFUNCTION("GOOGLETRANSLATE(A2081 , ""auto"", ""ar"")"),"إضفاء الشرعية")</f>
        <v>إضفاء الشرعية</v>
      </c>
    </row>
    <row r="2082" ht="15.75" customHeight="1">
      <c r="A2082" s="1" t="s">
        <v>4254</v>
      </c>
      <c r="B2082" s="1" t="s">
        <v>4251</v>
      </c>
      <c r="C2082" s="2" t="s">
        <v>4252</v>
      </c>
      <c r="D2082" s="1" t="str">
        <f>IFERROR(__xludf.DUMMYFUNCTION("GOOGLETRANSLATE(A2082 , ""auto"", ""ar"")"),"إضفاء الشرعية")</f>
        <v>إضفاء الشرعية</v>
      </c>
    </row>
    <row r="2083" ht="15.75" customHeight="1">
      <c r="A2083" s="1" t="s">
        <v>4254</v>
      </c>
      <c r="B2083" s="1" t="s">
        <v>4253</v>
      </c>
      <c r="C2083" s="1"/>
      <c r="D2083" s="1" t="str">
        <f>IFERROR(__xludf.DUMMYFUNCTION("GOOGLETRANSLATE(A2083 , ""auto"", ""ar"")"),"إضفاء الشرعية")</f>
        <v>إضفاء الشرعية</v>
      </c>
    </row>
    <row r="2084" ht="15.75" customHeight="1">
      <c r="A2084" s="1" t="s">
        <v>4255</v>
      </c>
      <c r="B2084" s="1" t="s">
        <v>4256</v>
      </c>
      <c r="C2084" s="2" t="s">
        <v>4257</v>
      </c>
      <c r="D2084" s="1" t="str">
        <f>IFERROR(__xludf.DUMMYFUNCTION("GOOGLETRANSLATE(A2084 , ""auto"", ""ar"")"),"ليمون")</f>
        <v>ليمون</v>
      </c>
    </row>
    <row r="2085" ht="15.75" customHeight="1">
      <c r="A2085" s="1" t="s">
        <v>4258</v>
      </c>
      <c r="B2085" s="1" t="s">
        <v>4259</v>
      </c>
      <c r="C2085" s="2" t="s">
        <v>4260</v>
      </c>
      <c r="D2085" s="1" t="str">
        <f>IFERROR(__xludf.DUMMYFUNCTION("GOOGLETRANSLATE(A2085 , ""auto"", ""ar"")"),"أعار")</f>
        <v>أعار</v>
      </c>
    </row>
    <row r="2086" ht="15.75" customHeight="1">
      <c r="A2086" s="1" t="s">
        <v>4261</v>
      </c>
      <c r="B2086" s="1" t="s">
        <v>4262</v>
      </c>
      <c r="C2086" s="2" t="s">
        <v>4263</v>
      </c>
      <c r="D2086" s="1" t="str">
        <f>IFERROR(__xludf.DUMMYFUNCTION("GOOGLETRANSLATE(A2086 , ""auto"", ""ar"")"),"عدس")</f>
        <v>عدس</v>
      </c>
    </row>
    <row r="2087" ht="15.75" customHeight="1">
      <c r="A2087" s="1" t="s">
        <v>4264</v>
      </c>
      <c r="B2087" s="1" t="s">
        <v>4265</v>
      </c>
      <c r="C2087" s="2" t="s">
        <v>4266</v>
      </c>
      <c r="D2087" s="1" t="str">
        <f>IFERROR(__xludf.DUMMYFUNCTION("GOOGLETRANSLATE(A2087 , ""auto"", ""ar"")"),"فهد")</f>
        <v>فهد</v>
      </c>
    </row>
    <row r="2088" ht="15.75" customHeight="1">
      <c r="A2088" s="1" t="s">
        <v>4267</v>
      </c>
      <c r="B2088" s="1" t="s">
        <v>4268</v>
      </c>
      <c r="C2088" s="2" t="s">
        <v>4269</v>
      </c>
      <c r="D2088" s="1" t="str">
        <f>IFERROR(__xludf.DUMMYFUNCTION("GOOGLETRANSLATE(A2088 , ""auto"", ""ar"")"),"أقل")</f>
        <v>أقل</v>
      </c>
    </row>
    <row r="2089" ht="15.75" customHeight="1">
      <c r="A2089" s="1" t="s">
        <v>4270</v>
      </c>
      <c r="B2089" s="1" t="s">
        <v>1451</v>
      </c>
      <c r="C2089" s="2" t="s">
        <v>1452</v>
      </c>
      <c r="D2089" s="1" t="str">
        <f>IFERROR(__xludf.DUMMYFUNCTION("GOOGLETRANSLATE(A2089 , ""auto"", ""ar"")"),"درس")</f>
        <v>درس</v>
      </c>
    </row>
    <row r="2090" ht="15.75" customHeight="1">
      <c r="A2090" s="1" t="s">
        <v>4271</v>
      </c>
      <c r="B2090" s="1" t="s">
        <v>4069</v>
      </c>
      <c r="C2090" s="2" t="s">
        <v>4070</v>
      </c>
      <c r="D2090" s="1" t="str">
        <f>IFERROR(__xludf.DUMMYFUNCTION("GOOGLETRANSLATE(A2090 , ""auto"", ""ar"")"),"يترك")</f>
        <v>يترك</v>
      </c>
    </row>
    <row r="2091" ht="15.75" customHeight="1">
      <c r="A2091" s="1" t="s">
        <v>4272</v>
      </c>
      <c r="B2091" s="1" t="s">
        <v>1862</v>
      </c>
      <c r="C2091" s="2" t="s">
        <v>4273</v>
      </c>
      <c r="D2091" s="1" t="str">
        <f>IFERROR(__xludf.DUMMYFUNCTION("GOOGLETRANSLATE(A2091 , ""auto"", ""ar"")"),"خطاب")</f>
        <v>خطاب</v>
      </c>
    </row>
    <row r="2092" ht="15.75" customHeight="1">
      <c r="A2092" s="1" t="s">
        <v>4272</v>
      </c>
      <c r="B2092" s="1" t="s">
        <v>4274</v>
      </c>
      <c r="C2092" s="1"/>
      <c r="D2092" s="1" t="str">
        <f>IFERROR(__xludf.DUMMYFUNCTION("GOOGLETRANSLATE(A2092 , ""auto"", ""ar"")"),"خطاب")</f>
        <v>خطاب</v>
      </c>
    </row>
    <row r="2093" ht="15.75" customHeight="1">
      <c r="A2093" s="1" t="s">
        <v>4275</v>
      </c>
      <c r="B2093" s="1" t="s">
        <v>4276</v>
      </c>
      <c r="C2093" s="2" t="s">
        <v>4277</v>
      </c>
      <c r="D2093" s="1" t="str">
        <f>IFERROR(__xludf.DUMMYFUNCTION("GOOGLETRANSLATE(A2093 , ""auto"", ""ar"")"),"خَسّ")</f>
        <v>خَسّ</v>
      </c>
    </row>
    <row r="2094" ht="15.75" customHeight="1">
      <c r="A2094" s="1" t="s">
        <v>4278</v>
      </c>
      <c r="B2094" s="1" t="s">
        <v>4279</v>
      </c>
      <c r="C2094" s="2" t="s">
        <v>4280</v>
      </c>
      <c r="D2094" s="1" t="str">
        <f>IFERROR(__xludf.DUMMYFUNCTION("GOOGLETRANSLATE(A2094 , ""auto"", ""ar"")"),"مستوى")</f>
        <v>مستوى</v>
      </c>
    </row>
    <row r="2095" ht="15.75" customHeight="1">
      <c r="A2095" s="1" t="s">
        <v>4281</v>
      </c>
      <c r="B2095" s="1" t="s">
        <v>4282</v>
      </c>
      <c r="C2095" s="2" t="s">
        <v>4283</v>
      </c>
      <c r="D2095" s="1" t="str">
        <f>IFERROR(__xludf.DUMMYFUNCTION("GOOGLETRANSLATE(A2095 , ""auto"", ""ar"")"),"كذاب")</f>
        <v>كذاب</v>
      </c>
    </row>
    <row r="2096" ht="15.75" customHeight="1">
      <c r="A2096" s="1" t="s">
        <v>4284</v>
      </c>
      <c r="B2096" s="1" t="s">
        <v>4285</v>
      </c>
      <c r="C2096" s="2" t="s">
        <v>4286</v>
      </c>
      <c r="D2096" s="1" t="str">
        <f>IFERROR(__xludf.DUMMYFUNCTION("GOOGLETRANSLATE(A2096 , ""auto"", ""ar"")"),"قمل")</f>
        <v>قمل</v>
      </c>
    </row>
    <row r="2097" ht="15.75" customHeight="1">
      <c r="A2097" s="1" t="s">
        <v>4287</v>
      </c>
      <c r="B2097" s="1" t="s">
        <v>4288</v>
      </c>
      <c r="C2097" s="2" t="s">
        <v>4289</v>
      </c>
      <c r="D2097" s="1" t="str">
        <f>IFERROR(__xludf.DUMMYFUNCTION("GOOGLETRANSLATE(A2097 , ""auto"", ""ar"")"),"يلعق")</f>
        <v>يلعق</v>
      </c>
    </row>
    <row r="2098" ht="15.75" customHeight="1">
      <c r="A2098" s="1" t="s">
        <v>4290</v>
      </c>
      <c r="B2098" s="1" t="s">
        <v>919</v>
      </c>
      <c r="C2098" s="1"/>
      <c r="D2098" s="1" t="str">
        <f>IFERROR(__xludf.DUMMYFUNCTION("GOOGLETRANSLATE(A2098 , ""auto"", ""ar"")"),"جفن العين")</f>
        <v>جفن العين</v>
      </c>
    </row>
    <row r="2099" ht="15.75" customHeight="1">
      <c r="A2099" s="1" t="s">
        <v>4291</v>
      </c>
      <c r="B2099" s="1" t="s">
        <v>4292</v>
      </c>
      <c r="C2099" s="2" t="s">
        <v>4293</v>
      </c>
      <c r="D2099" s="1" t="str">
        <f>IFERROR(__xludf.DUMMYFUNCTION("GOOGLETRANSLATE(A2099 , ""auto"", ""ar"")"),"كذب")</f>
        <v>كذب</v>
      </c>
    </row>
    <row r="2100" ht="15.75" customHeight="1">
      <c r="A2100" s="1" t="s">
        <v>4291</v>
      </c>
      <c r="B2100" s="1" t="s">
        <v>4294</v>
      </c>
      <c r="C2100" s="2" t="s">
        <v>4295</v>
      </c>
      <c r="D2100" s="1" t="str">
        <f>IFERROR(__xludf.DUMMYFUNCTION("GOOGLETRANSLATE(A2100 , ""auto"", ""ar"")"),"كذب")</f>
        <v>كذب</v>
      </c>
    </row>
    <row r="2101" ht="15.75" customHeight="1">
      <c r="A2101" s="1" t="s">
        <v>4296</v>
      </c>
      <c r="B2101" s="1" t="s">
        <v>3175</v>
      </c>
      <c r="C2101" s="2" t="s">
        <v>4297</v>
      </c>
      <c r="D2101" s="1" t="str">
        <f>IFERROR(__xludf.DUMMYFUNCTION("GOOGLETRANSLATE(A2101 , ""auto"", ""ar"")"),"اضطجع")</f>
        <v>اضطجع</v>
      </c>
    </row>
    <row r="2102" ht="15.75" customHeight="1">
      <c r="A2102" s="1" t="s">
        <v>4298</v>
      </c>
      <c r="B2102" s="1" t="s">
        <v>2328</v>
      </c>
      <c r="C2102" s="2" t="s">
        <v>4299</v>
      </c>
      <c r="D2102" s="1" t="str">
        <f>IFERROR(__xludf.DUMMYFUNCTION("GOOGLETRANSLATE(A2102 , ""auto"", ""ar"")"),"حياة")</f>
        <v>حياة</v>
      </c>
    </row>
    <row r="2103" ht="15.75" customHeight="1">
      <c r="A2103" s="1" t="s">
        <v>4298</v>
      </c>
      <c r="B2103" s="1" t="s">
        <v>4300</v>
      </c>
      <c r="C2103" s="1"/>
      <c r="D2103" s="1" t="str">
        <f>IFERROR(__xludf.DUMMYFUNCTION("GOOGLETRANSLATE(A2103 , ""auto"", ""ar"")"),"حياة")</f>
        <v>حياة</v>
      </c>
    </row>
    <row r="2104" ht="15.75" customHeight="1">
      <c r="A2104" s="1" t="s">
        <v>4301</v>
      </c>
      <c r="B2104" s="1" t="s">
        <v>4302</v>
      </c>
      <c r="C2104" s="2" t="s">
        <v>4303</v>
      </c>
      <c r="D2104" s="1" t="str">
        <f>IFERROR(__xludf.DUMMYFUNCTION("GOOGLETRANSLATE(A2104 , ""auto"", ""ar"")"),"يا حارس الشاطئ")</f>
        <v>يا حارس الشاطئ</v>
      </c>
    </row>
    <row r="2105" ht="15.75" customHeight="1">
      <c r="A2105" s="1" t="s">
        <v>4304</v>
      </c>
      <c r="B2105" s="1" t="s">
        <v>2385</v>
      </c>
      <c r="C2105" s="2" t="s">
        <v>2386</v>
      </c>
      <c r="D2105" s="1" t="str">
        <f>IFERROR(__xludf.DUMMYFUNCTION("GOOGLETRANSLATE(A2105 , ""auto"", ""ar"")"),"يرفع")</f>
        <v>يرفع</v>
      </c>
    </row>
    <row r="2106" ht="15.75" customHeight="1">
      <c r="A2106" s="1" t="s">
        <v>4304</v>
      </c>
      <c r="B2106" s="1" t="s">
        <v>1249</v>
      </c>
      <c r="C2106" s="2" t="s">
        <v>1250</v>
      </c>
      <c r="D2106" s="1" t="str">
        <f>IFERROR(__xludf.DUMMYFUNCTION("GOOGLETRANSLATE(A2106 , ""auto"", ""ar"")"),"يرفع")</f>
        <v>يرفع</v>
      </c>
    </row>
    <row r="2107" ht="15.75" customHeight="1">
      <c r="A2107" s="1" t="s">
        <v>4305</v>
      </c>
      <c r="B2107" s="1" t="s">
        <v>1249</v>
      </c>
      <c r="C2107" s="1"/>
      <c r="D2107" s="1" t="str">
        <f>IFERROR(__xludf.DUMMYFUNCTION("GOOGLETRANSLATE(A2107 , ""auto"", ""ar"")"),"ارفع")</f>
        <v>ارفع</v>
      </c>
    </row>
    <row r="2108" ht="15.75" customHeight="1">
      <c r="A2108" s="1" t="s">
        <v>4306</v>
      </c>
      <c r="B2108" s="1" t="s">
        <v>4307</v>
      </c>
      <c r="C2108" s="2" t="s">
        <v>65</v>
      </c>
      <c r="D2108" s="1" t="str">
        <f>IFERROR(__xludf.DUMMYFUNCTION("GOOGLETRANSLATE(A2108 , ""auto"", ""ar"")"),"رفعت")</f>
        <v>رفعت</v>
      </c>
    </row>
    <row r="2109" ht="15.75" customHeight="1">
      <c r="A2109" s="1" t="s">
        <v>4308</v>
      </c>
      <c r="B2109" s="1" t="s">
        <v>2379</v>
      </c>
      <c r="C2109" s="2" t="s">
        <v>2380</v>
      </c>
      <c r="D2109" s="1" t="str">
        <f>IFERROR(__xludf.DUMMYFUNCTION("GOOGLETRANSLATE(A2109 , ""auto"", ""ar"")"),"ضوء")</f>
        <v>ضوء</v>
      </c>
    </row>
    <row r="2110" ht="15.75" customHeight="1">
      <c r="A2110" s="1" t="s">
        <v>4308</v>
      </c>
      <c r="B2110" s="1" t="s">
        <v>4309</v>
      </c>
      <c r="C2110" s="2" t="s">
        <v>4310</v>
      </c>
      <c r="D2110" s="1" t="str">
        <f>IFERROR(__xludf.DUMMYFUNCTION("GOOGLETRANSLATE(A2110 , ""auto"", ""ar"")"),"ضوء")</f>
        <v>ضوء</v>
      </c>
    </row>
    <row r="2111" ht="15.75" customHeight="1">
      <c r="A2111" s="1" t="s">
        <v>4308</v>
      </c>
      <c r="B2111" s="1" t="s">
        <v>4311</v>
      </c>
      <c r="C2111" s="2" t="s">
        <v>4312</v>
      </c>
      <c r="D2111" s="1" t="str">
        <f>IFERROR(__xludf.DUMMYFUNCTION("GOOGLETRANSLATE(A2111 , ""auto"", ""ar"")"),"ضوء")</f>
        <v>ضوء</v>
      </c>
    </row>
    <row r="2112" ht="15.75" customHeight="1">
      <c r="A2112" s="1" t="s">
        <v>4308</v>
      </c>
      <c r="B2112" s="1" t="s">
        <v>4313</v>
      </c>
      <c r="C2112" s="2" t="s">
        <v>4314</v>
      </c>
      <c r="D2112" s="1" t="str">
        <f>IFERROR(__xludf.DUMMYFUNCTION("GOOGLETRANSLATE(A2112 , ""auto"", ""ar"")"),"ضوء")</f>
        <v>ضوء</v>
      </c>
    </row>
    <row r="2113" ht="15.75" customHeight="1">
      <c r="A2113" s="1" t="s">
        <v>4308</v>
      </c>
      <c r="B2113" s="1" t="s">
        <v>4315</v>
      </c>
      <c r="C2113" s="2" t="s">
        <v>4316</v>
      </c>
      <c r="D2113" s="1" t="str">
        <f>IFERROR(__xludf.DUMMYFUNCTION("GOOGLETRANSLATE(A2113 , ""auto"", ""ar"")"),"ضوء")</f>
        <v>ضوء</v>
      </c>
    </row>
    <row r="2114" ht="15.75" customHeight="1">
      <c r="A2114" s="1" t="s">
        <v>4317</v>
      </c>
      <c r="B2114" s="1" t="s">
        <v>4318</v>
      </c>
      <c r="C2114" s="2" t="s">
        <v>4319</v>
      </c>
      <c r="D2114" s="1" t="str">
        <f>IFERROR(__xludf.DUMMYFUNCTION("GOOGLETRANSLATE(A2114 , ""auto"", ""ar"")"),"المصباح الكهربائي")</f>
        <v>المصباح الكهربائي</v>
      </c>
    </row>
    <row r="2115" ht="15.75" customHeight="1">
      <c r="A2115" s="1" t="s">
        <v>4320</v>
      </c>
      <c r="B2115" s="1" t="s">
        <v>4321</v>
      </c>
      <c r="C2115" s="1"/>
      <c r="D2115" s="1" t="str">
        <f>IFERROR(__xludf.DUMMYFUNCTION("GOOGLETRANSLATE(A2115 , ""auto"", ""ar"")"),"قابس الضوء")</f>
        <v>قابس الضوء</v>
      </c>
    </row>
    <row r="2116" ht="15.75" customHeight="1">
      <c r="A2116" s="1" t="s">
        <v>4322</v>
      </c>
      <c r="B2116" s="1" t="s">
        <v>4323</v>
      </c>
      <c r="C2116" s="2" t="s">
        <v>4324</v>
      </c>
      <c r="D2116" s="1" t="str">
        <f>IFERROR(__xludf.DUMMYFUNCTION("GOOGLETRANSLATE(A2116 , ""auto"", ""ar"")"),"إضاءة")</f>
        <v>إضاءة</v>
      </c>
    </row>
    <row r="2117" ht="15.75" customHeight="1">
      <c r="A2117" s="1" t="s">
        <v>4325</v>
      </c>
      <c r="B2117" s="1" t="s">
        <v>4326</v>
      </c>
      <c r="C2117" s="2" t="s">
        <v>4327</v>
      </c>
      <c r="D2117" s="1" t="str">
        <f>IFERROR(__xludf.DUMMYFUNCTION("GOOGLETRANSLATE(A2117 , ""auto"", ""ar"")"),"ولاعة")</f>
        <v>ولاعة</v>
      </c>
    </row>
    <row r="2118" ht="15.75" customHeight="1">
      <c r="A2118" s="1" t="s">
        <v>4325</v>
      </c>
      <c r="B2118" s="1" t="s">
        <v>4328</v>
      </c>
      <c r="C2118" s="2" t="s">
        <v>4329</v>
      </c>
      <c r="D2118" s="1" t="str">
        <f>IFERROR(__xludf.DUMMYFUNCTION("GOOGLETRANSLATE(A2118 , ""auto"", ""ar"")"),"ولاعة")</f>
        <v>ولاعة</v>
      </c>
    </row>
    <row r="2119" ht="15.75" customHeight="1">
      <c r="A2119" s="1" t="s">
        <v>4330</v>
      </c>
      <c r="B2119" s="1" t="s">
        <v>4331</v>
      </c>
      <c r="C2119" s="2" t="s">
        <v>4332</v>
      </c>
      <c r="D2119" s="1" t="str">
        <f>IFERROR(__xludf.DUMMYFUNCTION("GOOGLETRANSLATE(A2119 , ""auto"", ""ar"")"),"برق")</f>
        <v>برق</v>
      </c>
    </row>
    <row r="2120" ht="15.75" customHeight="1">
      <c r="A2120" s="1" t="s">
        <v>4333</v>
      </c>
      <c r="B2120" s="1" t="s">
        <v>4334</v>
      </c>
      <c r="C2120" s="2" t="s">
        <v>4335</v>
      </c>
      <c r="D2120" s="1" t="str">
        <f>IFERROR(__xludf.DUMMYFUNCTION("GOOGLETRANSLATE(A2120 , ""auto"", ""ar"")"),"يحب")</f>
        <v>يحب</v>
      </c>
    </row>
    <row r="2121" ht="15.75" customHeight="1">
      <c r="A2121" s="1" t="s">
        <v>4333</v>
      </c>
      <c r="B2121" s="1" t="s">
        <v>4336</v>
      </c>
      <c r="C2121" s="2" t="s">
        <v>4337</v>
      </c>
      <c r="D2121" s="1" t="str">
        <f>IFERROR(__xludf.DUMMYFUNCTION("GOOGLETRANSLATE(A2121 , ""auto"", ""ar"")"),"يحب")</f>
        <v>يحب</v>
      </c>
    </row>
    <row r="2122" ht="15.75" customHeight="1">
      <c r="A2122" s="1" t="s">
        <v>4333</v>
      </c>
      <c r="B2122" s="1" t="s">
        <v>4338</v>
      </c>
      <c r="C2122" s="1"/>
      <c r="D2122" s="1" t="str">
        <f>IFERROR(__xludf.DUMMYFUNCTION("GOOGLETRANSLATE(A2122 , ""auto"", ""ar"")"),"يحب")</f>
        <v>يحب</v>
      </c>
    </row>
    <row r="2123" ht="15.75" customHeight="1">
      <c r="A2123" s="1" t="s">
        <v>4333</v>
      </c>
      <c r="B2123" s="1" t="s">
        <v>4339</v>
      </c>
      <c r="C2123" s="1"/>
      <c r="D2123" s="1" t="str">
        <f>IFERROR(__xludf.DUMMYFUNCTION("GOOGLETRANSLATE(A2123 , ""auto"", ""ar"")"),"يحب")</f>
        <v>يحب</v>
      </c>
    </row>
    <row r="2124" ht="15.75" customHeight="1">
      <c r="A2124" s="1" t="s">
        <v>4340</v>
      </c>
      <c r="B2124" s="1" t="s">
        <v>4341</v>
      </c>
      <c r="C2124" s="1"/>
      <c r="D2124" s="1" t="str">
        <f>IFERROR(__xludf.DUMMYFUNCTION("GOOGLETRANSLATE(A2124 , ""auto"", ""ar"")"),"مثل هذا")</f>
        <v>مثل هذا</v>
      </c>
    </row>
    <row r="2125" ht="15.75" customHeight="1">
      <c r="A2125" s="1" t="s">
        <v>4340</v>
      </c>
      <c r="B2125" s="1" t="s">
        <v>4342</v>
      </c>
      <c r="C2125" s="1"/>
      <c r="D2125" s="1" t="str">
        <f>IFERROR(__xludf.DUMMYFUNCTION("GOOGLETRANSLATE(A2125 , ""auto"", ""ar"")"),"مثل هذا")</f>
        <v>مثل هذا</v>
      </c>
    </row>
    <row r="2126" ht="15.75" customHeight="1">
      <c r="A2126" s="1" t="s">
        <v>4343</v>
      </c>
      <c r="B2126" s="1" t="s">
        <v>4256</v>
      </c>
      <c r="C2126" s="2" t="s">
        <v>4257</v>
      </c>
      <c r="D2126" s="1" t="str">
        <f>IFERROR(__xludf.DUMMYFUNCTION("GOOGLETRANSLATE(A2126 , ""auto"", ""ar"")"),"جير")</f>
        <v>جير</v>
      </c>
    </row>
    <row r="2127" ht="15.75" customHeight="1">
      <c r="A2127" s="1" t="s">
        <v>4344</v>
      </c>
      <c r="B2127" s="1" t="s">
        <v>4345</v>
      </c>
      <c r="C2127" s="2" t="s">
        <v>4346</v>
      </c>
      <c r="D2127" s="1" t="str">
        <f>IFERROR(__xludf.DUMMYFUNCTION("GOOGLETRANSLATE(A2127 , ""auto"", ""ar"")"),"الكلس")</f>
        <v>الكلس</v>
      </c>
    </row>
    <row r="2128" ht="15.75" customHeight="1">
      <c r="A2128" s="1" t="s">
        <v>4347</v>
      </c>
      <c r="B2128" s="1" t="s">
        <v>4348</v>
      </c>
      <c r="C2128" s="2" t="s">
        <v>4349</v>
      </c>
      <c r="D2128" s="1" t="str">
        <f>IFERROR(__xludf.DUMMYFUNCTION("GOOGLETRANSLATE(A2128 , ""auto"", ""ar"")"),"خط")</f>
        <v>خط</v>
      </c>
    </row>
    <row r="2129" ht="15.75" customHeight="1">
      <c r="A2129" s="1" t="s">
        <v>4347</v>
      </c>
      <c r="B2129" s="1" t="s">
        <v>1149</v>
      </c>
      <c r="C2129" s="2" t="s">
        <v>4350</v>
      </c>
      <c r="D2129" s="1" t="str">
        <f>IFERROR(__xludf.DUMMYFUNCTION("GOOGLETRANSLATE(A2129 , ""auto"", ""ar"")"),"خط")</f>
        <v>خط</v>
      </c>
    </row>
    <row r="2130" ht="15.75" customHeight="1">
      <c r="A2130" s="1" t="s">
        <v>4351</v>
      </c>
      <c r="B2130" s="1" t="s">
        <v>4352</v>
      </c>
      <c r="C2130" s="2" t="s">
        <v>4353</v>
      </c>
      <c r="D2130" s="1" t="str">
        <f>IFERROR(__xludf.DUMMYFUNCTION("GOOGLETRANSLATE(A2130 , ""auto"", ""ar"")"),"اصطفوا")</f>
        <v>اصطفوا</v>
      </c>
    </row>
    <row r="2131" ht="15.75" customHeight="1">
      <c r="A2131" s="1" t="s">
        <v>4354</v>
      </c>
      <c r="B2131" s="1" t="s">
        <v>4355</v>
      </c>
      <c r="C2131" s="2" t="s">
        <v>4356</v>
      </c>
      <c r="D2131" s="1" t="str">
        <f>IFERROR(__xludf.DUMMYFUNCTION("GOOGLETRANSLATE(A2131 , ""auto"", ""ar"")"),"أسد")</f>
        <v>أسد</v>
      </c>
    </row>
    <row r="2132" ht="15.75" customHeight="1">
      <c r="A2132" s="1" t="s">
        <v>4354</v>
      </c>
      <c r="B2132" s="1" t="s">
        <v>4357</v>
      </c>
      <c r="C2132" s="2" t="s">
        <v>4358</v>
      </c>
      <c r="D2132" s="1" t="str">
        <f>IFERROR(__xludf.DUMMYFUNCTION("GOOGLETRANSLATE(A2132 , ""auto"", ""ar"")"),"أسد")</f>
        <v>أسد</v>
      </c>
    </row>
    <row r="2133" ht="15.75" customHeight="1">
      <c r="A2133" s="1" t="s">
        <v>4359</v>
      </c>
      <c r="B2133" s="1" t="s">
        <v>4360</v>
      </c>
      <c r="C2133" s="1"/>
      <c r="D2133" s="1" t="str">
        <f>IFERROR(__xludf.DUMMYFUNCTION("GOOGLETRANSLATE(A2133 , ""auto"", ""ar"")"),"شفة")</f>
        <v>شفة</v>
      </c>
    </row>
    <row r="2134" ht="15.75" customHeight="1">
      <c r="A2134" s="1" t="s">
        <v>4359</v>
      </c>
      <c r="B2134" s="1" t="s">
        <v>4361</v>
      </c>
      <c r="C2134" s="2" t="s">
        <v>4362</v>
      </c>
      <c r="D2134" s="1" t="str">
        <f>IFERROR(__xludf.DUMMYFUNCTION("GOOGLETRANSLATE(A2134 , ""auto"", ""ar"")"),"شفة")</f>
        <v>شفة</v>
      </c>
    </row>
    <row r="2135" ht="15.75" customHeight="1">
      <c r="A2135" s="1" t="s">
        <v>4363</v>
      </c>
      <c r="B2135" s="1" t="s">
        <v>4364</v>
      </c>
      <c r="C2135" s="2" t="s">
        <v>4365</v>
      </c>
      <c r="D2135" s="1" t="str">
        <f>IFERROR(__xludf.DUMMYFUNCTION("GOOGLETRANSLATE(A2135 , ""auto"", ""ar"")"),"عرق السوس")</f>
        <v>عرق السوس</v>
      </c>
    </row>
    <row r="2136" ht="15.75" customHeight="1">
      <c r="A2136" s="1" t="s">
        <v>4366</v>
      </c>
      <c r="B2136" s="1" t="s">
        <v>4367</v>
      </c>
      <c r="C2136" s="2" t="s">
        <v>4368</v>
      </c>
      <c r="D2136" s="1" t="str">
        <f>IFERROR(__xludf.DUMMYFUNCTION("GOOGLETRANSLATE(A2136 , ""auto"", ""ar"")"),"قائمة")</f>
        <v>قائمة</v>
      </c>
    </row>
    <row r="2137" ht="15.75" customHeight="1">
      <c r="A2137" s="1" t="s">
        <v>4369</v>
      </c>
      <c r="B2137" s="1" t="s">
        <v>3501</v>
      </c>
      <c r="C2137" s="2" t="s">
        <v>3502</v>
      </c>
      <c r="D2137" s="1" t="str">
        <f>IFERROR(__xludf.DUMMYFUNCTION("GOOGLETRANSLATE(A2137 , ""auto"", ""ar"")"),"يستمع")</f>
        <v>يستمع</v>
      </c>
    </row>
    <row r="2138" ht="15.75" customHeight="1">
      <c r="A2138" s="1" t="s">
        <v>4369</v>
      </c>
      <c r="B2138" s="1" t="s">
        <v>4370</v>
      </c>
      <c r="C2138" s="2" t="s">
        <v>4371</v>
      </c>
      <c r="D2138" s="1" t="str">
        <f>IFERROR(__xludf.DUMMYFUNCTION("GOOGLETRANSLATE(A2138 , ""auto"", ""ar"")"),"يستمع")</f>
        <v>يستمع</v>
      </c>
    </row>
    <row r="2139" ht="15.75" customHeight="1">
      <c r="A2139" s="1" t="s">
        <v>4372</v>
      </c>
      <c r="B2139" s="1" t="s">
        <v>4373</v>
      </c>
      <c r="C2139" s="2" t="s">
        <v>4374</v>
      </c>
      <c r="D2139" s="1" t="str">
        <f>IFERROR(__xludf.DUMMYFUNCTION("GOOGLETRANSLATE(A2139 , ""auto"", ""ar"")"),"لتر")</f>
        <v>لتر</v>
      </c>
    </row>
    <row r="2140" ht="15.75" customHeight="1">
      <c r="A2140" s="1" t="s">
        <v>4375</v>
      </c>
      <c r="B2140" s="1" t="s">
        <v>4376</v>
      </c>
      <c r="C2140" s="2" t="s">
        <v>4377</v>
      </c>
      <c r="D2140" s="1" t="str">
        <f>IFERROR(__xludf.DUMMYFUNCTION("GOOGLETRANSLATE(A2140 , ""auto"", ""ar"")"),"قليل")</f>
        <v>قليل</v>
      </c>
    </row>
    <row r="2141" ht="15.75" customHeight="1">
      <c r="A2141" s="1" t="s">
        <v>4375</v>
      </c>
      <c r="B2141" s="1" t="s">
        <v>4376</v>
      </c>
      <c r="C2141" s="2" t="s">
        <v>4377</v>
      </c>
      <c r="D2141" s="1" t="str">
        <f>IFERROR(__xludf.DUMMYFUNCTION("GOOGLETRANSLATE(A2141 , ""auto"", ""ar"")"),"قليل")</f>
        <v>قليل</v>
      </c>
    </row>
    <row r="2142" ht="15.75" customHeight="1">
      <c r="A2142" s="1" t="s">
        <v>4375</v>
      </c>
      <c r="B2142" s="1" t="s">
        <v>4378</v>
      </c>
      <c r="C2142" s="2" t="s">
        <v>4379</v>
      </c>
      <c r="D2142" s="1" t="str">
        <f>IFERROR(__xludf.DUMMYFUNCTION("GOOGLETRANSLATE(A2142 , ""auto"", ""ar"")"),"قليل")</f>
        <v>قليل</v>
      </c>
    </row>
    <row r="2143" ht="15.75" customHeight="1">
      <c r="A2143" s="1" t="s">
        <v>4375</v>
      </c>
      <c r="B2143" s="1" t="s">
        <v>2676</v>
      </c>
      <c r="C2143" s="2" t="s">
        <v>2677</v>
      </c>
      <c r="D2143" s="1" t="str">
        <f>IFERROR(__xludf.DUMMYFUNCTION("GOOGLETRANSLATE(A2143 , ""auto"", ""ar"")"),"قليل")</f>
        <v>قليل</v>
      </c>
    </row>
    <row r="2144" ht="15.75" customHeight="1">
      <c r="A2144" s="1" t="s">
        <v>4380</v>
      </c>
      <c r="B2144" s="1" t="s">
        <v>4381</v>
      </c>
      <c r="C2144" s="2" t="s">
        <v>4382</v>
      </c>
      <c r="D2144" s="1" t="str">
        <f>IFERROR(__xludf.DUMMYFUNCTION("GOOGLETRANSLATE(A2144 , ""auto"", ""ar"")"),"يعيش")</f>
        <v>يعيش</v>
      </c>
    </row>
    <row r="2145" ht="15.75" customHeight="1">
      <c r="A2145" s="1" t="s">
        <v>4380</v>
      </c>
      <c r="B2145" s="1" t="s">
        <v>4383</v>
      </c>
      <c r="C2145" s="2" t="s">
        <v>4384</v>
      </c>
      <c r="D2145" s="1" t="str">
        <f>IFERROR(__xludf.DUMMYFUNCTION("GOOGLETRANSLATE(A2145 , ""auto"", ""ar"")"),"يعيش")</f>
        <v>يعيش</v>
      </c>
    </row>
    <row r="2146" ht="15.75" customHeight="1">
      <c r="A2146" s="1" t="s">
        <v>4380</v>
      </c>
      <c r="B2146" s="1" t="s">
        <v>4385</v>
      </c>
      <c r="C2146" s="2" t="s">
        <v>4386</v>
      </c>
      <c r="D2146" s="1" t="str">
        <f>IFERROR(__xludf.DUMMYFUNCTION("GOOGLETRANSLATE(A2146 , ""auto"", ""ar"")"),"يعيش")</f>
        <v>يعيش</v>
      </c>
    </row>
    <row r="2147" ht="15.75" customHeight="1">
      <c r="A2147" s="1" t="s">
        <v>4380</v>
      </c>
      <c r="B2147" s="1" t="s">
        <v>196</v>
      </c>
      <c r="C2147" s="2" t="s">
        <v>197</v>
      </c>
      <c r="D2147" s="1" t="str">
        <f>IFERROR(__xludf.DUMMYFUNCTION("GOOGLETRANSLATE(A2147 , ""auto"", ""ar"")"),"يعيش")</f>
        <v>يعيش</v>
      </c>
    </row>
    <row r="2148" ht="15.75" customHeight="1">
      <c r="A2148" s="1" t="s">
        <v>4387</v>
      </c>
      <c r="B2148" s="1" t="s">
        <v>4388</v>
      </c>
      <c r="C2148" s="2" t="s">
        <v>4389</v>
      </c>
      <c r="D2148" s="1" t="str">
        <f>IFERROR(__xludf.DUMMYFUNCTION("GOOGLETRANSLATE(A2148 , ""auto"", ""ar"")"),"الكبد")</f>
        <v>الكبد</v>
      </c>
    </row>
    <row r="2149" ht="15.75" customHeight="1">
      <c r="A2149" s="1" t="s">
        <v>4390</v>
      </c>
      <c r="B2149" s="1" t="s">
        <v>3358</v>
      </c>
      <c r="C2149" s="2" t="s">
        <v>4391</v>
      </c>
      <c r="D2149" s="1" t="str">
        <f>IFERROR(__xludf.DUMMYFUNCTION("GOOGLETRANSLATE(A2149 , ""auto"", ""ar"")"),"غرفة المعيشة")</f>
        <v>غرفة المعيشة</v>
      </c>
    </row>
    <row r="2150" ht="15.75" customHeight="1">
      <c r="A2150" s="1" t="s">
        <v>4390</v>
      </c>
      <c r="B2150" s="1" t="s">
        <v>4392</v>
      </c>
      <c r="C2150" s="1"/>
      <c r="D2150" s="1" t="str">
        <f>IFERROR(__xludf.DUMMYFUNCTION("GOOGLETRANSLATE(A2150 , ""auto"", ""ar"")"),"غرفة المعيشة")</f>
        <v>غرفة المعيشة</v>
      </c>
    </row>
    <row r="2151" ht="15.75" customHeight="1">
      <c r="A2151" s="1" t="s">
        <v>4393</v>
      </c>
      <c r="B2151" s="1" t="s">
        <v>4394</v>
      </c>
      <c r="C2151" s="2" t="s">
        <v>4395</v>
      </c>
      <c r="D2151" s="1" t="str">
        <f>IFERROR(__xludf.DUMMYFUNCTION("GOOGLETRANSLATE(A2151 , ""auto"", ""ar"")"),"سحلية")</f>
        <v>سحلية</v>
      </c>
    </row>
    <row r="2152" ht="15.75" customHeight="1">
      <c r="A2152" s="1" t="s">
        <v>4396</v>
      </c>
      <c r="B2152" s="1" t="s">
        <v>4397</v>
      </c>
      <c r="C2152" s="2" t="s">
        <v>4398</v>
      </c>
      <c r="D2152" s="1" t="str">
        <f>IFERROR(__xludf.DUMMYFUNCTION("GOOGLETRANSLATE(A2152 , ""auto"", ""ar"")"),"رغيف")</f>
        <v>رغيف</v>
      </c>
    </row>
    <row r="2153" ht="15.75" customHeight="1">
      <c r="A2153" s="1" t="s">
        <v>4399</v>
      </c>
      <c r="B2153" s="1" t="s">
        <v>4400</v>
      </c>
      <c r="C2153" s="2" t="s">
        <v>4401</v>
      </c>
      <c r="D2153" s="1" t="str">
        <f>IFERROR(__xludf.DUMMYFUNCTION("GOOGLETRANSLATE(A2153 , ""auto"", ""ar"")"),"قفل")</f>
        <v>قفل</v>
      </c>
    </row>
    <row r="2154" ht="15.75" customHeight="1">
      <c r="A2154" s="1" t="s">
        <v>4399</v>
      </c>
      <c r="B2154" s="1" t="s">
        <v>4400</v>
      </c>
      <c r="C2154" s="1"/>
      <c r="D2154" s="1" t="str">
        <f>IFERROR(__xludf.DUMMYFUNCTION("GOOGLETRANSLATE(A2154 , ""auto"", ""ar"")"),"قفل")</f>
        <v>قفل</v>
      </c>
    </row>
    <row r="2155" ht="15.75" customHeight="1">
      <c r="A2155" s="1" t="s">
        <v>4402</v>
      </c>
      <c r="B2155" s="1" t="s">
        <v>4403</v>
      </c>
      <c r="C2155" s="1"/>
      <c r="D2155" s="1" t="str">
        <f>IFERROR(__xludf.DUMMYFUNCTION("GOOGLETRANSLATE(A2155 , ""auto"", ""ar"")"),"سجل")</f>
        <v>سجل</v>
      </c>
    </row>
    <row r="2156" ht="15.75" customHeight="1">
      <c r="A2156" s="1" t="s">
        <v>4404</v>
      </c>
      <c r="B2156" s="1" t="s">
        <v>4405</v>
      </c>
      <c r="C2156" s="2" t="s">
        <v>4406</v>
      </c>
      <c r="D2156" s="1" t="str">
        <f>IFERROR(__xludf.DUMMYFUNCTION("GOOGLETRANSLATE(A2156 , ""auto"", ""ar"")"),"منطق")</f>
        <v>منطق</v>
      </c>
    </row>
    <row r="2157" ht="15.75" customHeight="1">
      <c r="A2157" s="1" t="s">
        <v>4407</v>
      </c>
      <c r="B2157" s="1" t="s">
        <v>4408</v>
      </c>
      <c r="C2157" s="2" t="s">
        <v>4409</v>
      </c>
      <c r="D2157" s="1" t="str">
        <f>IFERROR(__xludf.DUMMYFUNCTION("GOOGLETRANSLATE(A2157 , ""auto"", ""ar"")"),"منطقي")</f>
        <v>منطقي</v>
      </c>
    </row>
    <row r="2158" ht="15.75" customHeight="1">
      <c r="A2158" s="1" t="s">
        <v>4410</v>
      </c>
      <c r="B2158" s="1" t="s">
        <v>4411</v>
      </c>
      <c r="C2158" s="2" t="s">
        <v>4412</v>
      </c>
      <c r="D2158" s="1" t="str">
        <f>IFERROR(__xludf.DUMMYFUNCTION("GOOGLETRANSLATE(A2158 , ""auto"", ""ar"")"),"طويل")</f>
        <v>طويل</v>
      </c>
    </row>
    <row r="2159" ht="15.75" customHeight="1">
      <c r="A2159" s="1" t="s">
        <v>4413</v>
      </c>
      <c r="B2159" s="1" t="s">
        <v>4414</v>
      </c>
      <c r="C2159" s="2" t="s">
        <v>4415</v>
      </c>
      <c r="D2159" s="1" t="str">
        <f>IFERROR(__xludf.DUMMYFUNCTION("GOOGLETRANSLATE(A2159 , ""auto"", ""ar"")"),"منذ وقت طويل")</f>
        <v>منذ وقت طويل</v>
      </c>
    </row>
    <row r="2160" ht="15.75" customHeight="1">
      <c r="A2160" s="1" t="s">
        <v>4413</v>
      </c>
      <c r="B2160" s="1" t="s">
        <v>4416</v>
      </c>
      <c r="C2160" s="1"/>
      <c r="D2160" s="1" t="str">
        <f>IFERROR(__xludf.DUMMYFUNCTION("GOOGLETRANSLATE(A2160 , ""auto"", ""ar"")"),"منذ وقت طويل")</f>
        <v>منذ وقت طويل</v>
      </c>
    </row>
    <row r="2161" ht="15.75" customHeight="1">
      <c r="A2161" s="1" t="s">
        <v>4417</v>
      </c>
      <c r="B2161" s="1" t="s">
        <v>3131</v>
      </c>
      <c r="C2161" s="1"/>
      <c r="D2161" s="1" t="str">
        <f>IFERROR(__xludf.DUMMYFUNCTION("GOOGLETRANSLATE(A2161 , ""auto"", ""ar"")"),"ينظر")</f>
        <v>ينظر</v>
      </c>
    </row>
    <row r="2162" ht="15.75" customHeight="1">
      <c r="A2162" s="1" t="s">
        <v>4417</v>
      </c>
      <c r="B2162" s="1" t="s">
        <v>2231</v>
      </c>
      <c r="C2162" s="2" t="s">
        <v>4418</v>
      </c>
      <c r="D2162" s="1" t="str">
        <f>IFERROR(__xludf.DUMMYFUNCTION("GOOGLETRANSLATE(A2162 , ""auto"", ""ar"")"),"ينظر")</f>
        <v>ينظر</v>
      </c>
    </row>
    <row r="2163" ht="15.75" customHeight="1">
      <c r="A2163" s="1" t="s">
        <v>4417</v>
      </c>
      <c r="B2163" s="1" t="s">
        <v>4419</v>
      </c>
      <c r="C2163" s="2" t="s">
        <v>4420</v>
      </c>
      <c r="D2163" s="1" t="str">
        <f>IFERROR(__xludf.DUMMYFUNCTION("GOOGLETRANSLATE(A2163 , ""auto"", ""ar"")"),"ينظر")</f>
        <v>ينظر</v>
      </c>
    </row>
    <row r="2164" ht="15.75" customHeight="1">
      <c r="A2164" s="1" t="s">
        <v>4417</v>
      </c>
      <c r="B2164" s="1" t="s">
        <v>4419</v>
      </c>
      <c r="C2164" s="2" t="s">
        <v>4421</v>
      </c>
      <c r="D2164" s="1" t="str">
        <f>IFERROR(__xludf.DUMMYFUNCTION("GOOGLETRANSLATE(A2164 , ""auto"", ""ar"")"),"ينظر")</f>
        <v>ينظر</v>
      </c>
    </row>
    <row r="2165" ht="15.75" customHeight="1">
      <c r="A2165" s="1" t="s">
        <v>4417</v>
      </c>
      <c r="B2165" s="1" t="s">
        <v>4422</v>
      </c>
      <c r="C2165" s="2" t="s">
        <v>4423</v>
      </c>
      <c r="D2165" s="1" t="str">
        <f>IFERROR(__xludf.DUMMYFUNCTION("GOOGLETRANSLATE(A2165 , ""auto"", ""ar"")"),"ينظر")</f>
        <v>ينظر</v>
      </c>
    </row>
    <row r="2166" ht="15.75" customHeight="1">
      <c r="A2166" s="1" t="s">
        <v>4424</v>
      </c>
      <c r="B2166" s="1" t="s">
        <v>41</v>
      </c>
      <c r="C2166" s="2" t="s">
        <v>42</v>
      </c>
      <c r="D2166" s="1" t="str">
        <f>IFERROR(__xludf.DUMMYFUNCTION("GOOGLETRANSLATE(A2166 , ""auto"", ""ar"")"),"يراعي")</f>
        <v>يراعي</v>
      </c>
    </row>
    <row r="2167" ht="15.75" customHeight="1">
      <c r="A2167" s="1" t="s">
        <v>4424</v>
      </c>
      <c r="B2167" s="1" t="s">
        <v>4425</v>
      </c>
      <c r="C2167" s="2" t="s">
        <v>4426</v>
      </c>
      <c r="D2167" s="1" t="str">
        <f>IFERROR(__xludf.DUMMYFUNCTION("GOOGLETRANSLATE(A2167 , ""auto"", ""ar"")"),"يراعي")</f>
        <v>يراعي</v>
      </c>
    </row>
    <row r="2168" ht="15.75" customHeight="1">
      <c r="A2168" s="1" t="s">
        <v>4427</v>
      </c>
      <c r="B2168" s="1" t="s">
        <v>4422</v>
      </c>
      <c r="C2168" s="2" t="s">
        <v>4428</v>
      </c>
      <c r="D2168" s="1" t="str">
        <f>IFERROR(__xludf.DUMMYFUNCTION("GOOGLETRANSLATE(A2168 , ""auto"", ""ar"")"),"بحث")</f>
        <v>بحث</v>
      </c>
    </row>
    <row r="2169" ht="15.75" customHeight="1">
      <c r="A2169" s="1" t="s">
        <v>4429</v>
      </c>
      <c r="B2169" s="1" t="s">
        <v>4430</v>
      </c>
      <c r="C2169" s="2" t="s">
        <v>4431</v>
      </c>
      <c r="D2169" s="1" t="str">
        <f>IFERROR(__xludf.DUMMYFUNCTION("GOOGLETRANSLATE(A2169 , ""auto"", ""ar"")"),"يبدو مثل")</f>
        <v>يبدو مثل</v>
      </c>
    </row>
    <row r="2170" ht="15.75" customHeight="1">
      <c r="A2170" s="1" t="s">
        <v>4429</v>
      </c>
      <c r="B2170" s="1" t="s">
        <v>4432</v>
      </c>
      <c r="C2170" s="2" t="s">
        <v>4433</v>
      </c>
      <c r="D2170" s="1" t="str">
        <f>IFERROR(__xludf.DUMMYFUNCTION("GOOGLETRANSLATE(A2170 , ""auto"", ""ar"")"),"يبدو مثل")</f>
        <v>يبدو مثل</v>
      </c>
    </row>
    <row r="2171" ht="15.75" customHeight="1">
      <c r="A2171" s="1" t="s">
        <v>4434</v>
      </c>
      <c r="B2171" s="1" t="s">
        <v>3193</v>
      </c>
      <c r="C2171" s="2" t="s">
        <v>4435</v>
      </c>
      <c r="D2171" s="1" t="str">
        <f>IFERROR(__xludf.DUMMYFUNCTION("GOOGLETRANSLATE(A2171 , ""auto"", ""ar"")"),"رب")</f>
        <v>رب</v>
      </c>
    </row>
    <row r="2172" ht="15.75" customHeight="1">
      <c r="A2172" s="1" t="s">
        <v>4434</v>
      </c>
      <c r="B2172" s="1" t="s">
        <v>4436</v>
      </c>
      <c r="C2172" s="1"/>
      <c r="D2172" s="1" t="str">
        <f>IFERROR(__xludf.DUMMYFUNCTION("GOOGLETRANSLATE(A2172 , ""auto"", ""ar"")"),"رب")</f>
        <v>رب</v>
      </c>
    </row>
    <row r="2173" ht="15.75" customHeight="1">
      <c r="A2173" s="1" t="s">
        <v>4437</v>
      </c>
      <c r="B2173" s="1" t="s">
        <v>4438</v>
      </c>
      <c r="C2173" s="2" t="s">
        <v>4439</v>
      </c>
      <c r="D2173" s="1" t="str">
        <f>IFERROR(__xludf.DUMMYFUNCTION("GOOGLETRANSLATE(A2173 , ""auto"", ""ar"")"),"شاحنة")</f>
        <v>شاحنة</v>
      </c>
    </row>
    <row r="2174" ht="15.75" customHeight="1">
      <c r="A2174" s="1" t="s">
        <v>4440</v>
      </c>
      <c r="B2174" s="1" t="s">
        <v>4441</v>
      </c>
      <c r="C2174" s="2" t="s">
        <v>4442</v>
      </c>
      <c r="D2174" s="1" t="str">
        <f>IFERROR(__xludf.DUMMYFUNCTION("GOOGLETRANSLATE(A2174 , ""auto"", ""ar"")"),"يخسر")</f>
        <v>يخسر</v>
      </c>
    </row>
    <row r="2175" ht="15.75" customHeight="1">
      <c r="A2175" s="1" t="s">
        <v>4440</v>
      </c>
      <c r="B2175" s="1" t="s">
        <v>3166</v>
      </c>
      <c r="C2175" s="2" t="s">
        <v>3167</v>
      </c>
      <c r="D2175" s="1" t="str">
        <f>IFERROR(__xludf.DUMMYFUNCTION("GOOGLETRANSLATE(A2175 , ""auto"", ""ar"")"),"يخسر")</f>
        <v>يخسر</v>
      </c>
    </row>
    <row r="2176" ht="15.75" customHeight="1">
      <c r="A2176" s="1" t="s">
        <v>4440</v>
      </c>
      <c r="B2176" s="1" t="s">
        <v>4443</v>
      </c>
      <c r="C2176" s="2" t="s">
        <v>4444</v>
      </c>
      <c r="D2176" s="1" t="str">
        <f>IFERROR(__xludf.DUMMYFUNCTION("GOOGLETRANSLATE(A2176 , ""auto"", ""ar"")"),"يخسر")</f>
        <v>يخسر</v>
      </c>
    </row>
    <row r="2177" ht="15.75" customHeight="1">
      <c r="A2177" s="1" t="s">
        <v>4440</v>
      </c>
      <c r="B2177" s="1" t="s">
        <v>3147</v>
      </c>
      <c r="C2177" s="2" t="s">
        <v>4445</v>
      </c>
      <c r="D2177" s="1" t="str">
        <f>IFERROR(__xludf.DUMMYFUNCTION("GOOGLETRANSLATE(A2177 , ""auto"", ""ar"")"),"يخسر")</f>
        <v>يخسر</v>
      </c>
    </row>
    <row r="2178" ht="15.75" customHeight="1">
      <c r="A2178" s="1" t="s">
        <v>4446</v>
      </c>
      <c r="B2178" s="1" t="s">
        <v>4447</v>
      </c>
      <c r="C2178" s="1"/>
      <c r="D2178" s="1" t="str">
        <f>IFERROR(__xludf.DUMMYFUNCTION("GOOGLETRANSLATE(A2178 , ""auto"", ""ar"")"),"فقدان الوزن")</f>
        <v>فقدان الوزن</v>
      </c>
    </row>
    <row r="2179" ht="15.75" customHeight="1">
      <c r="A2179" s="1" t="s">
        <v>4446</v>
      </c>
      <c r="B2179" s="1" t="s">
        <v>4448</v>
      </c>
      <c r="C2179" s="1"/>
      <c r="D2179" s="1" t="str">
        <f>IFERROR(__xludf.DUMMYFUNCTION("GOOGLETRANSLATE(A2179 , ""auto"", ""ar"")"),"فقدان الوزن")</f>
        <v>فقدان الوزن</v>
      </c>
    </row>
    <row r="2180" ht="15.75" customHeight="1">
      <c r="A2180" s="1" t="s">
        <v>4449</v>
      </c>
      <c r="B2180" s="1" t="s">
        <v>4450</v>
      </c>
      <c r="C2180" s="1"/>
      <c r="D2180" s="1" t="str">
        <f>IFERROR(__xludf.DUMMYFUNCTION("GOOGLETRANSLATE(A2180 , ""auto"", ""ar"")"),"بصوت عالي")</f>
        <v>بصوت عالي</v>
      </c>
    </row>
    <row r="2181" ht="15.75" customHeight="1">
      <c r="A2181" s="1" t="s">
        <v>4451</v>
      </c>
      <c r="B2181" s="1" t="s">
        <v>4452</v>
      </c>
      <c r="C2181" s="2" t="s">
        <v>4453</v>
      </c>
      <c r="D2181" s="1" t="str">
        <f>IFERROR(__xludf.DUMMYFUNCTION("GOOGLETRANSLATE(A2181 , ""auto"", ""ar"")"),"مكبر الصوت")</f>
        <v>مكبر الصوت</v>
      </c>
    </row>
    <row r="2182" ht="15.75" customHeight="1">
      <c r="A2182" s="1" t="s">
        <v>4454</v>
      </c>
      <c r="B2182" s="1" t="s">
        <v>3358</v>
      </c>
      <c r="C2182" s="2" t="s">
        <v>4391</v>
      </c>
      <c r="D2182" s="1" t="str">
        <f>IFERROR(__xludf.DUMMYFUNCTION("GOOGLETRANSLATE(A2182 , ""auto"", ""ar"")"),"صالة")</f>
        <v>صالة</v>
      </c>
    </row>
    <row r="2183" ht="15.75" customHeight="1">
      <c r="A2183" s="1" t="s">
        <v>4454</v>
      </c>
      <c r="B2183" s="1" t="s">
        <v>4392</v>
      </c>
      <c r="C2183" s="1"/>
      <c r="D2183" s="1" t="str">
        <f>IFERROR(__xludf.DUMMYFUNCTION("GOOGLETRANSLATE(A2183 , ""auto"", ""ar"")"),"صالة")</f>
        <v>صالة</v>
      </c>
    </row>
    <row r="2184" ht="15.75" customHeight="1">
      <c r="A2184" s="1" t="s">
        <v>4455</v>
      </c>
      <c r="B2184" s="1" t="s">
        <v>4456</v>
      </c>
      <c r="C2184" s="2" t="s">
        <v>4457</v>
      </c>
      <c r="D2184" s="1" t="str">
        <f>IFERROR(__xludf.DUMMYFUNCTION("GOOGLETRANSLATE(A2184 , ""auto"", ""ar"")"),"حب")</f>
        <v>حب</v>
      </c>
    </row>
    <row r="2185" ht="15.75" customHeight="1">
      <c r="A2185" s="1" t="s">
        <v>4455</v>
      </c>
      <c r="B2185" s="1" t="s">
        <v>4458</v>
      </c>
      <c r="C2185" s="2" t="s">
        <v>4459</v>
      </c>
      <c r="D2185" s="1" t="str">
        <f>IFERROR(__xludf.DUMMYFUNCTION("GOOGLETRANSLATE(A2185 , ""auto"", ""ar"")"),"حب")</f>
        <v>حب</v>
      </c>
    </row>
    <row r="2186" ht="15.75" customHeight="1">
      <c r="A2186" s="1" t="s">
        <v>4455</v>
      </c>
      <c r="B2186" s="1" t="s">
        <v>2052</v>
      </c>
      <c r="C2186" s="2" t="s">
        <v>4460</v>
      </c>
      <c r="D2186" s="1" t="str">
        <f>IFERROR(__xludf.DUMMYFUNCTION("GOOGLETRANSLATE(A2186 , ""auto"", ""ar"")"),"حب")</f>
        <v>حب</v>
      </c>
    </row>
    <row r="2187" ht="15.75" customHeight="1">
      <c r="A2187" s="1" t="s">
        <v>4455</v>
      </c>
      <c r="B2187" s="1" t="s">
        <v>4461</v>
      </c>
      <c r="C2187" s="2" t="s">
        <v>4462</v>
      </c>
      <c r="D2187" s="1" t="str">
        <f>IFERROR(__xludf.DUMMYFUNCTION("GOOGLETRANSLATE(A2187 , ""auto"", ""ar"")"),"حب")</f>
        <v>حب</v>
      </c>
    </row>
    <row r="2188" ht="15.75" customHeight="1">
      <c r="A2188" s="1" t="s">
        <v>4455</v>
      </c>
      <c r="B2188" s="1" t="s">
        <v>4463</v>
      </c>
      <c r="C2188" s="1"/>
      <c r="D2188" s="1" t="str">
        <f>IFERROR(__xludf.DUMMYFUNCTION("GOOGLETRANSLATE(A2188 , ""auto"", ""ar"")"),"حب")</f>
        <v>حب</v>
      </c>
    </row>
    <row r="2189" ht="15.75" customHeight="1">
      <c r="A2189" s="1" t="s">
        <v>4464</v>
      </c>
      <c r="B2189" s="1" t="s">
        <v>4465</v>
      </c>
      <c r="C2189" s="1"/>
      <c r="D2189" s="1" t="str">
        <f>IFERROR(__xludf.DUMMYFUNCTION("GOOGLETRANSLATE(A2189 , ""auto"", ""ar"")"),"نحب بعضنا البعض")</f>
        <v>نحب بعضنا البعض</v>
      </c>
    </row>
    <row r="2190" ht="15.75" customHeight="1">
      <c r="A2190" s="1" t="s">
        <v>4466</v>
      </c>
      <c r="B2190" s="1" t="s">
        <v>711</v>
      </c>
      <c r="C2190" s="2" t="s">
        <v>712</v>
      </c>
      <c r="D2190" s="1" t="str">
        <f>IFERROR(__xludf.DUMMYFUNCTION("GOOGLETRANSLATE(A2190 , ""auto"", ""ar"")"),"محبوب")</f>
        <v>محبوب</v>
      </c>
    </row>
    <row r="2191" ht="15.75" customHeight="1">
      <c r="A2191" s="1" t="s">
        <v>4467</v>
      </c>
      <c r="B2191" s="1" t="s">
        <v>4468</v>
      </c>
      <c r="C2191" s="1"/>
      <c r="D2191" s="1" t="str">
        <f>IFERROR(__xludf.DUMMYFUNCTION("GOOGLETRANSLATE(A2191 , ""auto"", ""ar"")"),"محبوب")</f>
        <v>محبوب</v>
      </c>
    </row>
    <row r="2192" ht="15.75" customHeight="1">
      <c r="A2192" s="1" t="s">
        <v>4469</v>
      </c>
      <c r="B2192" s="1" t="s">
        <v>4470</v>
      </c>
      <c r="C2192" s="2" t="s">
        <v>4471</v>
      </c>
      <c r="D2192" s="1" t="str">
        <f>IFERROR(__xludf.DUMMYFUNCTION("GOOGLETRANSLATE(A2192 , ""auto"", ""ar"")"),"أدنى")</f>
        <v>أدنى</v>
      </c>
    </row>
    <row r="2193" ht="15.75" customHeight="1">
      <c r="A2193" s="1" t="s">
        <v>4469</v>
      </c>
      <c r="B2193" s="1" t="s">
        <v>4448</v>
      </c>
      <c r="C2193" s="2" t="s">
        <v>4472</v>
      </c>
      <c r="D2193" s="1" t="str">
        <f>IFERROR(__xludf.DUMMYFUNCTION("GOOGLETRANSLATE(A2193 , ""auto"", ""ar"")"),"أدنى")</f>
        <v>أدنى</v>
      </c>
    </row>
    <row r="2194" ht="15.75" customHeight="1">
      <c r="A2194" s="1" t="s">
        <v>4473</v>
      </c>
      <c r="B2194" s="1" t="s">
        <v>4474</v>
      </c>
      <c r="C2194" s="2" t="s">
        <v>4475</v>
      </c>
      <c r="D2194" s="1" t="str">
        <f>IFERROR(__xludf.DUMMYFUNCTION("GOOGLETRANSLATE(A2194 , ""auto"", ""ar"")"),"حظ")</f>
        <v>حظ</v>
      </c>
    </row>
    <row r="2195" ht="15.75" customHeight="1">
      <c r="A2195" s="1" t="s">
        <v>4473</v>
      </c>
      <c r="B2195" s="1" t="s">
        <v>4476</v>
      </c>
      <c r="C2195" s="1"/>
      <c r="D2195" s="1" t="str">
        <f>IFERROR(__xludf.DUMMYFUNCTION("GOOGLETRANSLATE(A2195 , ""auto"", ""ar"")"),"حظ")</f>
        <v>حظ</v>
      </c>
    </row>
    <row r="2196" ht="15.75" customHeight="1">
      <c r="A2196" s="1" t="s">
        <v>4473</v>
      </c>
      <c r="B2196" s="1" t="s">
        <v>4477</v>
      </c>
      <c r="C2196" s="1"/>
      <c r="D2196" s="1" t="str">
        <f>IFERROR(__xludf.DUMMYFUNCTION("GOOGLETRANSLATE(A2196 , ""auto"", ""ar"")"),"حظ")</f>
        <v>حظ</v>
      </c>
    </row>
    <row r="2197" ht="15.75" customHeight="1">
      <c r="A2197" s="1" t="s">
        <v>4478</v>
      </c>
      <c r="B2197" s="1" t="s">
        <v>498</v>
      </c>
      <c r="C2197" s="2" t="s">
        <v>499</v>
      </c>
      <c r="D2197" s="1" t="str">
        <f>IFERROR(__xludf.DUMMYFUNCTION("GOOGLETRANSLATE(A2197 , ""auto"", ""ar"")"),"أمتعة السفر")</f>
        <v>أمتعة السفر</v>
      </c>
    </row>
    <row r="2198" ht="15.75" customHeight="1">
      <c r="A2198" s="1" t="s">
        <v>4479</v>
      </c>
      <c r="B2198" s="1" t="s">
        <v>4480</v>
      </c>
      <c r="C2198" s="2" t="s">
        <v>4481</v>
      </c>
      <c r="D2198" s="1" t="str">
        <f>IFERROR(__xludf.DUMMYFUNCTION("GOOGLETRANSLATE(A2198 , ""auto"", ""ar"")"),"حطاب")</f>
        <v>حطاب</v>
      </c>
    </row>
    <row r="2199" ht="15.75" customHeight="1">
      <c r="A2199" s="1" t="s">
        <v>4479</v>
      </c>
      <c r="B2199" s="1" t="s">
        <v>4482</v>
      </c>
      <c r="C2199" s="1"/>
      <c r="D2199" s="1" t="str">
        <f>IFERROR(__xludf.DUMMYFUNCTION("GOOGLETRANSLATE(A2199 , ""auto"", ""ar"")"),"حطاب")</f>
        <v>حطاب</v>
      </c>
    </row>
    <row r="2200" ht="15.75" customHeight="1">
      <c r="A2200" s="1" t="s">
        <v>4483</v>
      </c>
      <c r="B2200" s="1" t="s">
        <v>4484</v>
      </c>
      <c r="C2200" s="2" t="s">
        <v>65</v>
      </c>
      <c r="D2200" s="1" t="str">
        <f>IFERROR(__xludf.DUMMYFUNCTION("GOOGLETRANSLATE(A2200 , ""auto"", ""ar"")"),"محفر")</f>
        <v>محفر</v>
      </c>
    </row>
    <row r="2201" ht="15.75" customHeight="1">
      <c r="A2201" s="1" t="s">
        <v>4485</v>
      </c>
      <c r="B2201" s="1" t="s">
        <v>4486</v>
      </c>
      <c r="C2201" s="2" t="s">
        <v>4487</v>
      </c>
      <c r="D2201" s="1" t="str">
        <f>IFERROR(__xludf.DUMMYFUNCTION("GOOGLETRANSLATE(A2201 , ""auto"", ""ar"")"),"غداء")</f>
        <v>غداء</v>
      </c>
    </row>
    <row r="2202" ht="15.75" customHeight="1">
      <c r="A2202" s="1" t="s">
        <v>4485</v>
      </c>
      <c r="B2202" s="1" t="s">
        <v>3469</v>
      </c>
      <c r="C2202" s="2" t="s">
        <v>3470</v>
      </c>
      <c r="D2202" s="1" t="str">
        <f>IFERROR(__xludf.DUMMYFUNCTION("GOOGLETRANSLATE(A2202 , ""auto"", ""ar"")"),"غداء")</f>
        <v>غداء</v>
      </c>
    </row>
    <row r="2203" ht="15.75" customHeight="1">
      <c r="A2203" s="1" t="s">
        <v>4488</v>
      </c>
      <c r="B2203" s="1" t="s">
        <v>4489</v>
      </c>
      <c r="C2203" s="1"/>
      <c r="D2203" s="1" t="str">
        <f>IFERROR(__xludf.DUMMYFUNCTION("GOOGLETRANSLATE(A2203 , ""auto"", ""ar"")"),"رئة")</f>
        <v>رئة</v>
      </c>
    </row>
    <row r="2204" ht="15.75" customHeight="1">
      <c r="A2204" s="1" t="s">
        <v>4490</v>
      </c>
      <c r="B2204" s="1" t="s">
        <v>4491</v>
      </c>
      <c r="C2204" s="2" t="s">
        <v>3642</v>
      </c>
      <c r="D2204" s="1" t="str">
        <f>IFERROR(__xludf.DUMMYFUNCTION("GOOGLETRANSLATE(A2204 , ""auto"", ""ar"")"),"العود")</f>
        <v>العود</v>
      </c>
    </row>
    <row r="2205" ht="15.75" customHeight="1">
      <c r="A2205" s="1" t="s">
        <v>4492</v>
      </c>
      <c r="B2205" s="1" t="s">
        <v>4493</v>
      </c>
      <c r="C2205" s="1"/>
      <c r="D2205" s="1" t="str">
        <f>IFERROR(__xludf.DUMMYFUNCTION("GOOGLETRANSLATE(A2205 , ""auto"", ""ar"")"),"فاخر")</f>
        <v>فاخر</v>
      </c>
    </row>
    <row r="2206" ht="15.75" customHeight="1">
      <c r="A2206" s="1" t="s">
        <v>4494</v>
      </c>
      <c r="B2206" s="1" t="s">
        <v>4495</v>
      </c>
      <c r="C2206" s="2" t="s">
        <v>4496</v>
      </c>
      <c r="D2206" s="1" t="str">
        <f>IFERROR(__xludf.DUMMYFUNCTION("GOOGLETRANSLATE(A2206 , ""auto"", ""ar"")"),"الاستلقاء")</f>
        <v>الاستلقاء</v>
      </c>
    </row>
    <row r="2207" ht="15.75" customHeight="1">
      <c r="A2207" s="1" t="s">
        <v>4494</v>
      </c>
      <c r="B2207" s="1" t="s">
        <v>4497</v>
      </c>
      <c r="C2207" s="2" t="s">
        <v>398</v>
      </c>
      <c r="D2207" s="1" t="str">
        <f>IFERROR(__xludf.DUMMYFUNCTION("GOOGLETRANSLATE(A2207 , ""auto"", ""ar"")"),"الاستلقاء")</f>
        <v>الاستلقاء</v>
      </c>
    </row>
    <row r="2208" ht="15.75" customHeight="1">
      <c r="A2208" s="1" t="s">
        <v>466</v>
      </c>
      <c r="B2208" s="1" t="s">
        <v>467</v>
      </c>
      <c r="C2208" s="2" t="s">
        <v>468</v>
      </c>
      <c r="D2208" s="1" t="str">
        <f>IFERROR(__xludf.DUMMYFUNCTION("GOOGLETRANSLATE(A2208 , ""auto"", ""ar"")"),"اسم العائلة")</f>
        <v>اسم العائلة</v>
      </c>
    </row>
    <row r="2209" ht="15.75" customHeight="1">
      <c r="A2209" s="1" t="s">
        <v>43</v>
      </c>
      <c r="B2209" s="1" t="s">
        <v>44</v>
      </c>
      <c r="C2209" s="2" t="s">
        <v>45</v>
      </c>
      <c r="D2209" s="1" t="str">
        <f>IFERROR(__xludf.DUMMYFUNCTION("GOOGLETRANSLATE(A2209 , ""auto"", ""ar"")"),"مقبول")</f>
        <v>مقبول</v>
      </c>
    </row>
    <row r="2210" ht="15.75" customHeight="1">
      <c r="A2210" s="1" t="s">
        <v>469</v>
      </c>
      <c r="B2210" s="1" t="s">
        <v>470</v>
      </c>
      <c r="C2210" s="2" t="s">
        <v>471</v>
      </c>
      <c r="D2210" s="1" t="str">
        <f>IFERROR(__xludf.DUMMYFUNCTION("GOOGLETRANSLATE(A2210 , ""auto"", ""ar"")"),"التصالح")</f>
        <v>التصالح</v>
      </c>
    </row>
    <row r="2211" ht="15.75" customHeight="1">
      <c r="A2211" s="1" t="s">
        <v>472</v>
      </c>
      <c r="B2211" s="1" t="s">
        <v>473</v>
      </c>
      <c r="C2211" s="2" t="s">
        <v>474</v>
      </c>
      <c r="D2211" s="1" t="str">
        <f>IFERROR(__xludf.DUMMYFUNCTION("GOOGLETRANSLATE(A2211 , ""auto"", ""ar"")"),"مغفرة")</f>
        <v>مغفرة</v>
      </c>
    </row>
    <row r="2212" ht="15.75" customHeight="1">
      <c r="A2212" s="1" t="s">
        <v>475</v>
      </c>
      <c r="B2212" s="1" t="s">
        <v>476</v>
      </c>
      <c r="C2212" s="2" t="s">
        <v>477</v>
      </c>
      <c r="D2212" s="1" t="str">
        <f>IFERROR(__xludf.DUMMYFUNCTION("GOOGLETRANSLATE(A2212 , ""auto"", ""ar"")"),"يخبر")</f>
        <v>يخبر</v>
      </c>
    </row>
    <row r="2213" ht="15.75" customHeight="1">
      <c r="A2213" s="1" t="s">
        <v>4498</v>
      </c>
      <c r="B2213" s="1" t="s">
        <v>4499</v>
      </c>
      <c r="C2213" s="2" t="s">
        <v>4500</v>
      </c>
      <c r="D2213" s="1" t="str">
        <f>IFERROR(__xludf.DUMMYFUNCTION("GOOGLETRANSLATE(A2213 , ""auto"", ""ar"")"),"آلة")</f>
        <v>آلة</v>
      </c>
    </row>
    <row r="2214" ht="15.75" customHeight="1">
      <c r="A2214" s="1" t="s">
        <v>4501</v>
      </c>
      <c r="B2214" s="1" t="s">
        <v>4502</v>
      </c>
      <c r="C2214" s="2" t="s">
        <v>4503</v>
      </c>
      <c r="D2214" s="1" t="str">
        <f>IFERROR(__xludf.DUMMYFUNCTION("GOOGLETRANSLATE(A2214 , ""auto"", ""ar"")"),"سيدتي")</f>
        <v>سيدتي</v>
      </c>
    </row>
    <row r="2215" ht="15.75" customHeight="1">
      <c r="A2215" s="1" t="s">
        <v>4504</v>
      </c>
      <c r="B2215" s="1" t="s">
        <v>708</v>
      </c>
      <c r="C2215" s="2" t="s">
        <v>709</v>
      </c>
      <c r="D2215" s="1" t="str">
        <f>IFERROR(__xludf.DUMMYFUNCTION("GOOGLETRANSLATE(A2215 , ""auto"", ""ar"")"),"مصنوع من")</f>
        <v>مصنوع من</v>
      </c>
    </row>
    <row r="2216" ht="15.75" customHeight="1">
      <c r="A2216" s="1" t="s">
        <v>4505</v>
      </c>
      <c r="B2216" s="1" t="s">
        <v>1791</v>
      </c>
      <c r="C2216" s="1"/>
      <c r="D2216" s="1" t="str">
        <f>IFERROR(__xludf.DUMMYFUNCTION("GOOGLETRANSLATE(A2216 , ""auto"", ""ar"")"),"جنون")</f>
        <v>جنون</v>
      </c>
    </row>
    <row r="2217" ht="15.75" customHeight="1">
      <c r="A2217" s="1" t="s">
        <v>4506</v>
      </c>
      <c r="B2217" s="1" t="s">
        <v>4507</v>
      </c>
      <c r="C2217" s="2" t="s">
        <v>4508</v>
      </c>
      <c r="D2217" s="1" t="str">
        <f>IFERROR(__xludf.DUMMYFUNCTION("GOOGLETRANSLATE(A2217 , ""auto"", ""ar"")"),"مجلة")</f>
        <v>مجلة</v>
      </c>
    </row>
    <row r="2218" ht="15.75" customHeight="1">
      <c r="A2218" s="1" t="s">
        <v>4509</v>
      </c>
      <c r="B2218" s="1" t="s">
        <v>4510</v>
      </c>
      <c r="C2218" s="2" t="s">
        <v>4511</v>
      </c>
      <c r="D2218" s="1" t="str">
        <f>IFERROR(__xludf.DUMMYFUNCTION("GOOGLETRANSLATE(A2218 , ""auto"", ""ar"")"),"سحر")</f>
        <v>سحر</v>
      </c>
    </row>
    <row r="2219" ht="15.75" customHeight="1">
      <c r="A2219" s="1" t="s">
        <v>4509</v>
      </c>
      <c r="B2219" s="1" t="s">
        <v>4512</v>
      </c>
      <c r="C2219" s="2" t="s">
        <v>4513</v>
      </c>
      <c r="D2219" s="1" t="str">
        <f>IFERROR(__xludf.DUMMYFUNCTION("GOOGLETRANSLATE(A2219 , ""auto"", ""ar"")"),"سحر")</f>
        <v>سحر</v>
      </c>
    </row>
    <row r="2220" ht="15.75" customHeight="1">
      <c r="A2220" s="1" t="s">
        <v>4514</v>
      </c>
      <c r="B2220" s="1" t="s">
        <v>4512</v>
      </c>
      <c r="C2220" s="2" t="s">
        <v>4513</v>
      </c>
      <c r="D2220" s="1" t="str">
        <f>IFERROR(__xludf.DUMMYFUNCTION("GOOGLETRANSLATE(A2220 , ""auto"", ""ar"")"),"سحري")</f>
        <v>سحري</v>
      </c>
    </row>
    <row r="2221" ht="15.75" customHeight="1">
      <c r="A2221" s="1" t="s">
        <v>4515</v>
      </c>
      <c r="B2221" s="1" t="s">
        <v>3761</v>
      </c>
      <c r="C2221" s="2" t="s">
        <v>65</v>
      </c>
      <c r="D2221" s="1" t="str">
        <f>IFERROR(__xludf.DUMMYFUNCTION("GOOGLETRANSLATE(A2221 , ""auto"", ""ar"")"),"رئيسي")</f>
        <v>رئيسي</v>
      </c>
    </row>
    <row r="2222" ht="15.75" customHeight="1">
      <c r="A2222" s="1" t="s">
        <v>4516</v>
      </c>
      <c r="B2222" s="1" t="s">
        <v>4517</v>
      </c>
      <c r="C2222" s="2" t="s">
        <v>4518</v>
      </c>
      <c r="D2222" s="1" t="str">
        <f>IFERROR(__xludf.DUMMYFUNCTION("GOOGLETRANSLATE(A2222 , ""auto"", ""ar"")"),"غالبية")</f>
        <v>غالبية</v>
      </c>
    </row>
    <row r="2223" ht="15.75" customHeight="1">
      <c r="A2223" s="1" t="s">
        <v>4519</v>
      </c>
      <c r="B2223" s="1" t="s">
        <v>1057</v>
      </c>
      <c r="C2223" s="2" t="s">
        <v>1058</v>
      </c>
      <c r="D2223" s="1" t="str">
        <f>IFERROR(__xludf.DUMMYFUNCTION("GOOGLETRANSLATE(A2223 , ""auto"", ""ar"")"),"اجعل (شخص ما) أحمر الخدود")</f>
        <v>اجعل (شخص ما) أحمر الخدود</v>
      </c>
    </row>
    <row r="2224" ht="15.75" customHeight="1">
      <c r="A2224" s="1" t="s">
        <v>4520</v>
      </c>
      <c r="B2224" s="1" t="s">
        <v>4521</v>
      </c>
      <c r="C2224" s="2" t="s">
        <v>4522</v>
      </c>
      <c r="D2224" s="1" t="str">
        <f>IFERROR(__xludf.DUMMYFUNCTION("GOOGLETRANSLATE(A2224 , ""auto"", ""ar"")"),"أخطأ")</f>
        <v>أخطأ</v>
      </c>
    </row>
    <row r="2225" ht="15.75" customHeight="1">
      <c r="A2225" s="1" t="s">
        <v>4523</v>
      </c>
      <c r="B2225" s="1" t="s">
        <v>4521</v>
      </c>
      <c r="C2225" s="2" t="s">
        <v>4522</v>
      </c>
      <c r="D2225" s="1" t="str">
        <f>IFERROR(__xludf.DUMMYFUNCTION("GOOGLETRANSLATE(A2225 , ""auto"", ""ar"")"),"ارتكب خطأ")</f>
        <v>ارتكب خطأ</v>
      </c>
    </row>
    <row r="2226" ht="15.75" customHeight="1">
      <c r="A2226" s="1" t="s">
        <v>4524</v>
      </c>
      <c r="B2226" s="1" t="s">
        <v>3453</v>
      </c>
      <c r="C2226" s="2" t="s">
        <v>3454</v>
      </c>
      <c r="D2226" s="1" t="str">
        <f>IFERROR(__xludf.DUMMYFUNCTION("GOOGLETRANSLATE(A2226 , ""auto"", ""ar"")"),"يسخر من")</f>
        <v>يسخر من</v>
      </c>
    </row>
    <row r="2227" ht="15.75" customHeight="1">
      <c r="A2227" s="1" t="s">
        <v>4524</v>
      </c>
      <c r="B2227" s="1" t="s">
        <v>4525</v>
      </c>
      <c r="C2227" s="1"/>
      <c r="D2227" s="1" t="str">
        <f>IFERROR(__xludf.DUMMYFUNCTION("GOOGLETRANSLATE(A2227 , ""auto"", ""ar"")"),"يسخر من")</f>
        <v>يسخر من</v>
      </c>
    </row>
    <row r="2228" ht="15.75" customHeight="1">
      <c r="A2228" s="1" t="s">
        <v>4526</v>
      </c>
      <c r="B2228" s="1" t="s">
        <v>2127</v>
      </c>
      <c r="C2228" s="2" t="s">
        <v>2128</v>
      </c>
      <c r="D2228" s="1" t="str">
        <f>IFERROR(__xludf.DUMMYFUNCTION("GOOGLETRANSLATE(A2228 , ""auto"", ""ar"")"),"خلق ضجة")</f>
        <v>خلق ضجة</v>
      </c>
    </row>
    <row r="2229" ht="15.75" customHeight="1">
      <c r="A2229" s="1" t="s">
        <v>4527</v>
      </c>
      <c r="B2229" s="1" t="s">
        <v>4528</v>
      </c>
      <c r="C2229" s="2" t="s">
        <v>4529</v>
      </c>
      <c r="D2229" s="1" t="str">
        <f>IFERROR(__xludf.DUMMYFUNCTION("GOOGLETRANSLATE(A2229 , ""auto"", ""ar"")"),"تأكد")</f>
        <v>تأكد</v>
      </c>
    </row>
    <row r="2230" ht="15.75" customHeight="1">
      <c r="A2230" s="1" t="s">
        <v>4530</v>
      </c>
      <c r="B2230" s="1" t="s">
        <v>4531</v>
      </c>
      <c r="C2230" s="2" t="s">
        <v>4532</v>
      </c>
      <c r="D2230" s="1" t="str">
        <f>IFERROR(__xludf.DUMMYFUNCTION("GOOGLETRANSLATE(A2230 , ""auto"", ""ar"")"),"أصنع طريقا")</f>
        <v>أصنع طريقا</v>
      </c>
    </row>
    <row r="2231" ht="15.75" customHeight="1">
      <c r="A2231" s="1" t="s">
        <v>4533</v>
      </c>
      <c r="B2231" s="1" t="s">
        <v>3725</v>
      </c>
      <c r="C2231" s="2" t="s">
        <v>3726</v>
      </c>
      <c r="D2231" s="1" t="str">
        <f>IFERROR(__xludf.DUMMYFUNCTION("GOOGLETRANSLATE(A2231 , ""auto"", ""ar"")"),"رجل")</f>
        <v>رجل</v>
      </c>
    </row>
    <row r="2232" ht="15.75" customHeight="1">
      <c r="A2232" s="1" t="s">
        <v>4533</v>
      </c>
      <c r="B2232" s="1" t="s">
        <v>4534</v>
      </c>
      <c r="C2232" s="2" t="s">
        <v>4535</v>
      </c>
      <c r="D2232" s="1" t="str">
        <f>IFERROR(__xludf.DUMMYFUNCTION("GOOGLETRANSLATE(A2232 , ""auto"", ""ar"")"),"رجل")</f>
        <v>رجل</v>
      </c>
    </row>
    <row r="2233" ht="15.75" customHeight="1">
      <c r="A2233" s="1" t="s">
        <v>4536</v>
      </c>
      <c r="B2233" s="1" t="s">
        <v>4537</v>
      </c>
      <c r="C2233" s="2" t="s">
        <v>4538</v>
      </c>
      <c r="D2233" s="1" t="str">
        <f>IFERROR(__xludf.DUMMYFUNCTION("GOOGLETRANSLATE(A2233 , ""auto"", ""ar"")"),"الرجل الذي يلقي الدعوة للصلاة")</f>
        <v>الرجل الذي يلقي الدعوة للصلاة</v>
      </c>
    </row>
    <row r="2234" ht="15.75" customHeight="1">
      <c r="A2234" s="1" t="s">
        <v>4539</v>
      </c>
      <c r="B2234" s="1" t="s">
        <v>4540</v>
      </c>
      <c r="C2234" s="1"/>
      <c r="D2234" s="1" t="str">
        <f>IFERROR(__xludf.DUMMYFUNCTION("GOOGLETRANSLATE(A2234 , ""auto"", ""ar"")"),"يدير")</f>
        <v>يدير</v>
      </c>
    </row>
    <row r="2235" ht="15.75" customHeight="1">
      <c r="A2235" s="1" t="s">
        <v>4498</v>
      </c>
      <c r="B2235" s="1" t="s">
        <v>4499</v>
      </c>
      <c r="C2235" s="2" t="s">
        <v>4500</v>
      </c>
      <c r="D2235" s="1" t="str">
        <f>IFERROR(__xludf.DUMMYFUNCTION("GOOGLETRANSLATE(A2235 , ""auto"", ""ar"")"),"آلة")</f>
        <v>آلة</v>
      </c>
    </row>
    <row r="2236" ht="15.75" customHeight="1">
      <c r="A2236" s="1" t="s">
        <v>4501</v>
      </c>
      <c r="B2236" s="1" t="s">
        <v>4502</v>
      </c>
      <c r="C2236" s="2" t="s">
        <v>4503</v>
      </c>
      <c r="D2236" s="1" t="str">
        <f>IFERROR(__xludf.DUMMYFUNCTION("GOOGLETRANSLATE(A2236 , ""auto"", ""ar"")"),"سيدتي")</f>
        <v>سيدتي</v>
      </c>
    </row>
    <row r="2237" ht="15.75" customHeight="1">
      <c r="A2237" s="1" t="s">
        <v>4504</v>
      </c>
      <c r="B2237" s="1" t="s">
        <v>708</v>
      </c>
      <c r="C2237" s="2" t="s">
        <v>709</v>
      </c>
      <c r="D2237" s="1" t="str">
        <f>IFERROR(__xludf.DUMMYFUNCTION("GOOGLETRANSLATE(A2237 , ""auto"", ""ar"")"),"مصنوع من")</f>
        <v>مصنوع من</v>
      </c>
    </row>
    <row r="2238" ht="15.75" customHeight="1">
      <c r="A2238" s="1" t="s">
        <v>4505</v>
      </c>
      <c r="B2238" s="1" t="s">
        <v>1791</v>
      </c>
      <c r="C2238" s="1"/>
      <c r="D2238" s="1" t="str">
        <f>IFERROR(__xludf.DUMMYFUNCTION("GOOGLETRANSLATE(A2238 , ""auto"", ""ar"")"),"جنون")</f>
        <v>جنون</v>
      </c>
    </row>
    <row r="2239" ht="15.75" customHeight="1">
      <c r="A2239" s="1" t="s">
        <v>4506</v>
      </c>
      <c r="B2239" s="1" t="s">
        <v>4507</v>
      </c>
      <c r="C2239" s="2" t="s">
        <v>4508</v>
      </c>
      <c r="D2239" s="1" t="str">
        <f>IFERROR(__xludf.DUMMYFUNCTION("GOOGLETRANSLATE(A2239 , ""auto"", ""ar"")"),"مجلة")</f>
        <v>مجلة</v>
      </c>
    </row>
    <row r="2240" ht="15.75" customHeight="1">
      <c r="A2240" s="1" t="s">
        <v>4509</v>
      </c>
      <c r="B2240" s="1" t="s">
        <v>4510</v>
      </c>
      <c r="C2240" s="2" t="s">
        <v>4511</v>
      </c>
      <c r="D2240" s="1" t="str">
        <f>IFERROR(__xludf.DUMMYFUNCTION("GOOGLETRANSLATE(A2240 , ""auto"", ""ar"")"),"سحر")</f>
        <v>سحر</v>
      </c>
    </row>
    <row r="2241" ht="15.75" customHeight="1">
      <c r="A2241" s="1" t="s">
        <v>4509</v>
      </c>
      <c r="B2241" s="1" t="s">
        <v>4512</v>
      </c>
      <c r="C2241" s="2" t="s">
        <v>4513</v>
      </c>
      <c r="D2241" s="1" t="str">
        <f>IFERROR(__xludf.DUMMYFUNCTION("GOOGLETRANSLATE(A2241 , ""auto"", ""ar"")"),"سحر")</f>
        <v>سحر</v>
      </c>
    </row>
    <row r="2242" ht="15.75" customHeight="1">
      <c r="A2242" s="1" t="s">
        <v>4514</v>
      </c>
      <c r="B2242" s="1" t="s">
        <v>4512</v>
      </c>
      <c r="C2242" s="2" t="s">
        <v>4513</v>
      </c>
      <c r="D2242" s="1" t="str">
        <f>IFERROR(__xludf.DUMMYFUNCTION("GOOGLETRANSLATE(A2242 , ""auto"", ""ar"")"),"سحري")</f>
        <v>سحري</v>
      </c>
    </row>
    <row r="2243" ht="15.75" customHeight="1">
      <c r="A2243" s="1" t="s">
        <v>4515</v>
      </c>
      <c r="B2243" s="1" t="s">
        <v>3761</v>
      </c>
      <c r="C2243" s="2" t="s">
        <v>65</v>
      </c>
      <c r="D2243" s="1" t="str">
        <f>IFERROR(__xludf.DUMMYFUNCTION("GOOGLETRANSLATE(A2243 , ""auto"", ""ar"")"),"رئيسي")</f>
        <v>رئيسي</v>
      </c>
    </row>
    <row r="2244" ht="15.75" customHeight="1">
      <c r="A2244" s="1" t="s">
        <v>4516</v>
      </c>
      <c r="B2244" s="1" t="s">
        <v>4517</v>
      </c>
      <c r="C2244" s="2" t="s">
        <v>4518</v>
      </c>
      <c r="D2244" s="1" t="str">
        <f>IFERROR(__xludf.DUMMYFUNCTION("GOOGLETRANSLATE(A2244 , ""auto"", ""ar"")"),"غالبية")</f>
        <v>غالبية</v>
      </c>
    </row>
    <row r="2245" ht="15.75" customHeight="1">
      <c r="A2245" s="1" t="s">
        <v>4519</v>
      </c>
      <c r="B2245" s="1" t="s">
        <v>1057</v>
      </c>
      <c r="C2245" s="2" t="s">
        <v>1058</v>
      </c>
      <c r="D2245" s="1" t="str">
        <f>IFERROR(__xludf.DUMMYFUNCTION("GOOGLETRANSLATE(A2245 , ""auto"", ""ar"")"),"اجعل (شخص ما) أحمر الخدود")</f>
        <v>اجعل (شخص ما) أحمر الخدود</v>
      </c>
    </row>
    <row r="2246" ht="15.75" customHeight="1">
      <c r="A2246" s="1" t="s">
        <v>4520</v>
      </c>
      <c r="B2246" s="1" t="s">
        <v>4521</v>
      </c>
      <c r="C2246" s="2" t="s">
        <v>4522</v>
      </c>
      <c r="D2246" s="1" t="str">
        <f>IFERROR(__xludf.DUMMYFUNCTION("GOOGLETRANSLATE(A2246 , ""auto"", ""ar"")"),"أخطأ")</f>
        <v>أخطأ</v>
      </c>
    </row>
    <row r="2247" ht="15.75" customHeight="1">
      <c r="A2247" s="1" t="s">
        <v>4523</v>
      </c>
      <c r="B2247" s="1" t="s">
        <v>4521</v>
      </c>
      <c r="C2247" s="2" t="s">
        <v>4522</v>
      </c>
      <c r="D2247" s="1" t="str">
        <f>IFERROR(__xludf.DUMMYFUNCTION("GOOGLETRANSLATE(A2247 , ""auto"", ""ar"")"),"ارتكب خطأ")</f>
        <v>ارتكب خطأ</v>
      </c>
    </row>
    <row r="2248" ht="15.75" customHeight="1">
      <c r="A2248" s="1" t="s">
        <v>4524</v>
      </c>
      <c r="B2248" s="1" t="s">
        <v>3453</v>
      </c>
      <c r="C2248" s="2" t="s">
        <v>3454</v>
      </c>
      <c r="D2248" s="1" t="str">
        <f>IFERROR(__xludf.DUMMYFUNCTION("GOOGLETRANSLATE(A2248 , ""auto"", ""ar"")"),"يسخر من")</f>
        <v>يسخر من</v>
      </c>
    </row>
    <row r="2249" ht="15.75" customHeight="1">
      <c r="A2249" s="1" t="s">
        <v>4524</v>
      </c>
      <c r="B2249" s="1" t="s">
        <v>4525</v>
      </c>
      <c r="C2249" s="1"/>
      <c r="D2249" s="1" t="str">
        <f>IFERROR(__xludf.DUMMYFUNCTION("GOOGLETRANSLATE(A2249 , ""auto"", ""ar"")"),"يسخر من")</f>
        <v>يسخر من</v>
      </c>
    </row>
    <row r="2250" ht="15.75" customHeight="1">
      <c r="A2250" s="1" t="s">
        <v>4526</v>
      </c>
      <c r="B2250" s="1" t="s">
        <v>2127</v>
      </c>
      <c r="C2250" s="2" t="s">
        <v>2128</v>
      </c>
      <c r="D2250" s="1" t="str">
        <f>IFERROR(__xludf.DUMMYFUNCTION("GOOGLETRANSLATE(A2250 , ""auto"", ""ar"")"),"خلق ضجة")</f>
        <v>خلق ضجة</v>
      </c>
    </row>
    <row r="2251" ht="15.75" customHeight="1">
      <c r="A2251" s="1" t="s">
        <v>4527</v>
      </c>
      <c r="B2251" s="1" t="s">
        <v>4528</v>
      </c>
      <c r="C2251" s="2" t="s">
        <v>4529</v>
      </c>
      <c r="D2251" s="1" t="str">
        <f>IFERROR(__xludf.DUMMYFUNCTION("GOOGLETRANSLATE(A2251 , ""auto"", ""ar"")"),"تأكد")</f>
        <v>تأكد</v>
      </c>
    </row>
    <row r="2252" ht="15.75" customHeight="1">
      <c r="A2252" s="1" t="s">
        <v>4530</v>
      </c>
      <c r="B2252" s="1" t="s">
        <v>4531</v>
      </c>
      <c r="C2252" s="2" t="s">
        <v>4532</v>
      </c>
      <c r="D2252" s="1" t="str">
        <f>IFERROR(__xludf.DUMMYFUNCTION("GOOGLETRANSLATE(A2252 , ""auto"", ""ar"")"),"أصنع طريقا")</f>
        <v>أصنع طريقا</v>
      </c>
    </row>
    <row r="2253" ht="15.75" customHeight="1">
      <c r="A2253" s="1" t="s">
        <v>4533</v>
      </c>
      <c r="B2253" s="1" t="s">
        <v>3725</v>
      </c>
      <c r="C2253" s="2" t="s">
        <v>3726</v>
      </c>
      <c r="D2253" s="1" t="str">
        <f>IFERROR(__xludf.DUMMYFUNCTION("GOOGLETRANSLATE(A2253 , ""auto"", ""ar"")"),"رجل")</f>
        <v>رجل</v>
      </c>
    </row>
    <row r="2254" ht="15.75" customHeight="1">
      <c r="A2254" s="1" t="s">
        <v>4533</v>
      </c>
      <c r="B2254" s="1" t="s">
        <v>4534</v>
      </c>
      <c r="C2254" s="2" t="s">
        <v>4535</v>
      </c>
      <c r="D2254" s="1" t="str">
        <f>IFERROR(__xludf.DUMMYFUNCTION("GOOGLETRANSLATE(A2254 , ""auto"", ""ar"")"),"رجل")</f>
        <v>رجل</v>
      </c>
    </row>
    <row r="2255" ht="15.75" customHeight="1">
      <c r="A2255" s="1" t="s">
        <v>4536</v>
      </c>
      <c r="B2255" s="1" t="s">
        <v>4537</v>
      </c>
      <c r="C2255" s="2" t="s">
        <v>4538</v>
      </c>
      <c r="D2255" s="1" t="str">
        <f>IFERROR(__xludf.DUMMYFUNCTION("GOOGLETRANSLATE(A2255 , ""auto"", ""ar"")"),"الرجل الذي يلقي الدعوة للصلاة")</f>
        <v>الرجل الذي يلقي الدعوة للصلاة</v>
      </c>
    </row>
    <row r="2256" ht="15.75" customHeight="1">
      <c r="A2256" s="1" t="s">
        <v>4539</v>
      </c>
      <c r="B2256" s="1" t="s">
        <v>4540</v>
      </c>
      <c r="C2256" s="1"/>
      <c r="D2256" s="1" t="str">
        <f>IFERROR(__xludf.DUMMYFUNCTION("GOOGLETRANSLATE(A2256 , ""auto"", ""ar"")"),"يدير")</f>
        <v>يدير</v>
      </c>
    </row>
    <row r="2257" ht="15.75" customHeight="1">
      <c r="A2257" s="1" t="s">
        <v>4541</v>
      </c>
      <c r="B2257" s="1" t="s">
        <v>4542</v>
      </c>
      <c r="C2257" s="2" t="s">
        <v>4543</v>
      </c>
      <c r="D2257" s="1" t="str">
        <f>IFERROR(__xludf.DUMMYFUNCTION("GOOGLETRANSLATE(A2257 , ""auto"", ""ar"")"),"الماندرين")</f>
        <v>الماندرين</v>
      </c>
    </row>
    <row r="2258" ht="15.75" customHeight="1">
      <c r="A2258" s="1" t="s">
        <v>4544</v>
      </c>
      <c r="B2258" s="1" t="s">
        <v>4545</v>
      </c>
      <c r="C2258" s="2" t="s">
        <v>4546</v>
      </c>
      <c r="D2258" s="1" t="str">
        <f>IFERROR(__xludf.DUMMYFUNCTION("GOOGLETRANSLATE(A2258 , ""auto"", ""ar"")"),"مانجو")</f>
        <v>مانجو</v>
      </c>
    </row>
    <row r="2259" ht="15.75" customHeight="1">
      <c r="A2259" s="1" t="s">
        <v>4547</v>
      </c>
      <c r="B2259" s="1" t="s">
        <v>4548</v>
      </c>
      <c r="C2259" s="2" t="s">
        <v>4549</v>
      </c>
      <c r="D2259" s="1" t="str">
        <f>IFERROR(__xludf.DUMMYFUNCTION("GOOGLETRANSLATE(A2259 , ""auto"", ""ar"")"),"طريقة")</f>
        <v>طريقة</v>
      </c>
    </row>
    <row r="2260" ht="15.75" customHeight="1">
      <c r="A2260" s="1" t="s">
        <v>4550</v>
      </c>
      <c r="B2260" s="1" t="s">
        <v>4551</v>
      </c>
      <c r="C2260" s="1"/>
      <c r="D2260" s="1" t="str">
        <f>IFERROR(__xludf.DUMMYFUNCTION("GOOGLETRANSLATE(A2260 , ""auto"", ""ar"")"),"السماد")</f>
        <v>السماد</v>
      </c>
    </row>
    <row r="2261" ht="15.75" customHeight="1">
      <c r="A2261" s="1" t="s">
        <v>4552</v>
      </c>
      <c r="B2261" s="1" t="s">
        <v>4553</v>
      </c>
      <c r="C2261" s="1"/>
      <c r="D2261" s="1" t="str">
        <f>IFERROR(__xludf.DUMMYFUNCTION("GOOGLETRANSLATE(A2261 , ""auto"", ""ar"")"),"خريطة")</f>
        <v>خريطة</v>
      </c>
    </row>
    <row r="2262" ht="15.75" customHeight="1">
      <c r="A2262" s="1" t="s">
        <v>4554</v>
      </c>
      <c r="B2262" s="1" t="s">
        <v>4555</v>
      </c>
      <c r="C2262" s="1"/>
      <c r="D2262" s="1" t="str">
        <f>IFERROR(__xludf.DUMMYFUNCTION("GOOGLETRANSLATE(A2262 , ""auto"", ""ar"")"),"رخام")</f>
        <v>رخام</v>
      </c>
    </row>
    <row r="2263" ht="15.75" customHeight="1">
      <c r="A2263" s="1" t="s">
        <v>4556</v>
      </c>
      <c r="B2263" s="1" t="s">
        <v>4557</v>
      </c>
      <c r="C2263" s="2" t="s">
        <v>4558</v>
      </c>
      <c r="D2263" s="1" t="str">
        <f>IFERROR(__xludf.DUMMYFUNCTION("GOOGLETRANSLATE(A2263 , ""auto"", ""ar"")"),"يمشي")</f>
        <v>يمشي</v>
      </c>
    </row>
    <row r="2264" ht="15.75" customHeight="1">
      <c r="A2264" s="1" t="s">
        <v>4556</v>
      </c>
      <c r="B2264" s="1" t="s">
        <v>4559</v>
      </c>
      <c r="C2264" s="2" t="s">
        <v>4560</v>
      </c>
      <c r="D2264" s="1" t="str">
        <f>IFERROR(__xludf.DUMMYFUNCTION("GOOGLETRANSLATE(A2264 , ""auto"", ""ar"")"),"يمشي")</f>
        <v>يمشي</v>
      </c>
    </row>
    <row r="2265" ht="15.75" customHeight="1">
      <c r="A2265" s="1" t="s">
        <v>4561</v>
      </c>
      <c r="B2265" s="1" t="s">
        <v>4562</v>
      </c>
      <c r="C2265" s="1"/>
      <c r="D2265" s="1" t="str">
        <f>IFERROR(__xludf.DUMMYFUNCTION("GOOGLETRANSLATE(A2265 , ""auto"", ""ar"")"),"كبير")</f>
        <v>كبير</v>
      </c>
    </row>
    <row r="2266" ht="15.75" customHeight="1">
      <c r="A2266" s="1" t="s">
        <v>4563</v>
      </c>
      <c r="B2266" s="1" t="s">
        <v>2261</v>
      </c>
      <c r="C2266" s="2" t="s">
        <v>2262</v>
      </c>
      <c r="D2266" s="1" t="str">
        <f>IFERROR(__xludf.DUMMYFUNCTION("GOOGLETRANSLATE(A2266 , ""auto"", ""ar"")"),"علامة")</f>
        <v>علامة</v>
      </c>
    </row>
    <row r="2267" ht="15.75" customHeight="1">
      <c r="A2267" s="1" t="s">
        <v>4563</v>
      </c>
      <c r="B2267" s="1" t="s">
        <v>3241</v>
      </c>
      <c r="C2267" s="1"/>
      <c r="D2267" s="1" t="str">
        <f>IFERROR(__xludf.DUMMYFUNCTION("GOOGLETRANSLATE(A2267 , ""auto"", ""ar"")"),"علامة")</f>
        <v>علامة</v>
      </c>
    </row>
    <row r="2268" ht="15.75" customHeight="1">
      <c r="A2268" s="1" t="s">
        <v>4564</v>
      </c>
      <c r="B2268" s="1" t="s">
        <v>4565</v>
      </c>
      <c r="C2268" s="2" t="s">
        <v>65</v>
      </c>
      <c r="D2268" s="1" t="str">
        <f>IFERROR(__xludf.DUMMYFUNCTION("GOOGLETRANSLATE(A2268 , ""auto"", ""ar"")"),"علامة")</f>
        <v>علامة</v>
      </c>
    </row>
    <row r="2269" ht="15.75" customHeight="1">
      <c r="A2269" s="1" t="s">
        <v>4566</v>
      </c>
      <c r="B2269" s="1" t="s">
        <v>4567</v>
      </c>
      <c r="C2269" s="2" t="s">
        <v>4568</v>
      </c>
      <c r="D2269" s="1" t="str">
        <f>IFERROR(__xludf.DUMMYFUNCTION("GOOGLETRANSLATE(A2269 , ""auto"", ""ar"")"),"سوق")</f>
        <v>سوق</v>
      </c>
    </row>
    <row r="2270" ht="15.75" customHeight="1">
      <c r="A2270" s="1" t="s">
        <v>4566</v>
      </c>
      <c r="B2270" s="1" t="s">
        <v>4569</v>
      </c>
      <c r="C2270" s="2" t="s">
        <v>4570</v>
      </c>
      <c r="D2270" s="1" t="str">
        <f>IFERROR(__xludf.DUMMYFUNCTION("GOOGLETRANSLATE(A2270 , ""auto"", ""ar"")"),"سوق")</f>
        <v>سوق</v>
      </c>
    </row>
    <row r="2271" ht="15.75" customHeight="1">
      <c r="A2271" s="1" t="s">
        <v>4571</v>
      </c>
      <c r="B2271" s="1" t="s">
        <v>4572</v>
      </c>
      <c r="C2271" s="2" t="s">
        <v>4573</v>
      </c>
      <c r="D2271" s="1" t="str">
        <f>IFERROR(__xludf.DUMMYFUNCTION("GOOGLETRANSLATE(A2271 , ""auto"", ""ar"")"),"مراكش")</f>
        <v>مراكش</v>
      </c>
    </row>
    <row r="2272" ht="15.75" customHeight="1">
      <c r="A2272" s="1" t="s">
        <v>4574</v>
      </c>
      <c r="B2272" s="1" t="s">
        <v>4575</v>
      </c>
      <c r="C2272" s="2" t="s">
        <v>4576</v>
      </c>
      <c r="D2272" s="1" t="str">
        <f>IFERROR(__xludf.DUMMYFUNCTION("GOOGLETRANSLATE(A2272 , ""auto"", ""ar"")"),"زواج")</f>
        <v>زواج</v>
      </c>
    </row>
    <row r="2273" ht="15.75" customHeight="1">
      <c r="A2273" s="1" t="s">
        <v>4577</v>
      </c>
      <c r="B2273" s="1" t="s">
        <v>4578</v>
      </c>
      <c r="C2273" s="2" t="s">
        <v>4579</v>
      </c>
      <c r="D2273" s="1" t="str">
        <f>IFERROR(__xludf.DUMMYFUNCTION("GOOGLETRANSLATE(A2273 , ""auto"", ""ar"")"),"الزواج")</f>
        <v>الزواج</v>
      </c>
    </row>
    <row r="2274" ht="15.75" customHeight="1">
      <c r="A2274" s="1" t="s">
        <v>4580</v>
      </c>
      <c r="B2274" s="1" t="s">
        <v>4581</v>
      </c>
      <c r="C2274" s="2" t="s">
        <v>4582</v>
      </c>
      <c r="D2274" s="1" t="str">
        <f>IFERROR(__xludf.DUMMYFUNCTION("GOOGLETRANSLATE(A2274 , ""auto"", ""ar"")"),"أعجوبة")</f>
        <v>أعجوبة</v>
      </c>
    </row>
    <row r="2275" ht="15.75" customHeight="1">
      <c r="A2275" s="1" t="s">
        <v>4583</v>
      </c>
      <c r="B2275" s="1" t="s">
        <v>1060</v>
      </c>
      <c r="C2275" s="2" t="s">
        <v>4584</v>
      </c>
      <c r="D2275" s="1" t="str">
        <f>IFERROR(__xludf.DUMMYFUNCTION("GOOGLETRANSLATE(A2275 , ""auto"", ""ar"")"),"الماسكارا")</f>
        <v>الماسكارا</v>
      </c>
    </row>
    <row r="2276" ht="15.75" customHeight="1">
      <c r="A2276" s="1" t="s">
        <v>4583</v>
      </c>
      <c r="B2276" s="1" t="s">
        <v>4585</v>
      </c>
      <c r="C2276" s="2" t="s">
        <v>4586</v>
      </c>
      <c r="D2276" s="1" t="str">
        <f>IFERROR(__xludf.DUMMYFUNCTION("GOOGLETRANSLATE(A2276 , ""auto"", ""ar"")"),"الماسكارا")</f>
        <v>الماسكارا</v>
      </c>
    </row>
    <row r="2277" ht="15.75" customHeight="1">
      <c r="A2277" s="1" t="s">
        <v>4587</v>
      </c>
      <c r="B2277" s="1" t="s">
        <v>1075</v>
      </c>
      <c r="C2277" s="1"/>
      <c r="D2277" s="1" t="str">
        <f>IFERROR(__xludf.DUMMYFUNCTION("GOOGLETRANSLATE(A2277 , ""auto"", ""ar"")"),"ميسون")</f>
        <v>ميسون</v>
      </c>
    </row>
    <row r="2278" ht="15.75" customHeight="1">
      <c r="A2278" s="1" t="s">
        <v>4587</v>
      </c>
      <c r="B2278" s="1" t="s">
        <v>1076</v>
      </c>
      <c r="C2278" s="2" t="s">
        <v>1077</v>
      </c>
      <c r="D2278" s="1" t="str">
        <f>IFERROR(__xludf.DUMMYFUNCTION("GOOGLETRANSLATE(A2278 , ""auto"", ""ar"")"),"ميسون")</f>
        <v>ميسون</v>
      </c>
    </row>
    <row r="2279" ht="15.75" customHeight="1">
      <c r="A2279" s="1" t="s">
        <v>4588</v>
      </c>
      <c r="B2279" s="1" t="s">
        <v>4589</v>
      </c>
      <c r="C2279" s="1"/>
      <c r="D2279" s="1" t="str">
        <f>IFERROR(__xludf.DUMMYFUNCTION("GOOGLETRANSLATE(A2279 , ""auto"", ""ar"")"),"مدلك في الحمامات التركية")</f>
        <v>مدلك في الحمامات التركية</v>
      </c>
    </row>
    <row r="2280" ht="15.75" customHeight="1">
      <c r="A2280" s="1" t="s">
        <v>4590</v>
      </c>
      <c r="B2280" s="1" t="s">
        <v>4591</v>
      </c>
      <c r="C2280" s="2" t="s">
        <v>4592</v>
      </c>
      <c r="D2280" s="1" t="str">
        <f>IFERROR(__xludf.DUMMYFUNCTION("GOOGLETRANSLATE(A2280 , ""auto"", ""ar"")"),"مباراة")</f>
        <v>مباراة</v>
      </c>
    </row>
    <row r="2281" ht="15.75" customHeight="1">
      <c r="A2281" s="1" t="s">
        <v>4593</v>
      </c>
      <c r="B2281" s="1" t="s">
        <v>1503</v>
      </c>
      <c r="C2281" s="2" t="s">
        <v>1504</v>
      </c>
      <c r="D2281" s="1" t="str">
        <f>IFERROR(__xludf.DUMMYFUNCTION("GOOGLETRANSLATE(A2281 , ""auto"", ""ar"")"),"مادة")</f>
        <v>مادة</v>
      </c>
    </row>
    <row r="2282" ht="15.75" customHeight="1">
      <c r="A2282" s="1" t="s">
        <v>4594</v>
      </c>
      <c r="B2282" s="1" t="s">
        <v>4595</v>
      </c>
      <c r="C2282" s="1"/>
      <c r="D2282" s="1" t="str">
        <f>IFERROR(__xludf.DUMMYFUNCTION("GOOGLETRANSLATE(A2282 , ""auto"", ""ar"")"),"الرياضيات")</f>
        <v>الرياضيات</v>
      </c>
    </row>
    <row r="2283" ht="15.75" customHeight="1">
      <c r="A2283" s="1" t="s">
        <v>4596</v>
      </c>
      <c r="B2283" s="1" t="s">
        <v>4595</v>
      </c>
      <c r="C2283" s="1"/>
      <c r="D2283" s="1" t="str">
        <f>IFERROR(__xludf.DUMMYFUNCTION("GOOGLETRANSLATE(A2283 , ""auto"", ""ar"")"),"الرياضيات")</f>
        <v>الرياضيات</v>
      </c>
    </row>
    <row r="2284" ht="15.75" customHeight="1">
      <c r="A2284" s="1" t="s">
        <v>4597</v>
      </c>
      <c r="B2284" s="1" t="s">
        <v>4595</v>
      </c>
      <c r="C2284" s="1"/>
      <c r="D2284" s="1" t="str">
        <f>IFERROR(__xludf.DUMMYFUNCTION("GOOGLETRANSLATE(A2284 , ""auto"", ""ar"")"),"رياضيات")</f>
        <v>رياضيات</v>
      </c>
    </row>
    <row r="2285" ht="15.75" customHeight="1">
      <c r="A2285" s="1" t="s">
        <v>4598</v>
      </c>
      <c r="B2285" s="1" t="s">
        <v>4599</v>
      </c>
      <c r="C2285" s="2" t="s">
        <v>4600</v>
      </c>
      <c r="D2285" s="1" t="str">
        <f>IFERROR(__xludf.DUMMYFUNCTION("GOOGLETRANSLATE(A2285 , ""auto"", ""ar"")"),"يمكن")</f>
        <v>يمكن</v>
      </c>
    </row>
    <row r="2286" ht="15.75" customHeight="1">
      <c r="A2286" s="1" t="s">
        <v>4598</v>
      </c>
      <c r="B2286" s="1" t="s">
        <v>4601</v>
      </c>
      <c r="C2286" s="2" t="s">
        <v>4602</v>
      </c>
      <c r="D2286" s="1" t="str">
        <f>IFERROR(__xludf.DUMMYFUNCTION("GOOGLETRANSLATE(A2286 , ""auto"", ""ar"")"),"يمكن")</f>
        <v>يمكن</v>
      </c>
    </row>
    <row r="2287" ht="15.75" customHeight="1">
      <c r="A2287" s="1" t="s">
        <v>4603</v>
      </c>
      <c r="B2287" s="1" t="s">
        <v>4604</v>
      </c>
      <c r="C2287" s="2" t="s">
        <v>4605</v>
      </c>
      <c r="D2287" s="1" t="str">
        <f>IFERROR(__xludf.DUMMYFUNCTION("GOOGLETRANSLATE(A2287 , ""auto"", ""ar"")"),"ربما")</f>
        <v>ربما</v>
      </c>
    </row>
    <row r="2288" ht="15.75" customHeight="1">
      <c r="A2288" s="1" t="s">
        <v>4603</v>
      </c>
      <c r="B2288" s="1" t="s">
        <v>4606</v>
      </c>
      <c r="C2288" s="2" t="s">
        <v>4607</v>
      </c>
      <c r="D2288" s="1" t="str">
        <f>IFERROR(__xludf.DUMMYFUNCTION("GOOGLETRANSLATE(A2288 , ""auto"", ""ar"")"),"ربما")</f>
        <v>ربما</v>
      </c>
    </row>
    <row r="2289" ht="15.75" customHeight="1">
      <c r="A2289" s="1" t="s">
        <v>4603</v>
      </c>
      <c r="B2289" s="1" t="s">
        <v>4608</v>
      </c>
      <c r="C2289" s="1"/>
      <c r="D2289" s="1" t="str">
        <f>IFERROR(__xludf.DUMMYFUNCTION("GOOGLETRANSLATE(A2289 , ""auto"", ""ar"")"),"ربما")</f>
        <v>ربما</v>
      </c>
    </row>
    <row r="2290" ht="15.75" customHeight="1">
      <c r="A2290" s="1" t="s">
        <v>4603</v>
      </c>
      <c r="B2290" s="1" t="s">
        <v>582</v>
      </c>
      <c r="C2290" s="2" t="s">
        <v>583</v>
      </c>
      <c r="D2290" s="1" t="str">
        <f>IFERROR(__xludf.DUMMYFUNCTION("GOOGLETRANSLATE(A2290 , ""auto"", ""ar"")"),"ربما")</f>
        <v>ربما</v>
      </c>
    </row>
    <row r="2291" ht="15.75" customHeight="1">
      <c r="A2291" s="1" t="s">
        <v>4609</v>
      </c>
      <c r="B2291" s="1" t="s">
        <v>4610</v>
      </c>
      <c r="C2291" s="2" t="s">
        <v>4611</v>
      </c>
      <c r="D2291" s="1" t="str">
        <f>IFERROR(__xludf.DUMMYFUNCTION("GOOGLETRANSLATE(A2291 , ""auto"", ""ar"")"),"ماكدونالدز")</f>
        <v>ماكدونالدز</v>
      </c>
    </row>
    <row r="2292" ht="15.75" customHeight="1">
      <c r="A2292" s="1" t="s">
        <v>4612</v>
      </c>
      <c r="B2292" s="1" t="s">
        <v>3730</v>
      </c>
      <c r="C2292" s="2" t="s">
        <v>3731</v>
      </c>
      <c r="D2292" s="1" t="str">
        <f>IFERROR(__xludf.DUMMYFUNCTION("GOOGLETRANSLATE(A2292 , ""auto"", ""ar"")"),"أنا")</f>
        <v>أنا</v>
      </c>
    </row>
    <row r="2293" ht="15.75" customHeight="1">
      <c r="A2293" s="1" t="s">
        <v>4612</v>
      </c>
      <c r="B2293" s="1" t="s">
        <v>4613</v>
      </c>
      <c r="C2293" s="1"/>
      <c r="D2293" s="1" t="str">
        <f>IFERROR(__xludf.DUMMYFUNCTION("GOOGLETRANSLATE(A2293 , ""auto"", ""ar"")"),"أنا")</f>
        <v>أنا</v>
      </c>
    </row>
    <row r="2294" ht="15.75" customHeight="1">
      <c r="A2294" s="1" t="s">
        <v>4614</v>
      </c>
      <c r="B2294" s="1" t="s">
        <v>2106</v>
      </c>
      <c r="C2294" s="2" t="s">
        <v>2107</v>
      </c>
      <c r="D2294" s="1" t="str">
        <f>IFERROR(__xludf.DUMMYFUNCTION("GOOGLETRANSLATE(A2294 , ""auto"", ""ar"")"),"وجبة")</f>
        <v>وجبة</v>
      </c>
    </row>
    <row r="2295" ht="15.75" customHeight="1">
      <c r="A2295" s="1" t="s">
        <v>4615</v>
      </c>
      <c r="B2295" s="1" t="s">
        <v>4616</v>
      </c>
      <c r="C2295" s="2" t="s">
        <v>4617</v>
      </c>
      <c r="D2295" s="1" t="str">
        <f>IFERROR(__xludf.DUMMYFUNCTION("GOOGLETRANSLATE(A2295 , ""auto"", ""ar"")"),"تناول وجبة قبل شروق الشمس خلال رمضان")</f>
        <v>تناول وجبة قبل شروق الشمس خلال رمضان</v>
      </c>
    </row>
    <row r="2296" ht="15.75" customHeight="1">
      <c r="A2296" s="1" t="s">
        <v>4618</v>
      </c>
      <c r="B2296" s="1" t="s">
        <v>4619</v>
      </c>
      <c r="C2296" s="1"/>
      <c r="D2296" s="1" t="str">
        <f>IFERROR(__xludf.DUMMYFUNCTION("GOOGLETRANSLATE(A2296 , ""auto"", ""ar"")"),"معنى")</f>
        <v>معنى</v>
      </c>
    </row>
    <row r="2297" ht="15.75" customHeight="1">
      <c r="A2297" s="1" t="s">
        <v>4620</v>
      </c>
      <c r="B2297" s="1" t="s">
        <v>4621</v>
      </c>
      <c r="C2297" s="2" t="s">
        <v>4622</v>
      </c>
      <c r="D2297" s="1" t="str">
        <f>IFERROR(__xludf.DUMMYFUNCTION("GOOGLETRANSLATE(A2297 , ""auto"", ""ar"")"),"يقيس")</f>
        <v>يقيس</v>
      </c>
    </row>
    <row r="2298" ht="15.75" customHeight="1">
      <c r="A2298" s="1" t="s">
        <v>4620</v>
      </c>
      <c r="B2298" s="1" t="s">
        <v>4623</v>
      </c>
      <c r="C2298" s="2" t="s">
        <v>4624</v>
      </c>
      <c r="D2298" s="1" t="str">
        <f>IFERROR(__xludf.DUMMYFUNCTION("GOOGLETRANSLATE(A2298 , ""auto"", ""ar"")"),"يقيس")</f>
        <v>يقيس</v>
      </c>
    </row>
    <row r="2299" ht="15.75" customHeight="1">
      <c r="A2299" s="1" t="s">
        <v>4625</v>
      </c>
      <c r="B2299" s="1" t="s">
        <v>4626</v>
      </c>
      <c r="C2299" s="2" t="s">
        <v>4627</v>
      </c>
      <c r="D2299" s="1" t="str">
        <f>IFERROR(__xludf.DUMMYFUNCTION("GOOGLETRANSLATE(A2299 , ""auto"", ""ar"")"),"قياس")</f>
        <v>قياس</v>
      </c>
    </row>
    <row r="2300" ht="15.75" customHeight="1">
      <c r="A2300" s="1" t="s">
        <v>4625</v>
      </c>
      <c r="B2300" s="1" t="s">
        <v>4628</v>
      </c>
      <c r="C2300" s="2" t="s">
        <v>4629</v>
      </c>
      <c r="D2300" s="1" t="str">
        <f>IFERROR(__xludf.DUMMYFUNCTION("GOOGLETRANSLATE(A2300 , ""auto"", ""ar"")"),"قياس")</f>
        <v>قياس</v>
      </c>
    </row>
    <row r="2301" ht="15.75" customHeight="1">
      <c r="A2301" s="1" t="s">
        <v>4630</v>
      </c>
      <c r="B2301" s="1" t="s">
        <v>2792</v>
      </c>
      <c r="C2301" s="2" t="s">
        <v>2793</v>
      </c>
      <c r="D2301" s="1" t="str">
        <f>IFERROR(__xludf.DUMMYFUNCTION("GOOGLETRANSLATE(A2301 , ""auto"", ""ar"")"),"لحمة")</f>
        <v>لحمة</v>
      </c>
    </row>
    <row r="2302" ht="15.75" customHeight="1">
      <c r="A2302" s="1" t="s">
        <v>4631</v>
      </c>
      <c r="B2302" s="1" t="s">
        <v>4632</v>
      </c>
      <c r="C2302" s="2" t="s">
        <v>4633</v>
      </c>
      <c r="D2302" s="1" t="str">
        <f>IFERROR(__xludf.DUMMYFUNCTION("GOOGLETRANSLATE(A2302 , ""auto"", ""ar"")"),"ميكانيكي")</f>
        <v>ميكانيكي</v>
      </c>
    </row>
    <row r="2303" ht="15.75" customHeight="1">
      <c r="A2303" s="1" t="s">
        <v>4631</v>
      </c>
      <c r="B2303" s="1" t="s">
        <v>4634</v>
      </c>
      <c r="C2303" s="1"/>
      <c r="D2303" s="1" t="str">
        <f>IFERROR(__xludf.DUMMYFUNCTION("GOOGLETRANSLATE(A2303 , ""auto"", ""ar"")"),"ميكانيكي")</f>
        <v>ميكانيكي</v>
      </c>
    </row>
    <row r="2304" ht="15.75" customHeight="1">
      <c r="A2304" s="1" t="s">
        <v>4635</v>
      </c>
      <c r="B2304" s="1" t="s">
        <v>2518</v>
      </c>
      <c r="C2304" s="1"/>
      <c r="D2304" s="1" t="str">
        <f>IFERROR(__xludf.DUMMYFUNCTION("GOOGLETRANSLATE(A2304 , ""auto"", ""ar"")"),"الحفار الميكانيكي")</f>
        <v>الحفار الميكانيكي</v>
      </c>
    </row>
    <row r="2305" ht="15.75" customHeight="1">
      <c r="A2305" s="1" t="s">
        <v>4636</v>
      </c>
      <c r="B2305" s="1" t="s">
        <v>4637</v>
      </c>
      <c r="C2305" s="2" t="s">
        <v>4638</v>
      </c>
      <c r="D2305" s="1" t="str">
        <f>IFERROR(__xludf.DUMMYFUNCTION("GOOGLETRANSLATE(A2305 , ""auto"", ""ar"")"),"الدواء")</f>
        <v>الدواء</v>
      </c>
    </row>
    <row r="2306" ht="15.75" customHeight="1">
      <c r="A2306" s="1" t="s">
        <v>4639</v>
      </c>
      <c r="B2306" s="1" t="s">
        <v>460</v>
      </c>
      <c r="C2306" s="2" t="s">
        <v>461</v>
      </c>
      <c r="D2306" s="1" t="str">
        <f>IFERROR(__xludf.DUMMYFUNCTION("GOOGLETRANSLATE(A2306 , ""auto"", ""ar"")"),"واسطة")</f>
        <v>واسطة</v>
      </c>
    </row>
    <row r="2307" ht="15.75" customHeight="1">
      <c r="A2307" s="1" t="s">
        <v>4640</v>
      </c>
      <c r="B2307" s="1" t="s">
        <v>4641</v>
      </c>
      <c r="C2307" s="2" t="s">
        <v>4642</v>
      </c>
      <c r="D2307" s="1" t="str">
        <f>IFERROR(__xludf.DUMMYFUNCTION("GOOGLETRANSLATE(A2307 , ""auto"", ""ar"")"),"يقابل")</f>
        <v>يقابل</v>
      </c>
    </row>
    <row r="2308" ht="15.75" customHeight="1">
      <c r="A2308" s="1" t="s">
        <v>4643</v>
      </c>
      <c r="B2308" s="1" t="s">
        <v>4644</v>
      </c>
      <c r="C2308" s="2" t="s">
        <v>4645</v>
      </c>
      <c r="D2308" s="1" t="str">
        <f>IFERROR(__xludf.DUMMYFUNCTION("GOOGLETRANSLATE(A2308 , ""auto"", ""ar"")"),"مقابلة")</f>
        <v>مقابلة</v>
      </c>
    </row>
    <row r="2309" ht="15.75" customHeight="1">
      <c r="A2309" s="1" t="s">
        <v>4646</v>
      </c>
      <c r="B2309" s="1" t="s">
        <v>4647</v>
      </c>
      <c r="C2309" s="1"/>
      <c r="D2309" s="1" t="str">
        <f>IFERROR(__xludf.DUMMYFUNCTION("GOOGLETRANSLATE(A2309 , ""auto"", ""ar"")"),"شمام")</f>
        <v>شمام</v>
      </c>
    </row>
    <row r="2310" ht="15.75" customHeight="1">
      <c r="A2310" s="1" t="s">
        <v>4646</v>
      </c>
      <c r="B2310" s="1" t="s">
        <v>4648</v>
      </c>
      <c r="C2310" s="1"/>
      <c r="D2310" s="1" t="str">
        <f>IFERROR(__xludf.DUMMYFUNCTION("GOOGLETRANSLATE(A2310 , ""auto"", ""ar"")"),"شمام")</f>
        <v>شمام</v>
      </c>
    </row>
    <row r="2311" ht="15.75" customHeight="1">
      <c r="A2311" s="1" t="s">
        <v>4649</v>
      </c>
      <c r="B2311" s="1" t="s">
        <v>1978</v>
      </c>
      <c r="C2311" s="2" t="s">
        <v>1979</v>
      </c>
      <c r="D2311" s="1" t="str">
        <f>IFERROR(__xludf.DUMMYFUNCTION("GOOGLETRANSLATE(A2311 , ""auto"", ""ar"")"),"إنصهار")</f>
        <v>إنصهار</v>
      </c>
    </row>
    <row r="2312" ht="15.75" customHeight="1">
      <c r="A2312" s="1" t="s">
        <v>4649</v>
      </c>
      <c r="B2312" s="1" t="s">
        <v>1978</v>
      </c>
      <c r="C2312" s="2" t="s">
        <v>1979</v>
      </c>
      <c r="D2312" s="1" t="str">
        <f>IFERROR(__xludf.DUMMYFUNCTION("GOOGLETRANSLATE(A2312 , ""auto"", ""ar"")"),"إنصهار")</f>
        <v>إنصهار</v>
      </c>
    </row>
    <row r="2313" ht="15.75" customHeight="1">
      <c r="A2313" s="1" t="s">
        <v>4650</v>
      </c>
      <c r="B2313" s="1" t="s">
        <v>4651</v>
      </c>
      <c r="C2313" s="2" t="s">
        <v>4652</v>
      </c>
      <c r="D2313" s="1" t="str">
        <f>IFERROR(__xludf.DUMMYFUNCTION("GOOGLETRANSLATE(A2313 , ""auto"", ""ar"")"),"ذاب")</f>
        <v>ذاب</v>
      </c>
    </row>
    <row r="2314" ht="15.75" customHeight="1">
      <c r="A2314" s="1" t="s">
        <v>4653</v>
      </c>
      <c r="B2314" s="1" t="s">
        <v>4654</v>
      </c>
      <c r="C2314" s="2" t="s">
        <v>4655</v>
      </c>
      <c r="D2314" s="1" t="str">
        <f>IFERROR(__xludf.DUMMYFUNCTION("GOOGLETRANSLATE(A2314 , ""auto"", ""ar"")"),"ذاكرة")</f>
        <v>ذاكرة</v>
      </c>
    </row>
    <row r="2315" ht="15.75" customHeight="1">
      <c r="A2315" s="1" t="s">
        <v>4656</v>
      </c>
      <c r="B2315" s="1" t="s">
        <v>4657</v>
      </c>
      <c r="C2315" s="2" t="s">
        <v>4658</v>
      </c>
      <c r="D2315" s="1" t="str">
        <f>IFERROR(__xludf.DUMMYFUNCTION("GOOGLETRANSLATE(A2315 , ""auto"", ""ar"")"),"عقلية")</f>
        <v>عقلية</v>
      </c>
    </row>
    <row r="2316" ht="15.75" customHeight="1">
      <c r="A2316" s="1" t="s">
        <v>4659</v>
      </c>
      <c r="B2316" s="1" t="s">
        <v>4660</v>
      </c>
      <c r="C2316" s="2" t="s">
        <v>4661</v>
      </c>
      <c r="D2316" s="1" t="str">
        <f>IFERROR(__xludf.DUMMYFUNCTION("GOOGLETRANSLATE(A2316 , ""auto"", ""ar"")"),"قائمة طعام")</f>
        <v>قائمة طعام</v>
      </c>
    </row>
    <row r="2317" ht="15.75" customHeight="1">
      <c r="A2317" s="1" t="s">
        <v>4662</v>
      </c>
      <c r="B2317" s="1" t="s">
        <v>4663</v>
      </c>
      <c r="C2317" s="2" t="s">
        <v>4664</v>
      </c>
      <c r="D2317" s="1" t="str">
        <f>IFERROR(__xludf.DUMMYFUNCTION("GOOGLETRANSLATE(A2317 , ""auto"", ""ar"")"),"رحيم")</f>
        <v>رحيم</v>
      </c>
    </row>
    <row r="2318" ht="15.75" customHeight="1">
      <c r="A2318" s="1" t="s">
        <v>4665</v>
      </c>
      <c r="B2318" s="1" t="s">
        <v>4666</v>
      </c>
      <c r="C2318" s="2" t="s">
        <v>4667</v>
      </c>
      <c r="D2318" s="1" t="str">
        <f>IFERROR(__xludf.DUMMYFUNCTION("GOOGLETRANSLATE(A2318 , ""auto"", ""ar"")"),"رسالة")</f>
        <v>رسالة</v>
      </c>
    </row>
    <row r="2319" ht="15.75" customHeight="1">
      <c r="A2319" s="1" t="s">
        <v>4668</v>
      </c>
      <c r="B2319" s="1" t="s">
        <v>4669</v>
      </c>
      <c r="C2319" s="2" t="s">
        <v>4670</v>
      </c>
      <c r="D2319" s="1" t="str">
        <f>IFERROR(__xludf.DUMMYFUNCTION("GOOGLETRANSLATE(A2319 , ""auto"", ""ar"")"),"المسيح")</f>
        <v>المسيح</v>
      </c>
    </row>
    <row r="2320" ht="15.75" customHeight="1">
      <c r="A2320" s="1" t="s">
        <v>4671</v>
      </c>
      <c r="B2320" s="1" t="s">
        <v>748</v>
      </c>
      <c r="C2320" s="2" t="s">
        <v>749</v>
      </c>
      <c r="D2320" s="1" t="str">
        <f>IFERROR(__xludf.DUMMYFUNCTION("GOOGLETRANSLATE(A2320 , ""auto"", ""ar"")"),"فوضوي")</f>
        <v>فوضوي</v>
      </c>
    </row>
    <row r="2321" ht="15.75" customHeight="1">
      <c r="A2321" s="1" t="s">
        <v>4672</v>
      </c>
      <c r="B2321" s="1" t="s">
        <v>4673</v>
      </c>
      <c r="C2321" s="1"/>
      <c r="D2321" s="1" t="str">
        <f>IFERROR(__xludf.DUMMYFUNCTION("GOOGLETRANSLATE(A2321 , ""auto"", ""ar"")"),"معدن")</f>
        <v>معدن</v>
      </c>
    </row>
    <row r="2322" ht="15.75" customHeight="1">
      <c r="A2322" s="1" t="s">
        <v>4674</v>
      </c>
      <c r="B2322" s="1" t="s">
        <v>4675</v>
      </c>
      <c r="C2322" s="2" t="s">
        <v>4676</v>
      </c>
      <c r="D2322" s="1" t="str">
        <f>IFERROR(__xludf.DUMMYFUNCTION("GOOGLETRANSLATE(A2322 , ""auto"", ""ar"")"),"الأرصاد الجوية")</f>
        <v>الأرصاد الجوية</v>
      </c>
    </row>
    <row r="2323" ht="15.75" customHeight="1">
      <c r="A2323" s="1" t="s">
        <v>4677</v>
      </c>
      <c r="B2323" s="1" t="s">
        <v>4678</v>
      </c>
      <c r="C2323" s="2" t="s">
        <v>4679</v>
      </c>
      <c r="D2323" s="1" t="str">
        <f>IFERROR(__xludf.DUMMYFUNCTION("GOOGLETRANSLATE(A2323 , ""auto"", ""ar"")"),"متر")</f>
        <v>متر</v>
      </c>
    </row>
    <row r="2324" ht="15.75" customHeight="1">
      <c r="A2324" s="1" t="s">
        <v>4677</v>
      </c>
      <c r="B2324" s="1" t="s">
        <v>186</v>
      </c>
      <c r="C2324" s="2" t="s">
        <v>4680</v>
      </c>
      <c r="D2324" s="1" t="str">
        <f>IFERROR(__xludf.DUMMYFUNCTION("GOOGLETRANSLATE(A2324 , ""auto"", ""ar"")"),"متر")</f>
        <v>متر</v>
      </c>
    </row>
    <row r="2325" ht="15.75" customHeight="1">
      <c r="A2325" s="1" t="s">
        <v>4681</v>
      </c>
      <c r="B2325" s="1" t="s">
        <v>4682</v>
      </c>
      <c r="C2325" s="1"/>
      <c r="D2325" s="1" t="str">
        <f>IFERROR(__xludf.DUMMYFUNCTION("GOOGLETRANSLATE(A2325 , ""auto"", ""ar"")"),"طريقة")</f>
        <v>طريقة</v>
      </c>
    </row>
    <row r="2326" ht="15.75" customHeight="1">
      <c r="A2326" s="1" t="s">
        <v>4683</v>
      </c>
      <c r="B2326" s="1" t="s">
        <v>4684</v>
      </c>
      <c r="C2326" s="2" t="s">
        <v>4685</v>
      </c>
      <c r="D2326" s="1" t="str">
        <f>IFERROR(__xludf.DUMMYFUNCTION("GOOGLETRANSLATE(A2326 , ""auto"", ""ar"")"),"متر")</f>
        <v>متر</v>
      </c>
    </row>
    <row r="2327" ht="15.75" customHeight="1">
      <c r="A2327" s="1" t="s">
        <v>4683</v>
      </c>
      <c r="B2327" s="1" t="s">
        <v>4686</v>
      </c>
      <c r="C2327" s="1"/>
      <c r="D2327" s="1" t="str">
        <f>IFERROR(__xludf.DUMMYFUNCTION("GOOGLETRANSLATE(A2327 , ""auto"", ""ar"")"),"متر")</f>
        <v>متر</v>
      </c>
    </row>
    <row r="2328" ht="15.75" customHeight="1">
      <c r="A2328" s="1" t="s">
        <v>4687</v>
      </c>
      <c r="B2328" s="1" t="s">
        <v>4688</v>
      </c>
      <c r="C2328" s="2" t="s">
        <v>4689</v>
      </c>
      <c r="D2328" s="1" t="str">
        <f>IFERROR(__xludf.DUMMYFUNCTION("GOOGLETRANSLATE(A2328 , ""auto"", ""ar"")"),"ميكروفون")</f>
        <v>ميكروفون</v>
      </c>
    </row>
    <row r="2329" ht="15.75" customHeight="1">
      <c r="A2329" s="1" t="s">
        <v>4690</v>
      </c>
      <c r="B2329" s="1" t="s">
        <v>3054</v>
      </c>
      <c r="C2329" s="2" t="s">
        <v>3055</v>
      </c>
      <c r="D2329" s="1" t="str">
        <f>IFERROR(__xludf.DUMMYFUNCTION("GOOGLETRANSLATE(A2329 , ""auto"", ""ar"")"),"ميكروب")</f>
        <v>ميكروب</v>
      </c>
    </row>
    <row r="2330" ht="15.75" customHeight="1">
      <c r="A2330" s="1" t="s">
        <v>4691</v>
      </c>
      <c r="B2330" s="1" t="s">
        <v>4688</v>
      </c>
      <c r="C2330" s="1"/>
      <c r="D2330" s="1" t="str">
        <f>IFERROR(__xludf.DUMMYFUNCTION("GOOGLETRANSLATE(A2330 , ""auto"", ""ar"")"),"ميكروفون")</f>
        <v>ميكروفون</v>
      </c>
    </row>
    <row r="2331" ht="15.75" customHeight="1">
      <c r="A2331" s="1" t="s">
        <v>4692</v>
      </c>
      <c r="B2331" s="1" t="s">
        <v>4693</v>
      </c>
      <c r="C2331" s="2" t="s">
        <v>4694</v>
      </c>
      <c r="D2331" s="1" t="str">
        <f>IFERROR(__xludf.DUMMYFUNCTION("GOOGLETRANSLATE(A2331 , ""auto"", ""ar"")"),"الميكروويف")</f>
        <v>الميكروويف</v>
      </c>
    </row>
    <row r="2332" ht="15.75" customHeight="1">
      <c r="A2332" s="1" t="s">
        <v>4695</v>
      </c>
      <c r="B2332" s="1" t="s">
        <v>4693</v>
      </c>
      <c r="C2332" s="2" t="s">
        <v>4694</v>
      </c>
      <c r="D2332" s="1" t="str">
        <f>IFERROR(__xludf.DUMMYFUNCTION("GOOGLETRANSLATE(A2332 , ""auto"", ""ar"")"),"فرن المايكرويف")</f>
        <v>فرن المايكرويف</v>
      </c>
    </row>
    <row r="2333" ht="15.75" customHeight="1">
      <c r="A2333" s="1" t="s">
        <v>4696</v>
      </c>
      <c r="B2333" s="1" t="s">
        <v>4697</v>
      </c>
      <c r="C2333" s="2" t="s">
        <v>4698</v>
      </c>
      <c r="D2333" s="1" t="str">
        <f>IFERROR(__xludf.DUMMYFUNCTION("GOOGLETRANSLATE(A2333 , ""auto"", ""ar"")"),"واحد")</f>
        <v>واحد</v>
      </c>
    </row>
    <row r="2334" ht="15.75" customHeight="1">
      <c r="A2334" s="1" t="s">
        <v>4699</v>
      </c>
      <c r="B2334" s="1" t="s">
        <v>1302</v>
      </c>
      <c r="C2334" s="1"/>
      <c r="D2334" s="1" t="str">
        <f>IFERROR(__xludf.DUMMYFUNCTION("GOOGLETRANSLATE(A2334 , ""auto"", ""ar"")"),"وسط")</f>
        <v>وسط</v>
      </c>
    </row>
    <row r="2335" ht="15.75" customHeight="1">
      <c r="A2335" s="1" t="s">
        <v>4699</v>
      </c>
      <c r="B2335" s="1" t="s">
        <v>1303</v>
      </c>
      <c r="C2335" s="2" t="s">
        <v>1304</v>
      </c>
      <c r="D2335" s="1" t="str">
        <f>IFERROR(__xludf.DUMMYFUNCTION("GOOGLETRANSLATE(A2335 , ""auto"", ""ar"")"),"وسط")</f>
        <v>وسط</v>
      </c>
    </row>
    <row r="2336" ht="15.75" customHeight="1">
      <c r="A2336" s="1" t="s">
        <v>4700</v>
      </c>
      <c r="B2336" s="1" t="s">
        <v>4701</v>
      </c>
      <c r="C2336" s="1"/>
      <c r="D2336" s="1" t="str">
        <f>IFERROR(__xludf.DUMMYFUNCTION("GOOGLETRANSLATE(A2336 , ""auto"", ""ar"")"),"الطفل الأوسط")</f>
        <v>الطفل الأوسط</v>
      </c>
    </row>
    <row r="2337" ht="15.75" customHeight="1">
      <c r="A2337" s="1" t="s">
        <v>4702</v>
      </c>
      <c r="B2337" s="1" t="s">
        <v>3145</v>
      </c>
      <c r="C2337" s="1"/>
      <c r="D2337" s="1" t="str">
        <f>IFERROR(__xludf.DUMMYFUNCTION("GOOGLETRANSLATE(A2337 , ""auto"", ""ar"")"),"ميدج")</f>
        <v>ميدج</v>
      </c>
    </row>
    <row r="2338" ht="15.75" customHeight="1">
      <c r="A2338" s="1" t="s">
        <v>4703</v>
      </c>
      <c r="B2338" s="1" t="s">
        <v>4704</v>
      </c>
      <c r="C2338" s="1"/>
      <c r="D2338" s="1" t="str">
        <f>IFERROR(__xludf.DUMMYFUNCTION("GOOGLETRANSLATE(A2338 , ""auto"", ""ar"")"),"منتصف الليل")</f>
        <v>منتصف الليل</v>
      </c>
    </row>
    <row r="2339" ht="15.75" customHeight="1">
      <c r="A2339" s="1" t="s">
        <v>4705</v>
      </c>
      <c r="B2339" s="1" t="s">
        <v>4706</v>
      </c>
      <c r="C2339" s="2" t="s">
        <v>4707</v>
      </c>
      <c r="D2339" s="1" t="str">
        <f>IFERROR(__xludf.DUMMYFUNCTION("GOOGLETRANSLATE(A2339 , ""auto"", ""ar"")"),"قابلة")</f>
        <v>قابلة</v>
      </c>
    </row>
    <row r="2340" ht="15.75" customHeight="1">
      <c r="A2340" s="1" t="s">
        <v>4708</v>
      </c>
      <c r="B2340" s="1" t="s">
        <v>3660</v>
      </c>
      <c r="C2340" s="2" t="s">
        <v>4709</v>
      </c>
      <c r="D2340" s="1" t="str">
        <f>IFERROR(__xludf.DUMMYFUNCTION("GOOGLETRANSLATE(A2340 , ""auto"", ""ar"")"),"لبن")</f>
        <v>لبن</v>
      </c>
    </row>
    <row r="2341" ht="15.75" customHeight="1">
      <c r="A2341" s="1" t="s">
        <v>4710</v>
      </c>
      <c r="B2341" s="1" t="s">
        <v>4711</v>
      </c>
      <c r="C2341" s="1"/>
      <c r="D2341" s="1" t="str">
        <f>IFERROR(__xludf.DUMMYFUNCTION("GOOGLETRANSLATE(A2341 , ""auto"", ""ar"")"),"مطحنة")</f>
        <v>مطحنة</v>
      </c>
    </row>
    <row r="2342" ht="15.75" customHeight="1">
      <c r="A2342" s="1" t="s">
        <v>4712</v>
      </c>
      <c r="B2342" s="1" t="s">
        <v>4713</v>
      </c>
      <c r="C2342" s="2" t="s">
        <v>4714</v>
      </c>
      <c r="D2342" s="1" t="str">
        <f>IFERROR(__xludf.DUMMYFUNCTION("GOOGLETRANSLATE(A2342 , ""auto"", ""ar"")"),"مليون")</f>
        <v>مليون</v>
      </c>
    </row>
    <row r="2343" ht="15.75" customHeight="1">
      <c r="A2343" s="1" t="s">
        <v>4715</v>
      </c>
      <c r="B2343" s="1" t="s">
        <v>3318</v>
      </c>
      <c r="C2343" s="2" t="s">
        <v>3319</v>
      </c>
      <c r="D2343" s="1" t="str">
        <f>IFERROR(__xludf.DUMMYFUNCTION("GOOGLETRANSLATE(A2343 , ""auto"", ""ar"")"),"اللحم المفروم")</f>
        <v>اللحم المفروم</v>
      </c>
    </row>
    <row r="2344" ht="15.75" customHeight="1">
      <c r="A2344" s="1" t="s">
        <v>4716</v>
      </c>
      <c r="B2344" s="1" t="s">
        <v>4717</v>
      </c>
      <c r="C2344" s="2" t="s">
        <v>4718</v>
      </c>
      <c r="D2344" s="1" t="str">
        <f>IFERROR(__xludf.DUMMYFUNCTION("GOOGLETRANSLATE(A2344 , ""auto"", ""ar"")"),"عقل")</f>
        <v>عقل</v>
      </c>
    </row>
    <row r="2345" ht="15.75" customHeight="1">
      <c r="A2345" s="1" t="s">
        <v>4716</v>
      </c>
      <c r="B2345" s="1" t="s">
        <v>3446</v>
      </c>
      <c r="C2345" s="2" t="s">
        <v>3447</v>
      </c>
      <c r="D2345" s="1" t="str">
        <f>IFERROR(__xludf.DUMMYFUNCTION("GOOGLETRANSLATE(A2345 , ""auto"", ""ar"")"),"عقل")</f>
        <v>عقل</v>
      </c>
    </row>
    <row r="2346" ht="15.75" customHeight="1">
      <c r="A2346" s="1" t="s">
        <v>4719</v>
      </c>
      <c r="B2346" s="1" t="s">
        <v>4720</v>
      </c>
      <c r="C2346" s="2" t="s">
        <v>4721</v>
      </c>
      <c r="D2346" s="1" t="str">
        <f>IFERROR(__xludf.DUMMYFUNCTION("GOOGLETRANSLATE(A2346 , ""auto"", ""ar"")"),"وزير")</f>
        <v>وزير</v>
      </c>
    </row>
    <row r="2347" ht="15.75" customHeight="1">
      <c r="A2347" s="1" t="s">
        <v>4722</v>
      </c>
      <c r="B2347" s="1" t="s">
        <v>4723</v>
      </c>
      <c r="C2347" s="2" t="s">
        <v>4724</v>
      </c>
      <c r="D2347" s="1" t="str">
        <f>IFERROR(__xludf.DUMMYFUNCTION("GOOGLETRANSLATE(A2347 , ""auto"", ""ar"")"),"مثل")</f>
        <v>مثل</v>
      </c>
    </row>
    <row r="2348" ht="15.75" customHeight="1">
      <c r="A2348" s="1" t="s">
        <v>4725</v>
      </c>
      <c r="B2348" s="1" t="s">
        <v>4726</v>
      </c>
      <c r="C2348" s="2" t="s">
        <v>4727</v>
      </c>
      <c r="D2348" s="1" t="str">
        <f>IFERROR(__xludf.DUMMYFUNCTION("GOOGLETRANSLATE(A2348 , ""auto"", ""ar"")"),"ناقص")</f>
        <v>ناقص</v>
      </c>
    </row>
    <row r="2349" ht="15.75" customHeight="1">
      <c r="A2349" s="1" t="s">
        <v>4728</v>
      </c>
      <c r="B2349" s="1" t="s">
        <v>4729</v>
      </c>
      <c r="C2349" s="2" t="s">
        <v>4730</v>
      </c>
      <c r="D2349" s="1" t="str">
        <f>IFERROR(__xludf.DUMMYFUNCTION("GOOGLETRANSLATE(A2349 , ""auto"", ""ar"")"),"دقيقة")</f>
        <v>دقيقة</v>
      </c>
    </row>
    <row r="2350" ht="15.75" customHeight="1">
      <c r="A2350" s="1" t="s">
        <v>4731</v>
      </c>
      <c r="B2350" s="1" t="s">
        <v>4732</v>
      </c>
      <c r="C2350" s="2" t="s">
        <v>4733</v>
      </c>
      <c r="D2350" s="1" t="str">
        <f>IFERROR(__xludf.DUMMYFUNCTION("GOOGLETRANSLATE(A2350 , ""auto"", ""ar"")"),"معجزة")</f>
        <v>معجزة</v>
      </c>
    </row>
    <row r="2351" ht="15.75" customHeight="1">
      <c r="A2351" s="1" t="s">
        <v>4731</v>
      </c>
      <c r="B2351" s="1" t="s">
        <v>4734</v>
      </c>
      <c r="C2351" s="1"/>
      <c r="D2351" s="1" t="str">
        <f>IFERROR(__xludf.DUMMYFUNCTION("GOOGLETRANSLATE(A2351 , ""auto"", ""ar"")"),"معجزة")</f>
        <v>معجزة</v>
      </c>
    </row>
    <row r="2352" ht="15.75" customHeight="1">
      <c r="A2352" s="1" t="s">
        <v>4735</v>
      </c>
      <c r="B2352" s="1" t="s">
        <v>4736</v>
      </c>
      <c r="C2352" s="2" t="s">
        <v>4737</v>
      </c>
      <c r="D2352" s="1" t="str">
        <f>IFERROR(__xludf.DUMMYFUNCTION("GOOGLETRANSLATE(A2352 , ""auto"", ""ar"")"),"مرآة")</f>
        <v>مرآة</v>
      </c>
    </row>
    <row r="2353" ht="15.75" customHeight="1">
      <c r="A2353" s="1" t="s">
        <v>4738</v>
      </c>
      <c r="B2353" s="1" t="s">
        <v>4739</v>
      </c>
      <c r="C2353" s="2" t="s">
        <v>65</v>
      </c>
      <c r="D2353" s="1" t="str">
        <f>IFERROR(__xludf.DUMMYFUNCTION("GOOGLETRANSLATE(A2353 , ""auto"", ""ar"")"),"بخيل")</f>
        <v>بخيل</v>
      </c>
    </row>
    <row r="2354" ht="15.75" customHeight="1">
      <c r="A2354" s="1" t="s">
        <v>4740</v>
      </c>
      <c r="B2354" s="1" t="s">
        <v>4741</v>
      </c>
      <c r="C2354" s="2" t="s">
        <v>4742</v>
      </c>
      <c r="D2354" s="1" t="str">
        <f>IFERROR(__xludf.DUMMYFUNCTION("GOOGLETRANSLATE(A2354 , ""auto"", ""ar"")"),"يفتقد")</f>
        <v>يفتقد</v>
      </c>
    </row>
    <row r="2355" ht="15.75" customHeight="1">
      <c r="A2355" s="1" t="s">
        <v>4743</v>
      </c>
      <c r="B2355" s="1" t="s">
        <v>2460</v>
      </c>
      <c r="C2355" s="1"/>
      <c r="D2355" s="1" t="str">
        <f>IFERROR(__xludf.DUMMYFUNCTION("GOOGLETRANSLATE(A2355 , ""auto"", ""ar"")"),"خطأ")</f>
        <v>خطأ</v>
      </c>
    </row>
    <row r="2356" ht="15.75" customHeight="1">
      <c r="A2356" s="1" t="s">
        <v>4743</v>
      </c>
      <c r="B2356" s="1" t="s">
        <v>2461</v>
      </c>
      <c r="C2356" s="1"/>
      <c r="D2356" s="1" t="str">
        <f>IFERROR(__xludf.DUMMYFUNCTION("GOOGLETRANSLATE(A2356 , ""auto"", ""ar"")"),"خطأ")</f>
        <v>خطأ</v>
      </c>
    </row>
    <row r="2357" ht="15.75" customHeight="1">
      <c r="A2357" s="1" t="s">
        <v>4743</v>
      </c>
      <c r="B2357" s="1" t="s">
        <v>2462</v>
      </c>
      <c r="C2357" s="1"/>
      <c r="D2357" s="1" t="str">
        <f>IFERROR(__xludf.DUMMYFUNCTION("GOOGLETRANSLATE(A2357 , ""auto"", ""ar"")"),"خطأ")</f>
        <v>خطأ</v>
      </c>
    </row>
    <row r="2358" ht="15.75" customHeight="1">
      <c r="A2358" s="1" t="s">
        <v>4744</v>
      </c>
      <c r="B2358" s="1" t="s">
        <v>4745</v>
      </c>
      <c r="C2358" s="2" t="s">
        <v>4746</v>
      </c>
      <c r="D2358" s="1" t="str">
        <f>IFERROR(__xludf.DUMMYFUNCTION("GOOGLETRANSLATE(A2358 , ""auto"", ""ar"")"),"مزج")</f>
        <v>مزج</v>
      </c>
    </row>
    <row r="2359" ht="15.75" customHeight="1">
      <c r="A2359" s="1" t="s">
        <v>4744</v>
      </c>
      <c r="B2359" s="1" t="s">
        <v>3508</v>
      </c>
      <c r="C2359" s="2" t="s">
        <v>3509</v>
      </c>
      <c r="D2359" s="1" t="str">
        <f>IFERROR(__xludf.DUMMYFUNCTION("GOOGLETRANSLATE(A2359 , ""auto"", ""ar"")"),"مزج")</f>
        <v>مزج</v>
      </c>
    </row>
    <row r="2360" ht="15.75" customHeight="1">
      <c r="A2360" s="1" t="s">
        <v>4747</v>
      </c>
      <c r="B2360" s="1" t="s">
        <v>4748</v>
      </c>
      <c r="C2360" s="2" t="s">
        <v>4749</v>
      </c>
      <c r="D2360" s="1" t="str">
        <f>IFERROR(__xludf.DUMMYFUNCTION("GOOGLETRANSLATE(A2360 , ""auto"", ""ar"")"),"مختلط")</f>
        <v>مختلط</v>
      </c>
    </row>
    <row r="2361" ht="15.75" customHeight="1">
      <c r="A2361" s="1" t="s">
        <v>4750</v>
      </c>
      <c r="B2361" s="1" t="s">
        <v>4751</v>
      </c>
      <c r="C2361" s="2" t="s">
        <v>4752</v>
      </c>
      <c r="D2361" s="1" t="str">
        <f>IFERROR(__xludf.DUMMYFUNCTION("GOOGLETRANSLATE(A2361 , ""auto"", ""ar"")"),"خليط")</f>
        <v>خليط</v>
      </c>
    </row>
    <row r="2362" ht="15.75" customHeight="1">
      <c r="A2362" s="1" t="s">
        <v>4753</v>
      </c>
      <c r="B2362" s="1" t="s">
        <v>1292</v>
      </c>
      <c r="C2362" s="2" t="s">
        <v>1293</v>
      </c>
      <c r="D2362" s="1" t="str">
        <f>IFERROR(__xludf.DUMMYFUNCTION("GOOGLETRANSLATE(A2362 , ""auto"", ""ar"")"),"تليفون محمول")</f>
        <v>تليفون محمول</v>
      </c>
    </row>
    <row r="2363" ht="15.75" customHeight="1">
      <c r="A2363" s="1" t="s">
        <v>4753</v>
      </c>
      <c r="B2363" s="1" t="s">
        <v>1294</v>
      </c>
      <c r="C2363" s="2" t="s">
        <v>1295</v>
      </c>
      <c r="D2363" s="1" t="str">
        <f>IFERROR(__xludf.DUMMYFUNCTION("GOOGLETRANSLATE(A2363 , ""auto"", ""ar"")"),"تليفون محمول")</f>
        <v>تليفون محمول</v>
      </c>
    </row>
    <row r="2364" ht="15.75" customHeight="1">
      <c r="A2364" s="1" t="s">
        <v>4754</v>
      </c>
      <c r="B2364" s="1" t="s">
        <v>4755</v>
      </c>
      <c r="C2364" s="2" t="s">
        <v>4756</v>
      </c>
      <c r="D2364" s="1" t="str">
        <f>IFERROR(__xludf.DUMMYFUNCTION("GOOGLETRANSLATE(A2364 , ""auto"", ""ar"")"),"حديث")</f>
        <v>حديث</v>
      </c>
    </row>
    <row r="2365" ht="15.75" customHeight="1">
      <c r="A2365" s="1" t="s">
        <v>4754</v>
      </c>
      <c r="B2365" s="1" t="s">
        <v>4757</v>
      </c>
      <c r="C2365" s="2" t="s">
        <v>65</v>
      </c>
      <c r="D2365" s="1" t="str">
        <f>IFERROR(__xludf.DUMMYFUNCTION("GOOGLETRANSLATE(A2365 , ""auto"", ""ar"")"),"حديث")</f>
        <v>حديث</v>
      </c>
    </row>
    <row r="2366" ht="15.75" customHeight="1">
      <c r="A2366" s="1" t="s">
        <v>4758</v>
      </c>
      <c r="B2366" s="1" t="s">
        <v>1456</v>
      </c>
      <c r="C2366" s="2" t="s">
        <v>1457</v>
      </c>
      <c r="D2366" s="1" t="str">
        <f>IFERROR(__xludf.DUMMYFUNCTION("GOOGLETRANSLATE(A2366 , ""auto"", ""ar"")"),"العربية المعيارية الحديثة")</f>
        <v>العربية المعيارية الحديثة</v>
      </c>
    </row>
    <row r="2367" ht="15.75" customHeight="1">
      <c r="A2367" s="1" t="s">
        <v>4759</v>
      </c>
      <c r="B2367" s="1" t="s">
        <v>4760</v>
      </c>
      <c r="C2367" s="2" t="s">
        <v>65</v>
      </c>
      <c r="D2367" s="1" t="str">
        <f>IFERROR(__xludf.DUMMYFUNCTION("GOOGLETRANSLATE(A2367 , ""auto"", ""ar"")"),"محتشم")</f>
        <v>محتشم</v>
      </c>
    </row>
    <row r="2368" ht="15.75" customHeight="1">
      <c r="A2368" s="1" t="s">
        <v>4761</v>
      </c>
      <c r="B2368" s="1" t="s">
        <v>1162</v>
      </c>
      <c r="C2368" s="2" t="s">
        <v>4762</v>
      </c>
      <c r="D2368" s="1" t="str">
        <f>IFERROR(__xludf.DUMMYFUNCTION("GOOGLETRANSLATE(A2368 , ""auto"", ""ar"")"),"قالب")</f>
        <v>قالب</v>
      </c>
    </row>
    <row r="2369" ht="15.75" customHeight="1">
      <c r="A2369" s="1" t="s">
        <v>4763</v>
      </c>
      <c r="B2369" s="1" t="s">
        <v>4764</v>
      </c>
      <c r="C2369" s="1"/>
      <c r="D2369" s="1" t="str">
        <f>IFERROR(__xludf.DUMMYFUNCTION("GOOGLETRANSLATE(A2369 , ""auto"", ""ar"")"),"أم")</f>
        <v>أم</v>
      </c>
    </row>
    <row r="2370" ht="15.75" customHeight="1">
      <c r="A2370" s="1" t="s">
        <v>4763</v>
      </c>
      <c r="B2370" s="1" t="s">
        <v>4765</v>
      </c>
      <c r="C2370" s="1"/>
      <c r="D2370" s="1" t="str">
        <f>IFERROR(__xludf.DUMMYFUNCTION("GOOGLETRANSLATE(A2370 , ""auto"", ""ar"")"),"أم")</f>
        <v>أم</v>
      </c>
    </row>
    <row r="2371" ht="15.75" customHeight="1">
      <c r="A2371" s="1" t="s">
        <v>4766</v>
      </c>
      <c r="B2371" s="1" t="s">
        <v>4767</v>
      </c>
      <c r="C2371" s="1"/>
      <c r="D2371" s="1" t="str">
        <f>IFERROR(__xludf.DUMMYFUNCTION("GOOGLETRANSLATE(A2371 , ""auto"", ""ar"")"),"الاثنين")</f>
        <v>الاثنين</v>
      </c>
    </row>
    <row r="2372" ht="15.75" customHeight="1">
      <c r="A2372" s="1" t="s">
        <v>4768</v>
      </c>
      <c r="B2372" s="1" t="s">
        <v>4769</v>
      </c>
      <c r="C2372" s="2" t="s">
        <v>4770</v>
      </c>
      <c r="D2372" s="1" t="str">
        <f>IFERROR(__xludf.DUMMYFUNCTION("GOOGLETRANSLATE(A2372 , ""auto"", ""ar"")"),"مال")</f>
        <v>مال</v>
      </c>
    </row>
    <row r="2373" ht="15.75" customHeight="1">
      <c r="A2373" s="1" t="s">
        <v>4771</v>
      </c>
      <c r="B2373" s="1" t="s">
        <v>4772</v>
      </c>
      <c r="C2373" s="2" t="s">
        <v>4773</v>
      </c>
      <c r="D2373" s="1" t="str">
        <f>IFERROR(__xludf.DUMMYFUNCTION("GOOGLETRANSLATE(A2373 , ""auto"", ""ar"")"),"قرد")</f>
        <v>قرد</v>
      </c>
    </row>
    <row r="2374" ht="15.75" customHeight="1">
      <c r="A2374" s="1" t="s">
        <v>4774</v>
      </c>
      <c r="B2374" s="1" t="s">
        <v>4775</v>
      </c>
      <c r="C2374" s="2" t="s">
        <v>4776</v>
      </c>
      <c r="D2374" s="1" t="str">
        <f>IFERROR(__xludf.DUMMYFUNCTION("GOOGLETRANSLATE(A2374 , ""auto"", ""ar"")"),"شهر")</f>
        <v>شهر</v>
      </c>
    </row>
    <row r="2375" ht="15.75" customHeight="1">
      <c r="A2375" s="1" t="s">
        <v>4777</v>
      </c>
      <c r="B2375" s="1" t="s">
        <v>4778</v>
      </c>
      <c r="C2375" s="2" t="s">
        <v>4779</v>
      </c>
      <c r="D2375" s="1" t="str">
        <f>IFERROR(__xludf.DUMMYFUNCTION("GOOGLETRANSLATE(A2375 , ""auto"", ""ar"")"),"شهريا")</f>
        <v>شهريا</v>
      </c>
    </row>
    <row r="2376" ht="15.75" customHeight="1">
      <c r="A2376" s="1" t="s">
        <v>4780</v>
      </c>
      <c r="B2376" s="1" t="s">
        <v>4781</v>
      </c>
      <c r="C2376" s="1"/>
      <c r="D2376" s="1" t="str">
        <f>IFERROR(__xludf.DUMMYFUNCTION("GOOGLETRANSLATE(A2376 , ""auto"", ""ar"")"),"مزاج")</f>
        <v>مزاج</v>
      </c>
    </row>
    <row r="2377" ht="15.75" customHeight="1">
      <c r="A2377" s="1" t="s">
        <v>4782</v>
      </c>
      <c r="B2377" s="1" t="s">
        <v>4783</v>
      </c>
      <c r="C2377" s="2" t="s">
        <v>4784</v>
      </c>
      <c r="D2377" s="1" t="str">
        <f>IFERROR(__xludf.DUMMYFUNCTION("GOOGLETRANSLATE(A2377 , ""auto"", ""ar"")"),"قمر")</f>
        <v>قمر</v>
      </c>
    </row>
    <row r="2378" ht="15.75" customHeight="1">
      <c r="A2378" s="1" t="s">
        <v>4782</v>
      </c>
      <c r="B2378" s="1" t="s">
        <v>4785</v>
      </c>
      <c r="C2378" s="1"/>
      <c r="D2378" s="1" t="str">
        <f>IFERROR(__xludf.DUMMYFUNCTION("GOOGLETRANSLATE(A2378 , ""auto"", ""ar"")"),"قمر")</f>
        <v>قمر</v>
      </c>
    </row>
    <row r="2379" ht="15.75" customHeight="1">
      <c r="A2379" s="1" t="s">
        <v>4786</v>
      </c>
      <c r="B2379" s="1" t="s">
        <v>4787</v>
      </c>
      <c r="C2379" s="1"/>
      <c r="D2379" s="1" t="str">
        <f>IFERROR(__xludf.DUMMYFUNCTION("GOOGLETRANSLATE(A2379 , ""auto"", ""ar"")"),"أكثر")</f>
        <v>أكثر</v>
      </c>
    </row>
    <row r="2380" ht="15.75" customHeight="1">
      <c r="A2380" s="1" t="s">
        <v>4786</v>
      </c>
      <c r="B2380" s="1" t="s">
        <v>79</v>
      </c>
      <c r="C2380" s="2" t="s">
        <v>80</v>
      </c>
      <c r="D2380" s="1" t="str">
        <f>IFERROR(__xludf.DUMMYFUNCTION("GOOGLETRANSLATE(A2380 , ""auto"", ""ar"")"),"أكثر")</f>
        <v>أكثر</v>
      </c>
    </row>
    <row r="2381" ht="15.75" customHeight="1">
      <c r="A2381" s="1" t="s">
        <v>4788</v>
      </c>
      <c r="B2381" s="1" t="s">
        <v>4789</v>
      </c>
      <c r="C2381" s="2" t="s">
        <v>4790</v>
      </c>
      <c r="D2381" s="1" t="str">
        <f>IFERROR(__xludf.DUMMYFUNCTION("GOOGLETRANSLATE(A2381 , ""auto"", ""ar"")"),"أغلى")</f>
        <v>أغلى</v>
      </c>
    </row>
    <row r="2382" ht="15.75" customHeight="1">
      <c r="A2382" s="1" t="s">
        <v>4791</v>
      </c>
      <c r="B2382" s="1" t="s">
        <v>4792</v>
      </c>
      <c r="C2382" s="2" t="s">
        <v>4793</v>
      </c>
      <c r="D2382" s="1" t="str">
        <f>IFERROR(__xludf.DUMMYFUNCTION("GOOGLETRANSLATE(A2382 , ""auto"", ""ar"")"),"صباح")</f>
        <v>صباح</v>
      </c>
    </row>
    <row r="2383" ht="15.75" customHeight="1">
      <c r="A2383" s="1" t="s">
        <v>4794</v>
      </c>
      <c r="B2383" s="1" t="s">
        <v>4795</v>
      </c>
      <c r="C2383" s="2" t="s">
        <v>4796</v>
      </c>
      <c r="D2383" s="1" t="str">
        <f>IFERROR(__xludf.DUMMYFUNCTION("GOOGLETRANSLATE(A2383 , ""auto"", ""ar"")"),"حفل الصباح")</f>
        <v>حفل الصباح</v>
      </c>
    </row>
    <row r="2384" ht="15.75" customHeight="1">
      <c r="A2384" s="1" t="s">
        <v>4797</v>
      </c>
      <c r="B2384" s="1" t="s">
        <v>4798</v>
      </c>
      <c r="C2384" s="2" t="s">
        <v>4799</v>
      </c>
      <c r="D2384" s="1" t="str">
        <f>IFERROR(__xludf.DUMMYFUNCTION("GOOGLETRANSLATE(A2384 , ""auto"", ""ar"")"),"المغربية")</f>
        <v>المغربية</v>
      </c>
    </row>
    <row r="2385" ht="15.75" customHeight="1">
      <c r="A2385" s="1" t="s">
        <v>4800</v>
      </c>
      <c r="B2385" s="1" t="s">
        <v>4801</v>
      </c>
      <c r="C2385" s="2" t="s">
        <v>4802</v>
      </c>
      <c r="D2385" s="1" t="str">
        <f>IFERROR(__xludf.DUMMYFUNCTION("GOOGLETRANSLATE(A2385 , ""auto"", ""ar"")"),"المغربية العربية")</f>
        <v>المغربية العربية</v>
      </c>
    </row>
    <row r="2386" ht="15.75" customHeight="1">
      <c r="A2386" s="1" t="s">
        <v>4803</v>
      </c>
      <c r="B2386" s="1" t="s">
        <v>4804</v>
      </c>
      <c r="C2386" s="2" t="s">
        <v>4805</v>
      </c>
      <c r="D2386" s="1" t="str">
        <f>IFERROR(__xludf.DUMMYFUNCTION("GOOGLETRANSLATE(A2386 , ""auto"", ""ar"")"),"المغرب")</f>
        <v>المغرب</v>
      </c>
    </row>
    <row r="2387" ht="15.75" customHeight="1">
      <c r="A2387" s="1" t="s">
        <v>4806</v>
      </c>
      <c r="B2387" s="1" t="s">
        <v>4807</v>
      </c>
      <c r="C2387" s="2" t="s">
        <v>4808</v>
      </c>
      <c r="D2387" s="1" t="str">
        <f>IFERROR(__xludf.DUMMYFUNCTION("GOOGLETRANSLATE(A2387 , ""auto"", ""ar"")"),"مسجد")</f>
        <v>مسجد</v>
      </c>
    </row>
    <row r="2388" ht="15.75" customHeight="1">
      <c r="A2388" s="1" t="s">
        <v>4809</v>
      </c>
      <c r="B2388" s="1" t="s">
        <v>4810</v>
      </c>
      <c r="C2388" s="2" t="s">
        <v>4811</v>
      </c>
      <c r="D2388" s="1" t="str">
        <f>IFERROR(__xludf.DUMMYFUNCTION("GOOGLETRANSLATE(A2388 , ""auto"", ""ar"")"),"البعوض")</f>
        <v>البعوض</v>
      </c>
    </row>
    <row r="2389" ht="15.75" customHeight="1">
      <c r="A2389" s="1" t="s">
        <v>4812</v>
      </c>
      <c r="B2389" s="1" t="s">
        <v>4813</v>
      </c>
      <c r="C2389" s="2" t="s">
        <v>4814</v>
      </c>
      <c r="D2389" s="1" t="str">
        <f>IFERROR(__xludf.DUMMYFUNCTION("GOOGLETRANSLATE(A2389 , ""auto"", ""ar"")"),"الأم")</f>
        <v>الأم</v>
      </c>
    </row>
    <row r="2390" ht="15.75" customHeight="1">
      <c r="A2390" s="1" t="s">
        <v>4812</v>
      </c>
      <c r="B2390" s="1" t="s">
        <v>4815</v>
      </c>
      <c r="C2390" s="2" t="s">
        <v>4816</v>
      </c>
      <c r="D2390" s="1" t="str">
        <f>IFERROR(__xludf.DUMMYFUNCTION("GOOGLETRANSLATE(A2390 , ""auto"", ""ar"")"),"الأم")</f>
        <v>الأم</v>
      </c>
    </row>
    <row r="2391" ht="15.75" customHeight="1">
      <c r="A2391" s="1" t="s">
        <v>4812</v>
      </c>
      <c r="B2391" s="1" t="s">
        <v>4817</v>
      </c>
      <c r="C2391" s="1"/>
      <c r="D2391" s="1" t="str">
        <f>IFERROR(__xludf.DUMMYFUNCTION("GOOGLETRANSLATE(A2391 , ""auto"", ""ar"")"),"الأم")</f>
        <v>الأم</v>
      </c>
    </row>
    <row r="2392" ht="15.75" customHeight="1">
      <c r="A2392" s="1" t="s">
        <v>4818</v>
      </c>
      <c r="B2392" s="1" t="s">
        <v>4819</v>
      </c>
      <c r="C2392" s="1"/>
      <c r="D2392" s="1" t="str">
        <f>IFERROR(__xludf.DUMMYFUNCTION("GOOGLETRANSLATE(A2392 , ""auto"", ""ar"")"),"حماة "" أم الزوج أو أم الزوجة")</f>
        <v>حماة " أم الزوج أو أم الزوجة</v>
      </c>
    </row>
    <row r="2393" ht="15.75" customHeight="1">
      <c r="A2393" s="1" t="s">
        <v>4818</v>
      </c>
      <c r="B2393" s="1" t="s">
        <v>4820</v>
      </c>
      <c r="C2393" s="2" t="s">
        <v>4821</v>
      </c>
      <c r="D2393" s="1" t="str">
        <f>IFERROR(__xludf.DUMMYFUNCTION("GOOGLETRANSLATE(A2393 , ""auto"", ""ar"")"),"حماة "" أم الزوج أو أم الزوجة")</f>
        <v>حماة " أم الزوج أو أم الزوجة</v>
      </c>
    </row>
    <row r="2394" ht="15.75" customHeight="1">
      <c r="A2394" s="1" t="s">
        <v>4822</v>
      </c>
      <c r="B2394" s="1" t="s">
        <v>4823</v>
      </c>
      <c r="C2394" s="2" t="s">
        <v>4824</v>
      </c>
      <c r="D2394" s="1" t="str">
        <f>IFERROR(__xludf.DUMMYFUNCTION("GOOGLETRANSLATE(A2394 , ""auto"", ""ar"")"),"دراجات نارية")</f>
        <v>دراجات نارية</v>
      </c>
    </row>
    <row r="2395" ht="15.75" customHeight="1">
      <c r="A2395" s="1" t="s">
        <v>4825</v>
      </c>
      <c r="B2395" s="1" t="s">
        <v>1162</v>
      </c>
      <c r="C2395" s="2" t="s">
        <v>4762</v>
      </c>
      <c r="D2395" s="1" t="str">
        <f>IFERROR(__xludf.DUMMYFUNCTION("GOOGLETRANSLATE(A2395 , ""auto"", ""ar"")"),"قالب")</f>
        <v>قالب</v>
      </c>
    </row>
    <row r="2396" ht="15.75" customHeight="1">
      <c r="A2396" s="1" t="s">
        <v>4826</v>
      </c>
      <c r="B2396" s="1" t="s">
        <v>4827</v>
      </c>
      <c r="C2396" s="2" t="s">
        <v>4828</v>
      </c>
      <c r="D2396" s="1" t="str">
        <f>IFERROR(__xludf.DUMMYFUNCTION("GOOGLETRANSLATE(A2396 , ""auto"", ""ar"")"),"جبل")</f>
        <v>جبل</v>
      </c>
    </row>
    <row r="2397" ht="15.75" customHeight="1">
      <c r="A2397" s="1" t="s">
        <v>4829</v>
      </c>
      <c r="B2397" s="1" t="s">
        <v>4830</v>
      </c>
      <c r="C2397" s="2" t="s">
        <v>4831</v>
      </c>
      <c r="D2397" s="1" t="str">
        <f>IFERROR(__xludf.DUMMYFUNCTION("GOOGLETRANSLATE(A2397 , ""auto"", ""ar"")"),"الفأر")</f>
        <v>الفأر</v>
      </c>
    </row>
    <row r="2398" ht="15.75" customHeight="1">
      <c r="A2398" s="1" t="s">
        <v>4832</v>
      </c>
      <c r="B2398" s="1" t="s">
        <v>4833</v>
      </c>
      <c r="C2398" s="2" t="s">
        <v>4834</v>
      </c>
      <c r="D2398" s="1" t="str">
        <f>IFERROR(__xludf.DUMMYFUNCTION("GOOGLETRANSLATE(A2398 , ""auto"", ""ar"")"),"شارب")</f>
        <v>شارب</v>
      </c>
    </row>
    <row r="2399" ht="15.75" customHeight="1">
      <c r="A2399" s="1" t="s">
        <v>4835</v>
      </c>
      <c r="B2399" s="1" t="s">
        <v>4836</v>
      </c>
      <c r="C2399" s="2" t="s">
        <v>4837</v>
      </c>
      <c r="D2399" s="1" t="str">
        <f>IFERROR(__xludf.DUMMYFUNCTION("GOOGLETRANSLATE(A2399 , ""auto"", ""ar"")"),"فم")</f>
        <v>فم</v>
      </c>
    </row>
    <row r="2400" ht="15.75" customHeight="1">
      <c r="A2400" s="1" t="s">
        <v>4838</v>
      </c>
      <c r="B2400" s="1" t="s">
        <v>4839</v>
      </c>
      <c r="C2400" s="2" t="s">
        <v>4840</v>
      </c>
      <c r="D2400" s="1" t="str">
        <f>IFERROR(__xludf.DUMMYFUNCTION("GOOGLETRANSLATE(A2400 , ""auto"", ""ar"")"),"يتحرك")</f>
        <v>يتحرك</v>
      </c>
    </row>
    <row r="2401" ht="15.75" customHeight="1">
      <c r="A2401" s="1" t="s">
        <v>4838</v>
      </c>
      <c r="B2401" s="1" t="s">
        <v>4841</v>
      </c>
      <c r="C2401" s="2" t="s">
        <v>4842</v>
      </c>
      <c r="D2401" s="1" t="str">
        <f>IFERROR(__xludf.DUMMYFUNCTION("GOOGLETRANSLATE(A2401 , ""auto"", ""ar"")"),"يتحرك")</f>
        <v>يتحرك</v>
      </c>
    </row>
    <row r="2402" ht="15.75" customHeight="1">
      <c r="A2402" s="1" t="s">
        <v>4838</v>
      </c>
      <c r="B2402" s="1" t="s">
        <v>4843</v>
      </c>
      <c r="C2402" s="2" t="s">
        <v>4844</v>
      </c>
      <c r="D2402" s="1" t="str">
        <f>IFERROR(__xludf.DUMMYFUNCTION("GOOGLETRANSLATE(A2402 , ""auto"", ""ar"")"),"يتحرك")</f>
        <v>يتحرك</v>
      </c>
    </row>
    <row r="2403" ht="15.75" customHeight="1">
      <c r="A2403" s="1" t="s">
        <v>4838</v>
      </c>
      <c r="B2403" s="1" t="s">
        <v>4845</v>
      </c>
      <c r="C2403" s="2" t="s">
        <v>4846</v>
      </c>
      <c r="D2403" s="1" t="str">
        <f>IFERROR(__xludf.DUMMYFUNCTION("GOOGLETRANSLATE(A2403 , ""auto"", ""ar"")"),"يتحرك")</f>
        <v>يتحرك</v>
      </c>
    </row>
    <row r="2404" ht="15.75" customHeight="1">
      <c r="A2404" s="1" t="s">
        <v>4847</v>
      </c>
      <c r="B2404" s="1" t="s">
        <v>4848</v>
      </c>
      <c r="C2404" s="2" t="s">
        <v>4849</v>
      </c>
      <c r="D2404" s="1" t="str">
        <f>IFERROR(__xludf.DUMMYFUNCTION("GOOGLETRANSLATE(A2404 , ""auto"", ""ar"")"),"تحرك المنزل")</f>
        <v>تحرك المنزل</v>
      </c>
    </row>
    <row r="2405" ht="15.75" customHeight="1">
      <c r="A2405" s="1" t="s">
        <v>4850</v>
      </c>
      <c r="B2405" s="1" t="s">
        <v>2711</v>
      </c>
      <c r="C2405" s="2" t="s">
        <v>2712</v>
      </c>
      <c r="D2405" s="1" t="str">
        <f>IFERROR(__xludf.DUMMYFUNCTION("GOOGLETRANSLATE(A2405 , ""auto"", ""ar"")"),"فيلم")</f>
        <v>فيلم</v>
      </c>
    </row>
    <row r="2406" ht="15.75" customHeight="1">
      <c r="A2406" s="1" t="s">
        <v>4851</v>
      </c>
      <c r="B2406" s="1" t="s">
        <v>4852</v>
      </c>
      <c r="C2406" s="1"/>
      <c r="D2406" s="1" t="str">
        <f>IFERROR(__xludf.DUMMYFUNCTION("GOOGLETRANSLATE(A2406 , ""auto"", ""ar"")"),"السيد")</f>
        <v>السيد</v>
      </c>
    </row>
    <row r="2407" ht="15.75" customHeight="1">
      <c r="A2407" s="1" t="s">
        <v>4853</v>
      </c>
      <c r="B2407" s="1" t="s">
        <v>4854</v>
      </c>
      <c r="C2407" s="1"/>
      <c r="D2407" s="1" t="str">
        <f>IFERROR(__xludf.DUMMYFUNCTION("GOOGLETRANSLATE(A2407 , ""auto"", ""ar"")"),"السّيدة")</f>
        <v>السّيدة</v>
      </c>
    </row>
    <row r="2408" ht="15.75" customHeight="1">
      <c r="A2408" s="1" t="s">
        <v>4855</v>
      </c>
      <c r="B2408" s="1" t="s">
        <v>4856</v>
      </c>
      <c r="C2408" s="2" t="s">
        <v>4857</v>
      </c>
      <c r="D2408" s="1" t="str">
        <f>IFERROR(__xludf.DUMMYFUNCTION("GOOGLETRANSLATE(A2408 , ""auto"", ""ar"")"),"طين")</f>
        <v>طين</v>
      </c>
    </row>
    <row r="2409" ht="15.75" customHeight="1">
      <c r="A2409" s="1" t="s">
        <v>4858</v>
      </c>
      <c r="B2409" s="1" t="s">
        <v>4859</v>
      </c>
      <c r="C2409" s="2" t="s">
        <v>4860</v>
      </c>
      <c r="D2409" s="1" t="str">
        <f>IFERROR(__xludf.DUMMYFUNCTION("GOOGLETRANSLATE(A2409 , ""auto"", ""ar"")"),"موحلة")</f>
        <v>موحلة</v>
      </c>
    </row>
    <row r="2410" ht="15.75" customHeight="1">
      <c r="A2410" s="1" t="s">
        <v>4861</v>
      </c>
      <c r="B2410" s="1" t="s">
        <v>1851</v>
      </c>
      <c r="C2410" s="2" t="s">
        <v>1852</v>
      </c>
      <c r="D2410" s="1" t="str">
        <f>IFERROR(__xludf.DUMMYFUNCTION("GOOGLETRANSLATE(A2410 , ""auto"", ""ar"")"),"قدح")</f>
        <v>قدح</v>
      </c>
    </row>
    <row r="2411" ht="15.75" customHeight="1">
      <c r="A2411" s="1" t="s">
        <v>4861</v>
      </c>
      <c r="B2411" s="1" t="s">
        <v>549</v>
      </c>
      <c r="C2411" s="2" t="s">
        <v>550</v>
      </c>
      <c r="D2411" s="1" t="str">
        <f>IFERROR(__xludf.DUMMYFUNCTION("GOOGLETRANSLATE(A2411 , ""auto"", ""ar"")"),"قدح")</f>
        <v>قدح</v>
      </c>
    </row>
    <row r="2412" ht="15.75" customHeight="1">
      <c r="A2412" s="1" t="s">
        <v>4861</v>
      </c>
      <c r="B2412" s="1" t="s">
        <v>4028</v>
      </c>
      <c r="C2412" s="2" t="s">
        <v>4029</v>
      </c>
      <c r="D2412" s="1" t="str">
        <f>IFERROR(__xludf.DUMMYFUNCTION("GOOGLETRANSLATE(A2412 , ""auto"", ""ar"")"),"قدح")</f>
        <v>قدح</v>
      </c>
    </row>
    <row r="2413" ht="15.75" customHeight="1">
      <c r="A2413" s="1" t="s">
        <v>4862</v>
      </c>
      <c r="B2413" s="1" t="s">
        <v>4863</v>
      </c>
      <c r="C2413" s="2" t="s">
        <v>4864</v>
      </c>
      <c r="D2413" s="1" t="str">
        <f>IFERROR(__xludf.DUMMYFUNCTION("GOOGLETRANSLATE(A2413 , ""auto"", ""ar"")"),"بغل")</f>
        <v>بغل</v>
      </c>
    </row>
    <row r="2414" ht="15.75" customHeight="1">
      <c r="A2414" s="1" t="s">
        <v>4865</v>
      </c>
      <c r="B2414" s="1" t="s">
        <v>4764</v>
      </c>
      <c r="C2414" s="1"/>
      <c r="D2414" s="1" t="str">
        <f>IFERROR(__xludf.DUMMYFUNCTION("GOOGLETRANSLATE(A2414 , ""auto"", ""ar"")"),"ماما")</f>
        <v>ماما</v>
      </c>
    </row>
    <row r="2415" ht="15.75" customHeight="1">
      <c r="A2415" s="1" t="s">
        <v>4865</v>
      </c>
      <c r="B2415" s="1" t="s">
        <v>4765</v>
      </c>
      <c r="C2415" s="1"/>
      <c r="D2415" s="1" t="str">
        <f>IFERROR(__xludf.DUMMYFUNCTION("GOOGLETRANSLATE(A2415 , ""auto"", ""ar"")"),"ماما")</f>
        <v>ماما</v>
      </c>
    </row>
    <row r="2416" ht="15.75" customHeight="1">
      <c r="A2416" s="1" t="s">
        <v>4866</v>
      </c>
      <c r="B2416" s="1" t="s">
        <v>4867</v>
      </c>
      <c r="C2416" s="2" t="s">
        <v>4868</v>
      </c>
      <c r="D2416" s="1" t="str">
        <f>IFERROR(__xludf.DUMMYFUNCTION("GOOGLETRANSLATE(A2416 , ""auto"", ""ar"")"),"متحف")</f>
        <v>متحف</v>
      </c>
    </row>
    <row r="2417" ht="15.75" customHeight="1">
      <c r="A2417" s="1" t="s">
        <v>4869</v>
      </c>
      <c r="B2417" s="1" t="s">
        <v>4870</v>
      </c>
      <c r="C2417" s="2" t="s">
        <v>4871</v>
      </c>
      <c r="D2417" s="1" t="str">
        <f>IFERROR(__xludf.DUMMYFUNCTION("GOOGLETRANSLATE(A2417 , ""auto"", ""ar"")"),"فطر")</f>
        <v>فطر</v>
      </c>
    </row>
    <row r="2418" ht="15.75" customHeight="1">
      <c r="A2418" s="1" t="s">
        <v>4869</v>
      </c>
      <c r="B2418" s="1" t="s">
        <v>4872</v>
      </c>
      <c r="C2418" s="2" t="s">
        <v>4873</v>
      </c>
      <c r="D2418" s="1" t="str">
        <f>IFERROR(__xludf.DUMMYFUNCTION("GOOGLETRANSLATE(A2418 , ""auto"", ""ar"")"),"فطر")</f>
        <v>فطر</v>
      </c>
    </row>
    <row r="2419" ht="15.75" customHeight="1">
      <c r="A2419" s="1" t="s">
        <v>4874</v>
      </c>
      <c r="B2419" s="1" t="s">
        <v>4875</v>
      </c>
      <c r="C2419" s="2" t="s">
        <v>4876</v>
      </c>
      <c r="D2419" s="1" t="str">
        <f>IFERROR(__xludf.DUMMYFUNCTION("GOOGLETRANSLATE(A2419 , ""auto"", ""ar"")"),"موسيقى")</f>
        <v>موسيقى</v>
      </c>
    </row>
    <row r="2420" ht="15.75" customHeight="1">
      <c r="A2420" s="1" t="s">
        <v>4877</v>
      </c>
      <c r="B2420" s="1" t="s">
        <v>4878</v>
      </c>
      <c r="C2420" s="1"/>
      <c r="D2420" s="1" t="str">
        <f>IFERROR(__xludf.DUMMYFUNCTION("GOOGLETRANSLATE(A2420 , ""auto"", ""ar"")"),"مجموعة الموسيقى")</f>
        <v>مجموعة الموسيقى</v>
      </c>
    </row>
    <row r="2421" ht="15.75" customHeight="1">
      <c r="A2421" s="1" t="s">
        <v>4877</v>
      </c>
      <c r="B2421" s="1" t="s">
        <v>4879</v>
      </c>
      <c r="C2421" s="1"/>
      <c r="D2421" s="1" t="str">
        <f>IFERROR(__xludf.DUMMYFUNCTION("GOOGLETRANSLATE(A2421 , ""auto"", ""ar"")"),"مجموعة الموسيقى")</f>
        <v>مجموعة الموسيقى</v>
      </c>
    </row>
    <row r="2422" ht="15.75" customHeight="1">
      <c r="A2422" s="1" t="s">
        <v>4880</v>
      </c>
      <c r="B2422" s="1" t="s">
        <v>4881</v>
      </c>
      <c r="C2422" s="2" t="s">
        <v>4882</v>
      </c>
      <c r="D2422" s="1" t="str">
        <f>IFERROR(__xludf.DUMMYFUNCTION("GOOGLETRANSLATE(A2422 , ""auto"", ""ar"")"),"موسيقي او عازف")</f>
        <v>موسيقي او عازف</v>
      </c>
    </row>
    <row r="2423" ht="15.75" customHeight="1">
      <c r="A2423" s="1" t="s">
        <v>4880</v>
      </c>
      <c r="B2423" s="1" t="s">
        <v>4883</v>
      </c>
      <c r="C2423" s="1"/>
      <c r="D2423" s="1" t="str">
        <f>IFERROR(__xludf.DUMMYFUNCTION("GOOGLETRANSLATE(A2423 , ""auto"", ""ar"")"),"موسيقي او عازف")</f>
        <v>موسيقي او عازف</v>
      </c>
    </row>
    <row r="2424" ht="15.75" customHeight="1">
      <c r="A2424" s="1" t="s">
        <v>4884</v>
      </c>
      <c r="B2424" s="1" t="s">
        <v>4885</v>
      </c>
      <c r="C2424" s="2" t="s">
        <v>4886</v>
      </c>
      <c r="D2424" s="1" t="str">
        <f>IFERROR(__xludf.DUMMYFUNCTION("GOOGLETRANSLATE(A2424 , ""auto"", ""ar"")"),"مسلم")</f>
        <v>مسلم</v>
      </c>
    </row>
    <row r="2425" ht="15.75" customHeight="1">
      <c r="A2425" s="1" t="s">
        <v>4887</v>
      </c>
      <c r="B2425" s="1" t="s">
        <v>3472</v>
      </c>
      <c r="C2425" s="2" t="s">
        <v>3473</v>
      </c>
      <c r="D2425" s="1" t="str">
        <f>IFERROR(__xludf.DUMMYFUNCTION("GOOGLETRANSLATE(A2425 , ""auto"", ""ar"")"),"يجب")</f>
        <v>يجب</v>
      </c>
    </row>
    <row r="2426" ht="15.75" customHeight="1">
      <c r="A2426" s="1" t="s">
        <v>4888</v>
      </c>
      <c r="B2426" s="1" t="s">
        <v>4889</v>
      </c>
      <c r="C2426" s="1"/>
      <c r="D2426" s="1" t="str">
        <f>IFERROR(__xludf.DUMMYFUNCTION("GOOGLETRANSLATE(A2426 , ""auto"", ""ar"")"),"خردل")</f>
        <v>خردل</v>
      </c>
    </row>
    <row r="2427" ht="15.75" customHeight="1">
      <c r="A2427" s="1" t="s">
        <v>4890</v>
      </c>
      <c r="B2427" s="1" t="s">
        <v>4891</v>
      </c>
      <c r="C2427" s="2" t="s">
        <v>4892</v>
      </c>
      <c r="D2427" s="1" t="str">
        <f>IFERROR(__xludf.DUMMYFUNCTION("GOOGLETRANSLATE(A2427 , ""auto"", ""ar"")"),"لي")</f>
        <v>لي</v>
      </c>
    </row>
    <row r="2428" ht="15.75" customHeight="1">
      <c r="A2428" s="1" t="s">
        <v>4890</v>
      </c>
      <c r="B2428" s="1" t="s">
        <v>4893</v>
      </c>
      <c r="C2428" s="2" t="s">
        <v>4894</v>
      </c>
      <c r="D2428" s="1" t="str">
        <f>IFERROR(__xludf.DUMMYFUNCTION("GOOGLETRANSLATE(A2428 , ""auto"", ""ar"")"),"لي")</f>
        <v>لي</v>
      </c>
    </row>
    <row r="2429" ht="15.75" customHeight="1">
      <c r="A2429" s="1" t="s">
        <v>4890</v>
      </c>
      <c r="B2429" s="1" t="s">
        <v>4895</v>
      </c>
      <c r="C2429" s="2" t="s">
        <v>4896</v>
      </c>
      <c r="D2429" s="1" t="str">
        <f>IFERROR(__xludf.DUMMYFUNCTION("GOOGLETRANSLATE(A2429 , ""auto"", ""ar"")"),"لي")</f>
        <v>لي</v>
      </c>
    </row>
    <row r="2430" ht="15.75" customHeight="1">
      <c r="A2430" s="1" t="s">
        <v>4890</v>
      </c>
      <c r="B2430" s="1" t="s">
        <v>4897</v>
      </c>
      <c r="C2430" s="1"/>
      <c r="D2430" s="1" t="str">
        <f>IFERROR(__xludf.DUMMYFUNCTION("GOOGLETRANSLATE(A2430 , ""auto"", ""ar"")"),"لي")</f>
        <v>لي</v>
      </c>
    </row>
    <row r="2431" ht="15.75" customHeight="1">
      <c r="A2431" s="1" t="s">
        <v>4898</v>
      </c>
      <c r="B2431" s="1" t="s">
        <v>4899</v>
      </c>
      <c r="C2431" s="2" t="s">
        <v>4900</v>
      </c>
      <c r="D2431" s="1" t="str">
        <f>IFERROR(__xludf.DUMMYFUNCTION("GOOGLETRANSLATE(A2431 , ""auto"", ""ar"")"),"نفسي")</f>
        <v>نفسي</v>
      </c>
    </row>
    <row r="2432" ht="15.75" customHeight="1">
      <c r="A2432" s="1" t="s">
        <v>466</v>
      </c>
      <c r="B2432" s="1" t="s">
        <v>467</v>
      </c>
      <c r="C2432" s="2" t="s">
        <v>468</v>
      </c>
      <c r="D2432" s="1" t="str">
        <f>IFERROR(__xludf.DUMMYFUNCTION("GOOGLETRANSLATE(A2432 , ""auto"", ""ar"")"),"اسم العائلة")</f>
        <v>اسم العائلة</v>
      </c>
    </row>
    <row r="2433" ht="15.75" customHeight="1">
      <c r="A2433" s="1" t="s">
        <v>43</v>
      </c>
      <c r="B2433" s="1" t="s">
        <v>44</v>
      </c>
      <c r="C2433" s="2" t="s">
        <v>45</v>
      </c>
      <c r="D2433" s="1" t="str">
        <f>IFERROR(__xludf.DUMMYFUNCTION("GOOGLETRANSLATE(A2433 , ""auto"", ""ar"")"),"مقبول")</f>
        <v>مقبول</v>
      </c>
    </row>
    <row r="2434" ht="15.75" customHeight="1">
      <c r="A2434" s="1" t="s">
        <v>469</v>
      </c>
      <c r="B2434" s="1" t="s">
        <v>470</v>
      </c>
      <c r="C2434" s="2" t="s">
        <v>471</v>
      </c>
      <c r="D2434" s="1" t="str">
        <f>IFERROR(__xludf.DUMMYFUNCTION("GOOGLETRANSLATE(A2434 , ""auto"", ""ar"")"),"التصالح")</f>
        <v>التصالح</v>
      </c>
    </row>
    <row r="2435" ht="15.75" customHeight="1">
      <c r="A2435" s="1" t="s">
        <v>472</v>
      </c>
      <c r="B2435" s="1" t="s">
        <v>473</v>
      </c>
      <c r="C2435" s="2" t="s">
        <v>474</v>
      </c>
      <c r="D2435" s="1" t="str">
        <f>IFERROR(__xludf.DUMMYFUNCTION("GOOGLETRANSLATE(A2435 , ""auto"", ""ar"")"),"مغفرة")</f>
        <v>مغفرة</v>
      </c>
    </row>
    <row r="2436" ht="15.75" customHeight="1">
      <c r="A2436" s="1" t="s">
        <v>475</v>
      </c>
      <c r="B2436" s="1" t="s">
        <v>476</v>
      </c>
      <c r="C2436" s="2" t="s">
        <v>477</v>
      </c>
      <c r="D2436" s="1" t="str">
        <f>IFERROR(__xludf.DUMMYFUNCTION("GOOGLETRANSLATE(A2436 , ""auto"", ""ar"")"),"يخبر")</f>
        <v>يخبر</v>
      </c>
    </row>
    <row r="2437" ht="15.75" customHeight="1">
      <c r="A2437" s="1" t="s">
        <v>4901</v>
      </c>
      <c r="B2437" s="1" t="s">
        <v>2736</v>
      </c>
      <c r="C2437" s="2" t="s">
        <v>2737</v>
      </c>
      <c r="D2437" s="1" t="str">
        <f>IFERROR(__xludf.DUMMYFUNCTION("GOOGLETRANSLATE(A2437 , ""auto"", ""ar"")"),"مسمار")</f>
        <v>مسمار</v>
      </c>
    </row>
    <row r="2438" ht="15.75" customHeight="1">
      <c r="A2438" s="1" t="s">
        <v>4901</v>
      </c>
      <c r="B2438" s="1" t="s">
        <v>4902</v>
      </c>
      <c r="C2438" s="2" t="s">
        <v>4903</v>
      </c>
      <c r="D2438" s="1" t="str">
        <f>IFERROR(__xludf.DUMMYFUNCTION("GOOGLETRANSLATE(A2438 , ""auto"", ""ar"")"),"مسمار")</f>
        <v>مسمار</v>
      </c>
    </row>
    <row r="2439" ht="15.75" customHeight="1">
      <c r="A2439" s="1" t="s">
        <v>4901</v>
      </c>
      <c r="B2439" s="1" t="s">
        <v>4904</v>
      </c>
      <c r="C2439" s="2" t="s">
        <v>4905</v>
      </c>
      <c r="D2439" s="1" t="str">
        <f>IFERROR(__xludf.DUMMYFUNCTION("GOOGLETRANSLATE(A2439 , ""auto"", ""ar"")"),"مسمار")</f>
        <v>مسمار</v>
      </c>
    </row>
    <row r="2440" ht="15.75" customHeight="1">
      <c r="A2440" s="1" t="s">
        <v>4906</v>
      </c>
      <c r="B2440" s="1" t="s">
        <v>597</v>
      </c>
      <c r="C2440" s="2" t="s">
        <v>598</v>
      </c>
      <c r="D2440" s="1" t="str">
        <f>IFERROR(__xludf.DUMMYFUNCTION("GOOGLETRANSLATE(A2440 , ""auto"", ""ar"")"),"اسم")</f>
        <v>اسم</v>
      </c>
    </row>
    <row r="2441" ht="15.75" customHeight="1">
      <c r="A2441" s="1" t="s">
        <v>4906</v>
      </c>
      <c r="B2441" s="1" t="s">
        <v>4907</v>
      </c>
      <c r="C2441" s="1"/>
      <c r="D2441" s="1" t="str">
        <f>IFERROR(__xludf.DUMMYFUNCTION("GOOGLETRANSLATE(A2441 , ""auto"", ""ar"")"),"اسم")</f>
        <v>اسم</v>
      </c>
    </row>
    <row r="2442" ht="15.75" customHeight="1">
      <c r="A2442" s="1" t="s">
        <v>4906</v>
      </c>
      <c r="B2442" s="1" t="s">
        <v>4908</v>
      </c>
      <c r="C2442" s="2" t="s">
        <v>4909</v>
      </c>
      <c r="D2442" s="1" t="str">
        <f>IFERROR(__xludf.DUMMYFUNCTION("GOOGLETRANSLATE(A2442 , ""auto"", ""ar"")"),"اسم")</f>
        <v>اسم</v>
      </c>
    </row>
    <row r="2443" ht="15.75" customHeight="1">
      <c r="A2443" s="1" t="s">
        <v>4910</v>
      </c>
      <c r="B2443" s="1" t="s">
        <v>4911</v>
      </c>
      <c r="C2443" s="1"/>
      <c r="D2443" s="1" t="str">
        <f>IFERROR(__xludf.DUMMYFUNCTION("GOOGLETRANSLATE(A2443 , ""auto"", ""ar"")"),"منديل")</f>
        <v>منديل</v>
      </c>
    </row>
    <row r="2444" ht="15.75" customHeight="1">
      <c r="A2444" s="1" t="s">
        <v>4912</v>
      </c>
      <c r="B2444" s="1" t="s">
        <v>4913</v>
      </c>
      <c r="C2444" s="2" t="s">
        <v>65</v>
      </c>
      <c r="D2444" s="1" t="str">
        <f>IFERROR(__xludf.DUMMYFUNCTION("GOOGLETRANSLATE(A2444 , ""auto"", ""ar"")"),"ضيق")</f>
        <v>ضيق</v>
      </c>
    </row>
    <row r="2445" ht="15.75" customHeight="1">
      <c r="A2445" s="1" t="s">
        <v>4912</v>
      </c>
      <c r="B2445" s="1" t="s">
        <v>4914</v>
      </c>
      <c r="C2445" s="2" t="s">
        <v>4915</v>
      </c>
      <c r="D2445" s="1" t="str">
        <f>IFERROR(__xludf.DUMMYFUNCTION("GOOGLETRANSLATE(A2445 , ""auto"", ""ar"")"),"ضيق")</f>
        <v>ضيق</v>
      </c>
    </row>
    <row r="2446" ht="15.75" customHeight="1">
      <c r="A2446" s="1" t="s">
        <v>4916</v>
      </c>
      <c r="B2446" s="1" t="s">
        <v>4917</v>
      </c>
      <c r="C2446" s="2" t="s">
        <v>4918</v>
      </c>
      <c r="D2446" s="1" t="str">
        <f>IFERROR(__xludf.DUMMYFUNCTION("GOOGLETRANSLATE(A2446 , ""auto"", ""ar"")"),"النشيد الوطني")</f>
        <v>النشيد الوطني</v>
      </c>
    </row>
    <row r="2447" ht="15.75" customHeight="1">
      <c r="A2447" s="1" t="s">
        <v>4919</v>
      </c>
      <c r="B2447" s="1" t="s">
        <v>4920</v>
      </c>
      <c r="C2447" s="2" t="s">
        <v>4921</v>
      </c>
      <c r="D2447" s="1" t="str">
        <f>IFERROR(__xludf.DUMMYFUNCTION("GOOGLETRANSLATE(A2447 , ""auto"", ""ar"")"),"طبيعي")</f>
        <v>طبيعي</v>
      </c>
    </row>
    <row r="2448" ht="15.75" customHeight="1">
      <c r="A2448" s="1" t="s">
        <v>4922</v>
      </c>
      <c r="B2448" s="1" t="s">
        <v>4923</v>
      </c>
      <c r="C2448" s="2" t="s">
        <v>4924</v>
      </c>
      <c r="D2448" s="1" t="str">
        <f>IFERROR(__xludf.DUMMYFUNCTION("GOOGLETRANSLATE(A2448 , ""auto"", ""ar"")"),"طبيعة")</f>
        <v>طبيعة</v>
      </c>
    </row>
    <row r="2449" ht="15.75" customHeight="1">
      <c r="A2449" s="1" t="s">
        <v>4925</v>
      </c>
      <c r="B2449" s="1" t="s">
        <v>4926</v>
      </c>
      <c r="C2449" s="1"/>
      <c r="D2449" s="1" t="str">
        <f>IFERROR(__xludf.DUMMYFUNCTION("GOOGLETRANSLATE(A2449 , ""auto"", ""ar"")"),"الرغبة")</f>
        <v>الرغبة</v>
      </c>
    </row>
    <row r="2450" ht="15.75" customHeight="1">
      <c r="A2450" s="1" t="s">
        <v>4925</v>
      </c>
      <c r="B2450" s="1" t="s">
        <v>4927</v>
      </c>
      <c r="C2450" s="2" t="s">
        <v>4928</v>
      </c>
      <c r="D2450" s="1" t="str">
        <f>IFERROR(__xludf.DUMMYFUNCTION("GOOGLETRANSLATE(A2450 , ""auto"", ""ar"")"),"الرغبة")</f>
        <v>الرغبة</v>
      </c>
    </row>
    <row r="2451" ht="15.75" customHeight="1">
      <c r="A2451" s="1" t="s">
        <v>4929</v>
      </c>
      <c r="B2451" s="1" t="s">
        <v>4930</v>
      </c>
      <c r="C2451" s="2" t="s">
        <v>4931</v>
      </c>
      <c r="D2451" s="1" t="str">
        <f>IFERROR(__xludf.DUMMYFUNCTION("GOOGLETRANSLATE(A2451 , ""auto"", ""ar"")"),"شقي")</f>
        <v>شقي</v>
      </c>
    </row>
    <row r="2452" ht="15.75" customHeight="1">
      <c r="A2452" s="1" t="s">
        <v>4929</v>
      </c>
      <c r="B2452" s="1" t="s">
        <v>4932</v>
      </c>
      <c r="C2452" s="2" t="s">
        <v>4933</v>
      </c>
      <c r="D2452" s="1" t="str">
        <f>IFERROR(__xludf.DUMMYFUNCTION("GOOGLETRANSLATE(A2452 , ""auto"", ""ar"")"),"شقي")</f>
        <v>شقي</v>
      </c>
    </row>
    <row r="2453" ht="15.75" customHeight="1">
      <c r="A2453" s="1" t="s">
        <v>4934</v>
      </c>
      <c r="B2453" s="1" t="s">
        <v>4935</v>
      </c>
      <c r="C2453" s="1"/>
      <c r="D2453" s="1" t="str">
        <f>IFERROR(__xludf.DUMMYFUNCTION("GOOGLETRANSLATE(A2453 , ""auto"", ""ar"")"),"سرة البطن")</f>
        <v>سرة البطن</v>
      </c>
    </row>
    <row r="2454" ht="15.75" customHeight="1">
      <c r="A2454" s="1" t="s">
        <v>4936</v>
      </c>
      <c r="B2454" s="1" t="s">
        <v>4937</v>
      </c>
      <c r="C2454" s="2" t="s">
        <v>4938</v>
      </c>
      <c r="D2454" s="1" t="str">
        <f>IFERROR(__xludf.DUMMYFUNCTION("GOOGLETRANSLATE(A2454 , ""auto"", ""ar"")"),"الأزرق الداكن")</f>
        <v>الأزرق الداكن</v>
      </c>
    </row>
    <row r="2455" ht="15.75" customHeight="1">
      <c r="A2455" s="1" t="s">
        <v>4939</v>
      </c>
      <c r="B2455" s="1" t="s">
        <v>1494</v>
      </c>
      <c r="C2455" s="2" t="s">
        <v>1495</v>
      </c>
      <c r="D2455" s="1" t="str">
        <f>IFERROR(__xludf.DUMMYFUNCTION("GOOGLETRANSLATE(A2455 , ""auto"", ""ar"")"),"قريب")</f>
        <v>قريب</v>
      </c>
    </row>
    <row r="2456" ht="15.75" customHeight="1">
      <c r="A2456" s="1" t="s">
        <v>4939</v>
      </c>
      <c r="B2456" s="1" t="s">
        <v>328</v>
      </c>
      <c r="C2456" s="2" t="s">
        <v>329</v>
      </c>
      <c r="D2456" s="1" t="str">
        <f>IFERROR(__xludf.DUMMYFUNCTION("GOOGLETRANSLATE(A2456 , ""auto"", ""ar"")"),"قريب")</f>
        <v>قريب</v>
      </c>
    </row>
    <row r="2457" ht="15.75" customHeight="1">
      <c r="A2457" s="1" t="s">
        <v>4940</v>
      </c>
      <c r="B2457" s="1" t="s">
        <v>328</v>
      </c>
      <c r="C2457" s="2" t="s">
        <v>329</v>
      </c>
      <c r="D2457" s="1" t="str">
        <f>IFERROR(__xludf.DUMMYFUNCTION("GOOGLETRANSLATE(A2457 , ""auto"", ""ar"")"),"تقريبا")</f>
        <v>تقريبا</v>
      </c>
    </row>
    <row r="2458" ht="15.75" customHeight="1">
      <c r="A2458" s="1" t="s">
        <v>4941</v>
      </c>
      <c r="B2458" s="1" t="s">
        <v>4942</v>
      </c>
      <c r="C2458" s="2" t="s">
        <v>4943</v>
      </c>
      <c r="D2458" s="1" t="str">
        <f>IFERROR(__xludf.DUMMYFUNCTION("GOOGLETRANSLATE(A2458 , ""auto"", ""ar"")"),"ضروري")</f>
        <v>ضروري</v>
      </c>
    </row>
    <row r="2459" ht="15.75" customHeight="1">
      <c r="A2459" s="1" t="s">
        <v>4944</v>
      </c>
      <c r="B2459" s="1" t="s">
        <v>4945</v>
      </c>
      <c r="C2459" s="2" t="s">
        <v>4946</v>
      </c>
      <c r="D2459" s="1" t="str">
        <f>IFERROR(__xludf.DUMMYFUNCTION("GOOGLETRANSLATE(A2459 , ""auto"", ""ar"")"),"رقبة")</f>
        <v>رقبة</v>
      </c>
    </row>
    <row r="2460" ht="15.75" customHeight="1">
      <c r="A2460" s="1" t="s">
        <v>4944</v>
      </c>
      <c r="B2460" s="1" t="s">
        <v>4947</v>
      </c>
      <c r="C2460" s="1"/>
      <c r="D2460" s="1" t="str">
        <f>IFERROR(__xludf.DUMMYFUNCTION("GOOGLETRANSLATE(A2460 , ""auto"", ""ar"")"),"رقبة")</f>
        <v>رقبة</v>
      </c>
    </row>
    <row r="2461" ht="15.75" customHeight="1">
      <c r="A2461" s="1" t="s">
        <v>4948</v>
      </c>
      <c r="B2461" s="1" t="s">
        <v>4949</v>
      </c>
      <c r="C2461" s="2" t="s">
        <v>4950</v>
      </c>
      <c r="D2461" s="1" t="str">
        <f>IFERROR(__xludf.DUMMYFUNCTION("GOOGLETRANSLATE(A2461 , ""auto"", ""ar"")"),"قلادة")</f>
        <v>قلادة</v>
      </c>
    </row>
    <row r="2462" ht="15.75" customHeight="1">
      <c r="A2462" s="1" t="s">
        <v>4951</v>
      </c>
      <c r="B2462" s="1" t="s">
        <v>4952</v>
      </c>
      <c r="C2462" s="2" t="s">
        <v>4953</v>
      </c>
      <c r="D2462" s="1" t="str">
        <f>IFERROR(__xludf.DUMMYFUNCTION("GOOGLETRANSLATE(A2462 , ""auto"", ""ar"")"),"ربطة عنق")</f>
        <v>ربطة عنق</v>
      </c>
    </row>
    <row r="2463" ht="15.75" customHeight="1">
      <c r="A2463" s="1" t="s">
        <v>4954</v>
      </c>
      <c r="B2463" s="1" t="s">
        <v>4955</v>
      </c>
      <c r="C2463" s="2" t="s">
        <v>4956</v>
      </c>
      <c r="D2463" s="1" t="str">
        <f>IFERROR(__xludf.DUMMYFUNCTION("GOOGLETRANSLATE(A2463 , ""auto"", ""ar"")"),"يحتاج")</f>
        <v>يحتاج</v>
      </c>
    </row>
    <row r="2464" ht="15.75" customHeight="1">
      <c r="A2464" s="1" t="s">
        <v>4954</v>
      </c>
      <c r="B2464" s="1" t="s">
        <v>4155</v>
      </c>
      <c r="C2464" s="2" t="s">
        <v>4156</v>
      </c>
      <c r="D2464" s="1" t="str">
        <f>IFERROR(__xludf.DUMMYFUNCTION("GOOGLETRANSLATE(A2464 , ""auto"", ""ar"")"),"يحتاج")</f>
        <v>يحتاج</v>
      </c>
    </row>
    <row r="2465" ht="15.75" customHeight="1">
      <c r="A2465" s="1" t="s">
        <v>4957</v>
      </c>
      <c r="B2465" s="1" t="s">
        <v>4155</v>
      </c>
      <c r="C2465" s="2" t="s">
        <v>4156</v>
      </c>
      <c r="D2465" s="1" t="str">
        <f>IFERROR(__xludf.DUMMYFUNCTION("GOOGLETRANSLATE(A2465 , ""auto"", ""ar"")"),"ضروري")</f>
        <v>ضروري</v>
      </c>
    </row>
    <row r="2466" ht="15.75" customHeight="1">
      <c r="A2466" s="1" t="s">
        <v>4958</v>
      </c>
      <c r="B2466" s="1" t="s">
        <v>4959</v>
      </c>
      <c r="C2466" s="2" t="s">
        <v>4960</v>
      </c>
      <c r="D2466" s="1" t="str">
        <f>IFERROR(__xludf.DUMMYFUNCTION("GOOGLETRANSLATE(A2466 , ""auto"", ""ar"")"),"إبرة")</f>
        <v>إبرة</v>
      </c>
    </row>
    <row r="2467" ht="15.75" customHeight="1">
      <c r="A2467" s="1" t="s">
        <v>4958</v>
      </c>
      <c r="B2467" s="1" t="s">
        <v>4959</v>
      </c>
      <c r="C2467" s="1"/>
      <c r="D2467" s="1" t="str">
        <f>IFERROR(__xludf.DUMMYFUNCTION("GOOGLETRANSLATE(A2467 , ""auto"", ""ar"")"),"إبرة")</f>
        <v>إبرة</v>
      </c>
    </row>
    <row r="2468" ht="15.75" customHeight="1">
      <c r="A2468" s="1" t="s">
        <v>4961</v>
      </c>
      <c r="B2468" s="1" t="s">
        <v>4962</v>
      </c>
      <c r="C2468" s="2" t="s">
        <v>4963</v>
      </c>
      <c r="D2468" s="1" t="str">
        <f>IFERROR(__xludf.DUMMYFUNCTION("GOOGLETRANSLATE(A2468 , ""auto"", ""ar"")"),"جار")</f>
        <v>جار</v>
      </c>
    </row>
    <row r="2469" ht="15.75" customHeight="1">
      <c r="A2469" s="1" t="s">
        <v>4964</v>
      </c>
      <c r="B2469" s="1" t="s">
        <v>4965</v>
      </c>
      <c r="C2469" s="1"/>
      <c r="D2469" s="1" t="str">
        <f>IFERROR(__xludf.DUMMYFUNCTION("GOOGLETRANSLATE(A2469 , ""auto"", ""ar"")"),"حيّ")</f>
        <v>حيّ</v>
      </c>
    </row>
    <row r="2470" ht="15.75" customHeight="1">
      <c r="A2470" s="1" t="s">
        <v>4966</v>
      </c>
      <c r="B2470" s="1" t="s">
        <v>4962</v>
      </c>
      <c r="C2470" s="2" t="s">
        <v>4963</v>
      </c>
      <c r="D2470" s="1" t="str">
        <f>IFERROR(__xludf.DUMMYFUNCTION("GOOGLETRANSLATE(A2470 , ""auto"", ""ar"")"),"جار")</f>
        <v>جار</v>
      </c>
    </row>
    <row r="2471" ht="15.75" customHeight="1">
      <c r="A2471" s="1" t="s">
        <v>4967</v>
      </c>
      <c r="B2471" s="1" t="s">
        <v>4965</v>
      </c>
      <c r="C2471" s="1"/>
      <c r="D2471" s="1" t="str">
        <f>IFERROR(__xludf.DUMMYFUNCTION("GOOGLETRANSLATE(A2471 , ""auto"", ""ar"")"),"حيّ")</f>
        <v>حيّ</v>
      </c>
    </row>
    <row r="2472" ht="15.75" customHeight="1">
      <c r="A2472" s="1" t="s">
        <v>4968</v>
      </c>
      <c r="B2472" s="1" t="s">
        <v>4969</v>
      </c>
      <c r="C2472" s="2" t="s">
        <v>4970</v>
      </c>
      <c r="D2472" s="1" t="str">
        <f>IFERROR(__xludf.DUMMYFUNCTION("GOOGLETRANSLATE(A2472 , ""auto"", ""ar"")"),"لا هذا ولا ذاك …")</f>
        <v>لا هذا ولا ذاك …</v>
      </c>
    </row>
    <row r="2473" ht="15.75" customHeight="1">
      <c r="A2473" s="1" t="s">
        <v>4971</v>
      </c>
      <c r="B2473" s="1" t="s">
        <v>493</v>
      </c>
      <c r="C2473" s="1"/>
      <c r="D2473" s="1" t="str">
        <f>IFERROR(__xludf.DUMMYFUNCTION("GOOGLETRANSLATE(A2473 , ""auto"", ""ar"")"),"ابن الأخ")</f>
        <v>ابن الأخ</v>
      </c>
    </row>
    <row r="2474" ht="15.75" customHeight="1">
      <c r="A2474" s="1" t="s">
        <v>4971</v>
      </c>
      <c r="B2474" s="1" t="s">
        <v>493</v>
      </c>
      <c r="C2474" s="1"/>
      <c r="D2474" s="1" t="str">
        <f>IFERROR(__xludf.DUMMYFUNCTION("GOOGLETRANSLATE(A2474 , ""auto"", ""ar"")"),"ابن الأخ")</f>
        <v>ابن الأخ</v>
      </c>
    </row>
    <row r="2475" ht="15.75" customHeight="1">
      <c r="A2475" s="1" t="s">
        <v>4972</v>
      </c>
      <c r="B2475" s="1" t="s">
        <v>4973</v>
      </c>
      <c r="C2475" s="1"/>
      <c r="D2475" s="1" t="str">
        <f>IFERROR(__xludf.DUMMYFUNCTION("GOOGLETRANSLATE(A2475 , ""auto"", ""ar"")"),"أبناء وبنات")</f>
        <v>أبناء وبنات</v>
      </c>
    </row>
    <row r="2476" ht="15.75" customHeight="1">
      <c r="A2476" s="1" t="s">
        <v>4972</v>
      </c>
      <c r="B2476" s="1" t="s">
        <v>4974</v>
      </c>
      <c r="C2476" s="1"/>
      <c r="D2476" s="1" t="str">
        <f>IFERROR(__xludf.DUMMYFUNCTION("GOOGLETRANSLATE(A2476 , ""auto"", ""ar"")"),"أبناء وبنات")</f>
        <v>أبناء وبنات</v>
      </c>
    </row>
    <row r="2477" ht="15.75" customHeight="1">
      <c r="A2477" s="1" t="s">
        <v>4975</v>
      </c>
      <c r="B2477" s="1" t="s">
        <v>2211</v>
      </c>
      <c r="C2477" s="2" t="s">
        <v>4976</v>
      </c>
      <c r="D2477" s="1" t="str">
        <f>IFERROR(__xludf.DUMMYFUNCTION("GOOGLETRANSLATE(A2477 , ""auto"", ""ar"")"),"شبكة")</f>
        <v>شبكة</v>
      </c>
    </row>
    <row r="2478" ht="15.75" customHeight="1">
      <c r="A2478" s="1" t="s">
        <v>4977</v>
      </c>
      <c r="B2478" s="1" t="s">
        <v>4978</v>
      </c>
      <c r="C2478" s="1"/>
      <c r="D2478" s="1" t="str">
        <f>IFERROR(__xludf.DUMMYFUNCTION("GOOGLETRANSLATE(A2478 , ""auto"", ""ar"")"),"شبكة")</f>
        <v>شبكة</v>
      </c>
    </row>
    <row r="2479" ht="15.75" customHeight="1">
      <c r="A2479" s="1" t="s">
        <v>4979</v>
      </c>
      <c r="B2479" s="1" t="s">
        <v>4980</v>
      </c>
      <c r="C2479" s="2" t="s">
        <v>4981</v>
      </c>
      <c r="D2479" s="1" t="str">
        <f>IFERROR(__xludf.DUMMYFUNCTION("GOOGLETRANSLATE(A2479 , ""auto"", ""ar"")"),"أبداً")</f>
        <v>أبداً</v>
      </c>
    </row>
    <row r="2480" ht="15.75" customHeight="1">
      <c r="A2480" s="1" t="s">
        <v>4982</v>
      </c>
      <c r="B2480" s="1" t="s">
        <v>4983</v>
      </c>
      <c r="C2480" s="2" t="s">
        <v>4984</v>
      </c>
      <c r="D2480" s="1" t="str">
        <f>IFERROR(__xludf.DUMMYFUNCTION("GOOGLETRANSLATE(A2480 , ""auto"", ""ar"")"),"جديد")</f>
        <v>جديد</v>
      </c>
    </row>
    <row r="2481" ht="15.75" customHeight="1">
      <c r="A2481" s="1" t="s">
        <v>4985</v>
      </c>
      <c r="B2481" s="1" t="s">
        <v>4986</v>
      </c>
      <c r="C2481" s="1"/>
      <c r="D2481" s="1" t="str">
        <f>IFERROR(__xludf.DUMMYFUNCTION("GOOGLETRANSLATE(A2481 , ""auto"", ""ar"")"),"السنة الجديدة")</f>
        <v>السنة الجديدة</v>
      </c>
    </row>
    <row r="2482" ht="15.75" customHeight="1">
      <c r="A2482" s="1" t="s">
        <v>4985</v>
      </c>
      <c r="B2482" s="1" t="s">
        <v>4987</v>
      </c>
      <c r="C2482" s="1"/>
      <c r="D2482" s="1" t="str">
        <f>IFERROR(__xludf.DUMMYFUNCTION("GOOGLETRANSLATE(A2482 , ""auto"", ""ar"")"),"السنة الجديدة")</f>
        <v>السنة الجديدة</v>
      </c>
    </row>
    <row r="2483" ht="15.75" customHeight="1">
      <c r="A2483" s="1" t="s">
        <v>4988</v>
      </c>
      <c r="B2483" s="1" t="s">
        <v>4989</v>
      </c>
      <c r="C2483" s="2" t="s">
        <v>4990</v>
      </c>
      <c r="D2483" s="1" t="str">
        <f>IFERROR(__xludf.DUMMYFUNCTION("GOOGLETRANSLATE(A2483 , ""auto"", ""ar"")"),"حفلة طفل حديثي الولادة")</f>
        <v>حفلة طفل حديثي الولادة</v>
      </c>
    </row>
    <row r="2484" ht="15.75" customHeight="1">
      <c r="A2484" s="1" t="s">
        <v>4991</v>
      </c>
      <c r="B2484" s="1" t="s">
        <v>4992</v>
      </c>
      <c r="C2484" s="2" t="s">
        <v>4993</v>
      </c>
      <c r="D2484" s="1" t="str">
        <f>IFERROR(__xludf.DUMMYFUNCTION("GOOGLETRANSLATE(A2484 , ""auto"", ""ar"")"),"أخبار")</f>
        <v>أخبار</v>
      </c>
    </row>
    <row r="2485" ht="15.75" customHeight="1">
      <c r="A2485" s="1" t="s">
        <v>4991</v>
      </c>
      <c r="B2485" s="1" t="s">
        <v>4994</v>
      </c>
      <c r="C2485" s="2" t="s">
        <v>4995</v>
      </c>
      <c r="D2485" s="1" t="str">
        <f>IFERROR(__xludf.DUMMYFUNCTION("GOOGLETRANSLATE(A2485 , ""auto"", ""ar"")"),"أخبار")</f>
        <v>أخبار</v>
      </c>
    </row>
    <row r="2486" ht="15.75" customHeight="1">
      <c r="A2486" s="1" t="s">
        <v>4991</v>
      </c>
      <c r="B2486" s="1" t="s">
        <v>4996</v>
      </c>
      <c r="C2486" s="1"/>
      <c r="D2486" s="1" t="str">
        <f>IFERROR(__xludf.DUMMYFUNCTION("GOOGLETRANSLATE(A2486 , ""auto"", ""ar"")"),"أخبار")</f>
        <v>أخبار</v>
      </c>
    </row>
    <row r="2487" ht="15.75" customHeight="1">
      <c r="A2487" s="1" t="s">
        <v>4991</v>
      </c>
      <c r="B2487" s="1" t="s">
        <v>4997</v>
      </c>
      <c r="C2487" s="1"/>
      <c r="D2487" s="1" t="str">
        <f>IFERROR(__xludf.DUMMYFUNCTION("GOOGLETRANSLATE(A2487 , ""auto"", ""ar"")"),"أخبار")</f>
        <v>أخبار</v>
      </c>
    </row>
    <row r="2488" ht="15.75" customHeight="1">
      <c r="A2488" s="1" t="s">
        <v>4998</v>
      </c>
      <c r="B2488" s="1" t="s">
        <v>4999</v>
      </c>
      <c r="C2488" s="1"/>
      <c r="D2488" s="1" t="str">
        <f>IFERROR(__xludf.DUMMYFUNCTION("GOOGLETRANSLATE(A2488 , ""auto"", ""ar"")"),"جريدة")</f>
        <v>جريدة</v>
      </c>
    </row>
    <row r="2489" ht="15.75" customHeight="1">
      <c r="A2489" s="1" t="s">
        <v>5000</v>
      </c>
      <c r="B2489" s="1" t="s">
        <v>5001</v>
      </c>
      <c r="C2489" s="2" t="s">
        <v>5002</v>
      </c>
      <c r="D2489" s="1" t="str">
        <f>IFERROR(__xludf.DUMMYFUNCTION("GOOGLETRANSLATE(A2489 , ""auto"", ""ar"")"),"التالي")</f>
        <v>التالي</v>
      </c>
    </row>
    <row r="2490" ht="15.75" customHeight="1">
      <c r="A2490" s="1" t="s">
        <v>5000</v>
      </c>
      <c r="B2490" s="1" t="s">
        <v>5003</v>
      </c>
      <c r="C2490" s="2" t="s">
        <v>1585</v>
      </c>
      <c r="D2490" s="1" t="str">
        <f>IFERROR(__xludf.DUMMYFUNCTION("GOOGLETRANSLATE(A2490 , ""auto"", ""ar"")"),"التالي")</f>
        <v>التالي</v>
      </c>
    </row>
    <row r="2491" ht="15.75" customHeight="1">
      <c r="A2491" s="1" t="s">
        <v>5004</v>
      </c>
      <c r="B2491" s="1" t="s">
        <v>5005</v>
      </c>
      <c r="C2491" s="2" t="s">
        <v>5006</v>
      </c>
      <c r="D2491" s="1" t="str">
        <f>IFERROR(__xludf.DUMMYFUNCTION("GOOGLETRANSLATE(A2491 , ""auto"", ""ar"")"),"بجوار")</f>
        <v>بجوار</v>
      </c>
    </row>
    <row r="2492" ht="15.75" customHeight="1">
      <c r="A2492" s="1" t="s">
        <v>5004</v>
      </c>
      <c r="B2492" s="1" t="s">
        <v>5007</v>
      </c>
      <c r="C2492" s="1"/>
      <c r="D2492" s="1" t="str">
        <f>IFERROR(__xludf.DUMMYFUNCTION("GOOGLETRANSLATE(A2492 , ""auto"", ""ar"")"),"بجوار")</f>
        <v>بجوار</v>
      </c>
    </row>
    <row r="2493" ht="15.75" customHeight="1">
      <c r="A2493" s="1" t="s">
        <v>5008</v>
      </c>
      <c r="B2493" s="1" t="s">
        <v>636</v>
      </c>
      <c r="C2493" s="2" t="s">
        <v>637</v>
      </c>
      <c r="D2493" s="1" t="str">
        <f>IFERROR(__xludf.DUMMYFUNCTION("GOOGLETRANSLATE(A2493 , ""auto"", ""ar"")"),"لطيف - جيد")</f>
        <v>لطيف - جيد</v>
      </c>
    </row>
    <row r="2494" ht="15.75" customHeight="1">
      <c r="A2494" s="1" t="s">
        <v>5009</v>
      </c>
      <c r="B2494" s="1" t="s">
        <v>1766</v>
      </c>
      <c r="C2494" s="1"/>
      <c r="D2494" s="1" t="str">
        <f>IFERROR(__xludf.DUMMYFUNCTION("GOOGLETRANSLATE(A2494 , ""auto"", ""ar"")"),"ابنة الأخت")</f>
        <v>ابنة الأخت</v>
      </c>
    </row>
    <row r="2495" ht="15.75" customHeight="1">
      <c r="A2495" s="1" t="s">
        <v>5009</v>
      </c>
      <c r="B2495" s="1" t="s">
        <v>1766</v>
      </c>
      <c r="C2495" s="1"/>
      <c r="D2495" s="1" t="str">
        <f>IFERROR(__xludf.DUMMYFUNCTION("GOOGLETRANSLATE(A2495 , ""auto"", ""ar"")"),"ابنة الأخت")</f>
        <v>ابنة الأخت</v>
      </c>
    </row>
    <row r="2496" ht="15.75" customHeight="1">
      <c r="A2496" s="1" t="s">
        <v>5010</v>
      </c>
      <c r="B2496" s="1" t="s">
        <v>5011</v>
      </c>
      <c r="C2496" s="2" t="s">
        <v>5012</v>
      </c>
      <c r="D2496" s="1" t="str">
        <f>IFERROR(__xludf.DUMMYFUNCTION("GOOGLETRANSLATE(A2496 , ""auto"", ""ar"")"),"ليلة")</f>
        <v>ليلة</v>
      </c>
    </row>
    <row r="2497" ht="15.75" customHeight="1">
      <c r="A2497" s="1" t="s">
        <v>5010</v>
      </c>
      <c r="B2497" s="1" t="s">
        <v>2483</v>
      </c>
      <c r="C2497" s="2" t="s">
        <v>2484</v>
      </c>
      <c r="D2497" s="1" t="str">
        <f>IFERROR(__xludf.DUMMYFUNCTION("GOOGLETRANSLATE(A2497 , ""auto"", ""ar"")"),"ليلة")</f>
        <v>ليلة</v>
      </c>
    </row>
    <row r="2498" ht="15.75" customHeight="1">
      <c r="A2498" s="1" t="s">
        <v>5013</v>
      </c>
      <c r="B2498" s="1" t="s">
        <v>5014</v>
      </c>
      <c r="C2498" s="1"/>
      <c r="D2498" s="1" t="str">
        <f>IFERROR(__xludf.DUMMYFUNCTION("GOOGLETRANSLATE(A2498 , ""auto"", ""ar"")"),"ليلة القوة")</f>
        <v>ليلة القوة</v>
      </c>
    </row>
    <row r="2499" ht="15.75" customHeight="1">
      <c r="A2499" s="1" t="s">
        <v>5015</v>
      </c>
      <c r="B2499" s="1" t="s">
        <v>5016</v>
      </c>
      <c r="C2499" s="1"/>
      <c r="D2499" s="1" t="str">
        <f>IFERROR(__xludf.DUMMYFUNCTION("GOOGLETRANSLATE(A2499 , ""auto"", ""ar"")"),"كابوس")</f>
        <v>كابوس</v>
      </c>
    </row>
    <row r="2500" ht="15.75" customHeight="1">
      <c r="A2500" s="1" t="s">
        <v>5015</v>
      </c>
      <c r="B2500" s="1" t="s">
        <v>2227</v>
      </c>
      <c r="C2500" s="1"/>
      <c r="D2500" s="1" t="str">
        <f>IFERROR(__xludf.DUMMYFUNCTION("GOOGLETRANSLATE(A2500 , ""auto"", ""ar"")"),"كابوس")</f>
        <v>كابوس</v>
      </c>
    </row>
    <row r="2501" ht="15.75" customHeight="1">
      <c r="A2501" s="1" t="s">
        <v>5017</v>
      </c>
      <c r="B2501" s="1" t="s">
        <v>5018</v>
      </c>
      <c r="C2501" s="2" t="s">
        <v>5019</v>
      </c>
      <c r="D2501" s="1" t="str">
        <f>IFERROR(__xludf.DUMMYFUNCTION("GOOGLETRANSLATE(A2501 , ""auto"", ""ar"")"),"تسع")</f>
        <v>تسع</v>
      </c>
    </row>
    <row r="2502" ht="15.75" customHeight="1">
      <c r="A2502" s="1" t="s">
        <v>5017</v>
      </c>
      <c r="B2502" s="1" t="s">
        <v>5020</v>
      </c>
      <c r="C2502" s="2" t="s">
        <v>5021</v>
      </c>
      <c r="D2502" s="1" t="str">
        <f>IFERROR(__xludf.DUMMYFUNCTION("GOOGLETRANSLATE(A2502 , ""auto"", ""ar"")"),"تسع")</f>
        <v>تسع</v>
      </c>
    </row>
    <row r="2503" ht="15.75" customHeight="1">
      <c r="A2503" s="1" t="s">
        <v>5022</v>
      </c>
      <c r="B2503" s="1" t="s">
        <v>5023</v>
      </c>
      <c r="C2503" s="2" t="s">
        <v>5024</v>
      </c>
      <c r="D2503" s="1" t="str">
        <f>IFERROR(__xludf.DUMMYFUNCTION("GOOGLETRANSLATE(A2503 , ""auto"", ""ar"")"),"تسعة عشر")</f>
        <v>تسعة عشر</v>
      </c>
    </row>
    <row r="2504" ht="15.75" customHeight="1">
      <c r="A2504" s="1" t="s">
        <v>5025</v>
      </c>
      <c r="B2504" s="1" t="s">
        <v>5026</v>
      </c>
      <c r="C2504" s="2" t="s">
        <v>5027</v>
      </c>
      <c r="D2504" s="1" t="str">
        <f>IFERROR(__xludf.DUMMYFUNCTION("GOOGLETRANSLATE(A2504 , ""auto"", ""ar"")"),"تسعين")</f>
        <v>تسعين</v>
      </c>
    </row>
    <row r="2505" ht="15.75" customHeight="1">
      <c r="A2505" s="1" t="s">
        <v>5028</v>
      </c>
      <c r="B2505" s="1" t="s">
        <v>5029</v>
      </c>
      <c r="C2505" s="2" t="s">
        <v>5030</v>
      </c>
      <c r="D2505" s="1" t="str">
        <f>IFERROR(__xludf.DUMMYFUNCTION("GOOGLETRANSLATE(A2505 , ""auto"", ""ar"")"),"تاسع")</f>
        <v>تاسع</v>
      </c>
    </row>
    <row r="2506" ht="15.75" customHeight="1">
      <c r="A2506" s="1" t="s">
        <v>5031</v>
      </c>
      <c r="B2506" s="1" t="s">
        <v>5032</v>
      </c>
      <c r="C2506" s="2" t="s">
        <v>5033</v>
      </c>
      <c r="D2506" s="1" t="str">
        <f>IFERROR(__xludf.DUMMYFUNCTION("GOOGLETRANSLATE(A2506 , ""auto"", ""ar"")"),"لا")</f>
        <v>لا</v>
      </c>
    </row>
    <row r="2507" ht="15.75" customHeight="1">
      <c r="A2507" s="1" t="s">
        <v>5031</v>
      </c>
      <c r="B2507" s="1" t="s">
        <v>234</v>
      </c>
      <c r="C2507" s="2" t="s">
        <v>235</v>
      </c>
      <c r="D2507" s="1" t="str">
        <f>IFERROR(__xludf.DUMMYFUNCTION("GOOGLETRANSLATE(A2507 , ""auto"", ""ar"")"),"لا")</f>
        <v>لا</v>
      </c>
    </row>
    <row r="2508" ht="15.75" customHeight="1">
      <c r="A2508" s="1" t="s">
        <v>5034</v>
      </c>
      <c r="B2508" s="1" t="s">
        <v>5035</v>
      </c>
      <c r="C2508" s="2" t="s">
        <v>5036</v>
      </c>
      <c r="D2508" s="1" t="str">
        <f>IFERROR(__xludf.DUMMYFUNCTION("GOOGLETRANSLATE(A2508 , ""auto"", ""ar"")"),"لا احد")</f>
        <v>لا احد</v>
      </c>
    </row>
    <row r="2509" ht="15.75" customHeight="1">
      <c r="A2509" s="1" t="s">
        <v>5034</v>
      </c>
      <c r="B2509" s="1" t="s">
        <v>5037</v>
      </c>
      <c r="C2509" s="2" t="s">
        <v>5038</v>
      </c>
      <c r="D2509" s="1" t="str">
        <f>IFERROR(__xludf.DUMMYFUNCTION("GOOGLETRANSLATE(A2509 , ""auto"", ""ar"")"),"لا احد")</f>
        <v>لا احد</v>
      </c>
    </row>
    <row r="2510" ht="15.75" customHeight="1">
      <c r="A2510" s="1" t="s">
        <v>5039</v>
      </c>
      <c r="B2510" s="1" t="s">
        <v>5040</v>
      </c>
      <c r="C2510" s="2" t="s">
        <v>5041</v>
      </c>
      <c r="D2510" s="1" t="str">
        <f>IFERROR(__xludf.DUMMYFUNCTION("GOOGLETRANSLATE(A2510 , ""auto"", ""ar"")"),"ضوضاء")</f>
        <v>ضوضاء</v>
      </c>
    </row>
    <row r="2511" ht="15.75" customHeight="1">
      <c r="A2511" s="1" t="s">
        <v>5039</v>
      </c>
      <c r="B2511" s="1" t="s">
        <v>5042</v>
      </c>
      <c r="C2511" s="1"/>
      <c r="D2511" s="1" t="str">
        <f>IFERROR(__xludf.DUMMYFUNCTION("GOOGLETRANSLATE(A2511 , ""auto"", ""ar"")"),"ضوضاء")</f>
        <v>ضوضاء</v>
      </c>
    </row>
    <row r="2512" ht="15.75" customHeight="1">
      <c r="A2512" s="1" t="s">
        <v>5043</v>
      </c>
      <c r="B2512" s="1" t="s">
        <v>5044</v>
      </c>
      <c r="C2512" s="2" t="s">
        <v>5045</v>
      </c>
      <c r="D2512" s="1" t="str">
        <f>IFERROR(__xludf.DUMMYFUNCTION("GOOGLETRANSLATE(A2512 , ""auto"", ""ar"")"),"المعكرونة")</f>
        <v>المعكرونة</v>
      </c>
    </row>
    <row r="2513" ht="15.75" customHeight="1">
      <c r="A2513" s="1" t="s">
        <v>5046</v>
      </c>
      <c r="B2513" s="1" t="s">
        <v>2183</v>
      </c>
      <c r="C2513" s="2" t="s">
        <v>2184</v>
      </c>
      <c r="D2513" s="1" t="str">
        <f>IFERROR(__xludf.DUMMYFUNCTION("GOOGLETRANSLATE(A2513 , ""auto"", ""ar"")"),"طبيعي")</f>
        <v>طبيعي</v>
      </c>
    </row>
    <row r="2514" ht="15.75" customHeight="1">
      <c r="A2514" s="1" t="s">
        <v>5047</v>
      </c>
      <c r="B2514" s="1" t="s">
        <v>5048</v>
      </c>
      <c r="C2514" s="2" t="s">
        <v>5049</v>
      </c>
      <c r="D2514" s="1" t="str">
        <f>IFERROR(__xludf.DUMMYFUNCTION("GOOGLETRANSLATE(A2514 , ""auto"", ""ar"")"),"شمال")</f>
        <v>شمال</v>
      </c>
    </row>
    <row r="2515" ht="15.75" customHeight="1">
      <c r="A2515" s="1" t="s">
        <v>5050</v>
      </c>
      <c r="B2515" s="1" t="s">
        <v>5051</v>
      </c>
      <c r="C2515" s="2" t="s">
        <v>5052</v>
      </c>
      <c r="D2515" s="1" t="str">
        <f>IFERROR(__xludf.DUMMYFUNCTION("GOOGLETRANSLATE(A2515 , ""auto"", ""ar"")"),"أنف")</f>
        <v>أنف</v>
      </c>
    </row>
    <row r="2516" ht="15.75" customHeight="1">
      <c r="A2516" s="1" t="s">
        <v>5050</v>
      </c>
      <c r="B2516" s="1" t="s">
        <v>5053</v>
      </c>
      <c r="C2516" s="2" t="s">
        <v>5054</v>
      </c>
      <c r="D2516" s="1" t="str">
        <f>IFERROR(__xludf.DUMMYFUNCTION("GOOGLETRANSLATE(A2516 , ""auto"", ""ar"")"),"أنف")</f>
        <v>أنف</v>
      </c>
    </row>
    <row r="2517" ht="15.75" customHeight="1">
      <c r="A2517" s="1" t="s">
        <v>5055</v>
      </c>
      <c r="B2517" s="1" t="s">
        <v>5056</v>
      </c>
      <c r="C2517" s="2" t="s">
        <v>5057</v>
      </c>
      <c r="D2517" s="1" t="str">
        <f>IFERROR(__xludf.DUMMYFUNCTION("GOOGLETRANSLATE(A2517 , ""auto"", ""ar"")"),"لا")</f>
        <v>لا</v>
      </c>
    </row>
    <row r="2518" ht="15.75" customHeight="1">
      <c r="A2518" s="1" t="s">
        <v>5058</v>
      </c>
      <c r="B2518" s="1" t="s">
        <v>5059</v>
      </c>
      <c r="C2518" s="2" t="s">
        <v>5060</v>
      </c>
      <c r="D2518" s="1" t="str">
        <f>IFERROR(__xludf.DUMMYFUNCTION("GOOGLETRANSLATE(A2518 , ""auto"", ""ar"")"),"لا ... أي شيء")</f>
        <v>لا ... أي شيء</v>
      </c>
    </row>
    <row r="2519" ht="15.75" customHeight="1">
      <c r="A2519" s="1" t="s">
        <v>5058</v>
      </c>
      <c r="B2519" s="1" t="s">
        <v>5061</v>
      </c>
      <c r="C2519" s="2" t="s">
        <v>5062</v>
      </c>
      <c r="D2519" s="1" t="str">
        <f>IFERROR(__xludf.DUMMYFUNCTION("GOOGLETRANSLATE(A2519 , ""auto"", ""ar"")"),"لا ... أي شيء")</f>
        <v>لا ... أي شيء</v>
      </c>
    </row>
    <row r="2520" ht="15.75" customHeight="1">
      <c r="A2520" s="1" t="s">
        <v>5063</v>
      </c>
      <c r="B2520" s="1" t="s">
        <v>5064</v>
      </c>
      <c r="C2520" s="2" t="s">
        <v>5065</v>
      </c>
      <c r="D2520" s="1" t="str">
        <f>IFERROR(__xludf.DUMMYFUNCTION("GOOGLETRANSLATE(A2520 , ""auto"", ""ar"")"),"مُطْلَقاً")</f>
        <v>مُطْلَقاً</v>
      </c>
    </row>
    <row r="2521" ht="15.75" customHeight="1">
      <c r="A2521" s="1" t="s">
        <v>5066</v>
      </c>
      <c r="B2521" s="1" t="s">
        <v>5067</v>
      </c>
      <c r="C2521" s="2" t="s">
        <v>5068</v>
      </c>
      <c r="D2521" s="1" t="str">
        <f>IFERROR(__xludf.DUMMYFUNCTION("GOOGLETRANSLATE(A2521 , ""auto"", ""ar"")"),"ليس بعد")</f>
        <v>ليس بعد</v>
      </c>
    </row>
    <row r="2522" ht="15.75" customHeight="1">
      <c r="A2522" s="1" t="s">
        <v>5066</v>
      </c>
      <c r="B2522" s="1" t="s">
        <v>5069</v>
      </c>
      <c r="C2522" s="2" t="s">
        <v>5070</v>
      </c>
      <c r="D2522" s="1" t="str">
        <f>IFERROR(__xludf.DUMMYFUNCTION("GOOGLETRANSLATE(A2522 , ""auto"", ""ar"")"),"ليس بعد")</f>
        <v>ليس بعد</v>
      </c>
    </row>
    <row r="2523" ht="15.75" customHeight="1">
      <c r="A2523" s="1" t="s">
        <v>5066</v>
      </c>
      <c r="B2523" s="1" t="s">
        <v>5071</v>
      </c>
      <c r="C2523" s="1"/>
      <c r="D2523" s="1" t="str">
        <f>IFERROR(__xludf.DUMMYFUNCTION("GOOGLETRANSLATE(A2523 , ""auto"", ""ar"")"),"ليس بعد")</f>
        <v>ليس بعد</v>
      </c>
    </row>
    <row r="2524" ht="15.75" customHeight="1">
      <c r="A2524" s="1" t="s">
        <v>5072</v>
      </c>
      <c r="B2524" s="1" t="s">
        <v>5073</v>
      </c>
      <c r="C2524" s="2" t="s">
        <v>5074</v>
      </c>
      <c r="D2524" s="1" t="str">
        <f>IFERROR(__xludf.DUMMYFUNCTION("GOOGLETRANSLATE(A2524 , ""auto"", ""ar"")"),"كاتب عدل")</f>
        <v>كاتب عدل</v>
      </c>
    </row>
    <row r="2525" ht="15.75" customHeight="1">
      <c r="A2525" s="1" t="s">
        <v>5075</v>
      </c>
      <c r="B2525" s="1" t="s">
        <v>2532</v>
      </c>
      <c r="C2525" s="2" t="s">
        <v>2533</v>
      </c>
      <c r="D2525" s="1" t="str">
        <f>IFERROR(__xludf.DUMMYFUNCTION("GOOGLETRANSLATE(A2525 , ""auto"", ""ar"")"),"دفتر")</f>
        <v>دفتر</v>
      </c>
    </row>
    <row r="2526" ht="15.75" customHeight="1">
      <c r="A2526" s="1" t="s">
        <v>5076</v>
      </c>
      <c r="B2526" s="1" t="s">
        <v>5077</v>
      </c>
      <c r="C2526" s="2" t="s">
        <v>5078</v>
      </c>
      <c r="D2526" s="1" t="str">
        <f>IFERROR(__xludf.DUMMYFUNCTION("GOOGLETRANSLATE(A2526 , ""auto"", ""ar"")"),"لا شئ")</f>
        <v>لا شئ</v>
      </c>
    </row>
    <row r="2527" ht="15.75" customHeight="1">
      <c r="A2527" s="1" t="s">
        <v>5079</v>
      </c>
      <c r="B2527" s="1" t="s">
        <v>5080</v>
      </c>
      <c r="C2527" s="2" t="s">
        <v>5081</v>
      </c>
      <c r="D2527" s="1" t="str">
        <f>IFERROR(__xludf.DUMMYFUNCTION("GOOGLETRANSLATE(A2527 , ""auto"", ""ar"")"),"اسم")</f>
        <v>اسم</v>
      </c>
    </row>
    <row r="2528" ht="15.75" customHeight="1">
      <c r="A2528" s="1" t="s">
        <v>5082</v>
      </c>
      <c r="B2528" s="1" t="s">
        <v>4775</v>
      </c>
      <c r="C2528" s="2" t="s">
        <v>5083</v>
      </c>
      <c r="D2528" s="1" t="str">
        <f>IFERROR(__xludf.DUMMYFUNCTION("GOOGLETRANSLATE(A2528 , ""auto"", ""ar"")"),"شهر نوفمبر")</f>
        <v>شهر نوفمبر</v>
      </c>
    </row>
    <row r="2529" ht="15.75" customHeight="1">
      <c r="A2529" s="1" t="s">
        <v>5082</v>
      </c>
      <c r="B2529" s="1" t="s">
        <v>5084</v>
      </c>
      <c r="C2529" s="1"/>
      <c r="D2529" s="1" t="str">
        <f>IFERROR(__xludf.DUMMYFUNCTION("GOOGLETRANSLATE(A2529 , ""auto"", ""ar"")"),"شهر نوفمبر")</f>
        <v>شهر نوفمبر</v>
      </c>
    </row>
    <row r="2530" ht="15.75" customHeight="1">
      <c r="A2530" s="1" t="s">
        <v>5082</v>
      </c>
      <c r="B2530" s="1" t="s">
        <v>5085</v>
      </c>
      <c r="C2530" s="2" t="s">
        <v>5086</v>
      </c>
      <c r="D2530" s="1" t="str">
        <f>IFERROR(__xludf.DUMMYFUNCTION("GOOGLETRANSLATE(A2530 , ""auto"", ""ar"")"),"شهر نوفمبر")</f>
        <v>شهر نوفمبر</v>
      </c>
    </row>
    <row r="2531" ht="15.75" customHeight="1">
      <c r="A2531" s="1" t="s">
        <v>5087</v>
      </c>
      <c r="B2531" s="1" t="s">
        <v>5088</v>
      </c>
      <c r="C2531" s="2" t="s">
        <v>5089</v>
      </c>
      <c r="D2531" s="1" t="str">
        <f>IFERROR(__xludf.DUMMYFUNCTION("GOOGLETRANSLATE(A2531 , ""auto"", ""ar"")"),"الآن")</f>
        <v>الآن</v>
      </c>
    </row>
    <row r="2532" ht="15.75" customHeight="1">
      <c r="A2532" s="1" t="s">
        <v>5087</v>
      </c>
      <c r="B2532" s="1" t="s">
        <v>5090</v>
      </c>
      <c r="C2532" s="2" t="s">
        <v>5091</v>
      </c>
      <c r="D2532" s="1" t="str">
        <f>IFERROR(__xludf.DUMMYFUNCTION("GOOGLETRANSLATE(A2532 , ""auto"", ""ar"")"),"الآن")</f>
        <v>الآن</v>
      </c>
    </row>
    <row r="2533" ht="15.75" customHeight="1">
      <c r="A2533" s="1" t="s">
        <v>5087</v>
      </c>
      <c r="B2533" s="1" t="s">
        <v>5092</v>
      </c>
      <c r="C2533" s="2" t="s">
        <v>5093</v>
      </c>
      <c r="D2533" s="1" t="str">
        <f>IFERROR(__xludf.DUMMYFUNCTION("GOOGLETRANSLATE(A2533 , ""auto"", ""ar"")"),"الآن")</f>
        <v>الآن</v>
      </c>
    </row>
    <row r="2534" ht="15.75" customHeight="1">
      <c r="A2534" s="1" t="s">
        <v>5094</v>
      </c>
      <c r="B2534" s="1" t="s">
        <v>5095</v>
      </c>
      <c r="C2534" s="2" t="s">
        <v>5096</v>
      </c>
      <c r="D2534" s="1" t="str">
        <f>IFERROR(__xludf.DUMMYFUNCTION("GOOGLETRANSLATE(A2534 , ""auto"", ""ar"")"),"في أي مكان")</f>
        <v>في أي مكان</v>
      </c>
    </row>
    <row r="2535" ht="15.75" customHeight="1">
      <c r="A2535" s="1" t="s">
        <v>5097</v>
      </c>
      <c r="B2535" s="1" t="s">
        <v>5098</v>
      </c>
      <c r="C2535" s="2" t="s">
        <v>5099</v>
      </c>
      <c r="D2535" s="1" t="str">
        <f>IFERROR(__xludf.DUMMYFUNCTION("GOOGLETRANSLATE(A2535 , ""auto"", ""ar"")"),"رقم")</f>
        <v>رقم</v>
      </c>
    </row>
    <row r="2536" ht="15.75" customHeight="1">
      <c r="A2536" s="1" t="s">
        <v>5097</v>
      </c>
      <c r="B2536" s="1" t="s">
        <v>5100</v>
      </c>
      <c r="C2536" s="2" t="s">
        <v>5101</v>
      </c>
      <c r="D2536" s="1" t="str">
        <f>IFERROR(__xludf.DUMMYFUNCTION("GOOGLETRANSLATE(A2536 , ""auto"", ""ar"")"),"رقم")</f>
        <v>رقم</v>
      </c>
    </row>
    <row r="2537" ht="15.75" customHeight="1">
      <c r="A2537" s="1" t="s">
        <v>5102</v>
      </c>
      <c r="B2537" s="1" t="s">
        <v>5103</v>
      </c>
      <c r="C2537" s="2" t="s">
        <v>5104</v>
      </c>
      <c r="D2537" s="1" t="str">
        <f>IFERROR(__xludf.DUMMYFUNCTION("GOOGLETRANSLATE(A2537 , ""auto"", ""ar"")"),"ممرضة")</f>
        <v>ممرضة</v>
      </c>
    </row>
    <row r="2538" ht="15.75" customHeight="1">
      <c r="A2538" s="1" t="s">
        <v>5105</v>
      </c>
      <c r="B2538" s="1" t="s">
        <v>5106</v>
      </c>
      <c r="C2538" s="2" t="s">
        <v>5107</v>
      </c>
      <c r="D2538" s="1" t="str">
        <f>IFERROR(__xludf.DUMMYFUNCTION("GOOGLETRANSLATE(A2538 , ""auto"", ""ar"")"),"بندق")</f>
        <v>بندق</v>
      </c>
    </row>
    <row r="2539" ht="15.75" customHeight="1">
      <c r="A2539" s="1" t="s">
        <v>466</v>
      </c>
      <c r="B2539" s="1" t="s">
        <v>467</v>
      </c>
      <c r="C2539" s="2" t="s">
        <v>468</v>
      </c>
      <c r="D2539" s="1" t="str">
        <f>IFERROR(__xludf.DUMMYFUNCTION("GOOGLETRANSLATE(A2539 , ""auto"", ""ar"")"),"اسم العائلة")</f>
        <v>اسم العائلة</v>
      </c>
    </row>
    <row r="2540" ht="15.75" customHeight="1">
      <c r="A2540" s="1" t="s">
        <v>43</v>
      </c>
      <c r="B2540" s="1" t="s">
        <v>44</v>
      </c>
      <c r="C2540" s="2" t="s">
        <v>45</v>
      </c>
      <c r="D2540" s="1" t="str">
        <f>IFERROR(__xludf.DUMMYFUNCTION("GOOGLETRANSLATE(A2540 , ""auto"", ""ar"")"),"مقبول")</f>
        <v>مقبول</v>
      </c>
    </row>
    <row r="2541" ht="15.75" customHeight="1">
      <c r="A2541" s="1" t="s">
        <v>469</v>
      </c>
      <c r="B2541" s="1" t="s">
        <v>470</v>
      </c>
      <c r="C2541" s="2" t="s">
        <v>471</v>
      </c>
      <c r="D2541" s="1" t="str">
        <f>IFERROR(__xludf.DUMMYFUNCTION("GOOGLETRANSLATE(A2541 , ""auto"", ""ar"")"),"التصالح")</f>
        <v>التصالح</v>
      </c>
    </row>
    <row r="2542" ht="15.75" customHeight="1">
      <c r="A2542" s="1" t="s">
        <v>472</v>
      </c>
      <c r="B2542" s="1" t="s">
        <v>473</v>
      </c>
      <c r="C2542" s="2" t="s">
        <v>474</v>
      </c>
      <c r="D2542" s="1" t="str">
        <f>IFERROR(__xludf.DUMMYFUNCTION("GOOGLETRANSLATE(A2542 , ""auto"", ""ar"")"),"مغفرة")</f>
        <v>مغفرة</v>
      </c>
    </row>
    <row r="2543" ht="15.75" customHeight="1">
      <c r="A2543" s="1" t="s">
        <v>475</v>
      </c>
      <c r="B2543" s="1" t="s">
        <v>476</v>
      </c>
      <c r="C2543" s="2" t="s">
        <v>477</v>
      </c>
      <c r="D2543" s="1" t="str">
        <f>IFERROR(__xludf.DUMMYFUNCTION("GOOGLETRANSLATE(A2543 , ""auto"", ""ar"")"),"يخبر")</f>
        <v>يخبر</v>
      </c>
    </row>
    <row r="2544" ht="15.75" customHeight="1">
      <c r="A2544" s="1" t="s">
        <v>5108</v>
      </c>
      <c r="B2544" s="1" t="s">
        <v>5109</v>
      </c>
      <c r="C2544" s="2" t="s">
        <v>5110</v>
      </c>
      <c r="D2544" s="1" t="str">
        <f>IFERROR(__xludf.DUMMYFUNCTION("GOOGLETRANSLATE(A2544 , ""auto"", ""ar"")"),"يطيع")</f>
        <v>يطيع</v>
      </c>
    </row>
    <row r="2545" ht="15.75" customHeight="1">
      <c r="A2545" s="1" t="s">
        <v>5111</v>
      </c>
      <c r="B2545" s="1" t="s">
        <v>5112</v>
      </c>
      <c r="C2545" s="2" t="s">
        <v>5113</v>
      </c>
      <c r="D2545" s="1" t="str">
        <f>IFERROR(__xludf.DUMMYFUNCTION("GOOGLETRANSLATE(A2545 , ""auto"", ""ar"")"),"محيط")</f>
        <v>محيط</v>
      </c>
    </row>
    <row r="2546" ht="15.75" customHeight="1">
      <c r="A2546" s="1" t="s">
        <v>5114</v>
      </c>
      <c r="B2546" s="1" t="s">
        <v>4775</v>
      </c>
      <c r="C2546" s="2" t="s">
        <v>5115</v>
      </c>
      <c r="D2546" s="1" t="str">
        <f>IFERROR(__xludf.DUMMYFUNCTION("GOOGLETRANSLATE(A2546 , ""auto"", ""ar"")"),"اكتوبر")</f>
        <v>اكتوبر</v>
      </c>
    </row>
    <row r="2547" ht="15.75" customHeight="1">
      <c r="A2547" s="1" t="s">
        <v>5114</v>
      </c>
      <c r="B2547" s="1" t="s">
        <v>5116</v>
      </c>
      <c r="C2547" s="2" t="s">
        <v>5117</v>
      </c>
      <c r="D2547" s="1" t="str">
        <f>IFERROR(__xludf.DUMMYFUNCTION("GOOGLETRANSLATE(A2547 , ""auto"", ""ar"")"),"اكتوبر")</f>
        <v>اكتوبر</v>
      </c>
    </row>
    <row r="2548" ht="15.75" customHeight="1">
      <c r="A2548" s="1" t="s">
        <v>5118</v>
      </c>
      <c r="B2548" s="1" t="s">
        <v>708</v>
      </c>
      <c r="C2548" s="2" t="s">
        <v>709</v>
      </c>
      <c r="D2548" s="1" t="str">
        <f>IFERROR(__xludf.DUMMYFUNCTION("GOOGLETRANSLATE(A2548 , ""auto"", ""ar"")"),"ل")</f>
        <v>ل</v>
      </c>
    </row>
    <row r="2549" ht="15.75" customHeight="1">
      <c r="A2549" s="1" t="s">
        <v>5118</v>
      </c>
      <c r="B2549" s="1" t="s">
        <v>708</v>
      </c>
      <c r="C2549" s="2" t="s">
        <v>709</v>
      </c>
      <c r="D2549" s="1" t="str">
        <f>IFERROR(__xludf.DUMMYFUNCTION("GOOGLETRANSLATE(A2549 , ""auto"", ""ar"")"),"ل")</f>
        <v>ل</v>
      </c>
    </row>
    <row r="2550" ht="15.75" customHeight="1">
      <c r="A2550" s="1" t="s">
        <v>5118</v>
      </c>
      <c r="B2550" s="1" t="s">
        <v>5119</v>
      </c>
      <c r="C2550" s="2" t="s">
        <v>5120</v>
      </c>
      <c r="D2550" s="1" t="str">
        <f>IFERROR(__xludf.DUMMYFUNCTION("GOOGLETRANSLATE(A2550 , ""auto"", ""ar"")"),"ل")</f>
        <v>ل</v>
      </c>
    </row>
    <row r="2551" ht="15.75" customHeight="1">
      <c r="A2551" s="1" t="s">
        <v>5121</v>
      </c>
      <c r="B2551" s="1" t="s">
        <v>5122</v>
      </c>
      <c r="C2551" s="2" t="s">
        <v>5123</v>
      </c>
      <c r="D2551" s="1" t="str">
        <f>IFERROR(__xludf.DUMMYFUNCTION("GOOGLETRANSLATE(A2551 , ""auto"", ""ar"")"),"بالطبع")</f>
        <v>بالطبع</v>
      </c>
    </row>
    <row r="2552" ht="15.75" customHeight="1">
      <c r="A2552" s="1" t="s">
        <v>5121</v>
      </c>
      <c r="B2552" s="1" t="s">
        <v>5124</v>
      </c>
      <c r="C2552" s="2" t="s">
        <v>5125</v>
      </c>
      <c r="D2552" s="1" t="str">
        <f>IFERROR(__xludf.DUMMYFUNCTION("GOOGLETRANSLATE(A2552 , ""auto"", ""ar"")"),"بالطبع")</f>
        <v>بالطبع</v>
      </c>
    </row>
    <row r="2553" ht="15.75" customHeight="1">
      <c r="A2553" s="1" t="s">
        <v>5121</v>
      </c>
      <c r="B2553" s="1" t="s">
        <v>5126</v>
      </c>
      <c r="C2553" s="2" t="s">
        <v>5127</v>
      </c>
      <c r="D2553" s="1" t="str">
        <f>IFERROR(__xludf.DUMMYFUNCTION("GOOGLETRANSLATE(A2553 , ""auto"", ""ar"")"),"بالطبع")</f>
        <v>بالطبع</v>
      </c>
    </row>
    <row r="2554" ht="15.75" customHeight="1">
      <c r="A2554" s="1" t="s">
        <v>5128</v>
      </c>
      <c r="B2554" s="1" t="s">
        <v>5129</v>
      </c>
      <c r="C2554" s="2" t="s">
        <v>5130</v>
      </c>
      <c r="D2554" s="1" t="str">
        <f>IFERROR(__xludf.DUMMYFUNCTION("GOOGLETRANSLATE(A2554 , ""auto"", ""ar"")"),"عن")</f>
        <v>عن</v>
      </c>
    </row>
    <row r="2555" ht="15.75" customHeight="1">
      <c r="A2555" s="1" t="s">
        <v>5131</v>
      </c>
      <c r="B2555" s="1" t="s">
        <v>2019</v>
      </c>
      <c r="C2555" s="2" t="s">
        <v>2020</v>
      </c>
      <c r="D2555" s="1" t="str">
        <f>IFERROR(__xludf.DUMMYFUNCTION("GOOGLETRANSLATE(A2555 , ""auto"", ""ar"")"),"مكتب")</f>
        <v>مكتب</v>
      </c>
    </row>
    <row r="2556" ht="15.75" customHeight="1">
      <c r="A2556" s="1" t="s">
        <v>5131</v>
      </c>
      <c r="B2556" s="1" t="s">
        <v>2021</v>
      </c>
      <c r="C2556" s="2" t="s">
        <v>2022</v>
      </c>
      <c r="D2556" s="1" t="str">
        <f>IFERROR(__xludf.DUMMYFUNCTION("GOOGLETRANSLATE(A2556 , ""auto"", ""ar"")"),"مكتب")</f>
        <v>مكتب</v>
      </c>
    </row>
    <row r="2557" ht="15.75" customHeight="1">
      <c r="A2557" s="1" t="s">
        <v>5132</v>
      </c>
      <c r="B2557" s="1" t="s">
        <v>5133</v>
      </c>
      <c r="C2557" s="2" t="s">
        <v>5134</v>
      </c>
      <c r="D2557" s="1" t="str">
        <f>IFERROR(__xludf.DUMMYFUNCTION("GOOGLETRANSLATE(A2557 , ""auto"", ""ar"")"),"غالباً")</f>
        <v>غالباً</v>
      </c>
    </row>
    <row r="2558" ht="15.75" customHeight="1">
      <c r="A2558" s="1" t="s">
        <v>5132</v>
      </c>
      <c r="B2558" s="1" t="s">
        <v>5135</v>
      </c>
      <c r="C2558" s="1"/>
      <c r="D2558" s="1" t="str">
        <f>IFERROR(__xludf.DUMMYFUNCTION("GOOGLETRANSLATE(A2558 , ""auto"", ""ar"")"),"غالباً")</f>
        <v>غالباً</v>
      </c>
    </row>
    <row r="2559" ht="15.75" customHeight="1">
      <c r="A2559" s="1" t="s">
        <v>5136</v>
      </c>
      <c r="B2559" s="1" t="s">
        <v>5137</v>
      </c>
      <c r="C2559" s="1"/>
      <c r="D2559" s="1" t="str">
        <f>IFERROR(__xludf.DUMMYFUNCTION("GOOGLETRANSLATE(A2559 , ""auto"", ""ar"")"),"يا الهي!")</f>
        <v>يا الهي!</v>
      </c>
    </row>
    <row r="2560" ht="15.75" customHeight="1">
      <c r="A2560" s="1" t="s">
        <v>5136</v>
      </c>
      <c r="B2560" s="1" t="s">
        <v>5138</v>
      </c>
      <c r="C2560" s="1"/>
      <c r="D2560" s="1" t="str">
        <f>IFERROR(__xludf.DUMMYFUNCTION("GOOGLETRANSLATE(A2560 , ""auto"", ""ar"")"),"يا الهي!")</f>
        <v>يا الهي!</v>
      </c>
    </row>
    <row r="2561" ht="15.75" customHeight="1">
      <c r="A2561" s="1" t="s">
        <v>5136</v>
      </c>
      <c r="B2561" s="1" t="s">
        <v>5139</v>
      </c>
      <c r="C2561" s="1"/>
      <c r="D2561" s="1" t="str">
        <f>IFERROR(__xludf.DUMMYFUNCTION("GOOGLETRANSLATE(A2561 , ""auto"", ""ar"")"),"يا الهي!")</f>
        <v>يا الهي!</v>
      </c>
    </row>
    <row r="2562" ht="15.75" customHeight="1">
      <c r="A2562" s="1" t="s">
        <v>5140</v>
      </c>
      <c r="B2562" s="1" t="s">
        <v>5141</v>
      </c>
      <c r="C2562" s="2" t="s">
        <v>5142</v>
      </c>
      <c r="D2562" s="1" t="str">
        <f>IFERROR(__xludf.DUMMYFUNCTION("GOOGLETRANSLATE(A2562 , ""auto"", ""ar"")"),"زيت")</f>
        <v>زيت</v>
      </c>
    </row>
    <row r="2563" ht="15.75" customHeight="1">
      <c r="A2563" s="1" t="s">
        <v>5143</v>
      </c>
      <c r="B2563" s="1" t="s">
        <v>2728</v>
      </c>
      <c r="C2563" s="2" t="s">
        <v>2729</v>
      </c>
      <c r="D2563" s="1" t="str">
        <f>IFERROR(__xludf.DUMMYFUNCTION("GOOGLETRANSLATE(A2563 , ""auto"", ""ar"")"),"نعم")</f>
        <v>نعم</v>
      </c>
    </row>
    <row r="2564" ht="15.75" customHeight="1">
      <c r="A2564" s="1" t="s">
        <v>5143</v>
      </c>
      <c r="B2564" s="1" t="s">
        <v>2730</v>
      </c>
      <c r="C2564" s="2" t="s">
        <v>2731</v>
      </c>
      <c r="D2564" s="1" t="str">
        <f>IFERROR(__xludf.DUMMYFUNCTION("GOOGLETRANSLATE(A2564 , ""auto"", ""ar"")"),"نعم")</f>
        <v>نعم</v>
      </c>
    </row>
    <row r="2565" ht="15.75" customHeight="1">
      <c r="A2565" s="1" t="s">
        <v>5143</v>
      </c>
      <c r="B2565" s="1" t="s">
        <v>5144</v>
      </c>
      <c r="C2565" s="2" t="s">
        <v>2027</v>
      </c>
      <c r="D2565" s="1" t="str">
        <f>IFERROR(__xludf.DUMMYFUNCTION("GOOGLETRANSLATE(A2565 , ""auto"", ""ar"")"),"نعم")</f>
        <v>نعم</v>
      </c>
    </row>
    <row r="2566" ht="15.75" customHeight="1">
      <c r="A2566" s="1" t="s">
        <v>5145</v>
      </c>
      <c r="B2566" s="1" t="s">
        <v>2728</v>
      </c>
      <c r="C2566" s="2" t="s">
        <v>2729</v>
      </c>
      <c r="D2566" s="1" t="str">
        <f>IFERROR(__xludf.DUMMYFUNCTION("GOOGLETRANSLATE(A2566 , ""auto"", ""ar"")"),"تمام")</f>
        <v>تمام</v>
      </c>
    </row>
    <row r="2567" ht="15.75" customHeight="1">
      <c r="A2567" s="1" t="s">
        <v>5145</v>
      </c>
      <c r="B2567" s="1" t="s">
        <v>2730</v>
      </c>
      <c r="C2567" s="2" t="s">
        <v>2731</v>
      </c>
      <c r="D2567" s="1" t="str">
        <f>IFERROR(__xludf.DUMMYFUNCTION("GOOGLETRANSLATE(A2567 , ""auto"", ""ar"")"),"تمام")</f>
        <v>تمام</v>
      </c>
    </row>
    <row r="2568" ht="15.75" customHeight="1">
      <c r="A2568" s="1" t="s">
        <v>5145</v>
      </c>
      <c r="B2568" s="1" t="s">
        <v>5144</v>
      </c>
      <c r="C2568" s="2" t="s">
        <v>2027</v>
      </c>
      <c r="D2568" s="1" t="str">
        <f>IFERROR(__xludf.DUMMYFUNCTION("GOOGLETRANSLATE(A2568 , ""auto"", ""ar"")"),"تمام")</f>
        <v>تمام</v>
      </c>
    </row>
    <row r="2569" ht="15.75" customHeight="1">
      <c r="A2569" s="1" t="s">
        <v>5146</v>
      </c>
      <c r="B2569" s="1" t="s">
        <v>261</v>
      </c>
      <c r="C2569" s="2" t="s">
        <v>262</v>
      </c>
      <c r="D2569" s="1" t="str">
        <f>IFERROR(__xludf.DUMMYFUNCTION("GOOGLETRANSLATE(A2569 , ""auto"", ""ar"")"),"قديم")</f>
        <v>قديم</v>
      </c>
    </row>
    <row r="2570" ht="15.75" customHeight="1">
      <c r="A2570" s="1" t="s">
        <v>5146</v>
      </c>
      <c r="B2570" s="1" t="s">
        <v>755</v>
      </c>
      <c r="C2570" s="2" t="s">
        <v>756</v>
      </c>
      <c r="D2570" s="1" t="str">
        <f>IFERROR(__xludf.DUMMYFUNCTION("GOOGLETRANSLATE(A2570 , ""auto"", ""ar"")"),"قديم")</f>
        <v>قديم</v>
      </c>
    </row>
    <row r="2571" ht="15.75" customHeight="1">
      <c r="A2571" s="1" t="s">
        <v>5146</v>
      </c>
      <c r="B2571" s="1" t="s">
        <v>5147</v>
      </c>
      <c r="C2571" s="2" t="s">
        <v>5148</v>
      </c>
      <c r="D2571" s="1" t="str">
        <f>IFERROR(__xludf.DUMMYFUNCTION("GOOGLETRANSLATE(A2571 , ""auto"", ""ar"")"),"قديم")</f>
        <v>قديم</v>
      </c>
    </row>
    <row r="2572" ht="15.75" customHeight="1">
      <c r="A2572" s="1" t="s">
        <v>5149</v>
      </c>
      <c r="B2572" s="1" t="s">
        <v>5150</v>
      </c>
      <c r="C2572" s="2" t="s">
        <v>5151</v>
      </c>
      <c r="D2572" s="1" t="str">
        <f>IFERROR(__xludf.DUMMYFUNCTION("GOOGLETRANSLATE(A2572 , ""auto"", ""ar"")"),"اكبر سنا")</f>
        <v>اكبر سنا</v>
      </c>
    </row>
    <row r="2573" ht="15.75" customHeight="1">
      <c r="A2573" s="1" t="s">
        <v>5149</v>
      </c>
      <c r="B2573" s="1" t="s">
        <v>758</v>
      </c>
      <c r="C2573" s="2" t="s">
        <v>759</v>
      </c>
      <c r="D2573" s="1" t="str">
        <f>IFERROR(__xludf.DUMMYFUNCTION("GOOGLETRANSLATE(A2573 , ""auto"", ""ar"")"),"اكبر سنا")</f>
        <v>اكبر سنا</v>
      </c>
    </row>
    <row r="2574" ht="15.75" customHeight="1">
      <c r="A2574" s="1" t="s">
        <v>5152</v>
      </c>
      <c r="B2574" s="1" t="s">
        <v>5153</v>
      </c>
      <c r="C2574" s="2" t="s">
        <v>5154</v>
      </c>
      <c r="D2574" s="1" t="str">
        <f>IFERROR(__xludf.DUMMYFUNCTION("GOOGLETRANSLATE(A2574 , ""auto"", ""ar"")"),"زيتون")</f>
        <v>زيتون</v>
      </c>
    </row>
    <row r="2575" ht="15.75" customHeight="1">
      <c r="A2575" s="1" t="s">
        <v>5155</v>
      </c>
      <c r="B2575" s="1" t="s">
        <v>5141</v>
      </c>
      <c r="C2575" s="1"/>
      <c r="D2575" s="1" t="str">
        <f>IFERROR(__xludf.DUMMYFUNCTION("GOOGLETRANSLATE(A2575 , ""auto"", ""ar"")"),"زيت الزيتون")</f>
        <v>زيت الزيتون</v>
      </c>
    </row>
    <row r="2576" ht="15.75" customHeight="1">
      <c r="A2576" s="1" t="s">
        <v>5155</v>
      </c>
      <c r="B2576" s="1" t="s">
        <v>5141</v>
      </c>
      <c r="C2576" s="2" t="s">
        <v>5156</v>
      </c>
      <c r="D2576" s="1" t="str">
        <f>IFERROR(__xludf.DUMMYFUNCTION("GOOGLETRANSLATE(A2576 , ""auto"", ""ar"")"),"زيت الزيتون")</f>
        <v>زيت الزيتون</v>
      </c>
    </row>
    <row r="2577" ht="15.75" customHeight="1">
      <c r="A2577" s="1" t="s">
        <v>5157</v>
      </c>
      <c r="B2577" s="1" t="s">
        <v>5158</v>
      </c>
      <c r="C2577" s="2" t="s">
        <v>5159</v>
      </c>
      <c r="D2577" s="1" t="str">
        <f>IFERROR(__xludf.DUMMYFUNCTION("GOOGLETRANSLATE(A2577 , ""auto"", ""ar"")"),"على")</f>
        <v>على</v>
      </c>
    </row>
    <row r="2578" ht="15.75" customHeight="1">
      <c r="A2578" s="1" t="s">
        <v>5157</v>
      </c>
      <c r="B2578" s="1" t="s">
        <v>409</v>
      </c>
      <c r="C2578" s="2" t="s">
        <v>3770</v>
      </c>
      <c r="D2578" s="1" t="str">
        <f>IFERROR(__xludf.DUMMYFUNCTION("GOOGLETRANSLATE(A2578 , ""auto"", ""ar"")"),"على")</f>
        <v>على</v>
      </c>
    </row>
    <row r="2579" ht="15.75" customHeight="1">
      <c r="A2579" s="1" t="s">
        <v>5157</v>
      </c>
      <c r="B2579" s="1" t="s">
        <v>5160</v>
      </c>
      <c r="C2579" s="2" t="s">
        <v>5161</v>
      </c>
      <c r="D2579" s="1" t="str">
        <f>IFERROR(__xludf.DUMMYFUNCTION("GOOGLETRANSLATE(A2579 , ""auto"", ""ar"")"),"على")</f>
        <v>على</v>
      </c>
    </row>
    <row r="2580" ht="15.75" customHeight="1">
      <c r="A2580" s="1" t="s">
        <v>5157</v>
      </c>
      <c r="B2580" s="1" t="s">
        <v>5162</v>
      </c>
      <c r="C2580" s="2" t="s">
        <v>5163</v>
      </c>
      <c r="D2580" s="1" t="str">
        <f>IFERROR(__xludf.DUMMYFUNCTION("GOOGLETRANSLATE(A2580 , ""auto"", ""ar"")"),"على")</f>
        <v>على</v>
      </c>
    </row>
    <row r="2581" ht="15.75" customHeight="1">
      <c r="A2581" s="1" t="s">
        <v>5164</v>
      </c>
      <c r="B2581" s="1" t="s">
        <v>5165</v>
      </c>
      <c r="C2581" s="1"/>
      <c r="D2581" s="1" t="str">
        <f>IFERROR(__xludf.DUMMYFUNCTION("GOOGLETRANSLATE(A2581 , ""auto"", ""ar"")"),"في كل أربع")</f>
        <v>في كل أربع</v>
      </c>
    </row>
    <row r="2582" ht="15.75" customHeight="1">
      <c r="A2582" s="1" t="s">
        <v>5166</v>
      </c>
      <c r="B2582" s="1" t="s">
        <v>5167</v>
      </c>
      <c r="C2582" s="1"/>
      <c r="D2582" s="1" t="str">
        <f>IFERROR(__xludf.DUMMYFUNCTION("GOOGLETRANSLATE(A2582 , ""auto"", ""ar"")"),"سيرا على الاقدام")</f>
        <v>سيرا على الاقدام</v>
      </c>
    </row>
    <row r="2583" ht="15.75" customHeight="1">
      <c r="A2583" s="1" t="s">
        <v>5168</v>
      </c>
      <c r="B2583" s="1" t="s">
        <v>2785</v>
      </c>
      <c r="C2583" s="1"/>
      <c r="D2583" s="1" t="str">
        <f>IFERROR(__xludf.DUMMYFUNCTION("GOOGLETRANSLATE(A2583 , ""auto"", ""ar"")"),"على النقطة")</f>
        <v>على النقطة</v>
      </c>
    </row>
    <row r="2584" ht="15.75" customHeight="1">
      <c r="A2584" s="1" t="s">
        <v>5168</v>
      </c>
      <c r="B2584" s="1" t="s">
        <v>5169</v>
      </c>
      <c r="C2584" s="1"/>
      <c r="D2584" s="1" t="str">
        <f>IFERROR(__xludf.DUMMYFUNCTION("GOOGLETRANSLATE(A2584 , ""auto"", ""ar"")"),"على النقطة")</f>
        <v>على النقطة</v>
      </c>
    </row>
    <row r="2585" ht="15.75" customHeight="1">
      <c r="A2585" s="1" t="s">
        <v>5168</v>
      </c>
      <c r="B2585" s="1" t="s">
        <v>5170</v>
      </c>
      <c r="C2585" s="2" t="s">
        <v>5171</v>
      </c>
      <c r="D2585" s="1" t="str">
        <f>IFERROR(__xludf.DUMMYFUNCTION("GOOGLETRANSLATE(A2585 , ""auto"", ""ar"")"),"على النقطة")</f>
        <v>على النقطة</v>
      </c>
    </row>
    <row r="2586" ht="15.75" customHeight="1">
      <c r="A2586" s="1" t="s">
        <v>5172</v>
      </c>
      <c r="B2586" s="1" t="s">
        <v>5158</v>
      </c>
      <c r="C2586" s="2" t="s">
        <v>5159</v>
      </c>
      <c r="D2586" s="1" t="str">
        <f>IFERROR(__xludf.DUMMYFUNCTION("GOOGLETRANSLATE(A2586 , ""auto"", ""ar"")"),"في قمة ال")</f>
        <v>في قمة ال</v>
      </c>
    </row>
    <row r="2587" ht="15.75" customHeight="1">
      <c r="A2587" s="1" t="s">
        <v>5173</v>
      </c>
      <c r="B2587" s="1" t="s">
        <v>5174</v>
      </c>
      <c r="C2587" s="2" t="s">
        <v>5175</v>
      </c>
      <c r="D2587" s="1" t="str">
        <f>IFERROR(__xludf.DUMMYFUNCTION("GOOGLETRANSLATE(A2587 , ""auto"", ""ar"")"),"واحد")</f>
        <v>واحد</v>
      </c>
    </row>
    <row r="2588" ht="15.75" customHeight="1">
      <c r="A2588" s="1" t="s">
        <v>5176</v>
      </c>
      <c r="B2588" s="1" t="s">
        <v>2287</v>
      </c>
      <c r="C2588" s="1"/>
      <c r="D2588" s="1" t="str">
        <f>IFERROR(__xludf.DUMMYFUNCTION("GOOGLETRANSLATE(A2588 , ""auto"", ""ar"")"),"واحد اخر")</f>
        <v>واحد اخر</v>
      </c>
    </row>
    <row r="2589" ht="15.75" customHeight="1">
      <c r="A2589" s="1" t="s">
        <v>5177</v>
      </c>
      <c r="B2589" s="1" t="s">
        <v>3481</v>
      </c>
      <c r="C2589" s="1"/>
      <c r="D2589" s="1" t="str">
        <f>IFERROR(__xludf.DUMMYFUNCTION("GOOGLETRANSLATE(A2589 , ""auto"", ""ar"")"),"نفسه - ذاته")</f>
        <v>نفسه - ذاته</v>
      </c>
    </row>
    <row r="2590" ht="15.75" customHeight="1">
      <c r="A2590" s="1" t="s">
        <v>5178</v>
      </c>
      <c r="B2590" s="1" t="s">
        <v>5179</v>
      </c>
      <c r="C2590" s="2" t="s">
        <v>5180</v>
      </c>
      <c r="D2590" s="1" t="str">
        <f>IFERROR(__xludf.DUMMYFUNCTION("GOOGLETRANSLATE(A2590 , ""auto"", ""ar"")"),"بصلة")</f>
        <v>بصلة</v>
      </c>
    </row>
    <row r="2591" ht="15.75" customHeight="1">
      <c r="A2591" s="1" t="s">
        <v>5181</v>
      </c>
      <c r="B2591" s="1" t="s">
        <v>4055</v>
      </c>
      <c r="C2591" s="2" t="s">
        <v>4056</v>
      </c>
      <c r="D2591" s="1" t="str">
        <f>IFERROR(__xludf.DUMMYFUNCTION("GOOGLETRANSLATE(A2591 , ""auto"", ""ar"")"),"فقط")</f>
        <v>فقط</v>
      </c>
    </row>
    <row r="2592" ht="15.75" customHeight="1">
      <c r="A2592" s="1" t="s">
        <v>5182</v>
      </c>
      <c r="B2592" s="1" t="s">
        <v>5183</v>
      </c>
      <c r="C2592" s="2" t="s">
        <v>5184</v>
      </c>
      <c r="D2592" s="1" t="str">
        <f>IFERROR(__xludf.DUMMYFUNCTION("GOOGLETRANSLATE(A2592 , ""auto"", ""ar"")"),"يفتح")</f>
        <v>يفتح</v>
      </c>
    </row>
    <row r="2593" ht="15.75" customHeight="1">
      <c r="A2593" s="1" t="s">
        <v>5182</v>
      </c>
      <c r="B2593" s="1" t="s">
        <v>5185</v>
      </c>
      <c r="C2593" s="2" t="s">
        <v>5186</v>
      </c>
      <c r="D2593" s="1" t="str">
        <f>IFERROR(__xludf.DUMMYFUNCTION("GOOGLETRANSLATE(A2593 , ""auto"", ""ar"")"),"يفتح")</f>
        <v>يفتح</v>
      </c>
    </row>
    <row r="2594" ht="15.75" customHeight="1">
      <c r="A2594" s="1" t="s">
        <v>5182</v>
      </c>
      <c r="B2594" s="1" t="s">
        <v>5187</v>
      </c>
      <c r="C2594" s="2" t="s">
        <v>5188</v>
      </c>
      <c r="D2594" s="1" t="str">
        <f>IFERROR(__xludf.DUMMYFUNCTION("GOOGLETRANSLATE(A2594 , ""auto"", ""ar"")"),"يفتح")</f>
        <v>يفتح</v>
      </c>
    </row>
    <row r="2595" ht="15.75" customHeight="1">
      <c r="A2595" s="1" t="s">
        <v>5182</v>
      </c>
      <c r="B2595" s="1" t="s">
        <v>5189</v>
      </c>
      <c r="C2595" s="2" t="s">
        <v>5190</v>
      </c>
      <c r="D2595" s="1" t="str">
        <f>IFERROR(__xludf.DUMMYFUNCTION("GOOGLETRANSLATE(A2595 , ""auto"", ""ar"")"),"يفتح")</f>
        <v>يفتح</v>
      </c>
    </row>
    <row r="2596" ht="15.75" customHeight="1">
      <c r="A2596" s="1" t="s">
        <v>5182</v>
      </c>
      <c r="B2596" s="1" t="s">
        <v>4311</v>
      </c>
      <c r="C2596" s="2" t="s">
        <v>4312</v>
      </c>
      <c r="D2596" s="1" t="str">
        <f>IFERROR(__xludf.DUMMYFUNCTION("GOOGLETRANSLATE(A2596 , ""auto"", ""ar"")"),"يفتح")</f>
        <v>يفتح</v>
      </c>
    </row>
    <row r="2597" ht="15.75" customHeight="1">
      <c r="A2597" s="1" t="s">
        <v>5191</v>
      </c>
      <c r="B2597" s="1" t="s">
        <v>5192</v>
      </c>
      <c r="C2597" s="2" t="s">
        <v>5193</v>
      </c>
      <c r="D2597" s="1" t="str">
        <f>IFERROR(__xludf.DUMMYFUNCTION("GOOGLETRANSLATE(A2597 , ""auto"", ""ar"")"),"عملية")</f>
        <v>عملية</v>
      </c>
    </row>
    <row r="2598" ht="15.75" customHeight="1">
      <c r="A2598" s="1" t="s">
        <v>5194</v>
      </c>
      <c r="B2598" s="1" t="s">
        <v>5195</v>
      </c>
      <c r="C2598" s="2" t="s">
        <v>5196</v>
      </c>
      <c r="D2598" s="1" t="str">
        <f>IFERROR(__xludf.DUMMYFUNCTION("GOOGLETRANSLATE(A2598 , ""auto"", ""ar"")"),"رأي")</f>
        <v>رأي</v>
      </c>
    </row>
    <row r="2599" ht="15.75" customHeight="1">
      <c r="A2599" s="1" t="s">
        <v>5194</v>
      </c>
      <c r="B2599" s="1" t="s">
        <v>5197</v>
      </c>
      <c r="C2599" s="1"/>
      <c r="D2599" s="1" t="str">
        <f>IFERROR(__xludf.DUMMYFUNCTION("GOOGLETRANSLATE(A2599 , ""auto"", ""ar"")"),"رأي")</f>
        <v>رأي</v>
      </c>
    </row>
    <row r="2600" ht="15.75" customHeight="1">
      <c r="A2600" s="1" t="s">
        <v>5198</v>
      </c>
      <c r="B2600" s="1" t="s">
        <v>5199</v>
      </c>
      <c r="C2600" s="2" t="s">
        <v>5200</v>
      </c>
      <c r="D2600" s="1" t="str">
        <f>IFERROR(__xludf.DUMMYFUNCTION("GOOGLETRANSLATE(A2600 , ""auto"", ""ar"")"),"فرصة")</f>
        <v>فرصة</v>
      </c>
    </row>
    <row r="2601" ht="15.75" customHeight="1">
      <c r="A2601" s="1" t="s">
        <v>5198</v>
      </c>
      <c r="B2601" s="1" t="s">
        <v>5201</v>
      </c>
      <c r="C2601" s="2" t="s">
        <v>5202</v>
      </c>
      <c r="D2601" s="1" t="str">
        <f>IFERROR(__xludf.DUMMYFUNCTION("GOOGLETRANSLATE(A2601 , ""auto"", ""ar"")"),"فرصة")</f>
        <v>فرصة</v>
      </c>
    </row>
    <row r="2602" ht="15.75" customHeight="1">
      <c r="A2602" s="1" t="s">
        <v>5203</v>
      </c>
      <c r="B2602" s="1" t="s">
        <v>5204</v>
      </c>
      <c r="C2602" s="1"/>
      <c r="D2602" s="1" t="str">
        <f>IFERROR(__xludf.DUMMYFUNCTION("GOOGLETRANSLATE(A2602 , ""auto"", ""ar"")"),"عكس")</f>
        <v>عكس</v>
      </c>
    </row>
    <row r="2603" ht="15.75" customHeight="1">
      <c r="A2603" s="1" t="s">
        <v>5205</v>
      </c>
      <c r="B2603" s="1" t="s">
        <v>5206</v>
      </c>
      <c r="C2603" s="2" t="s">
        <v>5207</v>
      </c>
      <c r="D2603" s="1" t="str">
        <f>IFERROR(__xludf.DUMMYFUNCTION("GOOGLETRANSLATE(A2603 , ""auto"", ""ar"")"),"أو")</f>
        <v>أو</v>
      </c>
    </row>
    <row r="2604" ht="15.75" customHeight="1">
      <c r="A2604" s="1" t="s">
        <v>5208</v>
      </c>
      <c r="B2604" s="1" t="s">
        <v>5209</v>
      </c>
      <c r="C2604" s="2" t="s">
        <v>5210</v>
      </c>
      <c r="D2604" s="1" t="str">
        <f>IFERROR(__xludf.DUMMYFUNCTION("GOOGLETRANSLATE(A2604 , ""auto"", ""ar"")"),"البرتقالي")</f>
        <v>البرتقالي</v>
      </c>
    </row>
    <row r="2605" ht="15.75" customHeight="1">
      <c r="A2605" s="1" t="s">
        <v>5208</v>
      </c>
      <c r="B2605" s="1" t="s">
        <v>5211</v>
      </c>
      <c r="C2605" s="2" t="s">
        <v>5212</v>
      </c>
      <c r="D2605" s="1" t="str">
        <f>IFERROR(__xludf.DUMMYFUNCTION("GOOGLETRANSLATE(A2605 , ""auto"", ""ar"")"),"البرتقالي")</f>
        <v>البرتقالي</v>
      </c>
    </row>
    <row r="2606" ht="15.75" customHeight="1">
      <c r="A2606" s="1" t="s">
        <v>5208</v>
      </c>
      <c r="B2606" s="1" t="s">
        <v>5213</v>
      </c>
      <c r="C2606" s="1"/>
      <c r="D2606" s="1" t="str">
        <f>IFERROR(__xludf.DUMMYFUNCTION("GOOGLETRANSLATE(A2606 , ""auto"", ""ar"")"),"البرتقالي")</f>
        <v>البرتقالي</v>
      </c>
    </row>
    <row r="2607" ht="15.75" customHeight="1">
      <c r="A2607" s="1" t="s">
        <v>5214</v>
      </c>
      <c r="B2607" s="1" t="s">
        <v>4474</v>
      </c>
      <c r="C2607" s="2" t="s">
        <v>4475</v>
      </c>
      <c r="D2607" s="1" t="str">
        <f>IFERROR(__xludf.DUMMYFUNCTION("GOOGLETRANSLATE(A2607 , ""auto"", ""ar"")"),"مياه الزهرة البرتقالية")</f>
        <v>مياه الزهرة البرتقالية</v>
      </c>
    </row>
    <row r="2608" ht="15.75" customHeight="1">
      <c r="A2608" s="1" t="s">
        <v>5215</v>
      </c>
      <c r="B2608" s="1" t="s">
        <v>1682</v>
      </c>
      <c r="C2608" s="1"/>
      <c r="D2608" s="1" t="str">
        <f>IFERROR(__xludf.DUMMYFUNCTION("GOOGLETRANSLATE(A2608 , ""auto"", ""ar"")"),"طلب")</f>
        <v>طلب</v>
      </c>
    </row>
    <row r="2609" ht="15.75" customHeight="1">
      <c r="A2609" s="1" t="s">
        <v>5215</v>
      </c>
      <c r="B2609" s="1" t="s">
        <v>394</v>
      </c>
      <c r="C2609" s="2" t="s">
        <v>395</v>
      </c>
      <c r="D2609" s="1" t="str">
        <f>IFERROR(__xludf.DUMMYFUNCTION("GOOGLETRANSLATE(A2609 , ""auto"", ""ar"")"),"طلب")</f>
        <v>طلب</v>
      </c>
    </row>
    <row r="2610" ht="15.75" customHeight="1">
      <c r="A2610" s="1" t="s">
        <v>5215</v>
      </c>
      <c r="B2610" s="1" t="s">
        <v>5216</v>
      </c>
      <c r="C2610" s="1"/>
      <c r="D2610" s="1" t="str">
        <f>IFERROR(__xludf.DUMMYFUNCTION("GOOGLETRANSLATE(A2610 , ""auto"", ""ar"")"),"طلب")</f>
        <v>طلب</v>
      </c>
    </row>
    <row r="2611" ht="15.75" customHeight="1">
      <c r="A2611" s="1" t="s">
        <v>5215</v>
      </c>
      <c r="B2611" s="1" t="s">
        <v>5217</v>
      </c>
      <c r="C2611" s="1"/>
      <c r="D2611" s="1" t="str">
        <f>IFERROR(__xludf.DUMMYFUNCTION("GOOGLETRANSLATE(A2611 , ""auto"", ""ar"")"),"طلب")</f>
        <v>طلب</v>
      </c>
    </row>
    <row r="2612" ht="15.75" customHeight="1">
      <c r="A2612" s="1" t="s">
        <v>5215</v>
      </c>
      <c r="B2612" s="1" t="s">
        <v>5218</v>
      </c>
      <c r="C2612" s="2" t="s">
        <v>5219</v>
      </c>
      <c r="D2612" s="1" t="str">
        <f>IFERROR(__xludf.DUMMYFUNCTION("GOOGLETRANSLATE(A2612 , ""auto"", ""ar"")"),"طلب")</f>
        <v>طلب</v>
      </c>
    </row>
    <row r="2613" ht="15.75" customHeight="1">
      <c r="A2613" s="1" t="s">
        <v>5220</v>
      </c>
      <c r="B2613" s="1" t="s">
        <v>5221</v>
      </c>
      <c r="C2613" s="2" t="s">
        <v>5222</v>
      </c>
      <c r="D2613" s="1" t="str">
        <f>IFERROR(__xludf.DUMMYFUNCTION("GOOGLETRANSLATE(A2613 , ""auto"", ""ar"")"),"تنظم")</f>
        <v>تنظم</v>
      </c>
    </row>
    <row r="2614" ht="15.75" customHeight="1">
      <c r="A2614" s="1" t="s">
        <v>5223</v>
      </c>
      <c r="B2614" s="1" t="s">
        <v>5224</v>
      </c>
      <c r="C2614" s="2" t="s">
        <v>5225</v>
      </c>
      <c r="D2614" s="1" t="str">
        <f>IFERROR(__xludf.DUMMYFUNCTION("GOOGLETRANSLATE(A2614 , ""auto"", ""ar"")"),"منظم")</f>
        <v>منظم</v>
      </c>
    </row>
    <row r="2615" ht="15.75" customHeight="1">
      <c r="A2615" s="1" t="s">
        <v>5226</v>
      </c>
      <c r="B2615" s="1" t="s">
        <v>5227</v>
      </c>
      <c r="C2615" s="2" t="s">
        <v>5228</v>
      </c>
      <c r="D2615" s="1" t="str">
        <f>IFERROR(__xludf.DUMMYFUNCTION("GOOGLETRANSLATE(A2615 , ""auto"", ""ar"")"),"اوريغان")</f>
        <v>اوريغان</v>
      </c>
    </row>
    <row r="2616" ht="15.75" customHeight="1">
      <c r="A2616" s="1" t="s">
        <v>5229</v>
      </c>
      <c r="B2616" s="1" t="s">
        <v>5230</v>
      </c>
      <c r="C2616" s="2" t="s">
        <v>5231</v>
      </c>
      <c r="D2616" s="1" t="str">
        <f>IFERROR(__xludf.DUMMYFUNCTION("GOOGLETRANSLATE(A2616 , ""auto"", ""ar"")"),"أصل")</f>
        <v>أصل</v>
      </c>
    </row>
    <row r="2617" ht="15.75" customHeight="1">
      <c r="A2617" s="1" t="s">
        <v>5232</v>
      </c>
      <c r="B2617" s="1" t="s">
        <v>5233</v>
      </c>
      <c r="C2617" s="1"/>
      <c r="D2617" s="1" t="str">
        <f>IFERROR(__xludf.DUMMYFUNCTION("GOOGLETRANSLATE(A2617 , ""auto"", ""ar"")"),"دار الأيتام")</f>
        <v>دار الأيتام</v>
      </c>
    </row>
    <row r="2618" ht="15.75" customHeight="1">
      <c r="A2618" s="1" t="s">
        <v>5234</v>
      </c>
      <c r="B2618" s="1" t="s">
        <v>5235</v>
      </c>
      <c r="C2618" s="2" t="s">
        <v>5236</v>
      </c>
      <c r="D2618" s="1" t="str">
        <f>IFERROR(__xludf.DUMMYFUNCTION("GOOGLETRANSLATE(A2618 , ""auto"", ""ar"")"),"آخر")</f>
        <v>آخر</v>
      </c>
    </row>
    <row r="2619" ht="15.75" customHeight="1">
      <c r="A2619" s="1" t="s">
        <v>5234</v>
      </c>
      <c r="B2619" s="1" t="s">
        <v>5235</v>
      </c>
      <c r="C2619" s="2" t="s">
        <v>5236</v>
      </c>
      <c r="D2619" s="1" t="str">
        <f>IFERROR(__xludf.DUMMYFUNCTION("GOOGLETRANSLATE(A2619 , ""auto"", ""ar"")"),"آخر")</f>
        <v>آخر</v>
      </c>
    </row>
    <row r="2620" ht="15.75" customHeight="1">
      <c r="A2620" s="1" t="s">
        <v>5237</v>
      </c>
      <c r="B2620" s="1" t="s">
        <v>5238</v>
      </c>
      <c r="C2620" s="2" t="s">
        <v>5239</v>
      </c>
      <c r="D2620" s="1" t="str">
        <f>IFERROR(__xludf.DUMMYFUNCTION("GOOGLETRANSLATE(A2620 , ""auto"", ""ar"")"),"ملكنا")</f>
        <v>ملكنا</v>
      </c>
    </row>
    <row r="2621" ht="15.75" customHeight="1">
      <c r="A2621" s="1" t="s">
        <v>5237</v>
      </c>
      <c r="B2621" s="1" t="s">
        <v>5240</v>
      </c>
      <c r="C2621" s="2" t="s">
        <v>5241</v>
      </c>
      <c r="D2621" s="1" t="str">
        <f>IFERROR(__xludf.DUMMYFUNCTION("GOOGLETRANSLATE(A2621 , ""auto"", ""ar"")"),"ملكنا")</f>
        <v>ملكنا</v>
      </c>
    </row>
    <row r="2622" ht="15.75" customHeight="1">
      <c r="A2622" s="1" t="s">
        <v>5237</v>
      </c>
      <c r="B2622" s="1" t="s">
        <v>5242</v>
      </c>
      <c r="C2622" s="2" t="s">
        <v>5241</v>
      </c>
      <c r="D2622" s="1" t="str">
        <f>IFERROR(__xludf.DUMMYFUNCTION("GOOGLETRANSLATE(A2622 , ""auto"", ""ar"")"),"ملكنا")</f>
        <v>ملكنا</v>
      </c>
    </row>
    <row r="2623" ht="15.75" customHeight="1">
      <c r="A2623" s="1" t="s">
        <v>5243</v>
      </c>
      <c r="B2623" s="1" t="s">
        <v>23</v>
      </c>
      <c r="C2623" s="2" t="s">
        <v>24</v>
      </c>
      <c r="D2623" s="1" t="str">
        <f>IFERROR(__xludf.DUMMYFUNCTION("GOOGLETRANSLATE(A2623 , ""auto"", ""ar"")"),"الخارج")</f>
        <v>الخارج</v>
      </c>
    </row>
    <row r="2624" ht="15.75" customHeight="1">
      <c r="A2624" s="1" t="s">
        <v>5243</v>
      </c>
      <c r="B2624" s="1" t="s">
        <v>5244</v>
      </c>
      <c r="C2624" s="2" t="s">
        <v>5245</v>
      </c>
      <c r="D2624" s="1" t="str">
        <f>IFERROR(__xludf.DUMMYFUNCTION("GOOGLETRANSLATE(A2624 , ""auto"", ""ar"")"),"الخارج")</f>
        <v>الخارج</v>
      </c>
    </row>
    <row r="2625" ht="15.75" customHeight="1">
      <c r="A2625" s="1" t="s">
        <v>5243</v>
      </c>
      <c r="B2625" s="1" t="s">
        <v>21</v>
      </c>
      <c r="C2625" s="2" t="s">
        <v>22</v>
      </c>
      <c r="D2625" s="1" t="str">
        <f>IFERROR(__xludf.DUMMYFUNCTION("GOOGLETRANSLATE(A2625 , ""auto"", ""ar"")"),"الخارج")</f>
        <v>الخارج</v>
      </c>
    </row>
    <row r="2626" ht="15.75" customHeight="1">
      <c r="A2626" s="1" t="s">
        <v>5246</v>
      </c>
      <c r="B2626" s="1" t="s">
        <v>5247</v>
      </c>
      <c r="C2626" s="2" t="s">
        <v>5248</v>
      </c>
      <c r="D2626" s="1" t="str">
        <f>IFERROR(__xludf.DUMMYFUNCTION("GOOGLETRANSLATE(A2626 , ""auto"", ""ar"")"),"فرن")</f>
        <v>فرن</v>
      </c>
    </row>
    <row r="2627" ht="15.75" customHeight="1">
      <c r="A2627" s="1" t="s">
        <v>5249</v>
      </c>
      <c r="B2627" s="1" t="s">
        <v>15</v>
      </c>
      <c r="C2627" s="2" t="s">
        <v>16</v>
      </c>
      <c r="D2627" s="1" t="str">
        <f>IFERROR(__xludf.DUMMYFUNCTION("GOOGLETRANSLATE(A2627 , ""auto"", ""ar"")"),"زيادة")</f>
        <v>زيادة</v>
      </c>
    </row>
    <row r="2628" ht="15.75" customHeight="1">
      <c r="A2628" s="1" t="s">
        <v>5250</v>
      </c>
      <c r="B2628" s="1" t="s">
        <v>5251</v>
      </c>
      <c r="C2628" s="2" t="s">
        <v>5252</v>
      </c>
      <c r="D2628" s="1" t="str">
        <f>IFERROR(__xludf.DUMMYFUNCTION("GOOGLETRANSLATE(A2628 , ""auto"", ""ar"")"),"الفائض")</f>
        <v>الفائض</v>
      </c>
    </row>
    <row r="2629" ht="15.75" customHeight="1">
      <c r="A2629" s="1" t="s">
        <v>5253</v>
      </c>
      <c r="B2629" s="1" t="s">
        <v>5254</v>
      </c>
      <c r="C2629" s="2" t="s">
        <v>5255</v>
      </c>
      <c r="D2629" s="1" t="str">
        <f>IFERROR(__xludf.DUMMYFUNCTION("GOOGLETRANSLATE(A2629 , ""auto"", ""ar"")"),"بُومَة")</f>
        <v>بُومَة</v>
      </c>
    </row>
    <row r="2630" ht="15.75" customHeight="1">
      <c r="A2630" s="1" t="s">
        <v>5256</v>
      </c>
      <c r="B2630" s="1" t="s">
        <v>5257</v>
      </c>
      <c r="C2630" s="2" t="s">
        <v>5258</v>
      </c>
      <c r="D2630" s="1" t="str">
        <f>IFERROR(__xludf.DUMMYFUNCTION("GOOGLETRANSLATE(A2630 , ""auto"", ""ar"")"),"ملك")</f>
        <v>ملك</v>
      </c>
    </row>
    <row r="2631" ht="15.75" customHeight="1">
      <c r="A2631" s="1" t="s">
        <v>5259</v>
      </c>
      <c r="B2631" s="1" t="s">
        <v>1163</v>
      </c>
      <c r="C2631" s="2" t="s">
        <v>5260</v>
      </c>
      <c r="D2631" s="1" t="str">
        <f>IFERROR(__xludf.DUMMYFUNCTION("GOOGLETRANSLATE(A2631 , ""auto"", ""ar"")"),"مالك")</f>
        <v>مالك</v>
      </c>
    </row>
    <row r="2632" ht="15.75" customHeight="1">
      <c r="A2632" s="1" t="s">
        <v>5259</v>
      </c>
      <c r="B2632" s="1" t="s">
        <v>5261</v>
      </c>
      <c r="C2632" s="2" t="s">
        <v>5262</v>
      </c>
      <c r="D2632" s="1" t="str">
        <f>IFERROR(__xludf.DUMMYFUNCTION("GOOGLETRANSLATE(A2632 , ""auto"", ""ar"")"),"مالك")</f>
        <v>مالك</v>
      </c>
    </row>
    <row r="2633" ht="15.75" customHeight="1">
      <c r="A2633" s="1" t="s">
        <v>466</v>
      </c>
      <c r="B2633" s="1" t="s">
        <v>467</v>
      </c>
      <c r="C2633" s="2" t="s">
        <v>468</v>
      </c>
      <c r="D2633" s="1" t="str">
        <f>IFERROR(__xludf.DUMMYFUNCTION("GOOGLETRANSLATE(A2633 , ""auto"", ""ar"")"),"اسم العائلة")</f>
        <v>اسم العائلة</v>
      </c>
    </row>
    <row r="2634" ht="15.75" customHeight="1">
      <c r="A2634" s="1" t="s">
        <v>43</v>
      </c>
      <c r="B2634" s="1" t="s">
        <v>44</v>
      </c>
      <c r="C2634" s="2" t="s">
        <v>45</v>
      </c>
      <c r="D2634" s="1" t="str">
        <f>IFERROR(__xludf.DUMMYFUNCTION("GOOGLETRANSLATE(A2634 , ""auto"", ""ar"")"),"مقبول")</f>
        <v>مقبول</v>
      </c>
    </row>
    <row r="2635" ht="15.75" customHeight="1">
      <c r="A2635" s="1" t="s">
        <v>469</v>
      </c>
      <c r="B2635" s="1" t="s">
        <v>470</v>
      </c>
      <c r="C2635" s="2" t="s">
        <v>471</v>
      </c>
      <c r="D2635" s="1" t="str">
        <f>IFERROR(__xludf.DUMMYFUNCTION("GOOGLETRANSLATE(A2635 , ""auto"", ""ar"")"),"التصالح")</f>
        <v>التصالح</v>
      </c>
    </row>
    <row r="2636" ht="15.75" customHeight="1">
      <c r="A2636" s="1" t="s">
        <v>472</v>
      </c>
      <c r="B2636" s="1" t="s">
        <v>473</v>
      </c>
      <c r="C2636" s="2" t="s">
        <v>474</v>
      </c>
      <c r="D2636" s="1" t="str">
        <f>IFERROR(__xludf.DUMMYFUNCTION("GOOGLETRANSLATE(A2636 , ""auto"", ""ar"")"),"مغفرة")</f>
        <v>مغفرة</v>
      </c>
    </row>
    <row r="2637" ht="15.75" customHeight="1">
      <c r="A2637" s="1" t="s">
        <v>475</v>
      </c>
      <c r="B2637" s="1" t="s">
        <v>476</v>
      </c>
      <c r="C2637" s="2" t="s">
        <v>477</v>
      </c>
      <c r="D2637" s="1" t="str">
        <f>IFERROR(__xludf.DUMMYFUNCTION("GOOGLETRANSLATE(A2637 , ""auto"", ""ar"")"),"يخبر")</f>
        <v>يخبر</v>
      </c>
    </row>
    <row r="2638" ht="15.75" customHeight="1">
      <c r="A2638" s="1" t="s">
        <v>5263</v>
      </c>
      <c r="B2638" s="1" t="s">
        <v>5264</v>
      </c>
      <c r="C2638" s="2" t="s">
        <v>5265</v>
      </c>
      <c r="D2638" s="1" t="str">
        <f>IFERROR(__xludf.DUMMYFUNCTION("GOOGLETRANSLATE(A2638 , ""auto"", ""ar"")"),"رزمة")</f>
        <v>رزمة</v>
      </c>
    </row>
    <row r="2639" ht="15.75" customHeight="1">
      <c r="A2639" s="1" t="s">
        <v>5266</v>
      </c>
      <c r="B2639" s="1" t="s">
        <v>4400</v>
      </c>
      <c r="C2639" s="2" t="s">
        <v>4401</v>
      </c>
      <c r="D2639" s="1" t="str">
        <f>IFERROR(__xludf.DUMMYFUNCTION("GOOGLETRANSLATE(A2639 , ""auto"", ""ar"")"),"قفل")</f>
        <v>قفل</v>
      </c>
    </row>
    <row r="2640" ht="15.75" customHeight="1">
      <c r="A2640" s="1" t="s">
        <v>5267</v>
      </c>
      <c r="B2640" s="1" t="s">
        <v>5268</v>
      </c>
      <c r="C2640" s="2" t="s">
        <v>5269</v>
      </c>
      <c r="D2640" s="1" t="str">
        <f>IFERROR(__xludf.DUMMYFUNCTION("GOOGLETRANSLATE(A2640 , ""auto"", ""ar"")"),"صفحة")</f>
        <v>صفحة</v>
      </c>
    </row>
    <row r="2641" ht="15.75" customHeight="1">
      <c r="A2641" s="1" t="s">
        <v>5270</v>
      </c>
      <c r="B2641" s="1" t="s">
        <v>5271</v>
      </c>
      <c r="C2641" s="1"/>
      <c r="D2641" s="1" t="str">
        <f>IFERROR(__xludf.DUMMYFUNCTION("GOOGLETRANSLATE(A2641 , ""auto"", ""ar"")"),"ألم")</f>
        <v>ألم</v>
      </c>
    </row>
    <row r="2642" ht="15.75" customHeight="1">
      <c r="A2642" s="1" t="s">
        <v>5272</v>
      </c>
      <c r="B2642" s="1" t="s">
        <v>5273</v>
      </c>
      <c r="C2642" s="2" t="s">
        <v>5274</v>
      </c>
      <c r="D2642" s="1" t="str">
        <f>IFERROR(__xludf.DUMMYFUNCTION("GOOGLETRANSLATE(A2642 , ""auto"", ""ar"")"),"طلاء")</f>
        <v>طلاء</v>
      </c>
    </row>
    <row r="2643" ht="15.75" customHeight="1">
      <c r="A2643" s="1" t="s">
        <v>5272</v>
      </c>
      <c r="B2643" s="1" t="s">
        <v>5275</v>
      </c>
      <c r="C2643" s="2" t="s">
        <v>5276</v>
      </c>
      <c r="D2643" s="1" t="str">
        <f>IFERROR(__xludf.DUMMYFUNCTION("GOOGLETRANSLATE(A2643 , ""auto"", ""ar"")"),"طلاء")</f>
        <v>طلاء</v>
      </c>
    </row>
    <row r="2644" ht="15.75" customHeight="1">
      <c r="A2644" s="1" t="s">
        <v>5272</v>
      </c>
      <c r="B2644" s="1" t="s">
        <v>2214</v>
      </c>
      <c r="C2644" s="2" t="s">
        <v>2215</v>
      </c>
      <c r="D2644" s="1" t="str">
        <f>IFERROR(__xludf.DUMMYFUNCTION("GOOGLETRANSLATE(A2644 , ""auto"", ""ar"")"),"طلاء")</f>
        <v>طلاء</v>
      </c>
    </row>
    <row r="2645" ht="15.75" customHeight="1">
      <c r="A2645" s="1" t="s">
        <v>5277</v>
      </c>
      <c r="B2645" s="1" t="s">
        <v>5278</v>
      </c>
      <c r="C2645" s="1"/>
      <c r="D2645" s="1" t="str">
        <f>IFERROR(__xludf.DUMMYFUNCTION("GOOGLETRANSLATE(A2645 , ""auto"", ""ar"")"),"دهان")</f>
        <v>دهان</v>
      </c>
    </row>
    <row r="2646" ht="15.75" customHeight="1">
      <c r="A2646" s="1" t="s">
        <v>5277</v>
      </c>
      <c r="B2646" s="1" t="s">
        <v>5279</v>
      </c>
      <c r="C2646" s="2" t="s">
        <v>5280</v>
      </c>
      <c r="D2646" s="1" t="str">
        <f>IFERROR(__xludf.DUMMYFUNCTION("GOOGLETRANSLATE(A2646 , ""auto"", ""ar"")"),"دهان")</f>
        <v>دهان</v>
      </c>
    </row>
    <row r="2647" ht="15.75" customHeight="1">
      <c r="A2647" s="1" t="s">
        <v>5281</v>
      </c>
      <c r="B2647" s="1" t="s">
        <v>1263</v>
      </c>
      <c r="C2647" s="2" t="s">
        <v>1264</v>
      </c>
      <c r="D2647" s="1" t="str">
        <f>IFERROR(__xludf.DUMMYFUNCTION("GOOGLETRANSLATE(A2647 , ""auto"", ""ar"")"),"قصر")</f>
        <v>قصر</v>
      </c>
    </row>
    <row r="2648" ht="15.75" customHeight="1">
      <c r="A2648" s="1" t="s">
        <v>5282</v>
      </c>
      <c r="B2648" s="1" t="s">
        <v>5283</v>
      </c>
      <c r="C2648" s="2" t="s">
        <v>5284</v>
      </c>
      <c r="D2648" s="1" t="str">
        <f>IFERROR(__xludf.DUMMYFUNCTION("GOOGLETRANSLATE(A2648 , ""auto"", ""ar"")"),"شجرة النخيل")</f>
        <v>شجرة النخيل</v>
      </c>
    </row>
    <row r="2649" ht="15.75" customHeight="1">
      <c r="A2649" s="1" t="s">
        <v>5285</v>
      </c>
      <c r="B2649" s="1" t="s">
        <v>5286</v>
      </c>
      <c r="C2649" s="1"/>
      <c r="D2649" s="1" t="str">
        <f>IFERROR(__xludf.DUMMYFUNCTION("GOOGLETRANSLATE(A2649 , ""auto"", ""ar"")"),"فطيرة")</f>
        <v>فطيرة</v>
      </c>
    </row>
    <row r="2650" ht="15.75" customHeight="1">
      <c r="A2650" s="1" t="s">
        <v>5285</v>
      </c>
      <c r="B2650" s="1" t="s">
        <v>5287</v>
      </c>
      <c r="C2650" s="1"/>
      <c r="D2650" s="1" t="str">
        <f>IFERROR(__xludf.DUMMYFUNCTION("GOOGLETRANSLATE(A2650 , ""auto"", ""ar"")"),"فطيرة")</f>
        <v>فطيرة</v>
      </c>
    </row>
    <row r="2651" ht="15.75" customHeight="1">
      <c r="A2651" s="1" t="s">
        <v>5288</v>
      </c>
      <c r="B2651" s="1" t="s">
        <v>3989</v>
      </c>
      <c r="C2651" s="2" t="s">
        <v>5289</v>
      </c>
      <c r="D2651" s="1" t="str">
        <f>IFERROR(__xludf.DUMMYFUNCTION("GOOGLETRANSLATE(A2651 , ""auto"", ""ar"")"),"بنطال")</f>
        <v>بنطال</v>
      </c>
    </row>
    <row r="2652" ht="15.75" customHeight="1">
      <c r="A2652" s="1" t="s">
        <v>5290</v>
      </c>
      <c r="B2652" s="1" t="s">
        <v>4224</v>
      </c>
      <c r="C2652" s="2" t="s">
        <v>4225</v>
      </c>
      <c r="D2652" s="1" t="str">
        <f>IFERROR(__xludf.DUMMYFUNCTION("GOOGLETRANSLATE(A2652 , ""auto"", ""ar"")"),"ورق")</f>
        <v>ورق</v>
      </c>
    </row>
    <row r="2653" ht="15.75" customHeight="1">
      <c r="A2653" s="1" t="s">
        <v>5290</v>
      </c>
      <c r="B2653" s="1" t="s">
        <v>5291</v>
      </c>
      <c r="C2653" s="1"/>
      <c r="D2653" s="1" t="str">
        <f>IFERROR(__xludf.DUMMYFUNCTION("GOOGLETRANSLATE(A2653 , ""auto"", ""ar"")"),"ورق")</f>
        <v>ورق</v>
      </c>
    </row>
    <row r="2654" ht="15.75" customHeight="1">
      <c r="A2654" s="1" t="s">
        <v>5290</v>
      </c>
      <c r="B2654" s="1" t="s">
        <v>5291</v>
      </c>
      <c r="C2654" s="1"/>
      <c r="D2654" s="1" t="str">
        <f>IFERROR(__xludf.DUMMYFUNCTION("GOOGLETRANSLATE(A2654 , ""auto"", ""ar"")"),"ورق")</f>
        <v>ورق</v>
      </c>
    </row>
    <row r="2655" ht="15.75" customHeight="1">
      <c r="A2655" s="1" t="s">
        <v>5290</v>
      </c>
      <c r="B2655" s="1" t="s">
        <v>5292</v>
      </c>
      <c r="C2655" s="1"/>
      <c r="D2655" s="1" t="str">
        <f>IFERROR(__xludf.DUMMYFUNCTION("GOOGLETRANSLATE(A2655 , ""auto"", ""ar"")"),"ورق")</f>
        <v>ورق</v>
      </c>
    </row>
    <row r="2656" ht="15.75" customHeight="1">
      <c r="A2656" s="1" t="s">
        <v>5293</v>
      </c>
      <c r="B2656" s="1" t="s">
        <v>5294</v>
      </c>
      <c r="C2656" s="2" t="s">
        <v>5295</v>
      </c>
      <c r="D2656" s="1" t="str">
        <f>IFERROR(__xludf.DUMMYFUNCTION("GOOGLETRANSLATE(A2656 , ""auto"", ""ar"")"),"فلفل أحمر")</f>
        <v>فلفل أحمر</v>
      </c>
    </row>
    <row r="2657" ht="15.75" customHeight="1">
      <c r="A2657" s="1" t="s">
        <v>5296</v>
      </c>
      <c r="B2657" s="1" t="s">
        <v>2514</v>
      </c>
      <c r="C2657" s="2" t="s">
        <v>2515</v>
      </c>
      <c r="D2657" s="1" t="str">
        <f>IFERROR(__xludf.DUMMYFUNCTION("GOOGLETRANSLATE(A2657 , ""auto"", ""ar"")"),"موعظة")</f>
        <v>موعظة</v>
      </c>
    </row>
    <row r="2658" ht="15.75" customHeight="1">
      <c r="A2658" s="1" t="s">
        <v>5297</v>
      </c>
      <c r="B2658" s="1" t="s">
        <v>5298</v>
      </c>
      <c r="C2658" s="1"/>
      <c r="D2658" s="1" t="str">
        <f>IFERROR(__xludf.DUMMYFUNCTION("GOOGLETRANSLATE(A2658 , ""auto"", ""ar"")"),"مشلول")</f>
        <v>مشلول</v>
      </c>
    </row>
    <row r="2659" ht="15.75" customHeight="1">
      <c r="A2659" s="1" t="s">
        <v>5299</v>
      </c>
      <c r="B2659" s="1" t="s">
        <v>3676</v>
      </c>
      <c r="C2659" s="2" t="s">
        <v>3677</v>
      </c>
      <c r="D2659" s="1" t="str">
        <f>IFERROR(__xludf.DUMMYFUNCTION("GOOGLETRANSLATE(A2659 , ""auto"", ""ar"")"),"عفو؟")</f>
        <v>عفو؟</v>
      </c>
    </row>
    <row r="2660" ht="15.75" customHeight="1">
      <c r="A2660" s="1" t="s">
        <v>5300</v>
      </c>
      <c r="B2660" s="1" t="s">
        <v>5301</v>
      </c>
      <c r="C2660" s="2" t="s">
        <v>5302</v>
      </c>
      <c r="D2660" s="1" t="str">
        <f>IFERROR(__xludf.DUMMYFUNCTION("GOOGLETRANSLATE(A2660 , ""auto"", ""ar"")"),"الأبوين")</f>
        <v>الأبوين</v>
      </c>
    </row>
    <row r="2661" ht="15.75" customHeight="1">
      <c r="A2661" s="1" t="s">
        <v>5303</v>
      </c>
      <c r="B2661" s="1" t="s">
        <v>5304</v>
      </c>
      <c r="C2661" s="1"/>
      <c r="D2661" s="1" t="str">
        <f>IFERROR(__xludf.DUMMYFUNCTION("GOOGLETRANSLATE(A2661 , ""auto"", ""ar"")"),"حديقة")</f>
        <v>حديقة</v>
      </c>
    </row>
    <row r="2662" ht="15.75" customHeight="1">
      <c r="A2662" s="1" t="s">
        <v>5303</v>
      </c>
      <c r="B2662" s="1" t="s">
        <v>3016</v>
      </c>
      <c r="C2662" s="2" t="s">
        <v>3017</v>
      </c>
      <c r="D2662" s="1" t="str">
        <f>IFERROR(__xludf.DUMMYFUNCTION("GOOGLETRANSLATE(A2662 , ""auto"", ""ar"")"),"حديقة")</f>
        <v>حديقة</v>
      </c>
    </row>
    <row r="2663" ht="15.75" customHeight="1">
      <c r="A2663" s="1" t="s">
        <v>5303</v>
      </c>
      <c r="B2663" s="1" t="s">
        <v>5305</v>
      </c>
      <c r="C2663" s="2" t="s">
        <v>5306</v>
      </c>
      <c r="D2663" s="1" t="str">
        <f>IFERROR(__xludf.DUMMYFUNCTION("GOOGLETRANSLATE(A2663 , ""auto"", ""ar"")"),"حديقة")</f>
        <v>حديقة</v>
      </c>
    </row>
    <row r="2664" ht="15.75" customHeight="1">
      <c r="A2664" s="1" t="s">
        <v>5307</v>
      </c>
      <c r="B2664" s="1" t="s">
        <v>5308</v>
      </c>
      <c r="C2664" s="2" t="s">
        <v>5309</v>
      </c>
      <c r="D2664" s="1" t="str">
        <f>IFERROR(__xludf.DUMMYFUNCTION("GOOGLETRANSLATE(A2664 , ""auto"", ""ar"")"),"بَقدونس")</f>
        <v>بَقدونس</v>
      </c>
    </row>
    <row r="2665" ht="15.75" customHeight="1">
      <c r="A2665" s="1" t="s">
        <v>5310</v>
      </c>
      <c r="B2665" s="1" t="s">
        <v>5311</v>
      </c>
      <c r="C2665" s="2" t="s">
        <v>5312</v>
      </c>
      <c r="D2665" s="1" t="str">
        <f>IFERROR(__xludf.DUMMYFUNCTION("GOOGLETRANSLATE(A2665 , ""auto"", ""ar"")"),"جزء")</f>
        <v>جزء</v>
      </c>
    </row>
    <row r="2666" ht="15.75" customHeight="1">
      <c r="A2666" s="1" t="s">
        <v>5313</v>
      </c>
      <c r="B2666" s="1" t="s">
        <v>5314</v>
      </c>
      <c r="C2666" s="2" t="s">
        <v>5315</v>
      </c>
      <c r="D2666" s="1" t="str">
        <f>IFERROR(__xludf.DUMMYFUNCTION("GOOGLETRANSLATE(A2666 , ""auto"", ""ar"")"),"يشارك")</f>
        <v>يشارك</v>
      </c>
    </row>
    <row r="2667" ht="15.75" customHeight="1">
      <c r="A2667" s="1" t="s">
        <v>5316</v>
      </c>
      <c r="B2667" s="1" t="s">
        <v>5317</v>
      </c>
      <c r="C2667" s="2" t="s">
        <v>5318</v>
      </c>
      <c r="D2667" s="1" t="str">
        <f>IFERROR(__xludf.DUMMYFUNCTION("GOOGLETRANSLATE(A2667 , ""auto"", ""ar"")"),"مشاركة")</f>
        <v>مشاركة</v>
      </c>
    </row>
    <row r="2668" ht="15.75" customHeight="1">
      <c r="A2668" s="1" t="s">
        <v>5319</v>
      </c>
      <c r="B2668" s="1" t="s">
        <v>5320</v>
      </c>
      <c r="C2668" s="2" t="s">
        <v>5321</v>
      </c>
      <c r="D2668" s="1" t="str">
        <f>IFERROR(__xludf.DUMMYFUNCTION("GOOGLETRANSLATE(A2668 , ""auto"", ""ar"")"),"شريك")</f>
        <v>شريك</v>
      </c>
    </row>
    <row r="2669" ht="15.75" customHeight="1">
      <c r="A2669" s="1" t="s">
        <v>5322</v>
      </c>
      <c r="B2669" s="1" t="s">
        <v>5323</v>
      </c>
      <c r="C2669" s="2" t="s">
        <v>5324</v>
      </c>
      <c r="D2669" s="1" t="str">
        <f>IFERROR(__xludf.DUMMYFUNCTION("GOOGLETRANSLATE(A2669 , ""auto"", ""ar"")"),"حزب")</f>
        <v>حزب</v>
      </c>
    </row>
    <row r="2670" ht="15.75" customHeight="1">
      <c r="A2670" s="1" t="s">
        <v>5322</v>
      </c>
      <c r="B2670" s="1" t="s">
        <v>4989</v>
      </c>
      <c r="C2670" s="2" t="s">
        <v>4990</v>
      </c>
      <c r="D2670" s="1" t="str">
        <f>IFERROR(__xludf.DUMMYFUNCTION("GOOGLETRANSLATE(A2670 , ""auto"", ""ar"")"),"حزب")</f>
        <v>حزب</v>
      </c>
    </row>
    <row r="2671" ht="15.75" customHeight="1">
      <c r="A2671" s="1" t="s">
        <v>5322</v>
      </c>
      <c r="B2671" s="1" t="s">
        <v>4986</v>
      </c>
      <c r="C2671" s="1"/>
      <c r="D2671" s="1" t="str">
        <f>IFERROR(__xludf.DUMMYFUNCTION("GOOGLETRANSLATE(A2671 , ""auto"", ""ar"")"),"حزب")</f>
        <v>حزب</v>
      </c>
    </row>
    <row r="2672" ht="15.75" customHeight="1">
      <c r="A2672" s="1" t="s">
        <v>5322</v>
      </c>
      <c r="B2672" s="1" t="s">
        <v>5325</v>
      </c>
      <c r="C2672" s="2" t="s">
        <v>5326</v>
      </c>
      <c r="D2672" s="1" t="str">
        <f>IFERROR(__xludf.DUMMYFUNCTION("GOOGLETRANSLATE(A2672 , ""auto"", ""ar"")"),"حزب")</f>
        <v>حزب</v>
      </c>
    </row>
    <row r="2673" ht="15.75" customHeight="1">
      <c r="A2673" s="1" t="s">
        <v>5327</v>
      </c>
      <c r="B2673" s="1" t="s">
        <v>5328</v>
      </c>
      <c r="C2673" s="2" t="s">
        <v>5329</v>
      </c>
      <c r="D2673" s="1" t="str">
        <f>IFERROR(__xludf.DUMMYFUNCTION("GOOGLETRANSLATE(A2673 , ""auto"", ""ar"")"),"يمر")</f>
        <v>يمر</v>
      </c>
    </row>
    <row r="2674" ht="15.75" customHeight="1">
      <c r="A2674" s="1" t="s">
        <v>5327</v>
      </c>
      <c r="B2674" s="1" t="s">
        <v>5330</v>
      </c>
      <c r="C2674" s="2" t="s">
        <v>5331</v>
      </c>
      <c r="D2674" s="1" t="str">
        <f>IFERROR(__xludf.DUMMYFUNCTION("GOOGLETRANSLATE(A2674 , ""auto"", ""ar"")"),"يمر")</f>
        <v>يمر</v>
      </c>
    </row>
    <row r="2675" ht="15.75" customHeight="1">
      <c r="A2675" s="1" t="s">
        <v>5327</v>
      </c>
      <c r="B2675" s="1" t="s">
        <v>5332</v>
      </c>
      <c r="C2675" s="2" t="s">
        <v>5333</v>
      </c>
      <c r="D2675" s="1" t="str">
        <f>IFERROR(__xludf.DUMMYFUNCTION("GOOGLETRANSLATE(A2675 , ""auto"", ""ar"")"),"يمر")</f>
        <v>يمر</v>
      </c>
    </row>
    <row r="2676" ht="15.75" customHeight="1">
      <c r="A2676" s="1" t="s">
        <v>5334</v>
      </c>
      <c r="B2676" s="1" t="s">
        <v>2052</v>
      </c>
      <c r="C2676" s="2" t="s">
        <v>2053</v>
      </c>
      <c r="D2676" s="1" t="str">
        <f>IFERROR(__xludf.DUMMYFUNCTION("GOOGLETRANSLATE(A2676 , ""auto"", ""ar"")"),"ابتعد عن الطريق")</f>
        <v>ابتعد عن الطريق</v>
      </c>
    </row>
    <row r="2677" ht="15.75" customHeight="1">
      <c r="A2677" s="1" t="s">
        <v>5335</v>
      </c>
      <c r="B2677" s="1" t="s">
        <v>2443</v>
      </c>
      <c r="C2677" s="2" t="s">
        <v>65</v>
      </c>
      <c r="D2677" s="1" t="str">
        <f>IFERROR(__xludf.DUMMYFUNCTION("GOOGLETRANSLATE(A2677 , ""auto"", ""ar"")"),"شغوف")</f>
        <v>شغوف</v>
      </c>
    </row>
    <row r="2678" ht="15.75" customHeight="1">
      <c r="A2678" s="1" t="s">
        <v>5336</v>
      </c>
      <c r="B2678" s="1" t="s">
        <v>5337</v>
      </c>
      <c r="C2678" s="2" t="s">
        <v>5338</v>
      </c>
      <c r="D2678" s="1" t="str">
        <f>IFERROR(__xludf.DUMMYFUNCTION("GOOGLETRANSLATE(A2678 , ""auto"", ""ar"")"),"جواز سفر")</f>
        <v>جواز سفر</v>
      </c>
    </row>
    <row r="2679" ht="15.75" customHeight="1">
      <c r="A2679" s="1" t="s">
        <v>5339</v>
      </c>
      <c r="B2679" s="1" t="s">
        <v>1484</v>
      </c>
      <c r="C2679" s="2" t="s">
        <v>1485</v>
      </c>
      <c r="D2679" s="1" t="str">
        <f>IFERROR(__xludf.DUMMYFUNCTION("GOOGLETRANSLATE(A2679 , ""auto"", ""ar"")"),"ماضي")</f>
        <v>ماضي</v>
      </c>
    </row>
    <row r="2680" ht="15.75" customHeight="1">
      <c r="A2680" s="1" t="s">
        <v>5340</v>
      </c>
      <c r="B2680" s="1" t="s">
        <v>5341</v>
      </c>
      <c r="C2680" s="1"/>
      <c r="D2680" s="1" t="str">
        <f>IFERROR(__xludf.DUMMYFUNCTION("GOOGLETRANSLATE(A2680 , ""auto"", ""ar"")"),"معكرونة")</f>
        <v>معكرونة</v>
      </c>
    </row>
    <row r="2681" ht="15.75" customHeight="1">
      <c r="A2681" s="1" t="s">
        <v>5342</v>
      </c>
      <c r="B2681" s="1" t="s">
        <v>5343</v>
      </c>
      <c r="C2681" s="2" t="s">
        <v>5344</v>
      </c>
      <c r="D2681" s="1" t="str">
        <f>IFERROR(__xludf.DUMMYFUNCTION("GOOGLETRANSLATE(A2681 , ""auto"", ""ar"")"),"لوح")</f>
        <v>لوح</v>
      </c>
    </row>
    <row r="2682" ht="15.75" customHeight="1">
      <c r="A2682" s="1" t="s">
        <v>5345</v>
      </c>
      <c r="B2682" s="1" t="s">
        <v>5346</v>
      </c>
      <c r="C2682" s="2" t="s">
        <v>5347</v>
      </c>
      <c r="D2682" s="1" t="str">
        <f>IFERROR(__xludf.DUMMYFUNCTION("GOOGLETRANSLATE(A2682 , ""auto"", ""ar"")"),"القس")</f>
        <v>القس</v>
      </c>
    </row>
    <row r="2683" ht="15.75" customHeight="1">
      <c r="A2683" s="1" t="s">
        <v>5348</v>
      </c>
      <c r="B2683" s="1" t="s">
        <v>5349</v>
      </c>
      <c r="C2683" s="1"/>
      <c r="D2683" s="1" t="str">
        <f>IFERROR(__xludf.DUMMYFUNCTION("GOOGLETRANSLATE(A2683 , ""auto"", ""ar"")"),"المراعي")</f>
        <v>المراعي</v>
      </c>
    </row>
    <row r="2684" ht="15.75" customHeight="1">
      <c r="A2684" s="1" t="s">
        <v>5348</v>
      </c>
      <c r="B2684" s="1" t="s">
        <v>5350</v>
      </c>
      <c r="C2684" s="1"/>
      <c r="D2684" s="1" t="str">
        <f>IFERROR(__xludf.DUMMYFUNCTION("GOOGLETRANSLATE(A2684 , ""auto"", ""ar"")"),"المراعي")</f>
        <v>المراعي</v>
      </c>
    </row>
    <row r="2685" ht="15.75" customHeight="1">
      <c r="A2685" s="1" t="s">
        <v>5351</v>
      </c>
      <c r="B2685" s="1" t="s">
        <v>5352</v>
      </c>
      <c r="C2685" s="1"/>
      <c r="D2685" s="1" t="str">
        <f>IFERROR(__xludf.DUMMYFUNCTION("GOOGLETRANSLATE(A2685 , ""auto"", ""ar"")"),"رقعة")</f>
        <v>رقعة</v>
      </c>
    </row>
    <row r="2686" ht="15.75" customHeight="1">
      <c r="A2686" s="1" t="s">
        <v>5353</v>
      </c>
      <c r="B2686" s="1" t="s">
        <v>5354</v>
      </c>
      <c r="C2686" s="2" t="s">
        <v>5355</v>
      </c>
      <c r="D2686" s="1" t="str">
        <f>IFERROR(__xludf.DUMMYFUNCTION("GOOGLETRANSLATE(A2686 , ""auto"", ""ar"")"),"الصبر")</f>
        <v>الصبر</v>
      </c>
    </row>
    <row r="2687" ht="15.75" customHeight="1">
      <c r="A2687" s="1" t="s">
        <v>5356</v>
      </c>
      <c r="B2687" s="1" t="s">
        <v>5357</v>
      </c>
      <c r="C2687" s="2" t="s">
        <v>5358</v>
      </c>
      <c r="D2687" s="1" t="str">
        <f>IFERROR(__xludf.DUMMYFUNCTION("GOOGLETRANSLATE(A2687 , ""auto"", ""ar"")"),"مريض")</f>
        <v>مريض</v>
      </c>
    </row>
    <row r="2688" ht="15.75" customHeight="1">
      <c r="A2688" s="1" t="s">
        <v>5356</v>
      </c>
      <c r="B2688" s="1" t="s">
        <v>5354</v>
      </c>
      <c r="C2688" s="2" t="s">
        <v>5355</v>
      </c>
      <c r="D2688" s="1" t="str">
        <f>IFERROR(__xludf.DUMMYFUNCTION("GOOGLETRANSLATE(A2688 , ""auto"", ""ar"")"),"مريض")</f>
        <v>مريض</v>
      </c>
    </row>
    <row r="2689" ht="15.75" customHeight="1">
      <c r="A2689" s="1" t="s">
        <v>5359</v>
      </c>
      <c r="B2689" s="1" t="s">
        <v>5360</v>
      </c>
      <c r="C2689" s="2" t="s">
        <v>5361</v>
      </c>
      <c r="D2689" s="1" t="str">
        <f>IFERROR(__xludf.DUMMYFUNCTION("GOOGLETRANSLATE(A2689 , ""auto"", ""ar"")"),"يدفع")</f>
        <v>يدفع</v>
      </c>
    </row>
    <row r="2690" ht="15.75" customHeight="1">
      <c r="A2690" s="1" t="s">
        <v>5362</v>
      </c>
      <c r="B2690" s="1" t="s">
        <v>5363</v>
      </c>
      <c r="C2690" s="2" t="s">
        <v>5364</v>
      </c>
      <c r="D2690" s="1" t="str">
        <f>IFERROR(__xludf.DUMMYFUNCTION("GOOGLETRANSLATE(A2690 , ""auto"", ""ar"")"),"دفع متجر الهاتف")</f>
        <v>دفع متجر الهاتف</v>
      </c>
    </row>
    <row r="2691" ht="15.75" customHeight="1">
      <c r="A2691" s="1" t="s">
        <v>5365</v>
      </c>
      <c r="B2691" s="1" t="s">
        <v>5366</v>
      </c>
      <c r="C2691" s="2" t="s">
        <v>5367</v>
      </c>
      <c r="D2691" s="1" t="str">
        <f>IFERROR(__xludf.DUMMYFUNCTION("GOOGLETRANSLATE(A2691 , ""auto"", ""ar"")"),"دُبٌّ")</f>
        <v>دُبٌّ</v>
      </c>
    </row>
    <row r="2692" ht="15.75" customHeight="1">
      <c r="A2692" s="1" t="s">
        <v>5368</v>
      </c>
      <c r="B2692" s="1" t="s">
        <v>5369</v>
      </c>
      <c r="C2692" s="2" t="s">
        <v>5370</v>
      </c>
      <c r="D2692" s="1" t="str">
        <f>IFERROR(__xludf.DUMMYFUNCTION("GOOGLETRANSLATE(A2692 , ""auto"", ""ar"")"),"خَوخ")</f>
        <v>خَوخ</v>
      </c>
    </row>
    <row r="2693" ht="15.75" customHeight="1">
      <c r="A2693" s="1" t="s">
        <v>5371</v>
      </c>
      <c r="B2693" s="1" t="s">
        <v>5372</v>
      </c>
      <c r="C2693" s="2" t="s">
        <v>5373</v>
      </c>
      <c r="D2693" s="1" t="str">
        <f>IFERROR(__xludf.DUMMYFUNCTION("GOOGLETRANSLATE(A2693 , ""auto"", ""ar"")"),"الفول السوداني")</f>
        <v>الفول السوداني</v>
      </c>
    </row>
    <row r="2694" ht="15.75" customHeight="1">
      <c r="A2694" s="1" t="s">
        <v>5374</v>
      </c>
      <c r="B2694" s="1" t="s">
        <v>5375</v>
      </c>
      <c r="C2694" s="2" t="s">
        <v>5376</v>
      </c>
      <c r="D2694" s="1" t="str">
        <f>IFERROR(__xludf.DUMMYFUNCTION("GOOGLETRANSLATE(A2694 , ""auto"", ""ar"")"),"كُمَّثرَى")</f>
        <v>كُمَّثرَى</v>
      </c>
    </row>
    <row r="2695" ht="15.75" customHeight="1">
      <c r="A2695" s="1" t="s">
        <v>5377</v>
      </c>
      <c r="B2695" s="1" t="s">
        <v>5378</v>
      </c>
      <c r="C2695" s="1"/>
      <c r="D2695" s="1" t="str">
        <f>IFERROR(__xludf.DUMMYFUNCTION("GOOGLETRANSLATE(A2695 , ""auto"", ""ar"")"),"الفلاح")</f>
        <v>الفلاح</v>
      </c>
    </row>
    <row r="2696" ht="15.75" customHeight="1">
      <c r="A2696" s="1" t="s">
        <v>2785</v>
      </c>
      <c r="B2696" s="1" t="s">
        <v>5379</v>
      </c>
      <c r="C2696" s="2" t="s">
        <v>5380</v>
      </c>
      <c r="D2696" s="1" t="str">
        <f>IFERROR(__xludf.DUMMYFUNCTION("GOOGLETRANSLATE(A2696 , ""auto"", ""ar"")"),"قشر")</f>
        <v>قشر</v>
      </c>
    </row>
    <row r="2697" ht="15.75" customHeight="1">
      <c r="A2697" s="1" t="s">
        <v>5381</v>
      </c>
      <c r="B2697" s="1" t="s">
        <v>5382</v>
      </c>
      <c r="C2697" s="2" t="s">
        <v>5383</v>
      </c>
      <c r="D2697" s="1" t="str">
        <f>IFERROR(__xludf.DUMMYFUNCTION("GOOGLETRANSLATE(A2697 , ""auto"", ""ar"")"),"قلم")</f>
        <v>قلم</v>
      </c>
    </row>
    <row r="2698" ht="15.75" customHeight="1">
      <c r="A2698" s="1" t="s">
        <v>5384</v>
      </c>
      <c r="B2698" s="1" t="s">
        <v>5385</v>
      </c>
      <c r="C2698" s="1"/>
      <c r="D2698" s="1" t="str">
        <f>IFERROR(__xludf.DUMMYFUNCTION("GOOGLETRANSLATE(A2698 , ""auto"", ""ar"")"),"قلم")</f>
        <v>قلم</v>
      </c>
    </row>
    <row r="2699" ht="15.75" customHeight="1">
      <c r="A2699" s="1" t="s">
        <v>5386</v>
      </c>
      <c r="B2699" s="1" t="s">
        <v>5387</v>
      </c>
      <c r="C2699" s="1"/>
      <c r="D2699" s="1" t="str">
        <f>IFERROR(__xludf.DUMMYFUNCTION("GOOGLETRANSLATE(A2699 , ""auto"", ""ar"")"),"البطريق")</f>
        <v>البطريق</v>
      </c>
    </row>
    <row r="2700" ht="15.75" customHeight="1">
      <c r="A2700" s="1" t="s">
        <v>5388</v>
      </c>
      <c r="B2700" s="1" t="s">
        <v>5389</v>
      </c>
      <c r="C2700" s="2" t="s">
        <v>5390</v>
      </c>
      <c r="D2700" s="1" t="str">
        <f>IFERROR(__xludf.DUMMYFUNCTION("GOOGLETRANSLATE(A2700 , ""auto"", ""ar"")"),"مَعاش")</f>
        <v>مَعاش</v>
      </c>
    </row>
    <row r="2701" ht="15.75" customHeight="1">
      <c r="A2701" s="1" t="s">
        <v>5391</v>
      </c>
      <c r="B2701" s="1" t="s">
        <v>5392</v>
      </c>
      <c r="C2701" s="2" t="s">
        <v>5393</v>
      </c>
      <c r="D2701" s="1" t="str">
        <f>IFERROR(__xludf.DUMMYFUNCTION("GOOGLETRANSLATE(A2701 , ""auto"", ""ar"")"),"الناس")</f>
        <v>الناس</v>
      </c>
    </row>
    <row r="2702" ht="15.75" customHeight="1">
      <c r="A2702" s="1" t="s">
        <v>5394</v>
      </c>
      <c r="B2702" s="1" t="s">
        <v>5395</v>
      </c>
      <c r="C2702" s="1"/>
      <c r="D2702" s="1" t="str">
        <f>IFERROR(__xludf.DUMMYFUNCTION("GOOGLETRANSLATE(A2702 , ""auto"", ""ar"")"),"شعب الله")</f>
        <v>شعب الله</v>
      </c>
    </row>
    <row r="2703" ht="15.75" customHeight="1">
      <c r="A2703" s="1" t="s">
        <v>5396</v>
      </c>
      <c r="B2703" s="1" t="s">
        <v>5397</v>
      </c>
      <c r="C2703" s="1"/>
      <c r="D2703" s="1" t="str">
        <f>IFERROR(__xludf.DUMMYFUNCTION("GOOGLETRANSLATE(A2703 , ""auto"", ""ar"")"),"الفلفل")</f>
        <v>الفلفل</v>
      </c>
    </row>
    <row r="2704" ht="15.75" customHeight="1">
      <c r="A2704" s="1" t="s">
        <v>5396</v>
      </c>
      <c r="B2704" s="1" t="s">
        <v>1386</v>
      </c>
      <c r="C2704" s="2" t="s">
        <v>5398</v>
      </c>
      <c r="D2704" s="1" t="str">
        <f>IFERROR(__xludf.DUMMYFUNCTION("GOOGLETRANSLATE(A2704 , ""auto"", ""ar"")"),"الفلفل")</f>
        <v>الفلفل</v>
      </c>
    </row>
    <row r="2705" ht="15.75" customHeight="1">
      <c r="A2705" s="1" t="s">
        <v>5396</v>
      </c>
      <c r="B2705" s="1" t="s">
        <v>1386</v>
      </c>
      <c r="C2705" s="2" t="s">
        <v>5399</v>
      </c>
      <c r="D2705" s="1" t="str">
        <f>IFERROR(__xludf.DUMMYFUNCTION("GOOGLETRANSLATE(A2705 , ""auto"", ""ar"")"),"الفلفل")</f>
        <v>الفلفل</v>
      </c>
    </row>
    <row r="2706" ht="15.75" customHeight="1">
      <c r="A2706" s="1" t="s">
        <v>5400</v>
      </c>
      <c r="B2706" s="1" t="s">
        <v>409</v>
      </c>
      <c r="C2706" s="2" t="s">
        <v>3770</v>
      </c>
      <c r="D2706" s="1" t="str">
        <f>IFERROR(__xludf.DUMMYFUNCTION("GOOGLETRANSLATE(A2706 , ""auto"", ""ar"")"),"لكل")</f>
        <v>لكل</v>
      </c>
    </row>
    <row r="2707" ht="15.75" customHeight="1">
      <c r="A2707" s="1" t="s">
        <v>5401</v>
      </c>
      <c r="B2707" s="1" t="s">
        <v>200</v>
      </c>
      <c r="C2707" s="2" t="s">
        <v>1626</v>
      </c>
      <c r="D2707" s="1" t="str">
        <f>IFERROR(__xludf.DUMMYFUNCTION("GOOGLETRANSLATE(A2707 , ""auto"", ""ar"")"),"ممتاز")</f>
        <v>ممتاز</v>
      </c>
    </row>
    <row r="2708" ht="15.75" customHeight="1">
      <c r="A2708" s="1" t="s">
        <v>5402</v>
      </c>
      <c r="B2708" s="1" t="s">
        <v>5403</v>
      </c>
      <c r="C2708" s="2" t="s">
        <v>5404</v>
      </c>
      <c r="D2708" s="1" t="str">
        <f>IFERROR(__xludf.DUMMYFUNCTION("GOOGLETRANSLATE(A2708 , ""auto"", ""ar"")"),"عطر")</f>
        <v>عطر</v>
      </c>
    </row>
    <row r="2709" ht="15.75" customHeight="1">
      <c r="A2709" s="1" t="s">
        <v>5405</v>
      </c>
      <c r="B2709" s="1" t="s">
        <v>5406</v>
      </c>
      <c r="C2709" s="1"/>
      <c r="D2709" s="1" t="str">
        <f>IFERROR(__xludf.DUMMYFUNCTION("GOOGLETRANSLATE(A2709 , ""auto"", ""ar"")"),"فترة")</f>
        <v>فترة</v>
      </c>
    </row>
    <row r="2710" ht="15.75" customHeight="1">
      <c r="A2710" s="1" t="s">
        <v>5405</v>
      </c>
      <c r="B2710" s="1" t="s">
        <v>831</v>
      </c>
      <c r="C2710" s="2" t="s">
        <v>832</v>
      </c>
      <c r="D2710" s="1" t="str">
        <f>IFERROR(__xludf.DUMMYFUNCTION("GOOGLETRANSLATE(A2710 , ""auto"", ""ar"")"),"فترة")</f>
        <v>فترة</v>
      </c>
    </row>
    <row r="2711" ht="15.75" customHeight="1">
      <c r="A2711" s="1" t="s">
        <v>5405</v>
      </c>
      <c r="B2711" s="1" t="s">
        <v>5407</v>
      </c>
      <c r="C2711" s="2" t="s">
        <v>5408</v>
      </c>
      <c r="D2711" s="1" t="str">
        <f>IFERROR(__xludf.DUMMYFUNCTION("GOOGLETRANSLATE(A2711 , ""auto"", ""ar"")"),"فترة")</f>
        <v>فترة</v>
      </c>
    </row>
    <row r="2712" ht="15.75" customHeight="1">
      <c r="A2712" s="1" t="s">
        <v>5405</v>
      </c>
      <c r="B2712" s="1" t="s">
        <v>5409</v>
      </c>
      <c r="C2712" s="1"/>
      <c r="D2712" s="1" t="str">
        <f>IFERROR(__xludf.DUMMYFUNCTION("GOOGLETRANSLATE(A2712 , ""auto"", ""ar"")"),"فترة")</f>
        <v>فترة</v>
      </c>
    </row>
    <row r="2713" ht="15.75" customHeight="1">
      <c r="A2713" s="1" t="s">
        <v>5410</v>
      </c>
      <c r="B2713" s="1" t="s">
        <v>5411</v>
      </c>
      <c r="C2713" s="2" t="s">
        <v>5412</v>
      </c>
      <c r="D2713" s="1" t="str">
        <f>IFERROR(__xludf.DUMMYFUNCTION("GOOGLETRANSLATE(A2713 , ""auto"", ""ar"")"),"مباح")</f>
        <v>مباح</v>
      </c>
    </row>
    <row r="2714" ht="15.75" customHeight="1">
      <c r="A2714" s="1" t="s">
        <v>5413</v>
      </c>
      <c r="B2714" s="1" t="s">
        <v>5414</v>
      </c>
      <c r="C2714" s="2" t="s">
        <v>5415</v>
      </c>
      <c r="D2714" s="1" t="str">
        <f>IFERROR(__xludf.DUMMYFUNCTION("GOOGLETRANSLATE(A2714 , ""auto"", ""ar"")"),"شخص")</f>
        <v>شخص</v>
      </c>
    </row>
    <row r="2715" ht="15.75" customHeight="1">
      <c r="A2715" s="1" t="s">
        <v>5413</v>
      </c>
      <c r="B2715" s="1" t="s">
        <v>4534</v>
      </c>
      <c r="C2715" s="2" t="s">
        <v>4535</v>
      </c>
      <c r="D2715" s="1" t="str">
        <f>IFERROR(__xludf.DUMMYFUNCTION("GOOGLETRANSLATE(A2715 , ""auto"", ""ar"")"),"شخص")</f>
        <v>شخص</v>
      </c>
    </row>
    <row r="2716" ht="15.75" customHeight="1">
      <c r="A2716" s="1" t="s">
        <v>5416</v>
      </c>
      <c r="B2716" s="1" t="s">
        <v>3784</v>
      </c>
      <c r="C2716" s="2" t="s">
        <v>3785</v>
      </c>
      <c r="D2716" s="1" t="str">
        <f>IFERROR(__xludf.DUMMYFUNCTION("GOOGLETRANSLATE(A2716 , ""auto"", ""ar"")"),"الشخص المسؤول")</f>
        <v>الشخص المسؤول</v>
      </c>
    </row>
    <row r="2717" ht="15.75" customHeight="1">
      <c r="A2717" s="1" t="s">
        <v>5417</v>
      </c>
      <c r="B2717" s="1" t="s">
        <v>5261</v>
      </c>
      <c r="C2717" s="2" t="s">
        <v>5262</v>
      </c>
      <c r="D2717" s="1" t="str">
        <f>IFERROR(__xludf.DUMMYFUNCTION("GOOGLETRANSLATE(A2717 , ""auto"", ""ar"")"),"شخص قابل للتطبيق")</f>
        <v>شخص قابل للتطبيق</v>
      </c>
    </row>
    <row r="2718" ht="15.75" customHeight="1">
      <c r="A2718" s="1" t="s">
        <v>5418</v>
      </c>
      <c r="B2718" s="1" t="s">
        <v>5419</v>
      </c>
      <c r="C2718" s="2" t="s">
        <v>5420</v>
      </c>
      <c r="D2718" s="1" t="str">
        <f>IFERROR(__xludf.DUMMYFUNCTION("GOOGLETRANSLATE(A2718 , ""auto"", ""ar"")"),"شخصية")</f>
        <v>شخصية</v>
      </c>
    </row>
    <row r="2719" ht="15.75" customHeight="1">
      <c r="A2719" s="1" t="s">
        <v>5421</v>
      </c>
      <c r="B2719" s="1" t="s">
        <v>5422</v>
      </c>
      <c r="C2719" s="2" t="s">
        <v>5423</v>
      </c>
      <c r="D2719" s="1" t="str">
        <f>IFERROR(__xludf.DUMMYFUNCTION("GOOGLETRANSLATE(A2719 , ""auto"", ""ar"")"),"شخصيا")</f>
        <v>شخصيا</v>
      </c>
    </row>
    <row r="2720" ht="15.75" customHeight="1">
      <c r="A2720" s="1" t="s">
        <v>5424</v>
      </c>
      <c r="B2720" s="1" t="s">
        <v>5425</v>
      </c>
      <c r="C2720" s="1"/>
      <c r="D2720" s="1" t="str">
        <f>IFERROR(__xludf.DUMMYFUNCTION("GOOGLETRANSLATE(A2720 , ""auto"", ""ar"")"),"عرق")</f>
        <v>عرق</v>
      </c>
    </row>
    <row r="2721" ht="15.75" customHeight="1">
      <c r="A2721" s="1" t="s">
        <v>5426</v>
      </c>
      <c r="B2721" s="1" t="s">
        <v>5427</v>
      </c>
      <c r="C2721" s="2" t="s">
        <v>5428</v>
      </c>
      <c r="D2721" s="1" t="str">
        <f>IFERROR(__xludf.DUMMYFUNCTION("GOOGLETRANSLATE(A2721 , ""auto"", ""ar"")"),"عرق")</f>
        <v>عرق</v>
      </c>
    </row>
    <row r="2722" ht="15.75" customHeight="1">
      <c r="A2722" s="1" t="s">
        <v>5426</v>
      </c>
      <c r="B2722" s="1" t="s">
        <v>5429</v>
      </c>
      <c r="C2722" s="2" t="s">
        <v>5430</v>
      </c>
      <c r="D2722" s="1" t="str">
        <f>IFERROR(__xludf.DUMMYFUNCTION("GOOGLETRANSLATE(A2722 , ""auto"", ""ar"")"),"عرق")</f>
        <v>عرق</v>
      </c>
    </row>
    <row r="2723" ht="15.75" customHeight="1">
      <c r="A2723" s="1" t="s">
        <v>5431</v>
      </c>
      <c r="B2723" s="1" t="s">
        <v>5432</v>
      </c>
      <c r="C2723" s="2" t="s">
        <v>2265</v>
      </c>
      <c r="D2723" s="1" t="str">
        <f>IFERROR(__xludf.DUMMYFUNCTION("GOOGLETRANSLATE(A2723 , ""auto"", ""ar"")"),"صيدلاني")</f>
        <v>صيدلاني</v>
      </c>
    </row>
    <row r="2724" ht="15.75" customHeight="1">
      <c r="A2724" s="1" t="s">
        <v>5433</v>
      </c>
      <c r="B2724" s="1" t="s">
        <v>2264</v>
      </c>
      <c r="C2724" s="2" t="s">
        <v>2265</v>
      </c>
      <c r="D2724" s="1" t="str">
        <f>IFERROR(__xludf.DUMMYFUNCTION("GOOGLETRANSLATE(A2724 , ""auto"", ""ar"")"),"مقابل")</f>
        <v>مقابل</v>
      </c>
    </row>
    <row r="2725" ht="15.75" customHeight="1">
      <c r="A2725" s="1" t="s">
        <v>5434</v>
      </c>
      <c r="B2725" s="1" t="s">
        <v>1168</v>
      </c>
      <c r="C2725" s="2" t="s">
        <v>1169</v>
      </c>
      <c r="D2725" s="1" t="str">
        <f>IFERROR(__xludf.DUMMYFUNCTION("GOOGLETRANSLATE(A2725 , ""auto"", ""ar"")"),"هاتف")</f>
        <v>هاتف</v>
      </c>
    </row>
    <row r="2726" ht="15.75" customHeight="1">
      <c r="A2726" s="1" t="s">
        <v>5434</v>
      </c>
      <c r="B2726" s="1" t="s">
        <v>1170</v>
      </c>
      <c r="C2726" s="2" t="s">
        <v>1171</v>
      </c>
      <c r="D2726" s="1" t="str">
        <f>IFERROR(__xludf.DUMMYFUNCTION("GOOGLETRANSLATE(A2726 , ""auto"", ""ar"")"),"هاتف")</f>
        <v>هاتف</v>
      </c>
    </row>
    <row r="2727" ht="15.75" customHeight="1">
      <c r="A2727" s="1" t="s">
        <v>5434</v>
      </c>
      <c r="B2727" s="1" t="s">
        <v>1172</v>
      </c>
      <c r="C2727" s="2" t="s">
        <v>1173</v>
      </c>
      <c r="D2727" s="1" t="str">
        <f>IFERROR(__xludf.DUMMYFUNCTION("GOOGLETRANSLATE(A2727 , ""auto"", ""ar"")"),"هاتف")</f>
        <v>هاتف</v>
      </c>
    </row>
    <row r="2728" ht="15.75" customHeight="1">
      <c r="A2728" s="1" t="s">
        <v>5435</v>
      </c>
      <c r="B2728" s="1" t="s">
        <v>3757</v>
      </c>
      <c r="C2728" s="2" t="s">
        <v>3758</v>
      </c>
      <c r="D2728" s="1" t="str">
        <f>IFERROR(__xludf.DUMMYFUNCTION("GOOGLETRANSLATE(A2728 , ""auto"", ""ar"")"),"صورة")</f>
        <v>صورة</v>
      </c>
    </row>
    <row r="2729" ht="15.75" customHeight="1">
      <c r="A2729" s="1" t="s">
        <v>5436</v>
      </c>
      <c r="B2729" s="1" t="s">
        <v>3757</v>
      </c>
      <c r="C2729" s="2" t="s">
        <v>3758</v>
      </c>
      <c r="D2729" s="1" t="str">
        <f>IFERROR(__xludf.DUMMYFUNCTION("GOOGLETRANSLATE(A2729 , ""auto"", ""ar"")"),"تصوير")</f>
        <v>تصوير</v>
      </c>
    </row>
    <row r="2730" ht="15.75" customHeight="1">
      <c r="A2730" s="1" t="s">
        <v>5437</v>
      </c>
      <c r="B2730" s="1" t="s">
        <v>3757</v>
      </c>
      <c r="C2730" s="2" t="s">
        <v>3758</v>
      </c>
      <c r="D2730" s="1" t="str">
        <f>IFERROR(__xludf.DUMMYFUNCTION("GOOGLETRANSLATE(A2730 , ""auto"", ""ar"")"),"صورة")</f>
        <v>صورة</v>
      </c>
    </row>
    <row r="2731" ht="15.75" customHeight="1">
      <c r="A2731" s="1" t="s">
        <v>5438</v>
      </c>
      <c r="B2731" s="1" t="s">
        <v>5439</v>
      </c>
      <c r="C2731" s="2" t="s">
        <v>5440</v>
      </c>
      <c r="D2731" s="1" t="str">
        <f>IFERROR(__xludf.DUMMYFUNCTION("GOOGLETRANSLATE(A2731 , ""auto"", ""ar"")"),"قطعة")</f>
        <v>قطعة</v>
      </c>
    </row>
    <row r="2732" ht="15.75" customHeight="1">
      <c r="A2732" s="1" t="s">
        <v>5441</v>
      </c>
      <c r="B2732" s="1" t="s">
        <v>5442</v>
      </c>
      <c r="C2732" s="2" t="s">
        <v>5443</v>
      </c>
      <c r="D2732" s="1" t="str">
        <f>IFERROR(__xludf.DUMMYFUNCTION("GOOGLETRANSLATE(A2732 , ""auto"", ""ar"")"),"خنزير")</f>
        <v>خنزير</v>
      </c>
    </row>
    <row r="2733" ht="15.75" customHeight="1">
      <c r="A2733" s="1" t="s">
        <v>5444</v>
      </c>
      <c r="B2733" s="1" t="s">
        <v>5445</v>
      </c>
      <c r="C2733" s="2" t="s">
        <v>5446</v>
      </c>
      <c r="D2733" s="1" t="str">
        <f>IFERROR(__xludf.DUMMYFUNCTION("GOOGLETRANSLATE(A2733 , ""auto"", ""ar"")"),"حمامة")</f>
        <v>حمامة</v>
      </c>
    </row>
    <row r="2734" ht="15.75" customHeight="1">
      <c r="A2734" s="1" t="s">
        <v>5447</v>
      </c>
      <c r="B2734" s="1" t="s">
        <v>4352</v>
      </c>
      <c r="C2734" s="2" t="s">
        <v>4353</v>
      </c>
      <c r="D2734" s="1" t="str">
        <f>IFERROR(__xludf.DUMMYFUNCTION("GOOGLETRANSLATE(A2734 , ""auto"", ""ar"")"),"يجمع")</f>
        <v>يجمع</v>
      </c>
    </row>
    <row r="2735" ht="15.75" customHeight="1">
      <c r="A2735" s="1" t="s">
        <v>5448</v>
      </c>
      <c r="B2735" s="1" t="s">
        <v>1231</v>
      </c>
      <c r="C2735" s="1"/>
      <c r="D2735" s="1" t="str">
        <f>IFERROR(__xludf.DUMMYFUNCTION("GOOGLETRANSLATE(A2735 , ""auto"", ""ar"")"),"حبة")</f>
        <v>حبة</v>
      </c>
    </row>
    <row r="2736" ht="15.75" customHeight="1">
      <c r="A2736" s="1" t="s">
        <v>5448</v>
      </c>
      <c r="B2736" s="1" t="s">
        <v>5449</v>
      </c>
      <c r="C2736" s="2" t="s">
        <v>5450</v>
      </c>
      <c r="D2736" s="1" t="str">
        <f>IFERROR(__xludf.DUMMYFUNCTION("GOOGLETRANSLATE(A2736 , ""auto"", ""ar"")"),"حبة")</f>
        <v>حبة</v>
      </c>
    </row>
    <row r="2737" ht="15.75" customHeight="1">
      <c r="A2737" s="1" t="s">
        <v>5448</v>
      </c>
      <c r="B2737" s="1" t="s">
        <v>5449</v>
      </c>
      <c r="C2737" s="2" t="s">
        <v>5450</v>
      </c>
      <c r="D2737" s="1" t="str">
        <f>IFERROR(__xludf.DUMMYFUNCTION("GOOGLETRANSLATE(A2737 , ""auto"", ""ar"")"),"حبة")</f>
        <v>حبة</v>
      </c>
    </row>
    <row r="2738" ht="15.75" customHeight="1">
      <c r="A2738" s="1" t="s">
        <v>5451</v>
      </c>
      <c r="B2738" s="1" t="s">
        <v>5452</v>
      </c>
      <c r="C2738" s="1"/>
      <c r="D2738" s="1" t="str">
        <f>IFERROR(__xludf.DUMMYFUNCTION("GOOGLETRANSLATE(A2738 , ""auto"", ""ar"")"),"وسادة")</f>
        <v>وسادة</v>
      </c>
    </row>
    <row r="2739" ht="15.75" customHeight="1">
      <c r="A2739" s="1" t="s">
        <v>5451</v>
      </c>
      <c r="B2739" s="1" t="s">
        <v>1880</v>
      </c>
      <c r="C2739" s="2" t="s">
        <v>1881</v>
      </c>
      <c r="D2739" s="1" t="str">
        <f>IFERROR(__xludf.DUMMYFUNCTION("GOOGLETRANSLATE(A2739 , ""auto"", ""ar"")"),"وسادة")</f>
        <v>وسادة</v>
      </c>
    </row>
    <row r="2740" ht="15.75" customHeight="1">
      <c r="A2740" s="1" t="s">
        <v>5453</v>
      </c>
      <c r="B2740" s="1" t="s">
        <v>5454</v>
      </c>
      <c r="C2740" s="2" t="s">
        <v>5455</v>
      </c>
      <c r="D2740" s="1" t="str">
        <f>IFERROR(__xludf.DUMMYFUNCTION("GOOGLETRANSLATE(A2740 , ""auto"", ""ar"")"),"أناناس")</f>
        <v>أناناس</v>
      </c>
    </row>
    <row r="2741" ht="15.75" customHeight="1">
      <c r="A2741" s="1" t="s">
        <v>5456</v>
      </c>
      <c r="B2741" s="1" t="s">
        <v>5457</v>
      </c>
      <c r="C2741" s="2" t="s">
        <v>5458</v>
      </c>
      <c r="D2741" s="1" t="str">
        <f>IFERROR(__xludf.DUMMYFUNCTION("GOOGLETRANSLATE(A2741 , ""auto"", ""ar"")"),"لون القرنفل")</f>
        <v>لون القرنفل</v>
      </c>
    </row>
    <row r="2742" ht="15.75" customHeight="1">
      <c r="A2742" s="1" t="s">
        <v>5456</v>
      </c>
      <c r="B2742" s="1" t="s">
        <v>5459</v>
      </c>
      <c r="C2742" s="2" t="s">
        <v>5460</v>
      </c>
      <c r="D2742" s="1" t="str">
        <f>IFERROR(__xludf.DUMMYFUNCTION("GOOGLETRANSLATE(A2742 , ""auto"", ""ar"")"),"لون القرنفل")</f>
        <v>لون القرنفل</v>
      </c>
    </row>
    <row r="2743" ht="15.75" customHeight="1">
      <c r="A2743" s="1" t="s">
        <v>5456</v>
      </c>
      <c r="B2743" s="1" t="s">
        <v>5461</v>
      </c>
      <c r="C2743" s="1"/>
      <c r="D2743" s="1" t="str">
        <f>IFERROR(__xludf.DUMMYFUNCTION("GOOGLETRANSLATE(A2743 , ""auto"", ""ar"")"),"لون القرنفل")</f>
        <v>لون القرنفل</v>
      </c>
    </row>
    <row r="2744" ht="15.75" customHeight="1">
      <c r="A2744" s="1" t="s">
        <v>5462</v>
      </c>
      <c r="B2744" s="1" t="s">
        <v>5463</v>
      </c>
      <c r="C2744" s="1"/>
      <c r="D2744" s="1" t="str">
        <f>IFERROR(__xludf.DUMMYFUNCTION("GOOGLETRANSLATE(A2744 , ""auto"", ""ar"")"),"يضخ")</f>
        <v>يضخ</v>
      </c>
    </row>
    <row r="2745" ht="15.75" customHeight="1">
      <c r="A2745" s="1" t="s">
        <v>5462</v>
      </c>
      <c r="B2745" s="1" t="s">
        <v>5464</v>
      </c>
      <c r="C2745" s="1"/>
      <c r="D2745" s="1" t="str">
        <f>IFERROR(__xludf.DUMMYFUNCTION("GOOGLETRANSLATE(A2745 , ""auto"", ""ar"")"),"يضخ")</f>
        <v>يضخ</v>
      </c>
    </row>
    <row r="2746" ht="15.75" customHeight="1">
      <c r="A2746" s="1" t="s">
        <v>5462</v>
      </c>
      <c r="B2746" s="1" t="s">
        <v>3644</v>
      </c>
      <c r="C2746" s="1"/>
      <c r="D2746" s="1" t="str">
        <f>IFERROR(__xludf.DUMMYFUNCTION("GOOGLETRANSLATE(A2746 , ""auto"", ""ar"")"),"يضخ")</f>
        <v>يضخ</v>
      </c>
    </row>
    <row r="2747" ht="15.75" customHeight="1">
      <c r="A2747" s="1" t="s">
        <v>5465</v>
      </c>
      <c r="B2747" s="1" t="s">
        <v>4028</v>
      </c>
      <c r="C2747" s="2" t="s">
        <v>4029</v>
      </c>
      <c r="D2747" s="1" t="str">
        <f>IFERROR(__xludf.DUMMYFUNCTION("GOOGLETRANSLATE(A2747 , ""auto"", ""ar"")"),"جرة")</f>
        <v>جرة</v>
      </c>
    </row>
    <row r="2748" ht="15.75" customHeight="1">
      <c r="A2748" s="1" t="s">
        <v>5466</v>
      </c>
      <c r="B2748" s="1" t="s">
        <v>5467</v>
      </c>
      <c r="C2748" s="2" t="s">
        <v>5468</v>
      </c>
      <c r="D2748" s="1" t="str">
        <f>IFERROR(__xludf.DUMMYFUNCTION("GOOGLETRANSLATE(A2748 , ""auto"", ""ar"")"),"تصحية")</f>
        <v>تصحية</v>
      </c>
    </row>
    <row r="2749" ht="15.75" customHeight="1">
      <c r="A2749" s="1" t="s">
        <v>5469</v>
      </c>
      <c r="B2749" s="1" t="s">
        <v>5470</v>
      </c>
      <c r="C2749" s="2" t="s">
        <v>5471</v>
      </c>
      <c r="D2749" s="1" t="str">
        <f>IFERROR(__xludf.DUMMYFUNCTION("GOOGLETRANSLATE(A2749 , ""auto"", ""ar"")"),"حزين")</f>
        <v>حزين</v>
      </c>
    </row>
    <row r="2750" ht="15.75" customHeight="1">
      <c r="A2750" s="1" t="s">
        <v>5469</v>
      </c>
      <c r="B2750" s="1" t="s">
        <v>3421</v>
      </c>
      <c r="C2750" s="2" t="s">
        <v>3422</v>
      </c>
      <c r="D2750" s="1" t="str">
        <f>IFERROR(__xludf.DUMMYFUNCTION("GOOGLETRANSLATE(A2750 , ""auto"", ""ar"")"),"حزين")</f>
        <v>حزين</v>
      </c>
    </row>
    <row r="2751" ht="15.75" customHeight="1">
      <c r="A2751" s="1" t="s">
        <v>5472</v>
      </c>
      <c r="B2751" s="1" t="s">
        <v>5473</v>
      </c>
      <c r="C2751" s="2" t="s">
        <v>5474</v>
      </c>
      <c r="D2751" s="1" t="str">
        <f>IFERROR(__xludf.DUMMYFUNCTION("GOOGLETRANSLATE(A2751 , ""auto"", ""ar"")"),"الحزن")</f>
        <v>الحزن</v>
      </c>
    </row>
    <row r="2752" ht="15.75" customHeight="1">
      <c r="A2752" s="1" t="s">
        <v>5475</v>
      </c>
      <c r="B2752" s="1" t="s">
        <v>5476</v>
      </c>
      <c r="C2752" s="2" t="s">
        <v>5477</v>
      </c>
      <c r="D2752" s="1" t="str">
        <f>IFERROR(__xludf.DUMMYFUNCTION("GOOGLETRANSLATE(A2752 , ""auto"", ""ar"")"),"السلامة والعافية")</f>
        <v>السلامة والعافية</v>
      </c>
    </row>
    <row r="2753" ht="15.75" customHeight="1">
      <c r="A2753" s="1" t="s">
        <v>5478</v>
      </c>
      <c r="B2753" s="1" t="s">
        <v>5479</v>
      </c>
      <c r="C2753" s="1"/>
      <c r="D2753" s="1" t="str">
        <f>IFERROR(__xludf.DUMMYFUNCTION("GOOGLETRANSLATE(A2753 , ""auto"", ""ar"")"),"أمان")</f>
        <v>أمان</v>
      </c>
    </row>
    <row r="2754" ht="15.75" customHeight="1">
      <c r="A2754" s="1" t="s">
        <v>5480</v>
      </c>
      <c r="B2754" s="1" t="s">
        <v>5481</v>
      </c>
      <c r="C2754" s="1"/>
      <c r="D2754" s="1" t="str">
        <f>IFERROR(__xludf.DUMMYFUNCTION("GOOGLETRANSLATE(A2754 , ""auto"", ""ar"")"),"زعفران")</f>
        <v>زعفران</v>
      </c>
    </row>
    <row r="2755" ht="15.75" customHeight="1">
      <c r="A2755" s="1" t="s">
        <v>5480</v>
      </c>
      <c r="B2755" s="1" t="s">
        <v>5481</v>
      </c>
      <c r="C2755" s="1"/>
      <c r="D2755" s="1" t="str">
        <f>IFERROR(__xludf.DUMMYFUNCTION("GOOGLETRANSLATE(A2755 , ""auto"", ""ar"")"),"زعفران")</f>
        <v>زعفران</v>
      </c>
    </row>
    <row r="2756" ht="15.75" customHeight="1">
      <c r="A2756" s="1" t="s">
        <v>5480</v>
      </c>
      <c r="B2756" s="1" t="s">
        <v>5481</v>
      </c>
      <c r="C2756" s="2" t="s">
        <v>5482</v>
      </c>
      <c r="D2756" s="1" t="str">
        <f>IFERROR(__xludf.DUMMYFUNCTION("GOOGLETRANSLATE(A2756 , ""auto"", ""ar"")"),"زعفران")</f>
        <v>زعفران</v>
      </c>
    </row>
    <row r="2757" ht="15.75" customHeight="1">
      <c r="A2757" s="1" t="s">
        <v>5483</v>
      </c>
      <c r="B2757" s="1" t="s">
        <v>5484</v>
      </c>
      <c r="C2757" s="2" t="s">
        <v>5485</v>
      </c>
      <c r="D2757" s="1" t="str">
        <f>IFERROR(__xludf.DUMMYFUNCTION("GOOGLETRANSLATE(A2757 , ""auto"", ""ar"")"),"القديس")</f>
        <v>القديس</v>
      </c>
    </row>
    <row r="2758" ht="15.75" customHeight="1">
      <c r="A2758" s="1" t="s">
        <v>5486</v>
      </c>
      <c r="B2758" s="1" t="s">
        <v>5484</v>
      </c>
      <c r="C2758" s="2" t="s">
        <v>5485</v>
      </c>
      <c r="D2758" s="1" t="str">
        <f>IFERROR(__xludf.DUMMYFUNCTION("GOOGLETRANSLATE(A2758 , ""auto"", ""ar"")"),"قبر القديس")</f>
        <v>قبر القديس</v>
      </c>
    </row>
    <row r="2759" ht="15.75" customHeight="1">
      <c r="A2759" s="1" t="s">
        <v>5486</v>
      </c>
      <c r="B2759" s="1" t="s">
        <v>5487</v>
      </c>
      <c r="C2759" s="2" t="s">
        <v>5488</v>
      </c>
      <c r="D2759" s="1" t="str">
        <f>IFERROR(__xludf.DUMMYFUNCTION("GOOGLETRANSLATE(A2759 , ""auto"", ""ar"")"),"قبر القديس")</f>
        <v>قبر القديس</v>
      </c>
    </row>
    <row r="2760" ht="15.75" customHeight="1">
      <c r="A2760" s="1" t="s">
        <v>5489</v>
      </c>
      <c r="B2760" s="1" t="s">
        <v>4751</v>
      </c>
      <c r="C2760" s="2" t="s">
        <v>4752</v>
      </c>
      <c r="D2760" s="1" t="str">
        <f>IFERROR(__xludf.DUMMYFUNCTION("GOOGLETRANSLATE(A2760 , ""auto"", ""ar"")"),"سلطة")</f>
        <v>سلطة</v>
      </c>
    </row>
    <row r="2761" ht="15.75" customHeight="1">
      <c r="A2761" s="1" t="s">
        <v>5490</v>
      </c>
      <c r="B2761" s="1" t="s">
        <v>5491</v>
      </c>
      <c r="C2761" s="1"/>
      <c r="D2761" s="1" t="str">
        <f>IFERROR(__xludf.DUMMYFUNCTION("GOOGLETRANSLATE(A2761 , ""auto"", ""ar"")"),"مرتب")</f>
        <v>مرتب</v>
      </c>
    </row>
    <row r="2762" ht="15.75" customHeight="1">
      <c r="A2762" s="1" t="s">
        <v>5490</v>
      </c>
      <c r="B2762" s="1" t="s">
        <v>5492</v>
      </c>
      <c r="C2762" s="1"/>
      <c r="D2762" s="1" t="str">
        <f>IFERROR(__xludf.DUMMYFUNCTION("GOOGLETRANSLATE(A2762 , ""auto"", ""ar"")"),"مرتب")</f>
        <v>مرتب</v>
      </c>
    </row>
    <row r="2763" ht="15.75" customHeight="1">
      <c r="A2763" s="1" t="s">
        <v>5490</v>
      </c>
      <c r="B2763" s="1" t="s">
        <v>5493</v>
      </c>
      <c r="C2763" s="2" t="s">
        <v>5494</v>
      </c>
      <c r="D2763" s="1" t="str">
        <f>IFERROR(__xludf.DUMMYFUNCTION("GOOGLETRANSLATE(A2763 , ""auto"", ""ar"")"),"مرتب")</f>
        <v>مرتب</v>
      </c>
    </row>
    <row r="2764" ht="15.75" customHeight="1">
      <c r="A2764" s="1" t="s">
        <v>5495</v>
      </c>
      <c r="B2764" s="1" t="s">
        <v>5496</v>
      </c>
      <c r="C2764" s="2" t="s">
        <v>5497</v>
      </c>
      <c r="D2764" s="1" t="str">
        <f>IFERROR(__xludf.DUMMYFUNCTION("GOOGLETRANSLATE(A2764 , ""auto"", ""ar"")"),"أُوكَازيُون")</f>
        <v>أُوكَازيُون</v>
      </c>
    </row>
    <row r="2765" ht="15.75" customHeight="1">
      <c r="A2765" s="1" t="s">
        <v>5495</v>
      </c>
      <c r="B2765" s="1" t="s">
        <v>5498</v>
      </c>
      <c r="C2765" s="1"/>
      <c r="D2765" s="1" t="str">
        <f>IFERROR(__xludf.DUMMYFUNCTION("GOOGLETRANSLATE(A2765 , ""auto"", ""ar"")"),"أُوكَازيُون")</f>
        <v>أُوكَازيُون</v>
      </c>
    </row>
    <row r="2766" ht="15.75" customHeight="1">
      <c r="A2766" s="1" t="s">
        <v>5499</v>
      </c>
      <c r="B2766" s="1" t="s">
        <v>5500</v>
      </c>
      <c r="C2766" s="2" t="s">
        <v>5501</v>
      </c>
      <c r="D2766" s="1" t="str">
        <f>IFERROR(__xludf.DUMMYFUNCTION("GOOGLETRANSLATE(A2766 , ""auto"", ""ar"")"),"مندوب مبيعات")</f>
        <v>مندوب مبيعات</v>
      </c>
    </row>
    <row r="2767" ht="15.75" customHeight="1">
      <c r="A2767" s="1" t="s">
        <v>5502</v>
      </c>
      <c r="B2767" s="1" t="s">
        <v>5503</v>
      </c>
      <c r="C2767" s="2" t="s">
        <v>5504</v>
      </c>
      <c r="D2767" s="1" t="str">
        <f>IFERROR(__xludf.DUMMYFUNCTION("GOOGLETRANSLATE(A2767 , ""auto"", ""ar"")"),"ملح")</f>
        <v>ملح</v>
      </c>
    </row>
    <row r="2768" ht="15.75" customHeight="1">
      <c r="A2768" s="1" t="s">
        <v>5505</v>
      </c>
      <c r="B2768" s="1" t="s">
        <v>5506</v>
      </c>
      <c r="C2768" s="2" t="s">
        <v>5507</v>
      </c>
      <c r="D2768" s="1" t="str">
        <f>IFERROR(__xludf.DUMMYFUNCTION("GOOGLETRANSLATE(A2768 , ""auto"", ""ar"")"),"مالح")</f>
        <v>مالح</v>
      </c>
    </row>
    <row r="2769" ht="15.75" customHeight="1">
      <c r="A2769" s="1" t="s">
        <v>5508</v>
      </c>
      <c r="B2769" s="1" t="s">
        <v>5509</v>
      </c>
      <c r="C2769" s="2" t="s">
        <v>5510</v>
      </c>
      <c r="D2769" s="1" t="str">
        <f>IFERROR(__xludf.DUMMYFUNCTION("GOOGLETRANSLATE(A2769 , ""auto"", ""ar"")"),"نفس")</f>
        <v>نفس</v>
      </c>
    </row>
    <row r="2770" ht="15.75" customHeight="1">
      <c r="A2770" s="1" t="s">
        <v>5511</v>
      </c>
      <c r="B2770" s="1" t="s">
        <v>5512</v>
      </c>
      <c r="C2770" s="1"/>
      <c r="D2770" s="1" t="str">
        <f>IFERROR(__xludf.DUMMYFUNCTION("GOOGLETRANSLATE(A2770 , ""auto"", ""ar"")"),"رمل")</f>
        <v>رمل</v>
      </c>
    </row>
    <row r="2771" ht="15.75" customHeight="1">
      <c r="A2771" s="1" t="s">
        <v>5513</v>
      </c>
      <c r="B2771" s="1" t="s">
        <v>5514</v>
      </c>
      <c r="C2771" s="2" t="s">
        <v>5515</v>
      </c>
      <c r="D2771" s="1" t="str">
        <f>IFERROR(__xludf.DUMMYFUNCTION("GOOGLETRANSLATE(A2771 , ""auto"", ""ar"")"),"صنادل")</f>
        <v>صنادل</v>
      </c>
    </row>
    <row r="2772" ht="15.75" customHeight="1">
      <c r="A2772" s="1" t="s">
        <v>5513</v>
      </c>
      <c r="B2772" s="1" t="s">
        <v>5516</v>
      </c>
      <c r="C2772" s="1"/>
      <c r="D2772" s="1" t="str">
        <f>IFERROR(__xludf.DUMMYFUNCTION("GOOGLETRANSLATE(A2772 , ""auto"", ""ar"")"),"صنادل")</f>
        <v>صنادل</v>
      </c>
    </row>
    <row r="2773" ht="15.75" customHeight="1">
      <c r="A2773" s="1" t="s">
        <v>5517</v>
      </c>
      <c r="B2773" s="1" t="s">
        <v>5518</v>
      </c>
      <c r="C2773" s="2" t="s">
        <v>5519</v>
      </c>
      <c r="D2773" s="1" t="str">
        <f>IFERROR(__xludf.DUMMYFUNCTION("GOOGLETRANSLATE(A2773 , ""auto"", ""ar"")"),"سمك السردين")</f>
        <v>سمك السردين</v>
      </c>
    </row>
    <row r="2774" ht="15.75" customHeight="1">
      <c r="A2774" s="1" t="s">
        <v>5520</v>
      </c>
      <c r="B2774" s="1" t="s">
        <v>5521</v>
      </c>
      <c r="C2774" s="1"/>
      <c r="D2774" s="1" t="str">
        <f>IFERROR(__xludf.DUMMYFUNCTION("GOOGLETRANSLATE(A2774 , ""auto"", ""ar"")"),"الشيطان")</f>
        <v>الشيطان</v>
      </c>
    </row>
    <row r="2775" ht="15.75" customHeight="1">
      <c r="A2775" s="1" t="s">
        <v>5522</v>
      </c>
      <c r="B2775" s="1" t="s">
        <v>5523</v>
      </c>
      <c r="C2775" s="2" t="s">
        <v>5524</v>
      </c>
      <c r="D2775" s="1" t="str">
        <f>IFERROR(__xludf.DUMMYFUNCTION("GOOGLETRANSLATE(A2775 , ""auto"", ""ar"")"),"حقيبة")</f>
        <v>حقيبة</v>
      </c>
    </row>
    <row r="2776" ht="15.75" customHeight="1">
      <c r="A2776" s="1" t="s">
        <v>5525</v>
      </c>
      <c r="B2776" s="1" t="s">
        <v>5526</v>
      </c>
      <c r="C2776" s="2" t="s">
        <v>5527</v>
      </c>
      <c r="D2776" s="1" t="str">
        <f>IFERROR(__xludf.DUMMYFUNCTION("GOOGLETRANSLATE(A2776 , ""auto"", ""ar"")"),"السبت")</f>
        <v>السبت</v>
      </c>
    </row>
    <row r="2777" ht="15.75" customHeight="1">
      <c r="A2777" s="1" t="s">
        <v>5525</v>
      </c>
      <c r="B2777" s="1" t="s">
        <v>5528</v>
      </c>
      <c r="C2777" s="2" t="s">
        <v>5529</v>
      </c>
      <c r="D2777" s="1" t="str">
        <f>IFERROR(__xludf.DUMMYFUNCTION("GOOGLETRANSLATE(A2777 , ""auto"", ""ar"")"),"السبت")</f>
        <v>السبت</v>
      </c>
    </row>
    <row r="2778" ht="15.75" customHeight="1">
      <c r="A2778" s="1" t="s">
        <v>5530</v>
      </c>
      <c r="B2778" s="1" t="s">
        <v>5531</v>
      </c>
      <c r="C2778" s="1"/>
      <c r="D2778" s="1" t="str">
        <f>IFERROR(__xludf.DUMMYFUNCTION("GOOGLETRANSLATE(A2778 , ""auto"", ""ar"")"),"صلصة")</f>
        <v>صلصة</v>
      </c>
    </row>
    <row r="2779" ht="15.75" customHeight="1">
      <c r="A2779" s="1" t="s">
        <v>5530</v>
      </c>
      <c r="B2779" s="1" t="s">
        <v>5532</v>
      </c>
      <c r="C2779" s="1"/>
      <c r="D2779" s="1" t="str">
        <f>IFERROR(__xludf.DUMMYFUNCTION("GOOGLETRANSLATE(A2779 , ""auto"", ""ar"")"),"صلصة")</f>
        <v>صلصة</v>
      </c>
    </row>
    <row r="2780" ht="15.75" customHeight="1">
      <c r="A2780" s="1" t="s">
        <v>5533</v>
      </c>
      <c r="B2780" s="1" t="s">
        <v>5534</v>
      </c>
      <c r="C2780" s="2" t="s">
        <v>5535</v>
      </c>
      <c r="D2780" s="1" t="str">
        <f>IFERROR(__xludf.DUMMYFUNCTION("GOOGLETRANSLATE(A2780 , ""auto"", ""ar"")"),"قدر")</f>
        <v>قدر</v>
      </c>
    </row>
    <row r="2781" ht="15.75" customHeight="1">
      <c r="A2781" s="1" t="s">
        <v>5536</v>
      </c>
      <c r="B2781" s="1" t="s">
        <v>5537</v>
      </c>
      <c r="C2781" s="1"/>
      <c r="D2781" s="1" t="str">
        <f>IFERROR(__xludf.DUMMYFUNCTION("GOOGLETRANSLATE(A2781 , ""auto"", ""ar"")"),"سجق")</f>
        <v>سجق</v>
      </c>
    </row>
    <row r="2782" ht="15.75" customHeight="1">
      <c r="A2782" s="1" t="s">
        <v>5538</v>
      </c>
      <c r="B2782" s="1" t="s">
        <v>5539</v>
      </c>
      <c r="C2782" s="1"/>
      <c r="D2782" s="1" t="str">
        <f>IFERROR(__xludf.DUMMYFUNCTION("GOOGLETRANSLATE(A2782 , ""auto"", ""ar"")"),"يحفظ")</f>
        <v>يحفظ</v>
      </c>
    </row>
    <row r="2783" ht="15.75" customHeight="1">
      <c r="A2783" s="1" t="s">
        <v>5538</v>
      </c>
      <c r="B2783" s="1" t="s">
        <v>5540</v>
      </c>
      <c r="C2783" s="2" t="s">
        <v>5541</v>
      </c>
      <c r="D2783" s="1" t="str">
        <f>IFERROR(__xludf.DUMMYFUNCTION("GOOGLETRANSLATE(A2783 , ""auto"", ""ar"")"),"يحفظ")</f>
        <v>يحفظ</v>
      </c>
    </row>
    <row r="2784" ht="15.75" customHeight="1">
      <c r="A2784" s="1" t="s">
        <v>5538</v>
      </c>
      <c r="B2784" s="1" t="s">
        <v>1704</v>
      </c>
      <c r="C2784" s="1"/>
      <c r="D2784" s="1" t="str">
        <f>IFERROR(__xludf.DUMMYFUNCTION("GOOGLETRANSLATE(A2784 , ""auto"", ""ar"")"),"يحفظ")</f>
        <v>يحفظ</v>
      </c>
    </row>
    <row r="2785" ht="15.75" customHeight="1">
      <c r="A2785" s="1" t="s">
        <v>5542</v>
      </c>
      <c r="B2785" s="1" t="s">
        <v>400</v>
      </c>
      <c r="C2785" s="1"/>
      <c r="D2785" s="1" t="str">
        <f>IFERROR(__xludf.DUMMYFUNCTION("GOOGLETRANSLATE(A2785 , ""auto"", ""ar"")"),"حفظ")</f>
        <v>حفظ</v>
      </c>
    </row>
    <row r="2786" ht="15.75" customHeight="1">
      <c r="A2786" s="1" t="s">
        <v>5543</v>
      </c>
      <c r="B2786" s="1" t="s">
        <v>5544</v>
      </c>
      <c r="C2786" s="1"/>
      <c r="D2786" s="1" t="str">
        <f>IFERROR(__xludf.DUMMYFUNCTION("GOOGLETRANSLATE(A2786 , ""auto"", ""ar"")"),"رأى")</f>
        <v>رأى</v>
      </c>
    </row>
    <row r="2787" ht="15.75" customHeight="1">
      <c r="A2787" s="1" t="s">
        <v>5545</v>
      </c>
      <c r="B2787" s="1" t="s">
        <v>1174</v>
      </c>
      <c r="C2787" s="2" t="s">
        <v>1175</v>
      </c>
      <c r="D2787" s="1" t="str">
        <f>IFERROR(__xludf.DUMMYFUNCTION("GOOGLETRANSLATE(A2787 , ""auto"", ""ar"")"),"يقول")</f>
        <v>يقول</v>
      </c>
    </row>
    <row r="2788" ht="15.75" customHeight="1">
      <c r="A2788" s="1" t="s">
        <v>5546</v>
      </c>
      <c r="B2788" s="1" t="s">
        <v>5547</v>
      </c>
      <c r="C2788" s="1"/>
      <c r="D2788" s="1" t="str">
        <f>IFERROR(__xludf.DUMMYFUNCTION("GOOGLETRANSLATE(A2788 , ""auto"", ""ar"")"),"قل وداعا (لبعضها البعض)")</f>
        <v>قل وداعا (لبعضها البعض)</v>
      </c>
    </row>
    <row r="2789" ht="15.75" customHeight="1">
      <c r="A2789" s="1" t="s">
        <v>5548</v>
      </c>
      <c r="B2789" s="1" t="s">
        <v>5549</v>
      </c>
      <c r="C2789" s="2" t="s">
        <v>5550</v>
      </c>
      <c r="D2789" s="1" t="str">
        <f>IFERROR(__xludf.DUMMYFUNCTION("GOOGLETRANSLATE(A2789 , ""auto"", ""ar"")"),"مقاييس")</f>
        <v>مقاييس</v>
      </c>
    </row>
    <row r="2790" ht="15.75" customHeight="1">
      <c r="A2790" s="1" t="s">
        <v>5551</v>
      </c>
      <c r="B2790" s="1" t="s">
        <v>5552</v>
      </c>
      <c r="C2790" s="2" t="s">
        <v>5553</v>
      </c>
      <c r="D2790" s="1" t="str">
        <f>IFERROR(__xludf.DUMMYFUNCTION("GOOGLETRANSLATE(A2790 , ""auto"", ""ar"")"),"فزع")</f>
        <v>فزع</v>
      </c>
    </row>
    <row r="2791" ht="15.75" customHeight="1">
      <c r="A2791" s="1" t="s">
        <v>5554</v>
      </c>
      <c r="B2791" s="1" t="s">
        <v>120</v>
      </c>
      <c r="C2791" s="2" t="s">
        <v>121</v>
      </c>
      <c r="D2791" s="1" t="str">
        <f>IFERROR(__xludf.DUMMYFUNCTION("GOOGLETRANSLATE(A2791 , ""auto"", ""ar"")"),"مقدس")</f>
        <v>مقدس</v>
      </c>
    </row>
    <row r="2792" ht="15.75" customHeight="1">
      <c r="A2792" s="1" t="s">
        <v>5554</v>
      </c>
      <c r="B2792" s="1" t="s">
        <v>122</v>
      </c>
      <c r="C2792" s="2" t="s">
        <v>123</v>
      </c>
      <c r="D2792" s="1" t="str">
        <f>IFERROR(__xludf.DUMMYFUNCTION("GOOGLETRANSLATE(A2792 , ""auto"", ""ar"")"),"مقدس")</f>
        <v>مقدس</v>
      </c>
    </row>
    <row r="2793" ht="15.75" customHeight="1">
      <c r="A2793" s="1" t="s">
        <v>5554</v>
      </c>
      <c r="B2793" s="1" t="s">
        <v>124</v>
      </c>
      <c r="C2793" s="2" t="s">
        <v>65</v>
      </c>
      <c r="D2793" s="1" t="str">
        <f>IFERROR(__xludf.DUMMYFUNCTION("GOOGLETRANSLATE(A2793 , ""auto"", ""ar"")"),"مقدس")</f>
        <v>مقدس</v>
      </c>
    </row>
    <row r="2794" ht="15.75" customHeight="1">
      <c r="A2794" s="1" t="s">
        <v>5554</v>
      </c>
      <c r="B2794" s="1" t="s">
        <v>125</v>
      </c>
      <c r="C2794" s="2" t="s">
        <v>126</v>
      </c>
      <c r="D2794" s="1" t="str">
        <f>IFERROR(__xludf.DUMMYFUNCTION("GOOGLETRANSLATE(A2794 , ""auto"", ""ar"")"),"مقدس")</f>
        <v>مقدس</v>
      </c>
    </row>
    <row r="2795" ht="15.75" customHeight="1">
      <c r="A2795" s="1" t="s">
        <v>5555</v>
      </c>
      <c r="B2795" s="1" t="s">
        <v>5556</v>
      </c>
      <c r="C2795" s="1"/>
      <c r="D2795" s="1" t="str">
        <f>IFERROR(__xludf.DUMMYFUNCTION("GOOGLETRANSLATE(A2795 , ""auto"", ""ar"")"),"وشاح")</f>
        <v>وشاح</v>
      </c>
    </row>
    <row r="2796" ht="15.75" customHeight="1">
      <c r="A2796" s="1" t="s">
        <v>5557</v>
      </c>
      <c r="B2796" s="1" t="s">
        <v>2113</v>
      </c>
      <c r="C2796" s="2" t="s">
        <v>2114</v>
      </c>
      <c r="D2796" s="1" t="str">
        <f>IFERROR(__xludf.DUMMYFUNCTION("GOOGLETRANSLATE(A2796 , ""auto"", ""ar"")"),"مبعثر")</f>
        <v>مبعثر</v>
      </c>
    </row>
    <row r="2797" ht="15.75" customHeight="1">
      <c r="A2797" s="1" t="s">
        <v>5558</v>
      </c>
      <c r="B2797" s="1" t="s">
        <v>5559</v>
      </c>
      <c r="C2797" s="2" t="s">
        <v>5560</v>
      </c>
      <c r="D2797" s="1" t="str">
        <f>IFERROR(__xludf.DUMMYFUNCTION("GOOGLETRANSLATE(A2797 , ""auto"", ""ar"")"),"مدرسة")</f>
        <v>مدرسة</v>
      </c>
    </row>
    <row r="2798" ht="15.75" customHeight="1">
      <c r="A2798" s="1" t="s">
        <v>5561</v>
      </c>
      <c r="B2798" s="1" t="s">
        <v>5523</v>
      </c>
      <c r="C2798" s="2" t="s">
        <v>5524</v>
      </c>
      <c r="D2798" s="1" t="str">
        <f>IFERROR(__xludf.DUMMYFUNCTION("GOOGLETRANSLATE(A2798 , ""auto"", ""ar"")"),"الحقيبة المدرسية")</f>
        <v>الحقيبة المدرسية</v>
      </c>
    </row>
    <row r="2799" ht="15.75" customHeight="1">
      <c r="A2799" s="1" t="s">
        <v>5562</v>
      </c>
      <c r="B2799" s="1" t="s">
        <v>5563</v>
      </c>
      <c r="C2799" s="2" t="s">
        <v>5564</v>
      </c>
      <c r="D2799" s="1" t="str">
        <f>IFERROR(__xludf.DUMMYFUNCTION("GOOGLETRANSLATE(A2799 , ""auto"", ""ar"")"),"الخيال العلمي")</f>
        <v>الخيال العلمي</v>
      </c>
    </row>
    <row r="2800" ht="15.75" customHeight="1">
      <c r="A2800" s="1" t="s">
        <v>5565</v>
      </c>
      <c r="B2800" s="1" t="s">
        <v>5566</v>
      </c>
      <c r="C2800" s="2" t="s">
        <v>5567</v>
      </c>
      <c r="D2800" s="1" t="str">
        <f>IFERROR(__xludf.DUMMYFUNCTION("GOOGLETRANSLATE(A2800 , ""auto"", ""ar"")"),"علمي")</f>
        <v>علمي</v>
      </c>
    </row>
    <row r="2801" ht="15.75" customHeight="1">
      <c r="A2801" s="1" t="s">
        <v>5568</v>
      </c>
      <c r="B2801" s="1" t="s">
        <v>5569</v>
      </c>
      <c r="C2801" s="1"/>
      <c r="D2801" s="1" t="str">
        <f>IFERROR(__xludf.DUMMYFUNCTION("GOOGLETRANSLATE(A2801 , ""auto"", ""ar"")"),"مقص")</f>
        <v>مقص</v>
      </c>
    </row>
    <row r="2802" ht="15.75" customHeight="1">
      <c r="A2802" s="1" t="s">
        <v>5570</v>
      </c>
      <c r="B2802" s="1" t="s">
        <v>5571</v>
      </c>
      <c r="C2802" s="2" t="s">
        <v>5572</v>
      </c>
      <c r="D2802" s="1" t="str">
        <f>IFERROR(__xludf.DUMMYFUNCTION("GOOGLETRANSLATE(A2802 , ""auto"", ""ar"")"),"برج العقرب")</f>
        <v>برج العقرب</v>
      </c>
    </row>
    <row r="2803" ht="15.75" customHeight="1">
      <c r="A2803" s="1" t="s">
        <v>5573</v>
      </c>
      <c r="B2803" s="1" t="s">
        <v>5574</v>
      </c>
      <c r="C2803" s="2" t="s">
        <v>5575</v>
      </c>
      <c r="D2803" s="1" t="str">
        <f>IFERROR(__xludf.DUMMYFUNCTION("GOOGLETRANSLATE(A2803 , ""auto"", ""ar"")"),"شريط لاصق من نوع سكوتش")</f>
        <v>شريط لاصق من نوع سكوتش</v>
      </c>
    </row>
    <row r="2804" ht="15.75" customHeight="1">
      <c r="A2804" s="1" t="s">
        <v>5576</v>
      </c>
      <c r="B2804" s="1" t="s">
        <v>1064</v>
      </c>
      <c r="C2804" s="2" t="s">
        <v>1065</v>
      </c>
      <c r="D2804" s="1" t="str">
        <f>IFERROR(__xludf.DUMMYFUNCTION("GOOGLETRANSLATE(A2804 , ""auto"", ""ar"")"),"كشط")</f>
        <v>كشط</v>
      </c>
    </row>
    <row r="2805" ht="15.75" customHeight="1">
      <c r="A2805" s="1" t="s">
        <v>5577</v>
      </c>
      <c r="B2805" s="1" t="s">
        <v>5578</v>
      </c>
      <c r="C2805" s="1"/>
      <c r="D2805" s="1" t="str">
        <f>IFERROR(__xludf.DUMMYFUNCTION("GOOGLETRANSLATE(A2805 , ""auto"", ""ar"")"),"يخدش")</f>
        <v>يخدش</v>
      </c>
    </row>
    <row r="2806" ht="15.75" customHeight="1">
      <c r="A2806" s="1" t="s">
        <v>5577</v>
      </c>
      <c r="B2806" s="1" t="s">
        <v>5578</v>
      </c>
      <c r="C2806" s="1"/>
      <c r="D2806" s="1" t="str">
        <f>IFERROR(__xludf.DUMMYFUNCTION("GOOGLETRANSLATE(A2806 , ""auto"", ""ar"")"),"يخدش")</f>
        <v>يخدش</v>
      </c>
    </row>
    <row r="2807" ht="15.75" customHeight="1">
      <c r="A2807" s="1" t="s">
        <v>5579</v>
      </c>
      <c r="B2807" s="1" t="s">
        <v>5580</v>
      </c>
      <c r="C2807" s="2" t="s">
        <v>5581</v>
      </c>
      <c r="D2807" s="1" t="str">
        <f>IFERROR(__xludf.DUMMYFUNCTION("GOOGLETRANSLATE(A2807 , ""auto"", ""ar"")"),"شاشة")</f>
        <v>شاشة</v>
      </c>
    </row>
    <row r="2808" ht="15.75" customHeight="1">
      <c r="A2808" s="1" t="s">
        <v>5582</v>
      </c>
      <c r="B2808" s="1" t="s">
        <v>5583</v>
      </c>
      <c r="C2808" s="2" t="s">
        <v>5584</v>
      </c>
      <c r="D2808" s="1" t="str">
        <f>IFERROR(__xludf.DUMMYFUNCTION("GOOGLETRANSLATE(A2808 , ""auto"", ""ar"")"),"أفسد")</f>
        <v>أفسد</v>
      </c>
    </row>
    <row r="2809" ht="15.75" customHeight="1">
      <c r="A2809" s="1" t="s">
        <v>5585</v>
      </c>
      <c r="B2809" s="1" t="s">
        <v>5586</v>
      </c>
      <c r="C2809" s="1"/>
      <c r="D2809" s="1" t="str">
        <f>IFERROR(__xludf.DUMMYFUNCTION("GOOGLETRANSLATE(A2809 , ""auto"", ""ar"")"),"مفك براغي")</f>
        <v>مفك براغي</v>
      </c>
    </row>
    <row r="2810" ht="15.75" customHeight="1">
      <c r="A2810" s="1" t="s">
        <v>5587</v>
      </c>
      <c r="B2810" s="1" t="s">
        <v>5588</v>
      </c>
      <c r="C2810" s="2" t="s">
        <v>5589</v>
      </c>
      <c r="D2810" s="1" t="str">
        <f>IFERROR(__xludf.DUMMYFUNCTION("GOOGLETRANSLATE(A2810 , ""auto"", ""ar"")"),"بحر")</f>
        <v>بحر</v>
      </c>
    </row>
    <row r="2811" ht="15.75" customHeight="1">
      <c r="A2811" s="1" t="s">
        <v>5590</v>
      </c>
      <c r="B2811" s="1" t="s">
        <v>5591</v>
      </c>
      <c r="C2811" s="1"/>
      <c r="D2811" s="1" t="str">
        <f>IFERROR(__xludf.DUMMYFUNCTION("GOOGLETRANSLATE(A2811 , ""auto"", ""ar"")"),"مأكولات بحرية")</f>
        <v>مأكولات بحرية</v>
      </c>
    </row>
    <row r="2812" ht="15.75" customHeight="1">
      <c r="A2812" s="1" t="s">
        <v>5592</v>
      </c>
      <c r="B2812" s="1" t="s">
        <v>2240</v>
      </c>
      <c r="C2812" s="2" t="s">
        <v>2241</v>
      </c>
      <c r="D2812" s="1" t="str">
        <f>IFERROR(__xludf.DUMMYFUNCTION("GOOGLETRANSLATE(A2812 , ""auto"", ""ar"")"),"خياطة")</f>
        <v>خياطة</v>
      </c>
    </row>
    <row r="2813" ht="15.75" customHeight="1">
      <c r="A2813" s="1" t="s">
        <v>5593</v>
      </c>
      <c r="B2813" s="1" t="s">
        <v>5594</v>
      </c>
      <c r="C2813" s="2" t="s">
        <v>5595</v>
      </c>
      <c r="D2813" s="1" t="str">
        <f>IFERROR(__xludf.DUMMYFUNCTION("GOOGLETRANSLATE(A2813 , ""auto"", ""ar"")"),"موسم")</f>
        <v>موسم</v>
      </c>
    </row>
    <row r="2814" ht="15.75" customHeight="1">
      <c r="A2814" s="1" t="s">
        <v>5596</v>
      </c>
      <c r="B2814" s="1" t="s">
        <v>720</v>
      </c>
      <c r="C2814" s="2" t="s">
        <v>721</v>
      </c>
      <c r="D2814" s="1" t="str">
        <f>IFERROR(__xludf.DUMMYFUNCTION("GOOGLETRANSLATE(A2814 , ""auto"", ""ar"")"),"مقعد")</f>
        <v>مقعد</v>
      </c>
    </row>
    <row r="2815" ht="15.75" customHeight="1">
      <c r="A2815" s="1" t="s">
        <v>5597</v>
      </c>
      <c r="B2815" s="1" t="s">
        <v>5598</v>
      </c>
      <c r="C2815" s="2" t="s">
        <v>5599</v>
      </c>
      <c r="D2815" s="1" t="str">
        <f>IFERROR(__xludf.DUMMYFUNCTION("GOOGLETRANSLATE(A2815 , ""auto"", ""ar"")"),"ثانية")</f>
        <v>ثانية</v>
      </c>
    </row>
    <row r="2816" ht="15.75" customHeight="1">
      <c r="A2816" s="1" t="s">
        <v>5600</v>
      </c>
      <c r="B2816" s="1" t="s">
        <v>5601</v>
      </c>
      <c r="C2816" s="2" t="s">
        <v>5602</v>
      </c>
      <c r="D2816" s="1" t="str">
        <f>IFERROR(__xludf.DUMMYFUNCTION("GOOGLETRANSLATE(A2816 , ""auto"", ""ar"")"),"سكرتير")</f>
        <v>سكرتير</v>
      </c>
    </row>
    <row r="2817" ht="15.75" customHeight="1">
      <c r="A2817" s="1" t="s">
        <v>4852</v>
      </c>
      <c r="B2817" s="1" t="s">
        <v>2231</v>
      </c>
      <c r="C2817" s="2" t="s">
        <v>4418</v>
      </c>
      <c r="D2817" s="1" t="str">
        <f>IFERROR(__xludf.DUMMYFUNCTION("GOOGLETRANSLATE(A2817 , ""auto"", ""ar"")"),"يرى")</f>
        <v>يرى</v>
      </c>
    </row>
    <row r="2818" ht="15.75" customHeight="1">
      <c r="A2818" s="1" t="s">
        <v>4852</v>
      </c>
      <c r="B2818" s="1" t="s">
        <v>4419</v>
      </c>
      <c r="C2818" s="2" t="s">
        <v>4420</v>
      </c>
      <c r="D2818" s="1" t="str">
        <f>IFERROR(__xludf.DUMMYFUNCTION("GOOGLETRANSLATE(A2818 , ""auto"", ""ar"")"),"يرى")</f>
        <v>يرى</v>
      </c>
    </row>
    <row r="2819" ht="15.75" customHeight="1">
      <c r="A2819" s="1" t="s">
        <v>4852</v>
      </c>
      <c r="B2819" s="1" t="s">
        <v>309</v>
      </c>
      <c r="C2819" s="2" t="s">
        <v>5603</v>
      </c>
      <c r="D2819" s="1" t="str">
        <f>IFERROR(__xludf.DUMMYFUNCTION("GOOGLETRANSLATE(A2819 , ""auto"", ""ar"")"),"يرى")</f>
        <v>يرى</v>
      </c>
    </row>
    <row r="2820" ht="15.75" customHeight="1">
      <c r="A2820" s="1" t="s">
        <v>5604</v>
      </c>
      <c r="B2820" s="1" t="s">
        <v>3243</v>
      </c>
      <c r="C2820" s="1"/>
      <c r="D2820" s="1" t="str">
        <f>IFERROR(__xludf.DUMMYFUNCTION("GOOGLETRANSLATE(A2820 , ""auto"", ""ar"")"),"بذرة")</f>
        <v>بذرة</v>
      </c>
    </row>
    <row r="2821" ht="15.75" customHeight="1">
      <c r="A2821" s="1" t="s">
        <v>5605</v>
      </c>
      <c r="B2821" s="1" t="s">
        <v>5606</v>
      </c>
      <c r="C2821" s="1"/>
      <c r="D2821" s="1" t="str">
        <f>IFERROR(__xludf.DUMMYFUNCTION("GOOGLETRANSLATE(A2821 , ""auto"", ""ar"")"),"الشتلات")</f>
        <v>الشتلات</v>
      </c>
    </row>
    <row r="2822" ht="15.75" customHeight="1">
      <c r="A2822" s="1" t="s">
        <v>5607</v>
      </c>
      <c r="B2822" s="1" t="s">
        <v>309</v>
      </c>
      <c r="C2822" s="2" t="s">
        <v>310</v>
      </c>
      <c r="D2822" s="1" t="str">
        <f>IFERROR(__xludf.DUMMYFUNCTION("GOOGLETRANSLATE(A2822 , ""auto"", ""ar"")"),"يبدو")</f>
        <v>يبدو</v>
      </c>
    </row>
    <row r="2823" ht="15.75" customHeight="1">
      <c r="A2823" s="1" t="s">
        <v>5608</v>
      </c>
      <c r="B2823" s="1" t="s">
        <v>5609</v>
      </c>
      <c r="C2823" s="2" t="s">
        <v>5610</v>
      </c>
      <c r="D2823" s="1" t="str">
        <f>IFERROR(__xludf.DUMMYFUNCTION("GOOGLETRANSLATE(A2823 , ""auto"", ""ar"")"),"يبيع")</f>
        <v>يبيع</v>
      </c>
    </row>
    <row r="2824" ht="15.75" customHeight="1">
      <c r="A2824" s="1" t="s">
        <v>5611</v>
      </c>
      <c r="B2824" s="1" t="s">
        <v>5500</v>
      </c>
      <c r="C2824" s="2" t="s">
        <v>5501</v>
      </c>
      <c r="D2824" s="1" t="str">
        <f>IFERROR(__xludf.DUMMYFUNCTION("GOOGLETRANSLATE(A2824 , ""auto"", ""ar"")"),"تاجر")</f>
        <v>تاجر</v>
      </c>
    </row>
    <row r="2825" ht="15.75" customHeight="1">
      <c r="A2825" s="1" t="s">
        <v>5612</v>
      </c>
      <c r="B2825" s="1" t="s">
        <v>5574</v>
      </c>
      <c r="C2825" s="2" t="s">
        <v>5575</v>
      </c>
      <c r="D2825" s="1" t="str">
        <f>IFERROR(__xludf.DUMMYFUNCTION("GOOGLETRANSLATE(A2825 , ""auto"", ""ar"")"),"شريط الخلايا")</f>
        <v>شريط الخلايا</v>
      </c>
    </row>
    <row r="2826" ht="15.75" customHeight="1">
      <c r="A2826" s="1" t="s">
        <v>5613</v>
      </c>
      <c r="B2826" s="1" t="s">
        <v>5614</v>
      </c>
      <c r="C2826" s="1"/>
      <c r="D2826" s="1" t="str">
        <f>IFERROR(__xludf.DUMMYFUNCTION("GOOGLETRANSLATE(A2826 , ""auto"", ""ar"")"),"سميد")</f>
        <v>سميد</v>
      </c>
    </row>
    <row r="2827" ht="15.75" customHeight="1">
      <c r="A2827" s="1" t="s">
        <v>5615</v>
      </c>
      <c r="B2827" s="1" t="s">
        <v>5616</v>
      </c>
      <c r="C2827" s="2" t="s">
        <v>5617</v>
      </c>
      <c r="D2827" s="1" t="str">
        <f>IFERROR(__xludf.DUMMYFUNCTION("GOOGLETRANSLATE(A2827 , ""auto"", ""ar"")"),"يرسل")</f>
        <v>يرسل</v>
      </c>
    </row>
    <row r="2828" ht="15.75" customHeight="1">
      <c r="A2828" s="1" t="s">
        <v>5615</v>
      </c>
      <c r="B2828" s="1" t="s">
        <v>5618</v>
      </c>
      <c r="C2828" s="2" t="s">
        <v>5619</v>
      </c>
      <c r="D2828" s="1" t="str">
        <f>IFERROR(__xludf.DUMMYFUNCTION("GOOGLETRANSLATE(A2828 , ""auto"", ""ar"")"),"يرسل")</f>
        <v>يرسل</v>
      </c>
    </row>
    <row r="2829" ht="15.75" customHeight="1">
      <c r="A2829" s="1" t="s">
        <v>5620</v>
      </c>
      <c r="B2829" s="1" t="s">
        <v>5621</v>
      </c>
      <c r="C2829" s="2" t="s">
        <v>5622</v>
      </c>
      <c r="D2829" s="1" t="str">
        <f>IFERROR(__xludf.DUMMYFUNCTION("GOOGLETRANSLATE(A2829 , ""auto"", ""ar"")"),"أبعث بتحياتي")</f>
        <v>أبعث بتحياتي</v>
      </c>
    </row>
    <row r="2830" ht="15.75" customHeight="1">
      <c r="A2830" s="1" t="s">
        <v>5623</v>
      </c>
      <c r="B2830" s="1" t="s">
        <v>5624</v>
      </c>
      <c r="C2830" s="2" t="s">
        <v>5625</v>
      </c>
      <c r="D2830" s="1" t="str">
        <f>IFERROR(__xludf.DUMMYFUNCTION("GOOGLETRANSLATE(A2830 , ""auto"", ""ar"")"),"حساس")</f>
        <v>حساس</v>
      </c>
    </row>
    <row r="2831" ht="15.75" customHeight="1">
      <c r="A2831" s="1" t="s">
        <v>5626</v>
      </c>
      <c r="B2831" s="1" t="s">
        <v>5627</v>
      </c>
      <c r="C2831" s="2" t="s">
        <v>5628</v>
      </c>
      <c r="D2831" s="1" t="str">
        <f>IFERROR(__xludf.DUMMYFUNCTION("GOOGLETRANSLATE(A2831 , ""auto"", ""ar"")"),"جملة")</f>
        <v>جملة</v>
      </c>
    </row>
    <row r="2832" ht="15.75" customHeight="1">
      <c r="A2832" s="1" t="s">
        <v>5629</v>
      </c>
      <c r="B2832" s="1" t="s">
        <v>990</v>
      </c>
      <c r="C2832" s="2" t="s">
        <v>2121</v>
      </c>
      <c r="D2832" s="1" t="str">
        <f>IFERROR(__xludf.DUMMYFUNCTION("GOOGLETRANSLATE(A2832 , ""auto"", ""ar"")"),"متفرق")</f>
        <v>متفرق</v>
      </c>
    </row>
    <row r="2833" ht="15.75" customHeight="1">
      <c r="A2833" s="1" t="s">
        <v>5629</v>
      </c>
      <c r="B2833" s="1" t="s">
        <v>5630</v>
      </c>
      <c r="C2833" s="1"/>
      <c r="D2833" s="1" t="str">
        <f>IFERROR(__xludf.DUMMYFUNCTION("GOOGLETRANSLATE(A2833 , ""auto"", ""ar"")"),"متفرق")</f>
        <v>متفرق</v>
      </c>
    </row>
    <row r="2834" ht="15.75" customHeight="1">
      <c r="A2834" s="1" t="s">
        <v>5629</v>
      </c>
      <c r="B2834" s="1" t="s">
        <v>5631</v>
      </c>
      <c r="C2834" s="1"/>
      <c r="D2834" s="1" t="str">
        <f>IFERROR(__xludf.DUMMYFUNCTION("GOOGLETRANSLATE(A2834 , ""auto"", ""ar"")"),"متفرق")</f>
        <v>متفرق</v>
      </c>
    </row>
    <row r="2835" ht="15.75" customHeight="1">
      <c r="A2835" s="1" t="s">
        <v>5629</v>
      </c>
      <c r="B2835" s="1" t="s">
        <v>5547</v>
      </c>
      <c r="C2835" s="1"/>
      <c r="D2835" s="1" t="str">
        <f>IFERROR(__xludf.DUMMYFUNCTION("GOOGLETRANSLATE(A2835 , ""auto"", ""ar"")"),"متفرق")</f>
        <v>متفرق</v>
      </c>
    </row>
    <row r="2836" ht="15.75" customHeight="1">
      <c r="A2836" s="1" t="s">
        <v>5629</v>
      </c>
      <c r="B2836" s="1" t="s">
        <v>5632</v>
      </c>
      <c r="C2836" s="1"/>
      <c r="D2836" s="1" t="str">
        <f>IFERROR(__xludf.DUMMYFUNCTION("GOOGLETRANSLATE(A2836 , ""auto"", ""ar"")"),"متفرق")</f>
        <v>متفرق</v>
      </c>
    </row>
    <row r="2837" ht="15.75" customHeight="1">
      <c r="A2837" s="1" t="s">
        <v>5633</v>
      </c>
      <c r="B2837" s="1" t="s">
        <v>5634</v>
      </c>
      <c r="C2837" s="1"/>
      <c r="D2837" s="1" t="str">
        <f>IFERROR(__xludf.DUMMYFUNCTION("GOOGLETRANSLATE(A2837 , ""auto"", ""ar"")"),"انفصال")</f>
        <v>انفصال</v>
      </c>
    </row>
    <row r="2838" ht="15.75" customHeight="1">
      <c r="A2838" s="1" t="s">
        <v>5633</v>
      </c>
      <c r="B2838" s="1" t="s">
        <v>5635</v>
      </c>
      <c r="C2838" s="1"/>
      <c r="D2838" s="1" t="str">
        <f>IFERROR(__xludf.DUMMYFUNCTION("GOOGLETRANSLATE(A2838 , ""auto"", ""ar"")"),"انفصال")</f>
        <v>انفصال</v>
      </c>
    </row>
    <row r="2839" ht="15.75" customHeight="1">
      <c r="A2839" s="1" t="s">
        <v>5636</v>
      </c>
      <c r="B2839" s="1" t="s">
        <v>4775</v>
      </c>
      <c r="C2839" s="2" t="s">
        <v>5637</v>
      </c>
      <c r="D2839" s="1" t="str">
        <f>IFERROR(__xludf.DUMMYFUNCTION("GOOGLETRANSLATE(A2839 , ""auto"", ""ar"")"),"سبتمبر")</f>
        <v>سبتمبر</v>
      </c>
    </row>
    <row r="2840" ht="15.75" customHeight="1">
      <c r="A2840" s="1" t="s">
        <v>5636</v>
      </c>
      <c r="B2840" s="1" t="s">
        <v>5638</v>
      </c>
      <c r="C2840" s="2" t="s">
        <v>5639</v>
      </c>
      <c r="D2840" s="1" t="str">
        <f>IFERROR(__xludf.DUMMYFUNCTION("GOOGLETRANSLATE(A2840 , ""auto"", ""ar"")"),"سبتمبر")</f>
        <v>سبتمبر</v>
      </c>
    </row>
    <row r="2841" ht="15.75" customHeight="1">
      <c r="A2841" s="1" t="s">
        <v>5640</v>
      </c>
      <c r="B2841" s="1" t="s">
        <v>5641</v>
      </c>
      <c r="C2841" s="2" t="s">
        <v>5642</v>
      </c>
      <c r="D2841" s="1" t="str">
        <f>IFERROR(__xludf.DUMMYFUNCTION("GOOGLETRANSLATE(A2841 , ""auto"", ""ar"")"),"مسلسل")</f>
        <v>مسلسل</v>
      </c>
    </row>
    <row r="2842" ht="15.75" customHeight="1">
      <c r="A2842" s="1" t="s">
        <v>5643</v>
      </c>
      <c r="B2842" s="1" t="s">
        <v>5644</v>
      </c>
      <c r="C2842" s="2" t="s">
        <v>5645</v>
      </c>
      <c r="D2842" s="1" t="str">
        <f>IFERROR(__xludf.DUMMYFUNCTION("GOOGLETRANSLATE(A2842 , ""auto"", ""ar"")"),"خطبة")</f>
        <v>خطبة</v>
      </c>
    </row>
    <row r="2843" ht="15.75" customHeight="1">
      <c r="A2843" s="1" t="s">
        <v>5646</v>
      </c>
      <c r="B2843" s="1" t="s">
        <v>5647</v>
      </c>
      <c r="C2843" s="2" t="s">
        <v>5648</v>
      </c>
      <c r="D2843" s="1" t="str">
        <f>IFERROR(__xludf.DUMMYFUNCTION("GOOGLETRANSLATE(A2843 , ""auto"", ""ar"")"),"يخدم")</f>
        <v>يخدم</v>
      </c>
    </row>
    <row r="2844" ht="15.75" customHeight="1">
      <c r="A2844" s="1" t="s">
        <v>5649</v>
      </c>
      <c r="B2844" s="1" t="s">
        <v>5650</v>
      </c>
      <c r="C2844" s="1"/>
      <c r="D2844" s="1" t="str">
        <f>IFERROR(__xludf.DUMMYFUNCTION("GOOGLETRANSLATE(A2844 , ""auto"", ""ar"")"),"محطة الخدمة")</f>
        <v>محطة الخدمة</v>
      </c>
    </row>
    <row r="2845" ht="15.75" customHeight="1">
      <c r="A2845" s="1" t="s">
        <v>5651</v>
      </c>
      <c r="B2845" s="1" t="s">
        <v>5652</v>
      </c>
      <c r="C2845" s="2" t="s">
        <v>5653</v>
      </c>
      <c r="D2845" s="1" t="str">
        <f>IFERROR(__xludf.DUMMYFUNCTION("GOOGLETRANSLATE(A2845 , ""auto"", ""ar"")"),"حبوب السمسم")</f>
        <v>حبوب السمسم</v>
      </c>
    </row>
    <row r="2846" ht="15.75" customHeight="1">
      <c r="A2846" s="1" t="s">
        <v>5651</v>
      </c>
      <c r="B2846" s="1" t="s">
        <v>5654</v>
      </c>
      <c r="C2846" s="1"/>
      <c r="D2846" s="1" t="str">
        <f>IFERROR(__xludf.DUMMYFUNCTION("GOOGLETRANSLATE(A2846 , ""auto"", ""ar"")"),"حبوب السمسم")</f>
        <v>حبوب السمسم</v>
      </c>
    </row>
    <row r="2847" ht="15.75" customHeight="1">
      <c r="A2847" s="1" t="s">
        <v>5655</v>
      </c>
      <c r="B2847" s="1" t="s">
        <v>5656</v>
      </c>
      <c r="C2847" s="1"/>
      <c r="D2847" s="1" t="str">
        <f>IFERROR(__xludf.DUMMYFUNCTION("GOOGLETRANSLATE(A2847 , ""auto"", ""ar"")"),"تعيين")</f>
        <v>تعيين</v>
      </c>
    </row>
    <row r="2848" ht="15.75" customHeight="1">
      <c r="A2848" s="1" t="s">
        <v>5655</v>
      </c>
      <c r="B2848" s="1" t="s">
        <v>5657</v>
      </c>
      <c r="C2848" s="1"/>
      <c r="D2848" s="1" t="str">
        <f>IFERROR(__xludf.DUMMYFUNCTION("GOOGLETRANSLATE(A2848 , ""auto"", ""ar"")"),"تعيين")</f>
        <v>تعيين</v>
      </c>
    </row>
    <row r="2849" ht="15.75" customHeight="1">
      <c r="A2849" s="1" t="s">
        <v>5658</v>
      </c>
      <c r="B2849" s="1" t="s">
        <v>209</v>
      </c>
      <c r="C2849" s="2" t="s">
        <v>5659</v>
      </c>
      <c r="D2849" s="1" t="str">
        <f>IFERROR(__xludf.DUMMYFUNCTION("GOOGLETRANSLATE(A2849 , ""auto"", ""ar"")"),"ضبط المنبه")</f>
        <v>ضبط المنبه</v>
      </c>
    </row>
    <row r="2850" ht="15.75" customHeight="1">
      <c r="A2850" s="1" t="s">
        <v>5658</v>
      </c>
      <c r="B2850" s="1" t="s">
        <v>209</v>
      </c>
      <c r="C2850" s="2" t="s">
        <v>5660</v>
      </c>
      <c r="D2850" s="1" t="str">
        <f>IFERROR(__xludf.DUMMYFUNCTION("GOOGLETRANSLATE(A2850 , ""auto"", ""ar"")"),"ضبط المنبه")</f>
        <v>ضبط المنبه</v>
      </c>
    </row>
    <row r="2851" ht="15.75" customHeight="1">
      <c r="A2851" s="1" t="s">
        <v>5661</v>
      </c>
      <c r="B2851" s="1" t="s">
        <v>5662</v>
      </c>
      <c r="C2851" s="2" t="s">
        <v>5663</v>
      </c>
      <c r="D2851" s="1" t="str">
        <f>IFERROR(__xludf.DUMMYFUNCTION("GOOGLETRANSLATE(A2851 , ""auto"", ""ar"")"),"سبعة")</f>
        <v>سبعة</v>
      </c>
    </row>
    <row r="2852" ht="15.75" customHeight="1">
      <c r="A2852" s="1" t="s">
        <v>5661</v>
      </c>
      <c r="B2852" s="1" t="s">
        <v>5664</v>
      </c>
      <c r="C2852" s="2" t="s">
        <v>4356</v>
      </c>
      <c r="D2852" s="1" t="str">
        <f>IFERROR(__xludf.DUMMYFUNCTION("GOOGLETRANSLATE(A2852 , ""auto"", ""ar"")"),"سبعة")</f>
        <v>سبعة</v>
      </c>
    </row>
    <row r="2853" ht="15.75" customHeight="1">
      <c r="A2853" s="1" t="s">
        <v>5665</v>
      </c>
      <c r="B2853" s="1" t="s">
        <v>5666</v>
      </c>
      <c r="C2853" s="2" t="s">
        <v>5667</v>
      </c>
      <c r="D2853" s="1" t="str">
        <f>IFERROR(__xludf.DUMMYFUNCTION("GOOGLETRANSLATE(A2853 , ""auto"", ""ar"")"),"سبعة عشر")</f>
        <v>سبعة عشر</v>
      </c>
    </row>
    <row r="2854" ht="15.75" customHeight="1">
      <c r="A2854" s="1" t="s">
        <v>5668</v>
      </c>
      <c r="B2854" s="1" t="s">
        <v>5669</v>
      </c>
      <c r="C2854" s="2" t="s">
        <v>5670</v>
      </c>
      <c r="D2854" s="1" t="str">
        <f>IFERROR(__xludf.DUMMYFUNCTION("GOOGLETRANSLATE(A2854 , ""auto"", ""ar"")"),"السابع")</f>
        <v>السابع</v>
      </c>
    </row>
    <row r="2855" ht="15.75" customHeight="1">
      <c r="A2855" s="1" t="s">
        <v>5671</v>
      </c>
      <c r="B2855" s="1" t="s">
        <v>5672</v>
      </c>
      <c r="C2855" s="2" t="s">
        <v>5673</v>
      </c>
      <c r="D2855" s="1" t="str">
        <f>IFERROR(__xludf.DUMMYFUNCTION("GOOGLETRANSLATE(A2855 , ""auto"", ""ar"")"),"سبعون")</f>
        <v>سبعون</v>
      </c>
    </row>
    <row r="2856" ht="15.75" customHeight="1">
      <c r="A2856" s="1" t="s">
        <v>5674</v>
      </c>
      <c r="B2856" s="1" t="s">
        <v>5675</v>
      </c>
      <c r="C2856" s="1"/>
      <c r="D2856" s="1" t="str">
        <f>IFERROR(__xludf.DUMMYFUNCTION("GOOGLETRANSLATE(A2856 , ""auto"", ""ar"")"),"عدة مرات")</f>
        <v>عدة مرات</v>
      </c>
    </row>
    <row r="2857" ht="15.75" customHeight="1">
      <c r="A2857" s="1" t="s">
        <v>5676</v>
      </c>
      <c r="B2857" s="1" t="s">
        <v>5677</v>
      </c>
      <c r="C2857" s="2" t="s">
        <v>5678</v>
      </c>
      <c r="D2857" s="1" t="str">
        <f>IFERROR(__xludf.DUMMYFUNCTION("GOOGLETRANSLATE(A2857 , ""auto"", ""ar"")"),"خياطة")</f>
        <v>خياطة</v>
      </c>
    </row>
    <row r="2858" ht="15.75" customHeight="1">
      <c r="A2858" s="1" t="s">
        <v>5679</v>
      </c>
      <c r="B2858" s="1" t="s">
        <v>5680</v>
      </c>
      <c r="C2858" s="2" t="s">
        <v>5681</v>
      </c>
      <c r="D2858" s="1" t="str">
        <f>IFERROR(__xludf.DUMMYFUNCTION("GOOGLETRANSLATE(A2858 , ""auto"", ""ar"")"),"ظل")</f>
        <v>ظل</v>
      </c>
    </row>
    <row r="2859" ht="15.75" customHeight="1">
      <c r="A2859" s="1" t="s">
        <v>5682</v>
      </c>
      <c r="B2859" s="1" t="s">
        <v>4839</v>
      </c>
      <c r="C2859" s="2" t="s">
        <v>4840</v>
      </c>
      <c r="D2859" s="1" t="str">
        <f>IFERROR(__xludf.DUMMYFUNCTION("GOOGLETRANSLATE(A2859 , ""auto"", ""ar"")"),"هزة")</f>
        <v>هزة</v>
      </c>
    </row>
    <row r="2860" ht="15.75" customHeight="1">
      <c r="A2860" s="1" t="s">
        <v>5683</v>
      </c>
      <c r="B2860" s="1" t="s">
        <v>5684</v>
      </c>
      <c r="C2860" s="1"/>
      <c r="D2860" s="1" t="str">
        <f>IFERROR(__xludf.DUMMYFUNCTION("GOOGLETRANSLATE(A2860 , ""auto"", ""ar"")"),"مصافحة")</f>
        <v>مصافحة</v>
      </c>
    </row>
    <row r="2861" ht="15.75" customHeight="1">
      <c r="A2861" s="1" t="s">
        <v>5685</v>
      </c>
      <c r="B2861" s="1" t="s">
        <v>837</v>
      </c>
      <c r="C2861" s="2" t="s">
        <v>838</v>
      </c>
      <c r="D2861" s="1" t="str">
        <f>IFERROR(__xludf.DUMMYFUNCTION("GOOGLETRANSLATE(A2861 , ""auto"", ""ar"")"),"تهتز")</f>
        <v>تهتز</v>
      </c>
    </row>
    <row r="2862" ht="15.75" customHeight="1">
      <c r="A2862" s="1" t="s">
        <v>5686</v>
      </c>
      <c r="B2862" s="1" t="s">
        <v>5687</v>
      </c>
      <c r="C2862" s="2" t="s">
        <v>5688</v>
      </c>
      <c r="D2862" s="1" t="str">
        <f>IFERROR(__xludf.DUMMYFUNCTION("GOOGLETRANSLATE(A2862 , ""auto"", ""ar"")"),"عار")</f>
        <v>عار</v>
      </c>
    </row>
    <row r="2863" ht="15.75" customHeight="1">
      <c r="A2863" s="1" t="s">
        <v>5686</v>
      </c>
      <c r="B2863" s="1" t="s">
        <v>5689</v>
      </c>
      <c r="C2863" s="2" t="s">
        <v>5690</v>
      </c>
      <c r="D2863" s="1" t="str">
        <f>IFERROR(__xludf.DUMMYFUNCTION("GOOGLETRANSLATE(A2863 , ""auto"", ""ar"")"),"عار")</f>
        <v>عار</v>
      </c>
    </row>
    <row r="2864" ht="15.75" customHeight="1">
      <c r="A2864" s="1" t="s">
        <v>5691</v>
      </c>
      <c r="B2864" s="1" t="s">
        <v>5692</v>
      </c>
      <c r="C2864" s="2" t="s">
        <v>5693</v>
      </c>
      <c r="D2864" s="1" t="str">
        <f>IFERROR(__xludf.DUMMYFUNCTION("GOOGLETRANSLATE(A2864 , ""auto"", ""ar"")"),"شامبو")</f>
        <v>شامبو</v>
      </c>
    </row>
    <row r="2865" ht="15.75" customHeight="1">
      <c r="A2865" s="1" t="s">
        <v>5694</v>
      </c>
      <c r="B2865" s="1" t="s">
        <v>5695</v>
      </c>
      <c r="C2865" s="2" t="s">
        <v>5696</v>
      </c>
      <c r="D2865" s="1" t="str">
        <f>IFERROR(__xludf.DUMMYFUNCTION("GOOGLETRANSLATE(A2865 , ""auto"", ""ar"")"),"شكل")</f>
        <v>شكل</v>
      </c>
    </row>
    <row r="2866" ht="15.75" customHeight="1">
      <c r="A2866" s="1" t="s">
        <v>5697</v>
      </c>
      <c r="B2866" s="1" t="s">
        <v>5314</v>
      </c>
      <c r="C2866" s="1"/>
      <c r="D2866" s="1" t="str">
        <f>IFERROR(__xludf.DUMMYFUNCTION("GOOGLETRANSLATE(A2866 , ""auto"", ""ar"")"),"يشارك")</f>
        <v>يشارك</v>
      </c>
    </row>
    <row r="2867" ht="15.75" customHeight="1">
      <c r="A2867" s="1" t="s">
        <v>5697</v>
      </c>
      <c r="B2867" s="1" t="s">
        <v>2132</v>
      </c>
      <c r="C2867" s="2" t="s">
        <v>2133</v>
      </c>
      <c r="D2867" s="1" t="str">
        <f>IFERROR(__xludf.DUMMYFUNCTION("GOOGLETRANSLATE(A2867 , ""auto"", ""ar"")"),"يشارك")</f>
        <v>يشارك</v>
      </c>
    </row>
    <row r="2868" ht="15.75" customHeight="1">
      <c r="A2868" s="1" t="s">
        <v>5697</v>
      </c>
      <c r="B2868" s="1" t="s">
        <v>5698</v>
      </c>
      <c r="C2868" s="2" t="s">
        <v>5699</v>
      </c>
      <c r="D2868" s="1" t="str">
        <f>IFERROR(__xludf.DUMMYFUNCTION("GOOGLETRANSLATE(A2868 , ""auto"", ""ar"")"),"يشارك")</f>
        <v>يشارك</v>
      </c>
    </row>
    <row r="2869" ht="15.75" customHeight="1">
      <c r="A2869" s="1" t="s">
        <v>5700</v>
      </c>
      <c r="B2869" s="1" t="s">
        <v>5317</v>
      </c>
      <c r="C2869" s="2" t="s">
        <v>5318</v>
      </c>
      <c r="D2869" s="1" t="str">
        <f>IFERROR(__xludf.DUMMYFUNCTION("GOOGLETRANSLATE(A2869 , ""auto"", ""ar"")"),"مشاركة")</f>
        <v>مشاركة</v>
      </c>
    </row>
    <row r="2870" ht="15.75" customHeight="1">
      <c r="A2870" s="1" t="s">
        <v>5701</v>
      </c>
      <c r="B2870" s="1" t="s">
        <v>1484</v>
      </c>
      <c r="C2870" s="2" t="s">
        <v>1485</v>
      </c>
      <c r="D2870" s="1" t="str">
        <f>IFERROR(__xludf.DUMMYFUNCTION("GOOGLETRANSLATE(A2870 , ""auto"", ""ar"")"),"حاد")</f>
        <v>حاد</v>
      </c>
    </row>
    <row r="2871" ht="15.75" customHeight="1">
      <c r="A2871" s="1" t="s">
        <v>5702</v>
      </c>
      <c r="B2871" s="1" t="s">
        <v>1887</v>
      </c>
      <c r="C2871" s="2" t="s">
        <v>1888</v>
      </c>
      <c r="D2871" s="1" t="str">
        <f>IFERROR(__xludf.DUMMYFUNCTION("GOOGLETRANSLATE(A2871 , ""auto"", ""ar"")"),"حلاقة")</f>
        <v>حلاقة</v>
      </c>
    </row>
    <row r="2872" ht="15.75" customHeight="1">
      <c r="A2872" s="1" t="s">
        <v>5703</v>
      </c>
      <c r="B2872" s="1" t="s">
        <v>1060</v>
      </c>
      <c r="C2872" s="2" t="s">
        <v>5704</v>
      </c>
      <c r="D2872" s="1" t="str">
        <f>IFERROR(__xludf.DUMMYFUNCTION("GOOGLETRANSLATE(A2872 , ""auto"", ""ar"")"),"فرشاة الحلاقة")</f>
        <v>فرشاة الحلاقة</v>
      </c>
    </row>
    <row r="2873" ht="15.75" customHeight="1">
      <c r="A2873" s="1" t="s">
        <v>5705</v>
      </c>
      <c r="B2873" s="1" t="s">
        <v>5706</v>
      </c>
      <c r="C2873" s="2" t="s">
        <v>5707</v>
      </c>
      <c r="D2873" s="1" t="str">
        <f>IFERROR(__xludf.DUMMYFUNCTION("GOOGLETRANSLATE(A2873 , ""auto"", ""ar"")"),"هي")</f>
        <v>هي</v>
      </c>
    </row>
    <row r="2874" ht="15.75" customHeight="1">
      <c r="A2874" s="1" t="s">
        <v>5708</v>
      </c>
      <c r="B2874" s="1" t="s">
        <v>5709</v>
      </c>
      <c r="C2874" s="2" t="s">
        <v>5710</v>
      </c>
      <c r="D2874" s="1" t="str">
        <f>IFERROR(__xludf.DUMMYFUNCTION("GOOGLETRANSLATE(A2874 , ""auto"", ""ar"")"),"غنم")</f>
        <v>غنم</v>
      </c>
    </row>
    <row r="2875" ht="15.75" customHeight="1">
      <c r="A2875" s="1" t="s">
        <v>5708</v>
      </c>
      <c r="B2875" s="1" t="s">
        <v>4169</v>
      </c>
      <c r="C2875" s="2" t="s">
        <v>4170</v>
      </c>
      <c r="D2875" s="1" t="str">
        <f>IFERROR(__xludf.DUMMYFUNCTION("GOOGLETRANSLATE(A2875 , ""auto"", ""ar"")"),"غنم")</f>
        <v>غنم</v>
      </c>
    </row>
    <row r="2876" ht="15.75" customHeight="1">
      <c r="A2876" s="1" t="s">
        <v>5711</v>
      </c>
      <c r="B2876" s="1" t="s">
        <v>1854</v>
      </c>
      <c r="C2876" s="1"/>
      <c r="D2876" s="1" t="str">
        <f>IFERROR(__xludf.DUMMYFUNCTION("GOOGLETRANSLATE(A2876 , ""auto"", ""ar"")"),"رفوف")</f>
        <v>رفوف</v>
      </c>
    </row>
    <row r="2877" ht="15.75" customHeight="1">
      <c r="A2877" s="1" t="s">
        <v>5711</v>
      </c>
      <c r="B2877" s="1" t="s">
        <v>5712</v>
      </c>
      <c r="C2877" s="1"/>
      <c r="D2877" s="1" t="str">
        <f>IFERROR(__xludf.DUMMYFUNCTION("GOOGLETRANSLATE(A2877 , ""auto"", ""ar"")"),"رفوف")</f>
        <v>رفوف</v>
      </c>
    </row>
    <row r="2878" ht="15.75" customHeight="1">
      <c r="A2878" s="1" t="s">
        <v>5711</v>
      </c>
      <c r="B2878" s="1" t="s">
        <v>5713</v>
      </c>
      <c r="C2878" s="1"/>
      <c r="D2878" s="1" t="str">
        <f>IFERROR(__xludf.DUMMYFUNCTION("GOOGLETRANSLATE(A2878 , ""auto"", ""ar"")"),"رفوف")</f>
        <v>رفوف</v>
      </c>
    </row>
    <row r="2879" ht="15.75" customHeight="1">
      <c r="A2879" s="1" t="s">
        <v>5714</v>
      </c>
      <c r="B2879" s="1" t="s">
        <v>5715</v>
      </c>
      <c r="C2879" s="2" t="s">
        <v>5716</v>
      </c>
      <c r="D2879" s="1" t="str">
        <f>IFERROR(__xludf.DUMMYFUNCTION("GOOGLETRANSLATE(A2879 , ""auto"", ""ar"")"),"صدَفَة")</f>
        <v>صدَفَة</v>
      </c>
    </row>
    <row r="2880" ht="15.75" customHeight="1">
      <c r="A2880" s="1" t="s">
        <v>5717</v>
      </c>
      <c r="B2880" s="1" t="s">
        <v>5718</v>
      </c>
      <c r="C2880" s="2" t="s">
        <v>5719</v>
      </c>
      <c r="D2880" s="1" t="str">
        <f>IFERROR(__xludf.DUMMYFUNCTION("GOOGLETRANSLATE(A2880 , ""auto"", ""ar"")"),"مَأوىً")</f>
        <v>مَأوىً</v>
      </c>
    </row>
    <row r="2881" ht="15.75" customHeight="1">
      <c r="A2881" s="1" t="s">
        <v>5717</v>
      </c>
      <c r="B2881" s="1" t="s">
        <v>5720</v>
      </c>
      <c r="C2881" s="2" t="s">
        <v>5721</v>
      </c>
      <c r="D2881" s="1" t="str">
        <f>IFERROR(__xludf.DUMMYFUNCTION("GOOGLETRANSLATE(A2881 , ""auto"", ""ar"")"),"مَأوىً")</f>
        <v>مَأوىً</v>
      </c>
    </row>
    <row r="2882" ht="15.75" customHeight="1">
      <c r="A2882" s="1" t="s">
        <v>5722</v>
      </c>
      <c r="B2882" s="1" t="s">
        <v>5723</v>
      </c>
      <c r="C2882" s="2" t="s">
        <v>5724</v>
      </c>
      <c r="D2882" s="1" t="str">
        <f>IFERROR(__xludf.DUMMYFUNCTION("GOOGLETRANSLATE(A2882 , ""auto"", ""ar"")"),"الراعي")</f>
        <v>الراعي</v>
      </c>
    </row>
    <row r="2883" ht="15.75" customHeight="1">
      <c r="A2883" s="1" t="s">
        <v>5722</v>
      </c>
      <c r="B2883" s="1" t="s">
        <v>5725</v>
      </c>
      <c r="C2883" s="2" t="s">
        <v>5726</v>
      </c>
      <c r="D2883" s="1" t="str">
        <f>IFERROR(__xludf.DUMMYFUNCTION("GOOGLETRANSLATE(A2883 , ""auto"", ""ar"")"),"الراعي")</f>
        <v>الراعي</v>
      </c>
    </row>
    <row r="2884" ht="15.75" customHeight="1">
      <c r="A2884" s="1" t="s">
        <v>5727</v>
      </c>
      <c r="B2884" s="1" t="s">
        <v>5728</v>
      </c>
      <c r="C2884" s="1"/>
      <c r="D2884" s="1" t="str">
        <f>IFERROR(__xludf.DUMMYFUNCTION("GOOGLETRANSLATE(A2884 , ""auto"", ""ar"")"),"يشرق")</f>
        <v>يشرق</v>
      </c>
    </row>
    <row r="2885" ht="15.75" customHeight="1">
      <c r="A2885" s="1" t="s">
        <v>5727</v>
      </c>
      <c r="B2885" s="1" t="s">
        <v>5729</v>
      </c>
      <c r="C2885" s="2" t="s">
        <v>5730</v>
      </c>
      <c r="D2885" s="1" t="str">
        <f>IFERROR(__xludf.DUMMYFUNCTION("GOOGLETRANSLATE(A2885 , ""auto"", ""ar"")"),"يشرق")</f>
        <v>يشرق</v>
      </c>
    </row>
    <row r="2886" ht="15.75" customHeight="1">
      <c r="A2886" s="1" t="s">
        <v>5727</v>
      </c>
      <c r="B2886" s="1" t="s">
        <v>5731</v>
      </c>
      <c r="C2886" s="1"/>
      <c r="D2886" s="1" t="str">
        <f>IFERROR(__xludf.DUMMYFUNCTION("GOOGLETRANSLATE(A2886 , ""auto"", ""ar"")"),"يشرق")</f>
        <v>يشرق</v>
      </c>
    </row>
    <row r="2887" ht="15.75" customHeight="1">
      <c r="A2887" s="1" t="s">
        <v>5732</v>
      </c>
      <c r="B2887" s="1" t="s">
        <v>5733</v>
      </c>
      <c r="C2887" s="1"/>
      <c r="D2887" s="1" t="str">
        <f>IFERROR(__xludf.DUMMYFUNCTION("GOOGLETRANSLATE(A2887 , ""auto"", ""ar"")"),"سفينة")</f>
        <v>سفينة</v>
      </c>
    </row>
    <row r="2888" ht="15.75" customHeight="1">
      <c r="A2888" s="1" t="s">
        <v>5734</v>
      </c>
      <c r="B2888" s="1" t="s">
        <v>5735</v>
      </c>
      <c r="C2888" s="2" t="s">
        <v>5736</v>
      </c>
      <c r="D2888" s="1" t="str">
        <f>IFERROR(__xludf.DUMMYFUNCTION("GOOGLETRANSLATE(A2888 , ""auto"", ""ar"")"),"قميص")</f>
        <v>قميص</v>
      </c>
    </row>
    <row r="2889" ht="15.75" customHeight="1">
      <c r="A2889" s="1" t="s">
        <v>5737</v>
      </c>
      <c r="B2889" s="1" t="s">
        <v>5738</v>
      </c>
      <c r="C2889" s="2" t="s">
        <v>5739</v>
      </c>
      <c r="D2889" s="1" t="str">
        <f>IFERROR(__xludf.DUMMYFUNCTION("GOOGLETRANSLATE(A2889 , ""auto"", ""ar"")"),"صدمة")</f>
        <v>صدمة</v>
      </c>
    </row>
    <row r="2890" ht="15.75" customHeight="1">
      <c r="A2890" s="1" t="s">
        <v>5737</v>
      </c>
      <c r="B2890" s="1" t="s">
        <v>5740</v>
      </c>
      <c r="C2890" s="2" t="s">
        <v>5741</v>
      </c>
      <c r="D2890" s="1" t="str">
        <f>IFERROR(__xludf.DUMMYFUNCTION("GOOGLETRANSLATE(A2890 , ""auto"", ""ar"")"),"صدمة")</f>
        <v>صدمة</v>
      </c>
    </row>
    <row r="2891" ht="15.75" customHeight="1">
      <c r="A2891" s="1" t="s">
        <v>5742</v>
      </c>
      <c r="B2891" s="1" t="s">
        <v>5743</v>
      </c>
      <c r="C2891" s="2" t="s">
        <v>5744</v>
      </c>
      <c r="D2891" s="1" t="str">
        <f>IFERROR(__xludf.DUMMYFUNCTION("GOOGLETRANSLATE(A2891 , ""auto"", ""ar"")"),"أحذية")</f>
        <v>أحذية</v>
      </c>
    </row>
    <row r="2892" ht="15.75" customHeight="1">
      <c r="A2892" s="1" t="s">
        <v>5745</v>
      </c>
      <c r="B2892" s="1" t="s">
        <v>3307</v>
      </c>
      <c r="C2892" s="2" t="s">
        <v>3308</v>
      </c>
      <c r="D2892" s="1" t="str">
        <f>IFERROR(__xludf.DUMMYFUNCTION("GOOGLETRANSLATE(A2892 , ""auto"", ""ar"")"),"محل")</f>
        <v>محل</v>
      </c>
    </row>
    <row r="2893" ht="15.75" customHeight="1">
      <c r="A2893" s="1" t="s">
        <v>5745</v>
      </c>
      <c r="B2893" s="1" t="s">
        <v>3309</v>
      </c>
      <c r="C2893" s="1"/>
      <c r="D2893" s="1" t="str">
        <f>IFERROR(__xludf.DUMMYFUNCTION("GOOGLETRANSLATE(A2893 , ""auto"", ""ar"")"),"محل")</f>
        <v>محل</v>
      </c>
    </row>
    <row r="2894" ht="15.75" customHeight="1">
      <c r="A2894" s="1" t="s">
        <v>5745</v>
      </c>
      <c r="B2894" s="1" t="s">
        <v>1136</v>
      </c>
      <c r="C2894" s="2" t="s">
        <v>1137</v>
      </c>
      <c r="D2894" s="1" t="str">
        <f>IFERROR(__xludf.DUMMYFUNCTION("GOOGLETRANSLATE(A2894 , ""auto"", ""ar"")"),"محل")</f>
        <v>محل</v>
      </c>
    </row>
    <row r="2895" ht="15.75" customHeight="1">
      <c r="A2895" s="1" t="s">
        <v>5746</v>
      </c>
      <c r="B2895" s="1" t="s">
        <v>5747</v>
      </c>
      <c r="C2895" s="1"/>
      <c r="D2895" s="1" t="str">
        <f>IFERROR(__xludf.DUMMYFUNCTION("GOOGLETRANSLATE(A2895 , ""auto"", ""ar"")"),"صاحب المتجر")</f>
        <v>صاحب المتجر</v>
      </c>
    </row>
    <row r="2896" ht="15.75" customHeight="1">
      <c r="A2896" s="1" t="s">
        <v>5748</v>
      </c>
      <c r="B2896" s="1" t="s">
        <v>5749</v>
      </c>
      <c r="C2896" s="2" t="s">
        <v>5750</v>
      </c>
      <c r="D2896" s="1" t="str">
        <f>IFERROR(__xludf.DUMMYFUNCTION("GOOGLETRANSLATE(A2896 , ""auto"", ""ar"")"),"التسوق")</f>
        <v>التسوق</v>
      </c>
    </row>
    <row r="2897" ht="15.75" customHeight="1">
      <c r="A2897" s="1" t="s">
        <v>5751</v>
      </c>
      <c r="B2897" s="1" t="s">
        <v>5752</v>
      </c>
      <c r="C2897" s="1"/>
      <c r="D2897" s="1" t="str">
        <f>IFERROR(__xludf.DUMMYFUNCTION("GOOGLETRANSLATE(A2897 , ""auto"", ""ar"")"),"ممر التسوق")</f>
        <v>ممر التسوق</v>
      </c>
    </row>
    <row r="2898" ht="15.75" customHeight="1">
      <c r="A2898" s="1" t="s">
        <v>5753</v>
      </c>
      <c r="B2898" s="1" t="s">
        <v>5754</v>
      </c>
      <c r="C2898" s="2" t="s">
        <v>5755</v>
      </c>
      <c r="D2898" s="1" t="str">
        <f>IFERROR(__xludf.DUMMYFUNCTION("GOOGLETRANSLATE(A2898 , ""auto"", ""ar"")"),"قصير")</f>
        <v>قصير</v>
      </c>
    </row>
    <row r="2899" ht="15.75" customHeight="1">
      <c r="A2899" s="1" t="s">
        <v>5756</v>
      </c>
      <c r="B2899" s="1" t="s">
        <v>5757</v>
      </c>
      <c r="C2899" s="2" t="s">
        <v>5758</v>
      </c>
      <c r="D2899" s="1" t="str">
        <f>IFERROR(__xludf.DUMMYFUNCTION("GOOGLETRANSLATE(A2899 , ""auto"", ""ar"")"),"الاختصار")</f>
        <v>الاختصار</v>
      </c>
    </row>
    <row r="2900" ht="15.75" customHeight="1">
      <c r="A2900" s="1" t="s">
        <v>5759</v>
      </c>
      <c r="B2900" s="1" t="s">
        <v>5735</v>
      </c>
      <c r="C2900" s="1"/>
      <c r="D2900" s="1" t="str">
        <f>IFERROR(__xludf.DUMMYFUNCTION("GOOGLETRANSLATE(A2900 , ""auto"", ""ar"")"),"قميص بأكمام قصيرة")</f>
        <v>قميص بأكمام قصيرة</v>
      </c>
    </row>
    <row r="2901" ht="15.75" customHeight="1">
      <c r="A2901" s="1" t="s">
        <v>5760</v>
      </c>
      <c r="B2901" s="1" t="s">
        <v>5761</v>
      </c>
      <c r="C2901" s="2" t="s">
        <v>5762</v>
      </c>
      <c r="D2901" s="1" t="str">
        <f>IFERROR(__xludf.DUMMYFUNCTION("GOOGLETRANSLATE(A2901 , ""auto"", ""ar"")"),"تقصر")</f>
        <v>تقصر</v>
      </c>
    </row>
    <row r="2902" ht="15.75" customHeight="1">
      <c r="A2902" s="1" t="s">
        <v>5763</v>
      </c>
      <c r="B2902" s="1" t="s">
        <v>5764</v>
      </c>
      <c r="C2902" s="2" t="s">
        <v>5765</v>
      </c>
      <c r="D2902" s="1" t="str">
        <f>IFERROR(__xludf.DUMMYFUNCTION("GOOGLETRANSLATE(A2902 , ""auto"", ""ar"")"),"السراويل القصيرة")</f>
        <v>السراويل القصيرة</v>
      </c>
    </row>
    <row r="2903" ht="15.75" customHeight="1">
      <c r="A2903" s="1" t="s">
        <v>5763</v>
      </c>
      <c r="B2903" s="1" t="s">
        <v>5766</v>
      </c>
      <c r="C2903" s="1"/>
      <c r="D2903" s="1" t="str">
        <f>IFERROR(__xludf.DUMMYFUNCTION("GOOGLETRANSLATE(A2903 , ""auto"", ""ar"")"),"السراويل القصيرة")</f>
        <v>السراويل القصيرة</v>
      </c>
    </row>
    <row r="2904" ht="15.75" customHeight="1">
      <c r="A2904" s="1" t="s">
        <v>5767</v>
      </c>
      <c r="B2904" s="1" t="s">
        <v>5768</v>
      </c>
      <c r="C2904" s="2" t="s">
        <v>5769</v>
      </c>
      <c r="D2904" s="1" t="str">
        <f>IFERROR(__xludf.DUMMYFUNCTION("GOOGLETRANSLATE(A2904 , ""auto"", ""ar"")"),"كتف")</f>
        <v>كتف</v>
      </c>
    </row>
    <row r="2905" ht="15.75" customHeight="1">
      <c r="A2905" s="1" t="s">
        <v>5770</v>
      </c>
      <c r="B2905" s="1" t="s">
        <v>5771</v>
      </c>
      <c r="C2905" s="1"/>
      <c r="D2905" s="1" t="str">
        <f>IFERROR(__xludf.DUMMYFUNCTION("GOOGLETRANSLATE(A2905 , ""auto"", ""ar"")"),"يصيح، يصرخ، صيحة")</f>
        <v>يصيح، يصرخ، صيحة</v>
      </c>
    </row>
    <row r="2906" ht="15.75" customHeight="1">
      <c r="A2906" s="1" t="s">
        <v>5770</v>
      </c>
      <c r="B2906" s="1" t="s">
        <v>5772</v>
      </c>
      <c r="C2906" s="2" t="s">
        <v>5773</v>
      </c>
      <c r="D2906" s="1" t="str">
        <f>IFERROR(__xludf.DUMMYFUNCTION("GOOGLETRANSLATE(A2906 , ""auto"", ""ar"")"),"يصيح، يصرخ، صيحة")</f>
        <v>يصيح، يصرخ، صيحة</v>
      </c>
    </row>
    <row r="2907" ht="15.75" customHeight="1">
      <c r="A2907" s="1" t="s">
        <v>5770</v>
      </c>
      <c r="B2907" s="1" t="s">
        <v>1249</v>
      </c>
      <c r="C2907" s="2" t="s">
        <v>1250</v>
      </c>
      <c r="D2907" s="1" t="str">
        <f>IFERROR(__xludf.DUMMYFUNCTION("GOOGLETRANSLATE(A2907 , ""auto"", ""ar"")"),"يصيح، يصرخ، صيحة")</f>
        <v>يصيح، يصرخ، صيحة</v>
      </c>
    </row>
    <row r="2908" ht="15.75" customHeight="1">
      <c r="A2908" s="1" t="s">
        <v>5774</v>
      </c>
      <c r="B2908" s="1" t="s">
        <v>2281</v>
      </c>
      <c r="C2908" s="2" t="s">
        <v>5775</v>
      </c>
      <c r="D2908" s="1" t="str">
        <f>IFERROR(__xludf.DUMMYFUNCTION("GOOGLETRANSLATE(A2908 , ""auto"", ""ar"")"),"مجرفة")</f>
        <v>مجرفة</v>
      </c>
    </row>
    <row r="2909" ht="15.75" customHeight="1">
      <c r="A2909" s="1" t="s">
        <v>5776</v>
      </c>
      <c r="B2909" s="1" t="s">
        <v>5777</v>
      </c>
      <c r="C2909" s="2" t="s">
        <v>5778</v>
      </c>
      <c r="D2909" s="1" t="str">
        <f>IFERROR(__xludf.DUMMYFUNCTION("GOOGLETRANSLATE(A2909 , ""auto"", ""ar"")"),"يعرض")</f>
        <v>يعرض</v>
      </c>
    </row>
    <row r="2910" ht="15.75" customHeight="1">
      <c r="A2910" s="1" t="s">
        <v>5776</v>
      </c>
      <c r="B2910" s="1" t="s">
        <v>5779</v>
      </c>
      <c r="C2910" s="2" t="s">
        <v>5780</v>
      </c>
      <c r="D2910" s="1" t="str">
        <f>IFERROR(__xludf.DUMMYFUNCTION("GOOGLETRANSLATE(A2910 , ""auto"", ""ar"")"),"يعرض")</f>
        <v>يعرض</v>
      </c>
    </row>
    <row r="2911" ht="15.75" customHeight="1">
      <c r="A2911" s="1" t="s">
        <v>5776</v>
      </c>
      <c r="B2911" s="1" t="s">
        <v>5781</v>
      </c>
      <c r="C2911" s="1"/>
      <c r="D2911" s="1" t="str">
        <f>IFERROR(__xludf.DUMMYFUNCTION("GOOGLETRANSLATE(A2911 , ""auto"", ""ar"")"),"يعرض")</f>
        <v>يعرض</v>
      </c>
    </row>
    <row r="2912" ht="15.75" customHeight="1">
      <c r="A2912" s="1" t="s">
        <v>5782</v>
      </c>
      <c r="B2912" s="1" t="s">
        <v>5783</v>
      </c>
      <c r="C2912" s="2" t="s">
        <v>5784</v>
      </c>
      <c r="D2912" s="1" t="str">
        <f>IFERROR(__xludf.DUMMYFUNCTION("GOOGLETRANSLATE(A2912 , ""auto"", ""ar"")"),"الرحمة")</f>
        <v>الرحمة</v>
      </c>
    </row>
    <row r="2913" ht="15.75" customHeight="1">
      <c r="A2913" s="1" t="s">
        <v>5785</v>
      </c>
      <c r="B2913" s="1" t="s">
        <v>5786</v>
      </c>
      <c r="C2913" s="2" t="s">
        <v>65</v>
      </c>
      <c r="D2913" s="1" t="str">
        <f>IFERROR(__xludf.DUMMYFUNCTION("GOOGLETRANSLATE(A2913 , ""auto"", ""ar"")"),"تباهى")</f>
        <v>تباهى</v>
      </c>
    </row>
    <row r="2914" ht="15.75" customHeight="1">
      <c r="A2914" s="1" t="s">
        <v>5787</v>
      </c>
      <c r="B2914" s="1" t="s">
        <v>5788</v>
      </c>
      <c r="C2914" s="2" t="s">
        <v>5789</v>
      </c>
      <c r="D2914" s="1" t="str">
        <f>IFERROR(__xludf.DUMMYFUNCTION("GOOGLETRANSLATE(A2914 , ""auto"", ""ar"")"),"دش")</f>
        <v>دش</v>
      </c>
    </row>
    <row r="2915" ht="15.75" customHeight="1">
      <c r="A2915" s="1" t="s">
        <v>5787</v>
      </c>
      <c r="B2915" s="1" t="s">
        <v>5790</v>
      </c>
      <c r="C2915" s="2" t="s">
        <v>5791</v>
      </c>
      <c r="D2915" s="1" t="str">
        <f>IFERROR(__xludf.DUMMYFUNCTION("GOOGLETRANSLATE(A2915 , ""auto"", ""ar"")"),"دش")</f>
        <v>دش</v>
      </c>
    </row>
    <row r="2916" ht="15.75" customHeight="1">
      <c r="A2916" s="1" t="s">
        <v>5787</v>
      </c>
      <c r="B2916" s="1" t="s">
        <v>5788</v>
      </c>
      <c r="C2916" s="1"/>
      <c r="D2916" s="1" t="str">
        <f>IFERROR(__xludf.DUMMYFUNCTION("GOOGLETRANSLATE(A2916 , ""auto"", ""ar"")"),"دش")</f>
        <v>دش</v>
      </c>
    </row>
    <row r="2917" ht="15.75" customHeight="1">
      <c r="A2917" s="1" t="s">
        <v>5792</v>
      </c>
      <c r="B2917" s="1" t="s">
        <v>5793</v>
      </c>
      <c r="C2917" s="1"/>
      <c r="D2917" s="1" t="str">
        <f>IFERROR(__xludf.DUMMYFUNCTION("GOOGLETRANSLATE(A2917 , ""auto"", ""ar"")"),"جيل الإستحمام")</f>
        <v>جيل الإستحمام</v>
      </c>
    </row>
    <row r="2918" ht="15.75" customHeight="1">
      <c r="A2918" s="1" t="s">
        <v>5794</v>
      </c>
      <c r="B2918" s="1" t="s">
        <v>5795</v>
      </c>
      <c r="C2918" s="1"/>
      <c r="D2918" s="1" t="str">
        <f>IFERROR(__xludf.DUMMYFUNCTION("GOOGLETRANSLATE(A2918 , ""auto"", ""ar"")"),"رأس دش")</f>
        <v>رأس دش</v>
      </c>
    </row>
    <row r="2919" ht="15.75" customHeight="1">
      <c r="A2919" s="1" t="s">
        <v>5794</v>
      </c>
      <c r="B2919" s="1" t="s">
        <v>5796</v>
      </c>
      <c r="C2919" s="1"/>
      <c r="D2919" s="1" t="str">
        <f>IFERROR(__xludf.DUMMYFUNCTION("GOOGLETRANSLATE(A2919 , ""auto"", ""ar"")"),"رأس دش")</f>
        <v>رأس دش</v>
      </c>
    </row>
    <row r="2920" ht="15.75" customHeight="1">
      <c r="A2920" s="1" t="s">
        <v>5797</v>
      </c>
      <c r="B2920" s="1" t="s">
        <v>5798</v>
      </c>
      <c r="C2920" s="1"/>
      <c r="D2920" s="1" t="str">
        <f>IFERROR(__xludf.DUMMYFUNCTION("GOOGLETRANSLATE(A2920 , ""auto"", ""ar"")"),"مصراع")</f>
        <v>مصراع</v>
      </c>
    </row>
    <row r="2921" ht="15.75" customHeight="1">
      <c r="A2921" s="1" t="s">
        <v>5797</v>
      </c>
      <c r="B2921" s="1" t="s">
        <v>5798</v>
      </c>
      <c r="C2921" s="1"/>
      <c r="D2921" s="1" t="str">
        <f>IFERROR(__xludf.DUMMYFUNCTION("GOOGLETRANSLATE(A2921 , ""auto"", ""ar"")"),"مصراع")</f>
        <v>مصراع</v>
      </c>
    </row>
    <row r="2922" ht="15.75" customHeight="1">
      <c r="A2922" s="1" t="s">
        <v>5797</v>
      </c>
      <c r="B2922" s="1" t="s">
        <v>2192</v>
      </c>
      <c r="C2922" s="1"/>
      <c r="D2922" s="1" t="str">
        <f>IFERROR(__xludf.DUMMYFUNCTION("GOOGLETRANSLATE(A2922 , ""auto"", ""ar"")"),"مصراع")</f>
        <v>مصراع</v>
      </c>
    </row>
    <row r="2923" ht="15.75" customHeight="1">
      <c r="A2923" s="1" t="s">
        <v>5799</v>
      </c>
      <c r="B2923" s="1" t="s">
        <v>5800</v>
      </c>
      <c r="C2923" s="2" t="s">
        <v>5801</v>
      </c>
      <c r="D2923" s="1" t="str">
        <f>IFERROR(__xludf.DUMMYFUNCTION("GOOGLETRANSLATE(A2923 , ""auto"", ""ar"")"),"إخوة")</f>
        <v>إخوة</v>
      </c>
    </row>
    <row r="2924" ht="15.75" customHeight="1">
      <c r="A2924" s="1" t="s">
        <v>5802</v>
      </c>
      <c r="B2924" s="1" t="s">
        <v>3749</v>
      </c>
      <c r="C2924" s="2" t="s">
        <v>3750</v>
      </c>
      <c r="D2924" s="1" t="str">
        <f>IFERROR(__xludf.DUMMYFUNCTION("GOOGLETRANSLATE(A2924 , ""auto"", ""ar"")"),"مريض")</f>
        <v>مريض</v>
      </c>
    </row>
    <row r="2925" ht="15.75" customHeight="1">
      <c r="A2925" s="1" t="s">
        <v>5802</v>
      </c>
      <c r="B2925" s="1" t="s">
        <v>5803</v>
      </c>
      <c r="C2925" s="2" t="s">
        <v>5804</v>
      </c>
      <c r="D2925" s="1" t="str">
        <f>IFERROR(__xludf.DUMMYFUNCTION("GOOGLETRANSLATE(A2925 , ""auto"", ""ar"")"),"مريض")</f>
        <v>مريض</v>
      </c>
    </row>
    <row r="2926" ht="15.75" customHeight="1">
      <c r="A2926" s="1" t="s">
        <v>5802</v>
      </c>
      <c r="B2926" s="1" t="s">
        <v>3751</v>
      </c>
      <c r="C2926" s="2" t="s">
        <v>3752</v>
      </c>
      <c r="D2926" s="1" t="str">
        <f>IFERROR(__xludf.DUMMYFUNCTION("GOOGLETRANSLATE(A2926 , ""auto"", ""ar"")"),"مريض")</f>
        <v>مريض</v>
      </c>
    </row>
    <row r="2927" ht="15.75" customHeight="1">
      <c r="A2927" s="1" t="s">
        <v>5805</v>
      </c>
      <c r="B2927" s="1" t="s">
        <v>5806</v>
      </c>
      <c r="C2927" s="2" t="s">
        <v>5807</v>
      </c>
      <c r="D2927" s="1" t="str">
        <f>IFERROR(__xludf.DUMMYFUNCTION("GOOGLETRANSLATE(A2927 , ""auto"", ""ar"")"),"المنجل")</f>
        <v>المنجل</v>
      </c>
    </row>
    <row r="2928" ht="15.75" customHeight="1">
      <c r="A2928" s="1" t="s">
        <v>5808</v>
      </c>
      <c r="B2928" s="1" t="s">
        <v>3754</v>
      </c>
      <c r="C2928" s="2" t="s">
        <v>3755</v>
      </c>
      <c r="D2928" s="1" t="str">
        <f>IFERROR(__xludf.DUMMYFUNCTION("GOOGLETRANSLATE(A2928 , ""auto"", ""ar"")"),"المرض")</f>
        <v>المرض</v>
      </c>
    </row>
    <row r="2929" ht="15.75" customHeight="1">
      <c r="A2929" s="1" t="s">
        <v>5809</v>
      </c>
      <c r="B2929" s="1" t="s">
        <v>5810</v>
      </c>
      <c r="C2929" s="2" t="s">
        <v>2079</v>
      </c>
      <c r="D2929" s="1" t="str">
        <f>IFERROR(__xludf.DUMMYFUNCTION("GOOGLETRANSLATE(A2929 , ""auto"", ""ar"")"),"جانب")</f>
        <v>جانب</v>
      </c>
    </row>
    <row r="2930" ht="15.75" customHeight="1">
      <c r="A2930" s="1" t="s">
        <v>5811</v>
      </c>
      <c r="B2930" s="1" t="s">
        <v>1855</v>
      </c>
      <c r="C2930" s="2" t="s">
        <v>1856</v>
      </c>
      <c r="D2930" s="1" t="str">
        <f>IFERROR(__xludf.DUMMYFUNCTION("GOOGLETRANSLATE(A2930 , ""auto"", ""ar"")"),"بوفيه")</f>
        <v>بوفيه</v>
      </c>
    </row>
    <row r="2931" ht="15.75" customHeight="1">
      <c r="A2931" s="1" t="s">
        <v>5812</v>
      </c>
      <c r="B2931" s="1" t="s">
        <v>143</v>
      </c>
      <c r="C2931" s="1"/>
      <c r="D2931" s="1" t="str">
        <f>IFERROR(__xludf.DUMMYFUNCTION("GOOGLETRANSLATE(A2931 , ""auto"", ""ar"")"),"سيستا")</f>
        <v>سيستا</v>
      </c>
    </row>
    <row r="2932" ht="15.75" customHeight="1">
      <c r="A2932" s="1" t="s">
        <v>5812</v>
      </c>
      <c r="B2932" s="1" t="s">
        <v>144</v>
      </c>
      <c r="C2932" s="2" t="s">
        <v>145</v>
      </c>
      <c r="D2932" s="1" t="str">
        <f>IFERROR(__xludf.DUMMYFUNCTION("GOOGLETRANSLATE(A2932 , ""auto"", ""ar"")"),"سيستا")</f>
        <v>سيستا</v>
      </c>
    </row>
    <row r="2933" ht="15.75" customHeight="1">
      <c r="A2933" s="1" t="s">
        <v>5813</v>
      </c>
      <c r="B2933" s="1" t="s">
        <v>5814</v>
      </c>
      <c r="C2933" s="2" t="s">
        <v>5815</v>
      </c>
      <c r="D2933" s="1" t="str">
        <f>IFERROR(__xludf.DUMMYFUNCTION("GOOGLETRANSLATE(A2933 , ""auto"", ""ar"")"),"غربال")</f>
        <v>غربال</v>
      </c>
    </row>
    <row r="2934" ht="15.75" customHeight="1">
      <c r="A2934" s="1" t="s">
        <v>5813</v>
      </c>
      <c r="B2934" s="1" t="s">
        <v>5816</v>
      </c>
      <c r="C2934" s="2" t="s">
        <v>5817</v>
      </c>
      <c r="D2934" s="1" t="str">
        <f>IFERROR(__xludf.DUMMYFUNCTION("GOOGLETRANSLATE(A2934 , ""auto"", ""ar"")"),"غربال")</f>
        <v>غربال</v>
      </c>
    </row>
    <row r="2935" ht="15.75" customHeight="1">
      <c r="A2935" s="1" t="s">
        <v>5818</v>
      </c>
      <c r="B2935" s="1" t="s">
        <v>5816</v>
      </c>
      <c r="C2935" s="2" t="s">
        <v>5817</v>
      </c>
      <c r="D2935" s="1" t="str">
        <f>IFERROR(__xludf.DUMMYFUNCTION("GOOGLETRANSLATE(A2935 , ""auto"", ""ar"")"),"ينعش")</f>
        <v>ينعش</v>
      </c>
    </row>
    <row r="2936" ht="15.75" customHeight="1">
      <c r="A2936" s="1" t="s">
        <v>5819</v>
      </c>
      <c r="B2936" s="1" t="s">
        <v>1110</v>
      </c>
      <c r="C2936" s="2" t="s">
        <v>5820</v>
      </c>
      <c r="D2936" s="1" t="str">
        <f>IFERROR(__xludf.DUMMYFUNCTION("GOOGLETRANSLATE(A2936 , ""auto"", ""ar"")"),"لافتة")</f>
        <v>لافتة</v>
      </c>
    </row>
    <row r="2937" ht="15.75" customHeight="1">
      <c r="A2937" s="1" t="s">
        <v>5819</v>
      </c>
      <c r="B2937" s="1" t="s">
        <v>5821</v>
      </c>
      <c r="C2937" s="2" t="s">
        <v>5822</v>
      </c>
      <c r="D2937" s="1" t="str">
        <f>IFERROR(__xludf.DUMMYFUNCTION("GOOGLETRANSLATE(A2937 , ""auto"", ""ar"")"),"لافتة")</f>
        <v>لافتة</v>
      </c>
    </row>
    <row r="2938" ht="15.75" customHeight="1">
      <c r="A2938" s="1" t="s">
        <v>5823</v>
      </c>
      <c r="B2938" s="1" t="s">
        <v>5824</v>
      </c>
      <c r="C2938" s="2" t="s">
        <v>5825</v>
      </c>
      <c r="D2938" s="1" t="str">
        <f>IFERROR(__xludf.DUMMYFUNCTION("GOOGLETRANSLATE(A2938 , ""auto"", ""ar"")"),"الإشارة")</f>
        <v>الإشارة</v>
      </c>
    </row>
    <row r="2939" ht="15.75" customHeight="1">
      <c r="A2939" s="1" t="s">
        <v>5826</v>
      </c>
      <c r="B2939" s="1" t="s">
        <v>5827</v>
      </c>
      <c r="C2939" s="2" t="s">
        <v>5828</v>
      </c>
      <c r="D2939" s="1" t="str">
        <f>IFERROR(__xludf.DUMMYFUNCTION("GOOGLETRANSLATE(A2939 , ""auto"", ""ar"")"),"إمضاء")</f>
        <v>إمضاء</v>
      </c>
    </row>
    <row r="2940" ht="15.75" customHeight="1">
      <c r="A2940" s="1" t="s">
        <v>5829</v>
      </c>
      <c r="B2940" s="1" t="s">
        <v>3761</v>
      </c>
      <c r="C2940" s="2" t="s">
        <v>65</v>
      </c>
      <c r="D2940" s="1" t="str">
        <f>IFERROR(__xludf.DUMMYFUNCTION("GOOGLETRANSLATE(A2940 , ""auto"", ""ar"")"),"بارِز")</f>
        <v>بارِز</v>
      </c>
    </row>
    <row r="2941" ht="15.75" customHeight="1">
      <c r="A2941" s="1" t="s">
        <v>5830</v>
      </c>
      <c r="B2941" s="1" t="s">
        <v>5831</v>
      </c>
      <c r="C2941" s="2" t="s">
        <v>5832</v>
      </c>
      <c r="D2941" s="1" t="str">
        <f>IFERROR(__xludf.DUMMYFUNCTION("GOOGLETRANSLATE(A2941 , ""auto"", ""ar"")"),"الصمت")</f>
        <v>الصمت</v>
      </c>
    </row>
    <row r="2942" ht="15.75" customHeight="1">
      <c r="A2942" s="1" t="s">
        <v>5833</v>
      </c>
      <c r="B2942" s="1" t="s">
        <v>5834</v>
      </c>
      <c r="C2942" s="2" t="s">
        <v>5835</v>
      </c>
      <c r="D2942" s="1" t="str">
        <f>IFERROR(__xludf.DUMMYFUNCTION("GOOGLETRANSLATE(A2942 , ""auto"", ""ar"")"),"صامتة")</f>
        <v>صامتة</v>
      </c>
    </row>
    <row r="2943" ht="15.75" customHeight="1">
      <c r="A2943" s="1" t="s">
        <v>5833</v>
      </c>
      <c r="B2943" s="1" t="s">
        <v>5836</v>
      </c>
      <c r="C2943" s="2" t="s">
        <v>65</v>
      </c>
      <c r="D2943" s="1" t="str">
        <f>IFERROR(__xludf.DUMMYFUNCTION("GOOGLETRANSLATE(A2943 , ""auto"", ""ar"")"),"صامتة")</f>
        <v>صامتة</v>
      </c>
    </row>
    <row r="2944" ht="15.75" customHeight="1">
      <c r="A2944" s="1" t="s">
        <v>5837</v>
      </c>
      <c r="B2944" s="1" t="s">
        <v>5838</v>
      </c>
      <c r="C2944" s="2" t="s">
        <v>5839</v>
      </c>
      <c r="D2944" s="1" t="str">
        <f>IFERROR(__xludf.DUMMYFUNCTION("GOOGLETRANSLATE(A2944 , ""auto"", ""ar"")"),"الحرير")</f>
        <v>الحرير</v>
      </c>
    </row>
    <row r="2945" ht="15.75" customHeight="1">
      <c r="A2945" s="1" t="s">
        <v>5837</v>
      </c>
      <c r="B2945" s="1" t="s">
        <v>5838</v>
      </c>
      <c r="C2945" s="2" t="s">
        <v>5840</v>
      </c>
      <c r="D2945" s="1" t="str">
        <f>IFERROR(__xludf.DUMMYFUNCTION("GOOGLETRANSLATE(A2945 , ""auto"", ""ar"")"),"الحرير")</f>
        <v>الحرير</v>
      </c>
    </row>
    <row r="2946" ht="15.75" customHeight="1">
      <c r="A2946" s="1" t="s">
        <v>5841</v>
      </c>
      <c r="B2946" s="1" t="s">
        <v>5842</v>
      </c>
      <c r="C2946" s="2" t="s">
        <v>5843</v>
      </c>
      <c r="D2946" s="1" t="str">
        <f>IFERROR(__xludf.DUMMYFUNCTION("GOOGLETRANSLATE(A2946 , ""auto"", ""ar"")"),"فضة")</f>
        <v>فضة</v>
      </c>
    </row>
    <row r="2947" ht="15.75" customHeight="1">
      <c r="A2947" s="1" t="s">
        <v>5841</v>
      </c>
      <c r="B2947" s="1" t="s">
        <v>5844</v>
      </c>
      <c r="C2947" s="2" t="s">
        <v>5845</v>
      </c>
      <c r="D2947" s="1" t="str">
        <f>IFERROR(__xludf.DUMMYFUNCTION("GOOGLETRANSLATE(A2947 , ""auto"", ""ar"")"),"فضة")</f>
        <v>فضة</v>
      </c>
    </row>
    <row r="2948" ht="15.75" customHeight="1">
      <c r="A2948" s="1" t="s">
        <v>5841</v>
      </c>
      <c r="B2948" s="1" t="s">
        <v>5846</v>
      </c>
      <c r="C2948" s="2" t="s">
        <v>5847</v>
      </c>
      <c r="D2948" s="1" t="str">
        <f>IFERROR(__xludf.DUMMYFUNCTION("GOOGLETRANSLATE(A2948 , ""auto"", ""ar"")"),"فضة")</f>
        <v>فضة</v>
      </c>
    </row>
    <row r="2949" ht="15.75" customHeight="1">
      <c r="A2949" s="1" t="s">
        <v>5841</v>
      </c>
      <c r="B2949" s="1" t="s">
        <v>5848</v>
      </c>
      <c r="C2949" s="2" t="s">
        <v>5849</v>
      </c>
      <c r="D2949" s="1" t="str">
        <f>IFERROR(__xludf.DUMMYFUNCTION("GOOGLETRANSLATE(A2949 , ""auto"", ""ar"")"),"فضة")</f>
        <v>فضة</v>
      </c>
    </row>
    <row r="2950" ht="15.75" customHeight="1">
      <c r="A2950" s="1" t="s">
        <v>5850</v>
      </c>
      <c r="B2950" s="1" t="s">
        <v>5851</v>
      </c>
      <c r="C2950" s="2" t="s">
        <v>5852</v>
      </c>
      <c r="D2950" s="1" t="str">
        <f>IFERROR(__xludf.DUMMYFUNCTION("GOOGLETRANSLATE(A2950 , ""auto"", ""ar"")"),"الفضة")</f>
        <v>الفضة</v>
      </c>
    </row>
    <row r="2951" ht="15.75" customHeight="1">
      <c r="A2951" s="1" t="s">
        <v>5853</v>
      </c>
      <c r="B2951" s="1" t="s">
        <v>5854</v>
      </c>
      <c r="C2951" s="2" t="s">
        <v>5855</v>
      </c>
      <c r="D2951" s="1" t="str">
        <f>IFERROR(__xludf.DUMMYFUNCTION("GOOGLETRANSLATE(A2951 , ""auto"", ""ar"")"),"بسيط")</f>
        <v>بسيط</v>
      </c>
    </row>
    <row r="2952" ht="15.75" customHeight="1">
      <c r="A2952" s="1" t="s">
        <v>5853</v>
      </c>
      <c r="B2952" s="1" t="s">
        <v>5856</v>
      </c>
      <c r="C2952" s="1"/>
      <c r="D2952" s="1" t="str">
        <f>IFERROR(__xludf.DUMMYFUNCTION("GOOGLETRANSLATE(A2952 , ""auto"", ""ar"")"),"بسيط")</f>
        <v>بسيط</v>
      </c>
    </row>
    <row r="2953" ht="15.75" customHeight="1">
      <c r="A2953" s="1" t="s">
        <v>5857</v>
      </c>
      <c r="B2953" s="1" t="s">
        <v>5858</v>
      </c>
      <c r="C2953" s="2" t="s">
        <v>5859</v>
      </c>
      <c r="D2953" s="1" t="str">
        <f>IFERROR(__xludf.DUMMYFUNCTION("GOOGLETRANSLATE(A2953 , ""auto"", ""ar"")"),"الخطيئة")</f>
        <v>الخطيئة</v>
      </c>
    </row>
    <row r="2954" ht="15.75" customHeight="1">
      <c r="A2954" s="1" t="s">
        <v>5860</v>
      </c>
      <c r="B2954" s="1" t="s">
        <v>2858</v>
      </c>
      <c r="C2954" s="2" t="s">
        <v>2859</v>
      </c>
      <c r="D2954" s="1" t="str">
        <f>IFERROR(__xludf.DUMMYFUNCTION("GOOGLETRANSLATE(A2954 , ""auto"", ""ar"")"),"منذ")</f>
        <v>منذ</v>
      </c>
    </row>
    <row r="2955" ht="15.75" customHeight="1">
      <c r="A2955" s="1" t="s">
        <v>5861</v>
      </c>
      <c r="B2955" s="1" t="s">
        <v>5862</v>
      </c>
      <c r="C2955" s="2" t="s">
        <v>5863</v>
      </c>
      <c r="D2955" s="1" t="str">
        <f>IFERROR(__xludf.DUMMYFUNCTION("GOOGLETRANSLATE(A2955 , ""auto"", ""ar"")"),"الذي - التي")</f>
        <v>الذي - التي</v>
      </c>
    </row>
    <row r="2956" ht="15.75" customHeight="1">
      <c r="A2956" s="1" t="s">
        <v>5864</v>
      </c>
      <c r="B2956" s="1" t="s">
        <v>5865</v>
      </c>
      <c r="C2956" s="2" t="s">
        <v>5866</v>
      </c>
      <c r="D2956" s="1" t="str">
        <f>IFERROR(__xludf.DUMMYFUNCTION("GOOGLETRANSLATE(A2956 , ""auto"", ""ar"")"),"مغني")</f>
        <v>مغني</v>
      </c>
    </row>
    <row r="2957" ht="15.75" customHeight="1">
      <c r="A2957" s="1" t="s">
        <v>5867</v>
      </c>
      <c r="B2957" s="1" t="s">
        <v>5868</v>
      </c>
      <c r="C2957" s="2" t="s">
        <v>65</v>
      </c>
      <c r="D2957" s="1" t="str">
        <f>IFERROR(__xludf.DUMMYFUNCTION("GOOGLETRANSLATE(A2957 , ""auto"", ""ar"")"),"أعزب")</f>
        <v>أعزب</v>
      </c>
    </row>
    <row r="2958" ht="15.75" customHeight="1">
      <c r="A2958" s="1" t="s">
        <v>5869</v>
      </c>
      <c r="B2958" s="1" t="s">
        <v>5870</v>
      </c>
      <c r="C2958" s="1"/>
      <c r="D2958" s="1" t="str">
        <f>IFERROR(__xludf.DUMMYFUNCTION("GOOGLETRANSLATE(A2958 , ""auto"", ""ar"")"),"حوض")</f>
        <v>حوض</v>
      </c>
    </row>
    <row r="2959" ht="15.75" customHeight="1">
      <c r="A2959" s="1" t="s">
        <v>5869</v>
      </c>
      <c r="B2959" s="1" t="s">
        <v>5871</v>
      </c>
      <c r="C2959" s="2" t="s">
        <v>5872</v>
      </c>
      <c r="D2959" s="1" t="str">
        <f>IFERROR(__xludf.DUMMYFUNCTION("GOOGLETRANSLATE(A2959 , ""auto"", ""ar"")"),"حوض")</f>
        <v>حوض</v>
      </c>
    </row>
    <row r="2960" ht="15.75" customHeight="1">
      <c r="A2960" s="1" t="s">
        <v>5873</v>
      </c>
      <c r="B2960" s="1" t="s">
        <v>5874</v>
      </c>
      <c r="C2960" s="2" t="s">
        <v>5875</v>
      </c>
      <c r="D2960" s="1" t="str">
        <f>IFERROR(__xludf.DUMMYFUNCTION("GOOGLETRANSLATE(A2960 , ""auto"", ""ar"")"),"كافر")</f>
        <v>كافر</v>
      </c>
    </row>
    <row r="2961" ht="15.75" customHeight="1">
      <c r="A2961" s="1" t="s">
        <v>5876</v>
      </c>
      <c r="B2961" s="1" t="s">
        <v>5877</v>
      </c>
      <c r="C2961" s="2" t="s">
        <v>5878</v>
      </c>
      <c r="D2961" s="1" t="str">
        <f>IFERROR(__xludf.DUMMYFUNCTION("GOOGLETRANSLATE(A2961 , ""auto"", ""ar"")"),"سيد")</f>
        <v>سيد</v>
      </c>
    </row>
    <row r="2962" ht="15.75" customHeight="1">
      <c r="A2962" s="1" t="s">
        <v>5879</v>
      </c>
      <c r="B2962" s="1" t="s">
        <v>3376</v>
      </c>
      <c r="C2962" s="2" t="s">
        <v>5880</v>
      </c>
      <c r="D2962" s="1" t="str">
        <f>IFERROR(__xludf.DUMMYFUNCTION("GOOGLETRANSLATE(A2962 , ""auto"", ""ar"")"),"أخت")</f>
        <v>أخت</v>
      </c>
    </row>
    <row r="2963" ht="15.75" customHeight="1">
      <c r="A2963" s="1" t="s">
        <v>5879</v>
      </c>
      <c r="B2963" s="1" t="s">
        <v>5881</v>
      </c>
      <c r="C2963" s="2" t="s">
        <v>5882</v>
      </c>
      <c r="D2963" s="1" t="str">
        <f>IFERROR(__xludf.DUMMYFUNCTION("GOOGLETRANSLATE(A2963 , ""auto"", ""ar"")"),"أخت")</f>
        <v>أخت</v>
      </c>
    </row>
    <row r="2964" ht="15.75" customHeight="1">
      <c r="A2964" s="1" t="s">
        <v>5883</v>
      </c>
      <c r="B2964" s="1" t="s">
        <v>5884</v>
      </c>
      <c r="C2964" s="1"/>
      <c r="D2964" s="1" t="str">
        <f>IFERROR(__xludf.DUMMYFUNCTION("GOOGLETRANSLATE(A2964 , ""auto"", ""ar"")"),"أخت الزوج أو اخت الزوجة")</f>
        <v>أخت الزوج أو اخت الزوجة</v>
      </c>
    </row>
    <row r="2965" ht="15.75" customHeight="1">
      <c r="A2965" s="1" t="s">
        <v>5883</v>
      </c>
      <c r="B2965" s="1" t="s">
        <v>4820</v>
      </c>
      <c r="C2965" s="1"/>
      <c r="D2965" s="1" t="str">
        <f>IFERROR(__xludf.DUMMYFUNCTION("GOOGLETRANSLATE(A2965 , ""auto"", ""ar"")"),"أخت الزوج أو اخت الزوجة")</f>
        <v>أخت الزوج أو اخت الزوجة</v>
      </c>
    </row>
    <row r="2966" ht="15.75" customHeight="1">
      <c r="A2966" s="1" t="s">
        <v>5885</v>
      </c>
      <c r="B2966" s="1" t="s">
        <v>5886</v>
      </c>
      <c r="C2966" s="2" t="s">
        <v>5887</v>
      </c>
      <c r="D2966" s="1" t="str">
        <f>IFERROR(__xludf.DUMMYFUNCTION("GOOGLETRANSLATE(A2966 , ""auto"", ""ar"")"),"يجلس")</f>
        <v>يجلس</v>
      </c>
    </row>
    <row r="2967" ht="15.75" customHeight="1">
      <c r="A2967" s="1" t="s">
        <v>5885</v>
      </c>
      <c r="B2967" s="1" t="s">
        <v>5888</v>
      </c>
      <c r="C2967" s="2" t="s">
        <v>5889</v>
      </c>
      <c r="D2967" s="1" t="str">
        <f>IFERROR(__xludf.DUMMYFUNCTION("GOOGLETRANSLATE(A2967 , ""auto"", ""ar"")"),"يجلس")</f>
        <v>يجلس</v>
      </c>
    </row>
    <row r="2968" ht="15.75" customHeight="1">
      <c r="A2968" s="1" t="s">
        <v>5885</v>
      </c>
      <c r="B2968" s="1" t="s">
        <v>5890</v>
      </c>
      <c r="C2968" s="1"/>
      <c r="D2968" s="1" t="str">
        <f>IFERROR(__xludf.DUMMYFUNCTION("GOOGLETRANSLATE(A2968 , ""auto"", ""ar"")"),"يجلس")</f>
        <v>يجلس</v>
      </c>
    </row>
    <row r="2969" ht="15.75" customHeight="1">
      <c r="A2969" s="1" t="s">
        <v>5891</v>
      </c>
      <c r="B2969" s="1" t="s">
        <v>3358</v>
      </c>
      <c r="C2969" s="2" t="s">
        <v>4391</v>
      </c>
      <c r="D2969" s="1" t="str">
        <f>IFERROR(__xludf.DUMMYFUNCTION("GOOGLETRANSLATE(A2969 , ""auto"", ""ar"")"),"غرفة جلوس")</f>
        <v>غرفة جلوس</v>
      </c>
    </row>
    <row r="2970" ht="15.75" customHeight="1">
      <c r="A2970" s="1" t="s">
        <v>5891</v>
      </c>
      <c r="B2970" s="1" t="s">
        <v>4392</v>
      </c>
      <c r="C2970" s="1"/>
      <c r="D2970" s="1" t="str">
        <f>IFERROR(__xludf.DUMMYFUNCTION("GOOGLETRANSLATE(A2970 , ""auto"", ""ar"")"),"غرفة جلوس")</f>
        <v>غرفة جلوس</v>
      </c>
    </row>
    <row r="2971" ht="15.75" customHeight="1">
      <c r="A2971" s="1" t="s">
        <v>5892</v>
      </c>
      <c r="B2971" s="1" t="s">
        <v>5893</v>
      </c>
      <c r="C2971" s="2" t="s">
        <v>5894</v>
      </c>
      <c r="D2971" s="1" t="str">
        <f>IFERROR(__xludf.DUMMYFUNCTION("GOOGLETRANSLATE(A2971 , ""auto"", ""ar"")"),"ستة")</f>
        <v>ستة</v>
      </c>
    </row>
    <row r="2972" ht="15.75" customHeight="1">
      <c r="A2972" s="1" t="s">
        <v>5892</v>
      </c>
      <c r="B2972" s="1" t="s">
        <v>5895</v>
      </c>
      <c r="C2972" s="2" t="s">
        <v>5896</v>
      </c>
      <c r="D2972" s="1" t="str">
        <f>IFERROR(__xludf.DUMMYFUNCTION("GOOGLETRANSLATE(A2972 , ""auto"", ""ar"")"),"ستة")</f>
        <v>ستة</v>
      </c>
    </row>
    <row r="2973" ht="15.75" customHeight="1">
      <c r="A2973" s="1" t="s">
        <v>5897</v>
      </c>
      <c r="B2973" s="1" t="s">
        <v>5898</v>
      </c>
      <c r="C2973" s="2" t="s">
        <v>5899</v>
      </c>
      <c r="D2973" s="1" t="str">
        <f>IFERROR(__xludf.DUMMYFUNCTION("GOOGLETRANSLATE(A2973 , ""auto"", ""ar"")"),"السادس عشر")</f>
        <v>السادس عشر</v>
      </c>
    </row>
    <row r="2974" ht="15.75" customHeight="1">
      <c r="A2974" s="1" t="s">
        <v>5900</v>
      </c>
      <c r="B2974" s="1" t="s">
        <v>5901</v>
      </c>
      <c r="C2974" s="2" t="s">
        <v>5902</v>
      </c>
      <c r="D2974" s="1" t="str">
        <f>IFERROR(__xludf.DUMMYFUNCTION("GOOGLETRANSLATE(A2974 , ""auto"", ""ar"")"),"السادس")</f>
        <v>السادس</v>
      </c>
    </row>
    <row r="2975" ht="15.75" customHeight="1">
      <c r="A2975" s="1" t="s">
        <v>5903</v>
      </c>
      <c r="B2975" s="1" t="s">
        <v>5904</v>
      </c>
      <c r="C2975" s="2" t="s">
        <v>5905</v>
      </c>
      <c r="D2975" s="1" t="str">
        <f>IFERROR(__xludf.DUMMYFUNCTION("GOOGLETRANSLATE(A2975 , ""auto"", ""ar"")"),"ستين")</f>
        <v>ستين</v>
      </c>
    </row>
    <row r="2976" ht="15.75" customHeight="1">
      <c r="A2976" s="1" t="s">
        <v>5906</v>
      </c>
      <c r="B2976" s="1" t="s">
        <v>5907</v>
      </c>
      <c r="C2976" s="1"/>
      <c r="D2976" s="1" t="str">
        <f>IFERROR(__xludf.DUMMYFUNCTION("GOOGLETRANSLATE(A2976 , ""auto"", ""ar"")"),"مقاس")</f>
        <v>مقاس</v>
      </c>
    </row>
    <row r="2977" ht="15.75" customHeight="1">
      <c r="A2977" s="1" t="s">
        <v>5906</v>
      </c>
      <c r="B2977" s="1" t="s">
        <v>5100</v>
      </c>
      <c r="C2977" s="2" t="s">
        <v>5101</v>
      </c>
      <c r="D2977" s="1" t="str">
        <f>IFERROR(__xludf.DUMMYFUNCTION("GOOGLETRANSLATE(A2977 , ""auto"", ""ar"")"),"مقاس")</f>
        <v>مقاس</v>
      </c>
    </row>
    <row r="2978" ht="15.75" customHeight="1">
      <c r="A2978" s="1" t="s">
        <v>5908</v>
      </c>
      <c r="B2978" s="1" t="s">
        <v>5909</v>
      </c>
      <c r="C2978" s="2" t="s">
        <v>5910</v>
      </c>
      <c r="D2978" s="1" t="str">
        <f>IFERROR(__xludf.DUMMYFUNCTION("GOOGLETRANSLATE(A2978 , ""auto"", ""ar"")"),"جلد")</f>
        <v>جلد</v>
      </c>
    </row>
    <row r="2979" ht="15.75" customHeight="1">
      <c r="A2979" s="1" t="s">
        <v>5908</v>
      </c>
      <c r="B2979" s="1" t="s">
        <v>5911</v>
      </c>
      <c r="C2979" s="2" t="s">
        <v>5716</v>
      </c>
      <c r="D2979" s="1" t="str">
        <f>IFERROR(__xludf.DUMMYFUNCTION("GOOGLETRANSLATE(A2979 , ""auto"", ""ar"")"),"جلد")</f>
        <v>جلد</v>
      </c>
    </row>
    <row r="2980" ht="15.75" customHeight="1">
      <c r="A2980" s="1" t="s">
        <v>5912</v>
      </c>
      <c r="B2980" s="1" t="s">
        <v>5913</v>
      </c>
      <c r="C2980" s="2" t="s">
        <v>5914</v>
      </c>
      <c r="D2980" s="1" t="str">
        <f>IFERROR(__xludf.DUMMYFUNCTION("GOOGLETRANSLATE(A2980 , ""auto"", ""ar"")"),"جيبة")</f>
        <v>جيبة</v>
      </c>
    </row>
    <row r="2981" ht="15.75" customHeight="1">
      <c r="A2981" s="1" t="s">
        <v>5915</v>
      </c>
      <c r="B2981" s="1" t="s">
        <v>5916</v>
      </c>
      <c r="C2981" s="1"/>
      <c r="D2981" s="1" t="str">
        <f>IFERROR(__xludf.DUMMYFUNCTION("GOOGLETRANSLATE(A2981 , ""auto"", ""ar"")"),"حافة الجدار")</f>
        <v>حافة الجدار</v>
      </c>
    </row>
    <row r="2982" ht="15.75" customHeight="1">
      <c r="A2982" s="1" t="s">
        <v>5915</v>
      </c>
      <c r="B2982" s="1" t="s">
        <v>2333</v>
      </c>
      <c r="C2982" s="1"/>
      <c r="D2982" s="1" t="str">
        <f>IFERROR(__xludf.DUMMYFUNCTION("GOOGLETRANSLATE(A2982 , ""auto"", ""ar"")"),"حافة الجدار")</f>
        <v>حافة الجدار</v>
      </c>
    </row>
    <row r="2983" ht="15.75" customHeight="1">
      <c r="A2983" s="1" t="s">
        <v>5917</v>
      </c>
      <c r="B2983" s="1" t="s">
        <v>5918</v>
      </c>
      <c r="C2983" s="2" t="s">
        <v>5919</v>
      </c>
      <c r="D2983" s="1" t="str">
        <f>IFERROR(__xludf.DUMMYFUNCTION("GOOGLETRANSLATE(A2983 , ""auto"", ""ar"")"),"سماء")</f>
        <v>سماء</v>
      </c>
    </row>
    <row r="2984" ht="15.75" customHeight="1">
      <c r="A2984" s="1" t="s">
        <v>5920</v>
      </c>
      <c r="B2984" s="1" t="s">
        <v>5921</v>
      </c>
      <c r="C2984" s="2" t="s">
        <v>5922</v>
      </c>
      <c r="D2984" s="1" t="str">
        <f>IFERROR(__xludf.DUMMYFUNCTION("GOOGLETRANSLATE(A2984 , ""auto"", ""ar"")"),"السماء الأزرق")</f>
        <v>السماء الأزرق</v>
      </c>
    </row>
    <row r="2985" ht="15.75" customHeight="1">
      <c r="A2985" s="1" t="s">
        <v>5920</v>
      </c>
      <c r="B2985" s="1" t="s">
        <v>5923</v>
      </c>
      <c r="C2985" s="2" t="s">
        <v>5924</v>
      </c>
      <c r="D2985" s="1" t="str">
        <f>IFERROR(__xludf.DUMMYFUNCTION("GOOGLETRANSLATE(A2985 , ""auto"", ""ar"")"),"السماء الأزرق")</f>
        <v>السماء الأزرق</v>
      </c>
    </row>
    <row r="2986" ht="15.75" customHeight="1">
      <c r="A2986" s="1" t="s">
        <v>5925</v>
      </c>
      <c r="B2986" s="1" t="s">
        <v>5926</v>
      </c>
      <c r="C2986" s="1"/>
      <c r="D2986" s="1" t="str">
        <f>IFERROR(__xludf.DUMMYFUNCTION("GOOGLETRANSLATE(A2986 , ""auto"", ""ar"")"),"كوة")</f>
        <v>كوة</v>
      </c>
    </row>
    <row r="2987" ht="15.75" customHeight="1">
      <c r="A2987" s="1" t="s">
        <v>5927</v>
      </c>
      <c r="B2987" s="1" t="s">
        <v>5928</v>
      </c>
      <c r="C2987" s="2" t="s">
        <v>5929</v>
      </c>
      <c r="D2987" s="1" t="str">
        <f>IFERROR(__xludf.DUMMYFUNCTION("GOOGLETRANSLATE(A2987 , ""auto"", ""ar"")"),"سكايب")</f>
        <v>سكايب</v>
      </c>
    </row>
    <row r="2988" ht="15.75" customHeight="1">
      <c r="A2988" s="1" t="s">
        <v>5930</v>
      </c>
      <c r="B2988" s="1" t="s">
        <v>5931</v>
      </c>
      <c r="C2988" s="2" t="s">
        <v>5932</v>
      </c>
      <c r="D2988" s="1" t="str">
        <f>IFERROR(__xludf.DUMMYFUNCTION("GOOGLETRANSLATE(A2988 , ""auto"", ""ar"")"),"يصفع")</f>
        <v>يصفع</v>
      </c>
    </row>
    <row r="2989" ht="15.75" customHeight="1">
      <c r="A2989" s="1" t="s">
        <v>5933</v>
      </c>
      <c r="B2989" s="1" t="s">
        <v>5934</v>
      </c>
      <c r="C2989" s="2" t="s">
        <v>5935</v>
      </c>
      <c r="D2989" s="1" t="str">
        <f>IFERROR(__xludf.DUMMYFUNCTION("GOOGLETRANSLATE(A2989 , ""auto"", ""ar"")"),"لائحة")</f>
        <v>لائحة</v>
      </c>
    </row>
    <row r="2990" ht="15.75" customHeight="1">
      <c r="A2990" s="1" t="s">
        <v>1025</v>
      </c>
      <c r="B2990" s="1" t="s">
        <v>3174</v>
      </c>
      <c r="C2990" s="2" t="s">
        <v>3177</v>
      </c>
      <c r="D2990" s="1" t="str">
        <f>IFERROR(__xludf.DUMMYFUNCTION("GOOGLETRANSLATE(A2990 , ""auto"", ""ar"")"),"ينام")</f>
        <v>ينام</v>
      </c>
    </row>
    <row r="2991" ht="15.75" customHeight="1">
      <c r="A2991" s="1" t="s">
        <v>1025</v>
      </c>
      <c r="B2991" s="1" t="s">
        <v>5936</v>
      </c>
      <c r="C2991" s="2" t="s">
        <v>5937</v>
      </c>
      <c r="D2991" s="1" t="str">
        <f>IFERROR(__xludf.DUMMYFUNCTION("GOOGLETRANSLATE(A2991 , ""auto"", ""ar"")"),"ينام")</f>
        <v>ينام</v>
      </c>
    </row>
    <row r="2992" ht="15.75" customHeight="1">
      <c r="A2992" s="1" t="s">
        <v>1025</v>
      </c>
      <c r="B2992" s="1" t="s">
        <v>5938</v>
      </c>
      <c r="C2992" s="1"/>
      <c r="D2992" s="1" t="str">
        <f>IFERROR(__xludf.DUMMYFUNCTION("GOOGLETRANSLATE(A2992 , ""auto"", ""ar"")"),"ينام")</f>
        <v>ينام</v>
      </c>
    </row>
    <row r="2993" ht="15.75" customHeight="1">
      <c r="A2993" s="1" t="s">
        <v>1025</v>
      </c>
      <c r="B2993" s="1" t="s">
        <v>4497</v>
      </c>
      <c r="C2993" s="2" t="s">
        <v>5939</v>
      </c>
      <c r="D2993" s="1" t="str">
        <f>IFERROR(__xludf.DUMMYFUNCTION("GOOGLETRANSLATE(A2993 , ""auto"", ""ar"")"),"ينام")</f>
        <v>ينام</v>
      </c>
    </row>
    <row r="2994" ht="15.75" customHeight="1">
      <c r="A2994" s="1" t="s">
        <v>1025</v>
      </c>
      <c r="B2994" s="1" t="s">
        <v>5940</v>
      </c>
      <c r="C2994" s="1"/>
      <c r="D2994" s="1" t="str">
        <f>IFERROR(__xludf.DUMMYFUNCTION("GOOGLETRANSLATE(A2994 , ""auto"", ""ar"")"),"ينام")</f>
        <v>ينام</v>
      </c>
    </row>
    <row r="2995" ht="15.75" customHeight="1">
      <c r="A2995" s="1" t="s">
        <v>5941</v>
      </c>
      <c r="B2995" s="1" t="s">
        <v>5942</v>
      </c>
      <c r="C2995" s="2" t="s">
        <v>5943</v>
      </c>
      <c r="D2995" s="1" t="str">
        <f>IFERROR(__xludf.DUMMYFUNCTION("GOOGLETRANSLATE(A2995 , ""auto"", ""ar"")"),"كم")</f>
        <v>كم</v>
      </c>
    </row>
    <row r="2996" ht="15.75" customHeight="1">
      <c r="A2996" s="1" t="s">
        <v>5944</v>
      </c>
      <c r="B2996" s="1" t="s">
        <v>5439</v>
      </c>
      <c r="C2996" s="2" t="s">
        <v>5440</v>
      </c>
      <c r="D2996" s="1" t="str">
        <f>IFERROR(__xludf.DUMMYFUNCTION("GOOGLETRANSLATE(A2996 , ""auto"", ""ar"")"),"شريحة")</f>
        <v>شريحة</v>
      </c>
    </row>
    <row r="2997" ht="15.75" customHeight="1">
      <c r="A2997" s="1" t="s">
        <v>5944</v>
      </c>
      <c r="B2997" s="1" t="s">
        <v>618</v>
      </c>
      <c r="C2997" s="2" t="s">
        <v>1138</v>
      </c>
      <c r="D2997" s="1" t="str">
        <f>IFERROR(__xludf.DUMMYFUNCTION("GOOGLETRANSLATE(A2997 , ""auto"", ""ar"")"),"شريحة")</f>
        <v>شريحة</v>
      </c>
    </row>
    <row r="2998" ht="15.75" customHeight="1">
      <c r="A2998" s="1" t="s">
        <v>5945</v>
      </c>
      <c r="B2998" s="1" t="s">
        <v>5946</v>
      </c>
      <c r="C2998" s="1"/>
      <c r="D2998" s="1" t="str">
        <f>IFERROR(__xludf.DUMMYFUNCTION("GOOGLETRANSLATE(A2998 , ""auto"", ""ar"")"),"النعال")</f>
        <v>النعال</v>
      </c>
    </row>
    <row r="2999" ht="15.75" customHeight="1">
      <c r="A2999" s="1" t="s">
        <v>5945</v>
      </c>
      <c r="B2999" s="1" t="s">
        <v>5947</v>
      </c>
      <c r="C2999" s="2" t="s">
        <v>5948</v>
      </c>
      <c r="D2999" s="1" t="str">
        <f>IFERROR(__xludf.DUMMYFUNCTION("GOOGLETRANSLATE(A2999 , ""auto"", ""ar"")"),"النعال")</f>
        <v>النعال</v>
      </c>
    </row>
    <row r="3000" ht="15.75" customHeight="1">
      <c r="A3000" s="1" t="s">
        <v>5949</v>
      </c>
      <c r="B3000" s="1" t="s">
        <v>5950</v>
      </c>
      <c r="C3000" s="1"/>
      <c r="D3000" s="1" t="str">
        <f>IFERROR(__xludf.DUMMYFUNCTION("GOOGLETRANSLATE(A3000 , ""auto"", ""ar"")"),"ميل")</f>
        <v>ميل</v>
      </c>
    </row>
    <row r="3001" ht="15.75" customHeight="1">
      <c r="A3001" s="1" t="s">
        <v>5949</v>
      </c>
      <c r="B3001" s="1" t="s">
        <v>5951</v>
      </c>
      <c r="C3001" s="1"/>
      <c r="D3001" s="1" t="str">
        <f>IFERROR(__xludf.DUMMYFUNCTION("GOOGLETRANSLATE(A3001 , ""auto"", ""ar"")"),"ميل")</f>
        <v>ميل</v>
      </c>
    </row>
    <row r="3002" ht="15.75" customHeight="1">
      <c r="A3002" s="1" t="s">
        <v>5952</v>
      </c>
      <c r="B3002" s="1" t="s">
        <v>5953</v>
      </c>
      <c r="C3002" s="2" t="s">
        <v>5954</v>
      </c>
      <c r="D3002" s="1" t="str">
        <f>IFERROR(__xludf.DUMMYFUNCTION("GOOGLETRANSLATE(A3002 , ""auto"", ""ar"")"),"ببطء")</f>
        <v>ببطء</v>
      </c>
    </row>
    <row r="3003" ht="15.75" customHeight="1">
      <c r="A3003" s="1" t="s">
        <v>5955</v>
      </c>
      <c r="B3003" s="1" t="s">
        <v>5956</v>
      </c>
      <c r="C3003" s="1"/>
      <c r="D3003" s="1" t="str">
        <f>IFERROR(__xludf.DUMMYFUNCTION("GOOGLETRANSLATE(A3003 , ""auto"", ""ar"")"),"سبيكة")</f>
        <v>سبيكة</v>
      </c>
    </row>
    <row r="3004" ht="15.75" customHeight="1">
      <c r="A3004" s="1" t="s">
        <v>5957</v>
      </c>
      <c r="B3004" s="1" t="s">
        <v>4378</v>
      </c>
      <c r="C3004" s="2" t="s">
        <v>4379</v>
      </c>
      <c r="D3004" s="1" t="str">
        <f>IFERROR(__xludf.DUMMYFUNCTION("GOOGLETRANSLATE(A3004 , ""auto"", ""ar"")"),"صغير")</f>
        <v>صغير</v>
      </c>
    </row>
    <row r="3005" ht="15.75" customHeight="1">
      <c r="A3005" s="1" t="s">
        <v>5958</v>
      </c>
      <c r="B3005" s="1" t="s">
        <v>5959</v>
      </c>
      <c r="C3005" s="2" t="s">
        <v>5960</v>
      </c>
      <c r="D3005" s="1" t="str">
        <f>IFERROR(__xludf.DUMMYFUNCTION("GOOGLETRANSLATE(A3005 , ""auto"", ""ar"")"),"الأصغر")</f>
        <v>الأصغر</v>
      </c>
    </row>
    <row r="3006" ht="15.75" customHeight="1">
      <c r="A3006" s="1" t="s">
        <v>5961</v>
      </c>
      <c r="B3006" s="1" t="s">
        <v>5403</v>
      </c>
      <c r="C3006" s="2" t="s">
        <v>5404</v>
      </c>
      <c r="D3006" s="1" t="str">
        <f>IFERROR(__xludf.DUMMYFUNCTION("GOOGLETRANSLATE(A3006 , ""auto"", ""ar"")"),"يشم")</f>
        <v>يشم</v>
      </c>
    </row>
    <row r="3007" ht="15.75" customHeight="1">
      <c r="A3007" s="1" t="s">
        <v>5961</v>
      </c>
      <c r="B3007" s="1" t="s">
        <v>5962</v>
      </c>
      <c r="C3007" s="2" t="s">
        <v>5963</v>
      </c>
      <c r="D3007" s="1" t="str">
        <f>IFERROR(__xludf.DUMMYFUNCTION("GOOGLETRANSLATE(A3007 , ""auto"", ""ar"")"),"يشم")</f>
        <v>يشم</v>
      </c>
    </row>
    <row r="3008" ht="15.75" customHeight="1">
      <c r="A3008" s="1" t="s">
        <v>5964</v>
      </c>
      <c r="B3008" s="1" t="s">
        <v>5965</v>
      </c>
      <c r="C3008" s="1"/>
      <c r="D3008" s="1" t="str">
        <f>IFERROR(__xludf.DUMMYFUNCTION("GOOGLETRANSLATE(A3008 , ""auto"", ""ar"")"),"يبتسم")</f>
        <v>يبتسم</v>
      </c>
    </row>
    <row r="3009" ht="15.75" customHeight="1">
      <c r="A3009" s="1" t="s">
        <v>5964</v>
      </c>
      <c r="B3009" s="1" t="s">
        <v>5966</v>
      </c>
      <c r="C3009" s="1"/>
      <c r="D3009" s="1" t="str">
        <f>IFERROR(__xludf.DUMMYFUNCTION("GOOGLETRANSLATE(A3009 , ""auto"", ""ar"")"),"يبتسم")</f>
        <v>يبتسم</v>
      </c>
    </row>
    <row r="3010" ht="15.75" customHeight="1">
      <c r="A3010" s="1" t="s">
        <v>5964</v>
      </c>
      <c r="B3010" s="1" t="s">
        <v>5967</v>
      </c>
      <c r="C3010" s="2" t="s">
        <v>5968</v>
      </c>
      <c r="D3010" s="1" t="str">
        <f>IFERROR(__xludf.DUMMYFUNCTION("GOOGLETRANSLATE(A3010 , ""auto"", ""ar"")"),"يبتسم")</f>
        <v>يبتسم</v>
      </c>
    </row>
    <row r="3011" ht="15.75" customHeight="1">
      <c r="A3011" s="1" t="s">
        <v>5969</v>
      </c>
      <c r="B3011" s="1" t="s">
        <v>5970</v>
      </c>
      <c r="C3011" s="1"/>
      <c r="D3011" s="1" t="str">
        <f>IFERROR(__xludf.DUMMYFUNCTION("GOOGLETRANSLATE(A3011 , ""auto"", ""ar"")"),"دخان")</f>
        <v>دخان</v>
      </c>
    </row>
    <row r="3012" ht="15.75" customHeight="1">
      <c r="A3012" s="1" t="s">
        <v>5971</v>
      </c>
      <c r="B3012" s="1" t="s">
        <v>5972</v>
      </c>
      <c r="C3012" s="2" t="s">
        <v>5973</v>
      </c>
      <c r="D3012" s="1" t="str">
        <f>IFERROR(__xludf.DUMMYFUNCTION("GOOGLETRANSLATE(A3012 , ""auto"", ""ar"")"),"وجبة خفيفة")</f>
        <v>وجبة خفيفة</v>
      </c>
    </row>
    <row r="3013" ht="15.75" customHeight="1">
      <c r="A3013" s="1" t="s">
        <v>5974</v>
      </c>
      <c r="B3013" s="1" t="s">
        <v>5975</v>
      </c>
      <c r="C3013" s="2" t="s">
        <v>5976</v>
      </c>
      <c r="D3013" s="1" t="str">
        <f>IFERROR(__xludf.DUMMYFUNCTION("GOOGLETRANSLATE(A3013 , ""auto"", ""ar"")"),"حلزون")</f>
        <v>حلزون</v>
      </c>
    </row>
    <row r="3014" ht="15.75" customHeight="1">
      <c r="A3014" s="1" t="s">
        <v>5977</v>
      </c>
      <c r="B3014" s="1" t="s">
        <v>5978</v>
      </c>
      <c r="C3014" s="2" t="s">
        <v>5979</v>
      </c>
      <c r="D3014" s="1" t="str">
        <f>IFERROR(__xludf.DUMMYFUNCTION("GOOGLETRANSLATE(A3014 , ""auto"", ""ar"")"),"أحذية رياضية")</f>
        <v>أحذية رياضية</v>
      </c>
    </row>
    <row r="3015" ht="15.75" customHeight="1">
      <c r="A3015" s="1" t="s">
        <v>5980</v>
      </c>
      <c r="B3015" s="1" t="s">
        <v>5981</v>
      </c>
      <c r="C3015" s="2" t="s">
        <v>5982</v>
      </c>
      <c r="D3015" s="1" t="str">
        <f>IFERROR(__xludf.DUMMYFUNCTION("GOOGLETRANSLATE(A3015 , ""auto"", ""ar"")"),"العطس")</f>
        <v>العطس</v>
      </c>
    </row>
    <row r="3016" ht="15.75" customHeight="1">
      <c r="A3016" s="1" t="s">
        <v>5983</v>
      </c>
      <c r="B3016" s="1" t="s">
        <v>5984</v>
      </c>
      <c r="C3016" s="2" t="s">
        <v>5985</v>
      </c>
      <c r="D3016" s="1" t="str">
        <f>IFERROR(__xludf.DUMMYFUNCTION("GOOGLETRANSLATE(A3016 , ""auto"", ""ar"")"),"شخير")</f>
        <v>شخير</v>
      </c>
    </row>
    <row r="3017" ht="15.75" customHeight="1">
      <c r="A3017" s="1" t="s">
        <v>5986</v>
      </c>
      <c r="B3017" s="1" t="s">
        <v>5987</v>
      </c>
      <c r="C3017" s="2" t="s">
        <v>5988</v>
      </c>
      <c r="D3017" s="1" t="str">
        <f>IFERROR(__xludf.DUMMYFUNCTION("GOOGLETRANSLATE(A3017 , ""auto"", ""ar"")"),"شخير")</f>
        <v>شخير</v>
      </c>
    </row>
    <row r="3018" ht="15.75" customHeight="1">
      <c r="A3018" s="1" t="s">
        <v>5989</v>
      </c>
      <c r="B3018" s="1" t="s">
        <v>3736</v>
      </c>
      <c r="C3018" s="2" t="s">
        <v>3737</v>
      </c>
      <c r="D3018" s="1" t="str">
        <f>IFERROR(__xludf.DUMMYFUNCTION("GOOGLETRANSLATE(A3018 , ""auto"", ""ar"")"),"الثلج")</f>
        <v>الثلج</v>
      </c>
    </row>
    <row r="3019" ht="15.75" customHeight="1">
      <c r="A3019" s="1" t="s">
        <v>5990</v>
      </c>
      <c r="B3019" s="1" t="s">
        <v>409</v>
      </c>
      <c r="C3019" s="1"/>
      <c r="D3019" s="1" t="str">
        <f>IFERROR(__xludf.DUMMYFUNCTION("GOOGLETRANSLATE(A3019 , ""auto"", ""ar"")"),"ثلج مغطى")</f>
        <v>ثلج مغطى</v>
      </c>
    </row>
    <row r="3020" ht="15.75" customHeight="1">
      <c r="A3020" s="1" t="s">
        <v>5991</v>
      </c>
      <c r="B3020" s="1" t="s">
        <v>5992</v>
      </c>
      <c r="C3020" s="2" t="s">
        <v>5993</v>
      </c>
      <c r="D3020" s="1" t="str">
        <f>IFERROR(__xludf.DUMMYFUNCTION("GOOGLETRANSLATE(A3020 , ""auto"", ""ar"")"),"لذا")</f>
        <v>لذا</v>
      </c>
    </row>
    <row r="3021" ht="15.75" customHeight="1">
      <c r="A3021" s="1" t="s">
        <v>5991</v>
      </c>
      <c r="B3021" s="1" t="s">
        <v>5992</v>
      </c>
      <c r="C3021" s="2" t="s">
        <v>5993</v>
      </c>
      <c r="D3021" s="1" t="str">
        <f>IFERROR(__xludf.DUMMYFUNCTION("GOOGLETRANSLATE(A3021 , ""auto"", ""ar"")"),"لذا")</f>
        <v>لذا</v>
      </c>
    </row>
    <row r="3022" ht="15.75" customHeight="1">
      <c r="A3022" s="1" t="s">
        <v>5994</v>
      </c>
      <c r="B3022" s="1" t="s">
        <v>4202</v>
      </c>
      <c r="C3022" s="2" t="s">
        <v>4203</v>
      </c>
      <c r="D3022" s="1" t="str">
        <f>IFERROR(__xludf.DUMMYFUNCTION("GOOGLETRANSLATE(A3022 , ""auto"", ""ar"")"),"صابون")</f>
        <v>صابون</v>
      </c>
    </row>
    <row r="3023" ht="15.75" customHeight="1">
      <c r="A3023" s="1" t="s">
        <v>5995</v>
      </c>
      <c r="B3023" s="1" t="s">
        <v>5641</v>
      </c>
      <c r="C3023" s="2" t="s">
        <v>5642</v>
      </c>
      <c r="D3023" s="1" t="str">
        <f>IFERROR(__xludf.DUMMYFUNCTION("GOOGLETRANSLATE(A3023 , ""auto"", ""ar"")"),"مسلسلات طويلة")</f>
        <v>مسلسلات طويلة</v>
      </c>
    </row>
    <row r="3024" ht="15.75" customHeight="1">
      <c r="A3024" s="1" t="s">
        <v>5996</v>
      </c>
      <c r="B3024" s="1" t="s">
        <v>5997</v>
      </c>
      <c r="C3024" s="2" t="s">
        <v>65</v>
      </c>
      <c r="D3024" s="1" t="str">
        <f>IFERROR(__xludf.DUMMYFUNCTION("GOOGLETRANSLATE(A3024 , ""auto"", ""ar"")"),"مرن")</f>
        <v>مرن</v>
      </c>
    </row>
    <row r="3025" ht="15.75" customHeight="1">
      <c r="A3025" s="1" t="s">
        <v>5998</v>
      </c>
      <c r="B3025" s="1" t="s">
        <v>5999</v>
      </c>
      <c r="C3025" s="2" t="s">
        <v>6000</v>
      </c>
      <c r="D3025" s="1" t="str">
        <f>IFERROR(__xludf.DUMMYFUNCTION("GOOGLETRANSLATE(A3025 , ""auto"", ""ar"")"),"جورب")</f>
        <v>جورب</v>
      </c>
    </row>
    <row r="3026" ht="15.75" customHeight="1">
      <c r="A3026" s="1" t="s">
        <v>6001</v>
      </c>
      <c r="B3026" s="1" t="s">
        <v>6002</v>
      </c>
      <c r="C3026" s="2" t="s">
        <v>6003</v>
      </c>
      <c r="D3026" s="1" t="str">
        <f>IFERROR(__xludf.DUMMYFUNCTION("GOOGLETRANSLATE(A3026 , ""auto"", ""ar"")"),"قابس كهرباء")</f>
        <v>قابس كهرباء</v>
      </c>
    </row>
    <row r="3027" ht="15.75" customHeight="1">
      <c r="A3027" s="1" t="s">
        <v>6004</v>
      </c>
      <c r="B3027" s="1" t="s">
        <v>2249</v>
      </c>
      <c r="C3027" s="2" t="s">
        <v>2250</v>
      </c>
      <c r="D3027" s="1" t="str">
        <f>IFERROR(__xludf.DUMMYFUNCTION("GOOGLETRANSLATE(A3027 , ""auto"", ""ar"")"),"مشروب غازي")</f>
        <v>مشروب غازي</v>
      </c>
    </row>
    <row r="3028" ht="15.75" customHeight="1">
      <c r="A3028" s="1" t="s">
        <v>6005</v>
      </c>
      <c r="B3028" s="1" t="s">
        <v>355</v>
      </c>
      <c r="C3028" s="1"/>
      <c r="D3028" s="1" t="str">
        <f>IFERROR(__xludf.DUMMYFUNCTION("GOOGLETRANSLATE(A3028 , ""auto"", ""ar"")"),"كنبة")</f>
        <v>كنبة</v>
      </c>
    </row>
    <row r="3029" ht="15.75" customHeight="1">
      <c r="A3029" s="1" t="s">
        <v>6005</v>
      </c>
      <c r="B3029" s="1" t="s">
        <v>6006</v>
      </c>
      <c r="C3029" s="1"/>
      <c r="D3029" s="1" t="str">
        <f>IFERROR(__xludf.DUMMYFUNCTION("GOOGLETRANSLATE(A3029 , ""auto"", ""ar"")"),"كنبة")</f>
        <v>كنبة</v>
      </c>
    </row>
    <row r="3030" ht="15.75" customHeight="1">
      <c r="A3030" s="1" t="s">
        <v>6005</v>
      </c>
      <c r="B3030" s="1" t="s">
        <v>6007</v>
      </c>
      <c r="C3030" s="2" t="s">
        <v>6008</v>
      </c>
      <c r="D3030" s="1" t="str">
        <f>IFERROR(__xludf.DUMMYFUNCTION("GOOGLETRANSLATE(A3030 , ""auto"", ""ar"")"),"كنبة")</f>
        <v>كنبة</v>
      </c>
    </row>
    <row r="3031" ht="15.75" customHeight="1">
      <c r="A3031" s="1" t="s">
        <v>6009</v>
      </c>
      <c r="B3031" s="1" t="s">
        <v>6006</v>
      </c>
      <c r="C3031" s="1"/>
      <c r="D3031" s="1" t="str">
        <f>IFERROR(__xludf.DUMMYFUNCTION("GOOGLETRANSLATE(A3031 , ""auto"", ""ar"")"),"قاعدة أريكة")</f>
        <v>قاعدة أريكة</v>
      </c>
    </row>
    <row r="3032" ht="15.75" customHeight="1">
      <c r="A3032" s="1" t="s">
        <v>6010</v>
      </c>
      <c r="B3032" s="1" t="s">
        <v>6011</v>
      </c>
      <c r="C3032" s="2" t="s">
        <v>6012</v>
      </c>
      <c r="D3032" s="1" t="str">
        <f>IFERROR(__xludf.DUMMYFUNCTION("GOOGLETRANSLATE(A3032 , ""auto"", ""ar"")"),"ناعم")</f>
        <v>ناعم</v>
      </c>
    </row>
    <row r="3033" ht="15.75" customHeight="1">
      <c r="A3033" s="1" t="s">
        <v>6013</v>
      </c>
      <c r="B3033" s="1" t="s">
        <v>2298</v>
      </c>
      <c r="C3033" s="2" t="s">
        <v>2299</v>
      </c>
      <c r="D3033" s="1" t="str">
        <f>IFERROR(__xludf.DUMMYFUNCTION("GOOGLETRANSLATE(A3033 , ""auto"", ""ar"")"),"تربة")</f>
        <v>تربة</v>
      </c>
    </row>
    <row r="3034" ht="15.75" customHeight="1">
      <c r="A3034" s="1" t="s">
        <v>6013</v>
      </c>
      <c r="B3034" s="1" t="s">
        <v>2300</v>
      </c>
      <c r="C3034" s="2" t="s">
        <v>2301</v>
      </c>
      <c r="D3034" s="1" t="str">
        <f>IFERROR(__xludf.DUMMYFUNCTION("GOOGLETRANSLATE(A3034 , ""auto"", ""ar"")"),"تربة")</f>
        <v>تربة</v>
      </c>
    </row>
    <row r="3035" ht="15.75" customHeight="1">
      <c r="A3035" s="1" t="s">
        <v>6014</v>
      </c>
      <c r="B3035" s="1" t="s">
        <v>6015</v>
      </c>
      <c r="C3035" s="2" t="s">
        <v>6016</v>
      </c>
      <c r="D3035" s="1" t="str">
        <f>IFERROR(__xludf.DUMMYFUNCTION("GOOGLETRANSLATE(A3035 , ""auto"", ""ar"")"),"شمسي")</f>
        <v>شمسي</v>
      </c>
    </row>
    <row r="3036" ht="15.75" customHeight="1">
      <c r="A3036" s="1" t="s">
        <v>6017</v>
      </c>
      <c r="B3036" s="1" t="s">
        <v>6018</v>
      </c>
      <c r="C3036" s="2" t="s">
        <v>6019</v>
      </c>
      <c r="D3036" s="1" t="str">
        <f>IFERROR(__xludf.DUMMYFUNCTION("GOOGLETRANSLATE(A3036 , ""auto"", ""ar"")"),"جندي")</f>
        <v>جندي</v>
      </c>
    </row>
    <row r="3037" ht="15.75" customHeight="1">
      <c r="A3037" s="1" t="s">
        <v>6020</v>
      </c>
      <c r="B3037" s="1" t="s">
        <v>5073</v>
      </c>
      <c r="C3037" s="2" t="s">
        <v>5074</v>
      </c>
      <c r="D3037" s="1" t="str">
        <f>IFERROR(__xludf.DUMMYFUNCTION("GOOGLETRANSLATE(A3037 , ""auto"", ""ar"")"),"كاتب عدل")</f>
        <v>كاتب عدل</v>
      </c>
    </row>
    <row r="3038" ht="15.75" customHeight="1">
      <c r="A3038" s="1" t="s">
        <v>6021</v>
      </c>
      <c r="B3038" s="1" t="s">
        <v>6022</v>
      </c>
      <c r="C3038" s="2" t="s">
        <v>6023</v>
      </c>
      <c r="D3038" s="1" t="str">
        <f>IFERROR(__xludf.DUMMYFUNCTION("GOOGLETRANSLATE(A3038 , ""auto"", ""ar"")"),"بعض")</f>
        <v>بعض</v>
      </c>
    </row>
    <row r="3039" ht="15.75" customHeight="1">
      <c r="A3039" s="1" t="s">
        <v>6024</v>
      </c>
      <c r="B3039" s="1" t="s">
        <v>6025</v>
      </c>
      <c r="C3039" s="2" t="s">
        <v>6026</v>
      </c>
      <c r="D3039" s="1" t="str">
        <f>IFERROR(__xludf.DUMMYFUNCTION("GOOGLETRANSLATE(A3039 , ""auto"", ""ar"")"),"شخص ما")</f>
        <v>شخص ما</v>
      </c>
    </row>
    <row r="3040" ht="15.75" customHeight="1">
      <c r="A3040" s="1" t="s">
        <v>6024</v>
      </c>
      <c r="B3040" s="1" t="s">
        <v>6027</v>
      </c>
      <c r="C3040" s="2" t="s">
        <v>6028</v>
      </c>
      <c r="D3040" s="1" t="str">
        <f>IFERROR(__xludf.DUMMYFUNCTION("GOOGLETRANSLATE(A3040 , ""auto"", ""ar"")"),"شخص ما")</f>
        <v>شخص ما</v>
      </c>
    </row>
    <row r="3041" ht="15.75" customHeight="1">
      <c r="A3041" s="1" t="s">
        <v>6029</v>
      </c>
      <c r="B3041" s="1" t="s">
        <v>6030</v>
      </c>
      <c r="C3041" s="2" t="s">
        <v>6031</v>
      </c>
      <c r="D3041" s="1" t="str">
        <f>IFERROR(__xludf.DUMMYFUNCTION("GOOGLETRANSLATE(A3041 , ""auto"", ""ar"")"),"شئ ما")</f>
        <v>شئ ما</v>
      </c>
    </row>
    <row r="3042" ht="15.75" customHeight="1">
      <c r="A3042" s="1" t="s">
        <v>6032</v>
      </c>
      <c r="B3042" s="1" t="s">
        <v>6033</v>
      </c>
      <c r="C3042" s="1"/>
      <c r="D3042" s="1" t="str">
        <f>IFERROR(__xludf.DUMMYFUNCTION("GOOGLETRANSLATE(A3042 , ""auto"", ""ar"")"),"شيء مخزي")</f>
        <v>شيء مخزي</v>
      </c>
    </row>
    <row r="3043" ht="15.75" customHeight="1">
      <c r="A3043" s="1" t="s">
        <v>6034</v>
      </c>
      <c r="B3043" s="1" t="s">
        <v>6035</v>
      </c>
      <c r="C3043" s="2" t="s">
        <v>6036</v>
      </c>
      <c r="D3043" s="1" t="str">
        <f>IFERROR(__xludf.DUMMYFUNCTION("GOOGLETRANSLATE(A3043 , ""auto"", ""ar"")"),"أحيانا")</f>
        <v>أحيانا</v>
      </c>
    </row>
    <row r="3044" ht="15.75" customHeight="1">
      <c r="A3044" s="1" t="s">
        <v>6034</v>
      </c>
      <c r="B3044" s="1" t="s">
        <v>5133</v>
      </c>
      <c r="C3044" s="2" t="s">
        <v>5134</v>
      </c>
      <c r="D3044" s="1" t="str">
        <f>IFERROR(__xludf.DUMMYFUNCTION("GOOGLETRANSLATE(A3044 , ""auto"", ""ar"")"),"أحيانا")</f>
        <v>أحيانا</v>
      </c>
    </row>
    <row r="3045" ht="15.75" customHeight="1">
      <c r="A3045" s="1" t="s">
        <v>6034</v>
      </c>
      <c r="B3045" s="1" t="s">
        <v>6037</v>
      </c>
      <c r="C3045" s="1"/>
      <c r="D3045" s="1" t="str">
        <f>IFERROR(__xludf.DUMMYFUNCTION("GOOGLETRANSLATE(A3045 , ""auto"", ""ar"")"),"أحيانا")</f>
        <v>أحيانا</v>
      </c>
    </row>
    <row r="3046" ht="15.75" customHeight="1">
      <c r="A3046" s="1" t="s">
        <v>6034</v>
      </c>
      <c r="B3046" s="1" t="s">
        <v>2957</v>
      </c>
      <c r="C3046" s="2" t="s">
        <v>2958</v>
      </c>
      <c r="D3046" s="1" t="str">
        <f>IFERROR(__xludf.DUMMYFUNCTION("GOOGLETRANSLATE(A3046 , ""auto"", ""ar"")"),"أحيانا")</f>
        <v>أحيانا</v>
      </c>
    </row>
    <row r="3047" ht="15.75" customHeight="1">
      <c r="A3047" s="1" t="s">
        <v>6038</v>
      </c>
      <c r="B3047" s="1" t="s">
        <v>6039</v>
      </c>
      <c r="C3047" s="2" t="s">
        <v>6040</v>
      </c>
      <c r="D3047" s="1" t="str">
        <f>IFERROR(__xludf.DUMMYFUNCTION("GOOGLETRANSLATE(A3047 , ""auto"", ""ar"")"),"مكان ما")</f>
        <v>مكان ما</v>
      </c>
    </row>
    <row r="3048" ht="15.75" customHeight="1">
      <c r="A3048" s="1" t="s">
        <v>6041</v>
      </c>
      <c r="B3048" s="1" t="s">
        <v>493</v>
      </c>
      <c r="C3048" s="2" t="s">
        <v>939</v>
      </c>
      <c r="D3048" s="1" t="str">
        <f>IFERROR(__xludf.DUMMYFUNCTION("GOOGLETRANSLATE(A3048 , ""auto"", ""ar"")"),"ابن")</f>
        <v>ابن</v>
      </c>
    </row>
    <row r="3049" ht="15.75" customHeight="1">
      <c r="A3049" s="1" t="s">
        <v>6042</v>
      </c>
      <c r="B3049" s="1" t="s">
        <v>6043</v>
      </c>
      <c r="C3049" s="2" t="s">
        <v>6044</v>
      </c>
      <c r="D3049" s="1" t="str">
        <f>IFERROR(__xludf.DUMMYFUNCTION("GOOGLETRANSLATE(A3049 , ""auto"", ""ar"")"),"أغنية")</f>
        <v>أغنية</v>
      </c>
    </row>
    <row r="3050" ht="15.75" customHeight="1">
      <c r="A3050" s="1" t="s">
        <v>6042</v>
      </c>
      <c r="B3050" s="1" t="s">
        <v>6045</v>
      </c>
      <c r="C3050" s="2" t="s">
        <v>6046</v>
      </c>
      <c r="D3050" s="1" t="str">
        <f>IFERROR(__xludf.DUMMYFUNCTION("GOOGLETRANSLATE(A3050 , ""auto"", ""ar"")"),"أغنية")</f>
        <v>أغنية</v>
      </c>
    </row>
    <row r="3051" ht="15.75" customHeight="1">
      <c r="A3051" s="1" t="s">
        <v>6042</v>
      </c>
      <c r="B3051" s="1" t="s">
        <v>6047</v>
      </c>
      <c r="C3051" s="2" t="s">
        <v>6048</v>
      </c>
      <c r="D3051" s="1" t="str">
        <f>IFERROR(__xludf.DUMMYFUNCTION("GOOGLETRANSLATE(A3051 , ""auto"", ""ar"")"),"أغنية")</f>
        <v>أغنية</v>
      </c>
    </row>
    <row r="3052" ht="15.75" customHeight="1">
      <c r="A3052" s="1" t="s">
        <v>6049</v>
      </c>
      <c r="B3052" s="1" t="s">
        <v>1494</v>
      </c>
      <c r="C3052" s="2" t="s">
        <v>1495</v>
      </c>
      <c r="D3052" s="1" t="str">
        <f>IFERROR(__xludf.DUMMYFUNCTION("GOOGLETRANSLATE(A3052 , ""auto"", ""ar"")"),"قريباً")</f>
        <v>قريباً</v>
      </c>
    </row>
    <row r="3053" ht="15.75" customHeight="1">
      <c r="A3053" s="1" t="s">
        <v>6050</v>
      </c>
      <c r="B3053" s="1" t="s">
        <v>6051</v>
      </c>
      <c r="C3053" s="2" t="s">
        <v>6046</v>
      </c>
      <c r="D3053" s="1" t="str">
        <f>IFERROR(__xludf.DUMMYFUNCTION("GOOGLETRANSLATE(A3053 , ""auto"", ""ar"")"),"صوت")</f>
        <v>صوت</v>
      </c>
    </row>
    <row r="3054" ht="15.75" customHeight="1">
      <c r="A3054" s="1" t="s">
        <v>6050</v>
      </c>
      <c r="B3054" s="1" t="s">
        <v>5042</v>
      </c>
      <c r="C3054" s="1"/>
      <c r="D3054" s="1" t="str">
        <f>IFERROR(__xludf.DUMMYFUNCTION("GOOGLETRANSLATE(A3054 , ""auto"", ""ar"")"),"صوت")</f>
        <v>صوت</v>
      </c>
    </row>
    <row r="3055" ht="15.75" customHeight="1">
      <c r="A3055" s="1" t="s">
        <v>6052</v>
      </c>
      <c r="B3055" s="1" t="s">
        <v>6053</v>
      </c>
      <c r="C3055" s="2" t="s">
        <v>6054</v>
      </c>
      <c r="D3055" s="1" t="str">
        <f>IFERROR(__xludf.DUMMYFUNCTION("GOOGLETRANSLATE(A3055 , ""auto"", ""ar"")"),"حساء")</f>
        <v>حساء</v>
      </c>
    </row>
    <row r="3056" ht="15.75" customHeight="1">
      <c r="A3056" s="1" t="s">
        <v>6052</v>
      </c>
      <c r="B3056" s="1" t="s">
        <v>6055</v>
      </c>
      <c r="C3056" s="2" t="s">
        <v>6056</v>
      </c>
      <c r="D3056" s="1" t="str">
        <f>IFERROR(__xludf.DUMMYFUNCTION("GOOGLETRANSLATE(A3056 , ""auto"", ""ar"")"),"حساء")</f>
        <v>حساء</v>
      </c>
    </row>
    <row r="3057" ht="15.75" customHeight="1">
      <c r="A3057" s="1" t="s">
        <v>6057</v>
      </c>
      <c r="B3057" s="1" t="s">
        <v>6058</v>
      </c>
      <c r="C3057" s="2" t="s">
        <v>4257</v>
      </c>
      <c r="D3057" s="1" t="str">
        <f>IFERROR(__xludf.DUMMYFUNCTION("GOOGLETRANSLATE(A3057 , ""auto"", ""ar"")"),"حامِض")</f>
        <v>حامِض</v>
      </c>
    </row>
    <row r="3058" ht="15.75" customHeight="1">
      <c r="A3058" s="1" t="s">
        <v>6059</v>
      </c>
      <c r="B3058" s="1" t="s">
        <v>6060</v>
      </c>
      <c r="C3058" s="2" t="s">
        <v>6061</v>
      </c>
      <c r="D3058" s="1" t="str">
        <f>IFERROR(__xludf.DUMMYFUNCTION("GOOGLETRANSLATE(A3058 , ""auto"", ""ar"")"),"جنوب")</f>
        <v>جنوب</v>
      </c>
    </row>
    <row r="3059" ht="15.75" customHeight="1">
      <c r="A3059" s="1" t="s">
        <v>6062</v>
      </c>
      <c r="B3059" s="1" t="s">
        <v>6063</v>
      </c>
      <c r="C3059" s="1"/>
      <c r="D3059" s="1" t="str">
        <f>IFERROR(__xludf.DUMMYFUNCTION("GOOGLETRANSLATE(A3059 , ""auto"", ""ar"")"),"تذكار")</f>
        <v>تذكار</v>
      </c>
    </row>
    <row r="3060" ht="15.75" customHeight="1">
      <c r="A3060" s="1" t="s">
        <v>6064</v>
      </c>
      <c r="B3060" s="1" t="s">
        <v>6065</v>
      </c>
      <c r="C3060" s="2" t="s">
        <v>6066</v>
      </c>
      <c r="D3060" s="1" t="str">
        <f>IFERROR(__xludf.DUMMYFUNCTION("GOOGLETRANSLATE(A3060 , ""auto"", ""ar"")"),"خنزيرة")</f>
        <v>خنزيرة</v>
      </c>
    </row>
    <row r="3061" ht="15.75" customHeight="1">
      <c r="A3061" s="1" t="s">
        <v>6067</v>
      </c>
      <c r="B3061" s="1" t="s">
        <v>2281</v>
      </c>
      <c r="C3061" s="2" t="s">
        <v>5775</v>
      </c>
      <c r="D3061" s="1" t="str">
        <f>IFERROR(__xludf.DUMMYFUNCTION("GOOGLETRANSLATE(A3061 , ""auto"", ""ar"")"),"الأشياء بأسمائها")</f>
        <v>الأشياء بأسمائها</v>
      </c>
    </row>
    <row r="3062" ht="15.75" customHeight="1">
      <c r="A3062" s="1" t="s">
        <v>6068</v>
      </c>
      <c r="B3062" s="1" t="s">
        <v>6069</v>
      </c>
      <c r="C3062" s="1"/>
      <c r="D3062" s="1" t="str">
        <f>IFERROR(__xludf.DUMMYFUNCTION("GOOGLETRANSLATE(A3062 , ""auto"", ""ar"")"),"معكرونة")</f>
        <v>معكرونة</v>
      </c>
    </row>
    <row r="3063" ht="15.75" customHeight="1">
      <c r="A3063" s="1" t="s">
        <v>6070</v>
      </c>
      <c r="B3063" s="1" t="s">
        <v>6071</v>
      </c>
      <c r="C3063" s="1"/>
      <c r="D3063" s="1" t="str">
        <f>IFERROR(__xludf.DUMMYFUNCTION("GOOGLETRANSLATE(A3063 , ""auto"", ""ar"")"),"إسبانيا")</f>
        <v>إسبانيا</v>
      </c>
    </row>
    <row r="3064" ht="15.75" customHeight="1">
      <c r="A3064" s="1" t="s">
        <v>6072</v>
      </c>
      <c r="B3064" s="1" t="s">
        <v>6073</v>
      </c>
      <c r="C3064" s="1"/>
      <c r="D3064" s="1" t="str">
        <f>IFERROR(__xludf.DUMMYFUNCTION("GOOGLETRANSLATE(A3064 , ""auto"", ""ar"")"),"الأسبانية")</f>
        <v>الأسبانية</v>
      </c>
    </row>
    <row r="3065" ht="15.75" customHeight="1">
      <c r="A3065" s="1" t="s">
        <v>6072</v>
      </c>
      <c r="B3065" s="1" t="s">
        <v>6074</v>
      </c>
      <c r="C3065" s="1"/>
      <c r="D3065" s="1" t="str">
        <f>IFERROR(__xludf.DUMMYFUNCTION("GOOGLETRANSLATE(A3065 , ""auto"", ""ar"")"),"الأسبانية")</f>
        <v>الأسبانية</v>
      </c>
    </row>
    <row r="3066" ht="15.75" customHeight="1">
      <c r="A3066" s="1" t="s">
        <v>6075</v>
      </c>
      <c r="B3066" s="1" t="s">
        <v>6076</v>
      </c>
      <c r="C3066" s="2" t="s">
        <v>6077</v>
      </c>
      <c r="D3066" s="1" t="str">
        <f>IFERROR(__xludf.DUMMYFUNCTION("GOOGLETRANSLATE(A3066 , ""auto"", ""ar"")"),"مياه فوارة")</f>
        <v>مياه فوارة</v>
      </c>
    </row>
    <row r="3067" ht="15.75" customHeight="1">
      <c r="A3067" s="1" t="s">
        <v>6078</v>
      </c>
      <c r="B3067" s="1" t="s">
        <v>6079</v>
      </c>
      <c r="C3067" s="2" t="s">
        <v>6080</v>
      </c>
      <c r="D3067" s="1" t="str">
        <f>IFERROR(__xludf.DUMMYFUNCTION("GOOGLETRANSLATE(A3067 , ""auto"", ""ar"")"),"يتكلم")</f>
        <v>يتكلم</v>
      </c>
    </row>
    <row r="3068" ht="15.75" customHeight="1">
      <c r="A3068" s="1" t="s">
        <v>6078</v>
      </c>
      <c r="B3068" s="1" t="s">
        <v>6081</v>
      </c>
      <c r="C3068" s="2" t="s">
        <v>6082</v>
      </c>
      <c r="D3068" s="1" t="str">
        <f>IFERROR(__xludf.DUMMYFUNCTION("GOOGLETRANSLATE(A3068 , ""auto"", ""ar"")"),"يتكلم")</f>
        <v>يتكلم</v>
      </c>
    </row>
    <row r="3069" ht="15.75" customHeight="1">
      <c r="A3069" s="1" t="s">
        <v>6078</v>
      </c>
      <c r="B3069" s="1" t="s">
        <v>6083</v>
      </c>
      <c r="C3069" s="2" t="s">
        <v>6084</v>
      </c>
      <c r="D3069" s="1" t="str">
        <f>IFERROR(__xludf.DUMMYFUNCTION("GOOGLETRANSLATE(A3069 , ""auto"", ""ar"")"),"يتكلم")</f>
        <v>يتكلم</v>
      </c>
    </row>
    <row r="3070" ht="15.75" customHeight="1">
      <c r="A3070" s="1" t="s">
        <v>6085</v>
      </c>
      <c r="B3070" s="1" t="s">
        <v>4452</v>
      </c>
      <c r="C3070" s="2" t="s">
        <v>4453</v>
      </c>
      <c r="D3070" s="1" t="str">
        <f>IFERROR(__xludf.DUMMYFUNCTION("GOOGLETRANSLATE(A3070 , ""auto"", ""ar"")"),"مكبر الصوت")</f>
        <v>مكبر الصوت</v>
      </c>
    </row>
    <row r="3071" ht="15.75" customHeight="1">
      <c r="A3071" s="1" t="s">
        <v>6086</v>
      </c>
      <c r="B3071" s="1" t="s">
        <v>3472</v>
      </c>
      <c r="C3071" s="2" t="s">
        <v>3473</v>
      </c>
      <c r="D3071" s="1" t="str">
        <f>IFERROR(__xludf.DUMMYFUNCTION("GOOGLETRANSLATE(A3071 , ""auto"", ""ar"")"),"خاص")</f>
        <v>خاص</v>
      </c>
    </row>
    <row r="3072" ht="15.75" customHeight="1">
      <c r="A3072" s="1" t="s">
        <v>6087</v>
      </c>
      <c r="B3072" s="1" t="s">
        <v>6088</v>
      </c>
      <c r="C3072" s="2" t="s">
        <v>6089</v>
      </c>
      <c r="D3072" s="1" t="str">
        <f>IFERROR(__xludf.DUMMYFUNCTION("GOOGLETRANSLATE(A3072 , ""auto"", ""ar"")"),"متخصص")</f>
        <v>متخصص</v>
      </c>
    </row>
    <row r="3073" ht="15.75" customHeight="1">
      <c r="A3073" s="1" t="s">
        <v>6090</v>
      </c>
      <c r="B3073" s="1" t="s">
        <v>1260</v>
      </c>
      <c r="C3073" s="1"/>
      <c r="D3073" s="1" t="str">
        <f>IFERROR(__xludf.DUMMYFUNCTION("GOOGLETRANSLATE(A3073 , ""auto"", ""ar"")"),"يتهجى")</f>
        <v>يتهجى</v>
      </c>
    </row>
    <row r="3074" ht="15.75" customHeight="1">
      <c r="A3074" s="1" t="s">
        <v>6091</v>
      </c>
      <c r="B3074" s="1" t="s">
        <v>3166</v>
      </c>
      <c r="C3074" s="2" t="s">
        <v>3167</v>
      </c>
      <c r="D3074" s="1" t="str">
        <f>IFERROR(__xludf.DUMMYFUNCTION("GOOGLETRANSLATE(A3074 , ""auto"", ""ar"")"),"ينفق")</f>
        <v>ينفق</v>
      </c>
    </row>
    <row r="3075" ht="15.75" customHeight="1">
      <c r="A3075" s="1" t="s">
        <v>6092</v>
      </c>
      <c r="B3075" s="1" t="s">
        <v>6093</v>
      </c>
      <c r="C3075" s="2" t="s">
        <v>5681</v>
      </c>
      <c r="D3075" s="1" t="str">
        <f>IFERROR(__xludf.DUMMYFUNCTION("GOOGLETRANSLATE(A3075 , ""auto"", ""ar"")"),"يقضى اليوم")</f>
        <v>يقضى اليوم</v>
      </c>
    </row>
    <row r="3076" ht="15.75" customHeight="1">
      <c r="A3076" s="1" t="s">
        <v>6094</v>
      </c>
      <c r="B3076" s="1" t="s">
        <v>6095</v>
      </c>
      <c r="C3076" s="2" t="s">
        <v>6096</v>
      </c>
      <c r="D3076" s="1" t="str">
        <f>IFERROR(__xludf.DUMMYFUNCTION("GOOGLETRANSLATE(A3076 , ""auto"", ""ar"")"),"التوابل")</f>
        <v>التوابل</v>
      </c>
    </row>
    <row r="3077" ht="15.75" customHeight="1">
      <c r="A3077" s="1" t="s">
        <v>6097</v>
      </c>
      <c r="B3077" s="1" t="s">
        <v>6098</v>
      </c>
      <c r="C3077" s="2" t="s">
        <v>6099</v>
      </c>
      <c r="D3077" s="1" t="str">
        <f>IFERROR(__xludf.DUMMYFUNCTION("GOOGLETRANSLATE(A3077 , ""auto"", ""ar"")"),"عنكبوت")</f>
        <v>عنكبوت</v>
      </c>
    </row>
    <row r="3078" ht="15.75" customHeight="1">
      <c r="A3078" s="1" t="s">
        <v>6100</v>
      </c>
      <c r="B3078" s="1" t="s">
        <v>6101</v>
      </c>
      <c r="C3078" s="2" t="s">
        <v>2405</v>
      </c>
      <c r="D3078" s="1" t="str">
        <f>IFERROR(__xludf.DUMMYFUNCTION("GOOGLETRANSLATE(A3078 , ""auto"", ""ar"")"),"تسرب")</f>
        <v>تسرب</v>
      </c>
    </row>
    <row r="3079" ht="15.75" customHeight="1">
      <c r="A3079" s="1" t="s">
        <v>6102</v>
      </c>
      <c r="B3079" s="1" t="s">
        <v>5583</v>
      </c>
      <c r="C3079" s="1"/>
      <c r="D3079" s="1" t="str">
        <f>IFERROR(__xludf.DUMMYFUNCTION("GOOGLETRANSLATE(A3079 , ""auto"", ""ar"")"),"المعكرونة ذات الشكل الحلزوني")</f>
        <v>المعكرونة ذات الشكل الحلزوني</v>
      </c>
    </row>
    <row r="3080" ht="15.75" customHeight="1">
      <c r="A3080" s="1" t="s">
        <v>6103</v>
      </c>
      <c r="B3080" s="1" t="s">
        <v>6104</v>
      </c>
      <c r="C3080" s="2" t="s">
        <v>6105</v>
      </c>
      <c r="D3080" s="1" t="str">
        <f>IFERROR(__xludf.DUMMYFUNCTION("GOOGLETRANSLATE(A3080 , ""auto"", ""ar"")"),"روح")</f>
        <v>روح</v>
      </c>
    </row>
    <row r="3081" ht="15.75" customHeight="1">
      <c r="A3081" s="1" t="s">
        <v>6106</v>
      </c>
      <c r="B3081" s="1" t="s">
        <v>6107</v>
      </c>
      <c r="C3081" s="2" t="s">
        <v>6108</v>
      </c>
      <c r="D3081" s="1" t="str">
        <f>IFERROR(__xludf.DUMMYFUNCTION("GOOGLETRANSLATE(A3081 , ""auto"", ""ar"")"),"روحية")</f>
        <v>روحية</v>
      </c>
    </row>
    <row r="3082" ht="15.75" customHeight="1">
      <c r="A3082" s="1" t="s">
        <v>6106</v>
      </c>
      <c r="B3082" s="1" t="s">
        <v>6109</v>
      </c>
      <c r="C3082" s="2" t="s">
        <v>6110</v>
      </c>
      <c r="D3082" s="1" t="str">
        <f>IFERROR(__xludf.DUMMYFUNCTION("GOOGLETRANSLATE(A3082 , ""auto"", ""ar"")"),"روحية")</f>
        <v>روحية</v>
      </c>
    </row>
    <row r="3083" ht="15.75" customHeight="1">
      <c r="A3083" s="1" t="s">
        <v>6111</v>
      </c>
      <c r="B3083" s="1" t="s">
        <v>3166</v>
      </c>
      <c r="C3083" s="2" t="s">
        <v>3167</v>
      </c>
      <c r="D3083" s="1" t="str">
        <f>IFERROR(__xludf.DUMMYFUNCTION("GOOGLETRANSLATE(A3083 , ""auto"", ""ar"")"),"يفسد")</f>
        <v>يفسد</v>
      </c>
    </row>
    <row r="3084" ht="15.75" customHeight="1">
      <c r="A3084" s="1" t="s">
        <v>6112</v>
      </c>
      <c r="B3084" s="1" t="s">
        <v>6113</v>
      </c>
      <c r="C3084" s="2" t="s">
        <v>6114</v>
      </c>
      <c r="D3084" s="1" t="str">
        <f>IFERROR(__xludf.DUMMYFUNCTION("GOOGLETRANSLATE(A3084 , ""auto"", ""ar"")"),"ملعقة")</f>
        <v>ملعقة</v>
      </c>
    </row>
    <row r="3085" ht="15.75" customHeight="1">
      <c r="A3085" s="1" t="s">
        <v>6115</v>
      </c>
      <c r="B3085" s="1" t="s">
        <v>2529</v>
      </c>
      <c r="C3085" s="2" t="s">
        <v>2530</v>
      </c>
      <c r="D3085" s="1" t="str">
        <f>IFERROR(__xludf.DUMMYFUNCTION("GOOGLETRANSLATE(A3085 , ""auto"", ""ar"")"),"رياضة")</f>
        <v>رياضة</v>
      </c>
    </row>
    <row r="3086" ht="15.75" customHeight="1">
      <c r="A3086" s="1" t="s">
        <v>6116</v>
      </c>
      <c r="B3086" s="1" t="s">
        <v>6117</v>
      </c>
      <c r="C3086" s="2" t="s">
        <v>6118</v>
      </c>
      <c r="D3086" s="1" t="str">
        <f>IFERROR(__xludf.DUMMYFUNCTION("GOOGLETRANSLATE(A3086 , ""auto"", ""ar"")"),"رذاذ")</f>
        <v>رذاذ</v>
      </c>
    </row>
    <row r="3087" ht="15.75" customHeight="1">
      <c r="A3087" s="1" t="s">
        <v>6119</v>
      </c>
      <c r="B3087" s="1" t="s">
        <v>320</v>
      </c>
      <c r="C3087" s="2" t="s">
        <v>321</v>
      </c>
      <c r="D3087" s="1" t="str">
        <f>IFERROR(__xludf.DUMMYFUNCTION("GOOGLETRANSLATE(A3087 , ""auto"", ""ar"")"),"الانتشار")</f>
        <v>الانتشار</v>
      </c>
    </row>
    <row r="3088" ht="15.75" customHeight="1">
      <c r="A3088" s="1" t="s">
        <v>6120</v>
      </c>
      <c r="B3088" s="1" t="s">
        <v>6121</v>
      </c>
      <c r="C3088" s="1"/>
      <c r="D3088" s="1" t="str">
        <f>IFERROR(__xludf.DUMMYFUNCTION("GOOGLETRANSLATE(A3088 , ""auto"", ""ar"")"),"ينتشر")</f>
        <v>ينتشر</v>
      </c>
    </row>
    <row r="3089" ht="15.75" customHeight="1">
      <c r="A3089" s="1" t="s">
        <v>6120</v>
      </c>
      <c r="B3089" s="1" t="s">
        <v>6122</v>
      </c>
      <c r="C3089" s="1"/>
      <c r="D3089" s="1" t="str">
        <f>IFERROR(__xludf.DUMMYFUNCTION("GOOGLETRANSLATE(A3089 , ""auto"", ""ar"")"),"ينتشر")</f>
        <v>ينتشر</v>
      </c>
    </row>
    <row r="3090" ht="15.75" customHeight="1">
      <c r="A3090" s="1" t="s">
        <v>6123</v>
      </c>
      <c r="B3090" s="1" t="s">
        <v>3263</v>
      </c>
      <c r="C3090" s="2" t="s">
        <v>3264</v>
      </c>
      <c r="D3090" s="1" t="str">
        <f>IFERROR(__xludf.DUMMYFUNCTION("GOOGLETRANSLATE(A3090 , ""auto"", ""ar"")"),"ربيع")</f>
        <v>ربيع</v>
      </c>
    </row>
    <row r="3091" ht="15.75" customHeight="1">
      <c r="A3091" s="1" t="s">
        <v>6123</v>
      </c>
      <c r="B3091" s="1" t="s">
        <v>2552</v>
      </c>
      <c r="C3091" s="2" t="s">
        <v>2553</v>
      </c>
      <c r="D3091" s="1" t="str">
        <f>IFERROR(__xludf.DUMMYFUNCTION("GOOGLETRANSLATE(A3091 , ""auto"", ""ar"")"),"ربيع")</f>
        <v>ربيع</v>
      </c>
    </row>
    <row r="3092" ht="15.75" customHeight="1">
      <c r="A3092" s="1" t="s">
        <v>6124</v>
      </c>
      <c r="B3092" s="1" t="s">
        <v>6125</v>
      </c>
      <c r="C3092" s="2" t="s">
        <v>6126</v>
      </c>
      <c r="D3092" s="1" t="str">
        <f>IFERROR(__xludf.DUMMYFUNCTION("GOOGLETRANSLATE(A3092 , ""auto"", ""ar"")"),"جاسوس")</f>
        <v>جاسوس</v>
      </c>
    </row>
    <row r="3093" ht="15.75" customHeight="1">
      <c r="A3093" s="1" t="s">
        <v>6124</v>
      </c>
      <c r="B3093" s="1" t="s">
        <v>6127</v>
      </c>
      <c r="C3093" s="2" t="s">
        <v>6128</v>
      </c>
      <c r="D3093" s="1" t="str">
        <f>IFERROR(__xludf.DUMMYFUNCTION("GOOGLETRANSLATE(A3093 , ""auto"", ""ar"")"),"جاسوس")</f>
        <v>جاسوس</v>
      </c>
    </row>
    <row r="3094" ht="15.75" customHeight="1">
      <c r="A3094" s="1" t="s">
        <v>6129</v>
      </c>
      <c r="B3094" s="1" t="s">
        <v>6130</v>
      </c>
      <c r="C3094" s="1"/>
      <c r="D3094" s="1" t="str">
        <f>IFERROR(__xludf.DUMMYFUNCTION("GOOGLETRANSLATE(A3094 , ""auto"", ""ar"")"),"مربع")</f>
        <v>مربع</v>
      </c>
    </row>
    <row r="3095" ht="15.75" customHeight="1">
      <c r="A3095" s="1" t="s">
        <v>6129</v>
      </c>
      <c r="B3095" s="1" t="s">
        <v>6131</v>
      </c>
      <c r="C3095" s="1"/>
      <c r="D3095" s="1" t="str">
        <f>IFERROR(__xludf.DUMMYFUNCTION("GOOGLETRANSLATE(A3095 , ""auto"", ""ar"")"),"مربع")</f>
        <v>مربع</v>
      </c>
    </row>
    <row r="3096" ht="15.75" customHeight="1">
      <c r="A3096" s="1" t="s">
        <v>6129</v>
      </c>
      <c r="B3096" s="1" t="s">
        <v>6132</v>
      </c>
      <c r="C3096" s="1"/>
      <c r="D3096" s="1" t="str">
        <f>IFERROR(__xludf.DUMMYFUNCTION("GOOGLETRANSLATE(A3096 , ""auto"", ""ar"")"),"مربع")</f>
        <v>مربع</v>
      </c>
    </row>
    <row r="3097" ht="15.75" customHeight="1">
      <c r="A3097" s="1" t="s">
        <v>6133</v>
      </c>
      <c r="B3097" s="1" t="s">
        <v>1745</v>
      </c>
      <c r="C3097" s="2" t="s">
        <v>6134</v>
      </c>
      <c r="D3097" s="1" t="str">
        <f>IFERROR(__xludf.DUMMYFUNCTION("GOOGLETRANSLATE(A3097 , ""auto"", ""ar"")"),"قرع")</f>
        <v>قرع</v>
      </c>
    </row>
    <row r="3098" ht="15.75" customHeight="1">
      <c r="A3098" s="1" t="s">
        <v>6135</v>
      </c>
      <c r="B3098" s="1" t="s">
        <v>6136</v>
      </c>
      <c r="C3098" s="1"/>
      <c r="D3098" s="1" t="str">
        <f>IFERROR(__xludf.DUMMYFUNCTION("GOOGLETRANSLATE(A3098 , ""auto"", ""ar"")"),"سنجاب")</f>
        <v>سنجاب</v>
      </c>
    </row>
    <row r="3099" ht="15.75" customHeight="1">
      <c r="A3099" s="1" t="s">
        <v>6137</v>
      </c>
      <c r="B3099" s="1" t="s">
        <v>5349</v>
      </c>
      <c r="C3099" s="1"/>
      <c r="D3099" s="1" t="str">
        <f>IFERROR(__xludf.DUMMYFUNCTION("GOOGLETRANSLATE(A3099 , ""auto"", ""ar"")"),"مستقر")</f>
        <v>مستقر</v>
      </c>
    </row>
    <row r="3100" ht="15.75" customHeight="1">
      <c r="A3100" s="1" t="s">
        <v>6138</v>
      </c>
      <c r="B3100" s="1" t="s">
        <v>4352</v>
      </c>
      <c r="C3100" s="2" t="s">
        <v>4353</v>
      </c>
      <c r="D3100" s="1" t="str">
        <f>IFERROR(__xludf.DUMMYFUNCTION("GOOGLETRANSLATE(A3100 , ""auto"", ""ar"")"),"تكدس")</f>
        <v>تكدس</v>
      </c>
    </row>
    <row r="3101" ht="15.75" customHeight="1">
      <c r="A3101" s="1" t="s">
        <v>6139</v>
      </c>
      <c r="B3101" s="1" t="s">
        <v>6140</v>
      </c>
      <c r="C3101" s="1"/>
      <c r="D3101" s="1" t="str">
        <f>IFERROR(__xludf.DUMMYFUNCTION("GOOGLETRANSLATE(A3101 , ""auto"", ""ar"")"),"منصة")</f>
        <v>منصة</v>
      </c>
    </row>
    <row r="3102" ht="15.75" customHeight="1">
      <c r="A3102" s="1" t="s">
        <v>6141</v>
      </c>
      <c r="B3102" s="1" t="s">
        <v>6142</v>
      </c>
      <c r="C3102" s="1"/>
      <c r="D3102" s="1" t="str">
        <f>IFERROR(__xludf.DUMMYFUNCTION("GOOGLETRANSLATE(A3102 , ""auto"", ""ar"")"),"سلالم")</f>
        <v>سلالم</v>
      </c>
    </row>
    <row r="3103" ht="15.75" customHeight="1">
      <c r="A3103" s="1" t="s">
        <v>6143</v>
      </c>
      <c r="B3103" s="1" t="s">
        <v>3098</v>
      </c>
      <c r="C3103" s="2" t="s">
        <v>3099</v>
      </c>
      <c r="D3103" s="1" t="str">
        <f>IFERROR(__xludf.DUMMYFUNCTION("GOOGLETRANSLATE(A3103 , ""auto"", ""ar"")"),"يقف")</f>
        <v>يقف</v>
      </c>
    </row>
    <row r="3104" ht="15.75" customHeight="1">
      <c r="A3104" s="1" t="s">
        <v>6143</v>
      </c>
      <c r="B3104" s="1" t="s">
        <v>6144</v>
      </c>
      <c r="C3104" s="1"/>
      <c r="D3104" s="1" t="str">
        <f>IFERROR(__xludf.DUMMYFUNCTION("GOOGLETRANSLATE(A3104 , ""auto"", ""ar"")"),"يقف")</f>
        <v>يقف</v>
      </c>
    </row>
    <row r="3105" ht="15.75" customHeight="1">
      <c r="A3105" s="1" t="s">
        <v>6143</v>
      </c>
      <c r="B3105" s="1" t="s">
        <v>6145</v>
      </c>
      <c r="C3105" s="2" t="s">
        <v>6146</v>
      </c>
      <c r="D3105" s="1" t="str">
        <f>IFERROR(__xludf.DUMMYFUNCTION("GOOGLETRANSLATE(A3105 , ""auto"", ""ar"")"),"يقف")</f>
        <v>يقف</v>
      </c>
    </row>
    <row r="3106" ht="15.75" customHeight="1">
      <c r="A3106" s="1" t="s">
        <v>6147</v>
      </c>
      <c r="B3106" s="1" t="s">
        <v>3098</v>
      </c>
      <c r="C3106" s="2" t="s">
        <v>3099</v>
      </c>
      <c r="D3106" s="1" t="str">
        <f>IFERROR(__xludf.DUMMYFUNCTION("GOOGLETRANSLATE(A3106 , ""auto"", ""ar"")"),"الوقوف")</f>
        <v>الوقوف</v>
      </c>
    </row>
    <row r="3107" ht="15.75" customHeight="1">
      <c r="A3107" s="1" t="s">
        <v>6147</v>
      </c>
      <c r="B3107" s="1" t="s">
        <v>6145</v>
      </c>
      <c r="C3107" s="2" t="s">
        <v>6146</v>
      </c>
      <c r="D3107" s="1" t="str">
        <f>IFERROR(__xludf.DUMMYFUNCTION("GOOGLETRANSLATE(A3107 , ""auto"", ""ar"")"),"الوقوف")</f>
        <v>الوقوف</v>
      </c>
    </row>
    <row r="3108" ht="15.75" customHeight="1">
      <c r="A3108" s="1" t="s">
        <v>6148</v>
      </c>
      <c r="B3108" s="1" t="s">
        <v>6149</v>
      </c>
      <c r="C3108" s="2" t="s">
        <v>6150</v>
      </c>
      <c r="D3108" s="1" t="str">
        <f>IFERROR(__xludf.DUMMYFUNCTION("GOOGLETRANSLATE(A3108 , ""auto"", ""ar"")"),"نجمة")</f>
        <v>نجمة</v>
      </c>
    </row>
    <row r="3109" ht="15.75" customHeight="1">
      <c r="A3109" s="1" t="s">
        <v>6151</v>
      </c>
      <c r="B3109" s="1" t="s">
        <v>2314</v>
      </c>
      <c r="C3109" s="1"/>
      <c r="D3109" s="1" t="str">
        <f>IFERROR(__xludf.DUMMYFUNCTION("GOOGLETRANSLATE(A3109 , ""auto"", ""ar"")"),"التحديق")</f>
        <v>التحديق</v>
      </c>
    </row>
    <row r="3110" ht="15.75" customHeight="1">
      <c r="A3110" s="1" t="s">
        <v>6152</v>
      </c>
      <c r="B3110" s="1" t="s">
        <v>678</v>
      </c>
      <c r="C3110" s="2" t="s">
        <v>679</v>
      </c>
      <c r="D3110" s="1" t="str">
        <f>IFERROR(__xludf.DUMMYFUNCTION("GOOGLETRANSLATE(A3110 , ""auto"", ""ar"")"),"يبدأ")</f>
        <v>يبدأ</v>
      </c>
    </row>
    <row r="3111" ht="15.75" customHeight="1">
      <c r="A3111" s="1" t="s">
        <v>6152</v>
      </c>
      <c r="B3111" s="1" t="s">
        <v>6153</v>
      </c>
      <c r="C3111" s="2" t="s">
        <v>6154</v>
      </c>
      <c r="D3111" s="1" t="str">
        <f>IFERROR(__xludf.DUMMYFUNCTION("GOOGLETRANSLATE(A3111 , ""auto"", ""ar"")"),"يبدأ")</f>
        <v>يبدأ</v>
      </c>
    </row>
    <row r="3112" ht="15.75" customHeight="1">
      <c r="A3112" s="1" t="s">
        <v>6155</v>
      </c>
      <c r="B3112" s="1" t="s">
        <v>6156</v>
      </c>
      <c r="C3112" s="1"/>
      <c r="D3112" s="1" t="str">
        <f>IFERROR(__xludf.DUMMYFUNCTION("GOOGLETRANSLATE(A3112 , ""auto"", ""ar"")"),"ولاية")</f>
        <v>ولاية</v>
      </c>
    </row>
    <row r="3113" ht="15.75" customHeight="1">
      <c r="A3113" s="1" t="s">
        <v>6155</v>
      </c>
      <c r="B3113" s="1" t="s">
        <v>6157</v>
      </c>
      <c r="C3113" s="2" t="s">
        <v>6158</v>
      </c>
      <c r="D3113" s="1" t="str">
        <f>IFERROR(__xludf.DUMMYFUNCTION("GOOGLETRANSLATE(A3113 , ""auto"", ""ar"")"),"ولاية")</f>
        <v>ولاية</v>
      </c>
    </row>
    <row r="3114" ht="15.75" customHeight="1">
      <c r="A3114" s="1" t="s">
        <v>6159</v>
      </c>
      <c r="B3114" s="1" t="s">
        <v>4067</v>
      </c>
      <c r="C3114" s="2" t="s">
        <v>4068</v>
      </c>
      <c r="D3114" s="1" t="str">
        <f>IFERROR(__xludf.DUMMYFUNCTION("GOOGLETRANSLATE(A3114 , ""auto"", ""ar"")"),"يقضي")</f>
        <v>يقضي</v>
      </c>
    </row>
    <row r="3115" ht="15.75" customHeight="1">
      <c r="A3115" s="1" t="s">
        <v>6159</v>
      </c>
      <c r="B3115" s="1" t="s">
        <v>5886</v>
      </c>
      <c r="C3115" s="2" t="s">
        <v>5887</v>
      </c>
      <c r="D3115" s="1" t="str">
        <f>IFERROR(__xludf.DUMMYFUNCTION("GOOGLETRANSLATE(A3115 , ""auto"", ""ar"")"),"يقضي")</f>
        <v>يقضي</v>
      </c>
    </row>
    <row r="3116" ht="15.75" customHeight="1">
      <c r="A3116" s="1" t="s">
        <v>6159</v>
      </c>
      <c r="B3116" s="1" t="s">
        <v>6160</v>
      </c>
      <c r="C3116" s="2" t="s">
        <v>6161</v>
      </c>
      <c r="D3116" s="1" t="str">
        <f>IFERROR(__xludf.DUMMYFUNCTION("GOOGLETRANSLATE(A3116 , ""auto"", ""ar"")"),"يقضي")</f>
        <v>يقضي</v>
      </c>
    </row>
    <row r="3117" ht="15.75" customHeight="1">
      <c r="A3117" s="1" t="s">
        <v>6162</v>
      </c>
      <c r="B3117" s="1" t="s">
        <v>2636</v>
      </c>
      <c r="C3117" s="2" t="s">
        <v>2637</v>
      </c>
      <c r="D3117" s="1" t="str">
        <f>IFERROR(__xludf.DUMMYFUNCTION("GOOGLETRANSLATE(A3117 , ""auto"", ""ar"")"),"ابقى هذه الليلة")</f>
        <v>ابقى هذه الليلة</v>
      </c>
    </row>
    <row r="3118" ht="15.75" customHeight="1">
      <c r="A3118" s="1" t="s">
        <v>6163</v>
      </c>
      <c r="B3118" s="1" t="s">
        <v>6164</v>
      </c>
      <c r="C3118" s="2" t="s">
        <v>6165</v>
      </c>
      <c r="D3118" s="1" t="str">
        <f>IFERROR(__xludf.DUMMYFUNCTION("GOOGLETRANSLATE(A3118 , ""auto"", ""ar"")"),"البقاء حتى وقت متأخر")</f>
        <v>البقاء حتى وقت متأخر</v>
      </c>
    </row>
    <row r="3119" ht="15.75" customHeight="1">
      <c r="A3119" s="1" t="s">
        <v>6166</v>
      </c>
      <c r="B3119" s="1" t="s">
        <v>6167</v>
      </c>
      <c r="C3119" s="2" t="s">
        <v>6168</v>
      </c>
      <c r="D3119" s="1" t="str">
        <f>IFERROR(__xludf.DUMMYFUNCTION("GOOGLETRANSLATE(A3119 , ""auto"", ""ar"")"),"يسرق")</f>
        <v>يسرق</v>
      </c>
    </row>
    <row r="3120" ht="15.75" customHeight="1">
      <c r="A3120" s="1" t="s">
        <v>6166</v>
      </c>
      <c r="B3120" s="1" t="s">
        <v>6169</v>
      </c>
      <c r="C3120" s="1"/>
      <c r="D3120" s="1" t="str">
        <f>IFERROR(__xludf.DUMMYFUNCTION("GOOGLETRANSLATE(A3120 , ""auto"", ""ar"")"),"يسرق")</f>
        <v>يسرق</v>
      </c>
    </row>
    <row r="3121" ht="15.75" customHeight="1">
      <c r="A3121" s="1" t="s">
        <v>6166</v>
      </c>
      <c r="B3121" s="1" t="s">
        <v>6170</v>
      </c>
      <c r="C3121" s="2" t="s">
        <v>6171</v>
      </c>
      <c r="D3121" s="1" t="str">
        <f>IFERROR(__xludf.DUMMYFUNCTION("GOOGLETRANSLATE(A3121 , ""auto"", ""ar"")"),"يسرق")</f>
        <v>يسرق</v>
      </c>
    </row>
    <row r="3122" ht="15.75" customHeight="1">
      <c r="A3122" s="1" t="s">
        <v>6166</v>
      </c>
      <c r="B3122" s="1" t="s">
        <v>6172</v>
      </c>
      <c r="C3122" s="1"/>
      <c r="D3122" s="1" t="str">
        <f>IFERROR(__xludf.DUMMYFUNCTION("GOOGLETRANSLATE(A3122 , ""auto"", ""ar"")"),"يسرق")</f>
        <v>يسرق</v>
      </c>
    </row>
    <row r="3123" ht="15.75" customHeight="1">
      <c r="A3123" s="1" t="s">
        <v>6166</v>
      </c>
      <c r="B3123" s="1" t="s">
        <v>6173</v>
      </c>
      <c r="C3123" s="2" t="s">
        <v>6174</v>
      </c>
      <c r="D3123" s="1" t="str">
        <f>IFERROR(__xludf.DUMMYFUNCTION("GOOGLETRANSLATE(A3123 , ""auto"", ""ar"")"),"يسرق")</f>
        <v>يسرق</v>
      </c>
    </row>
    <row r="3124" ht="15.75" customHeight="1">
      <c r="A3124" s="1" t="s">
        <v>6166</v>
      </c>
      <c r="B3124" s="1" t="s">
        <v>6175</v>
      </c>
      <c r="C3124" s="2" t="s">
        <v>6176</v>
      </c>
      <c r="D3124" s="1" t="str">
        <f>IFERROR(__xludf.DUMMYFUNCTION("GOOGLETRANSLATE(A3124 , ""auto"", ""ar"")"),"يسرق")</f>
        <v>يسرق</v>
      </c>
    </row>
    <row r="3125" ht="15.75" customHeight="1">
      <c r="A3125" s="1" t="s">
        <v>6177</v>
      </c>
      <c r="B3125" s="1" t="s">
        <v>6178</v>
      </c>
      <c r="C3125" s="2" t="s">
        <v>6179</v>
      </c>
      <c r="D3125" s="1" t="str">
        <f>IFERROR(__xludf.DUMMYFUNCTION("GOOGLETRANSLATE(A3125 , ""auto"", ""ar"")"),"بخار")</f>
        <v>بخار</v>
      </c>
    </row>
    <row r="3126" ht="15.75" customHeight="1">
      <c r="A3126" s="1" t="s">
        <v>6177</v>
      </c>
      <c r="B3126" s="1" t="s">
        <v>6180</v>
      </c>
      <c r="C3126" s="2" t="s">
        <v>6181</v>
      </c>
      <c r="D3126" s="1" t="str">
        <f>IFERROR(__xludf.DUMMYFUNCTION("GOOGLETRANSLATE(A3126 , ""auto"", ""ar"")"),"بخار")</f>
        <v>بخار</v>
      </c>
    </row>
    <row r="3127" ht="15.75" customHeight="1">
      <c r="A3127" s="1" t="s">
        <v>6182</v>
      </c>
      <c r="B3127" s="1" t="s">
        <v>6183</v>
      </c>
      <c r="C3127" s="2" t="s">
        <v>6184</v>
      </c>
      <c r="D3127" s="1" t="str">
        <f>IFERROR(__xludf.DUMMYFUNCTION("GOOGLETRANSLATE(A3127 , ""auto"", ""ar"")"),"على البخار")</f>
        <v>على البخار</v>
      </c>
    </row>
    <row r="3128" ht="15.75" customHeight="1">
      <c r="A3128" s="1" t="s">
        <v>6185</v>
      </c>
      <c r="B3128" s="1" t="s">
        <v>6186</v>
      </c>
      <c r="C3128" s="2" t="s">
        <v>6187</v>
      </c>
      <c r="D3128" s="1" t="str">
        <f>IFERROR(__xludf.DUMMYFUNCTION("GOOGLETRANSLATE(A3128 , ""auto"", ""ar"")"),"فُولاَذ")</f>
        <v>فُولاَذ</v>
      </c>
    </row>
    <row r="3129" ht="15.75" customHeight="1">
      <c r="A3129" s="1" t="s">
        <v>6188</v>
      </c>
      <c r="B3129" s="1" t="s">
        <v>1981</v>
      </c>
      <c r="C3129" s="2" t="s">
        <v>1982</v>
      </c>
      <c r="D3129" s="1" t="str">
        <f>IFERROR(__xludf.DUMMYFUNCTION("GOOGLETRANSLATE(A3129 , ""auto"", ""ar"")"),"خطوة")</f>
        <v>خطوة</v>
      </c>
    </row>
    <row r="3130" ht="15.75" customHeight="1">
      <c r="A3130" s="1" t="s">
        <v>6188</v>
      </c>
      <c r="B3130" s="1" t="s">
        <v>6189</v>
      </c>
      <c r="C3130" s="2" t="s">
        <v>6190</v>
      </c>
      <c r="D3130" s="1" t="str">
        <f>IFERROR(__xludf.DUMMYFUNCTION("GOOGLETRANSLATE(A3130 , ""auto"", ""ar"")"),"خطوة")</f>
        <v>خطوة</v>
      </c>
    </row>
    <row r="3131" ht="15.75" customHeight="1">
      <c r="A3131" s="1" t="s">
        <v>6191</v>
      </c>
      <c r="B3131" s="1" t="s">
        <v>6192</v>
      </c>
      <c r="C3131" s="2" t="s">
        <v>6193</v>
      </c>
      <c r="D3131" s="1" t="str">
        <f>IFERROR(__xludf.DUMMYFUNCTION("GOOGLETRANSLATE(A3131 , ""auto"", ""ar"")"),"يلزق")</f>
        <v>يلزق</v>
      </c>
    </row>
    <row r="3132" ht="15.75" customHeight="1">
      <c r="A3132" s="1" t="s">
        <v>6191</v>
      </c>
      <c r="B3132" s="1" t="s">
        <v>4491</v>
      </c>
      <c r="C3132" s="2" t="s">
        <v>3642</v>
      </c>
      <c r="D3132" s="1" t="str">
        <f>IFERROR(__xludf.DUMMYFUNCTION("GOOGLETRANSLATE(A3132 , ""auto"", ""ar"")"),"يلزق")</f>
        <v>يلزق</v>
      </c>
    </row>
    <row r="3133" ht="15.75" customHeight="1">
      <c r="A3133" s="1" t="s">
        <v>6191</v>
      </c>
      <c r="B3133" s="1" t="s">
        <v>3142</v>
      </c>
      <c r="C3133" s="2" t="s">
        <v>3143</v>
      </c>
      <c r="D3133" s="1" t="str">
        <f>IFERROR(__xludf.DUMMYFUNCTION("GOOGLETRANSLATE(A3133 , ""auto"", ""ar"")"),"يلزق")</f>
        <v>يلزق</v>
      </c>
    </row>
    <row r="3134" ht="15.75" customHeight="1">
      <c r="A3134" s="1" t="s">
        <v>6194</v>
      </c>
      <c r="B3134" s="1" t="s">
        <v>6195</v>
      </c>
      <c r="C3134" s="2" t="s">
        <v>6196</v>
      </c>
      <c r="D3134" s="1" t="str">
        <f>IFERROR(__xludf.DUMMYFUNCTION("GOOGLETRANSLATE(A3134 , ""auto"", ""ar"")"),"لزج")</f>
        <v>لزج</v>
      </c>
    </row>
    <row r="3135" ht="15.75" customHeight="1">
      <c r="A3135" s="1" t="s">
        <v>6197</v>
      </c>
      <c r="B3135" s="1" t="s">
        <v>6198</v>
      </c>
      <c r="C3135" s="2" t="s">
        <v>6199</v>
      </c>
      <c r="D3135" s="1" t="str">
        <f>IFERROR(__xludf.DUMMYFUNCTION("GOOGLETRANSLATE(A3135 , ""auto"", ""ar"")"),"ما زال")</f>
        <v>ما زال</v>
      </c>
    </row>
    <row r="3136" ht="15.75" customHeight="1">
      <c r="A3136" s="1" t="s">
        <v>6197</v>
      </c>
      <c r="B3136" s="1" t="s">
        <v>6200</v>
      </c>
      <c r="C3136" s="2" t="s">
        <v>6201</v>
      </c>
      <c r="D3136" s="1" t="str">
        <f>IFERROR(__xludf.DUMMYFUNCTION("GOOGLETRANSLATE(A3136 , ""auto"", ""ar"")"),"ما زال")</f>
        <v>ما زال</v>
      </c>
    </row>
    <row r="3137" ht="15.75" customHeight="1">
      <c r="A3137" s="1" t="s">
        <v>6202</v>
      </c>
      <c r="B3137" s="1" t="s">
        <v>6203</v>
      </c>
      <c r="C3137" s="2" t="s">
        <v>6204</v>
      </c>
      <c r="D3137" s="1" t="str">
        <f>IFERROR(__xludf.DUMMYFUNCTION("GOOGLETRANSLATE(A3137 , ""auto"", ""ar"")"),"مياه راكدة")</f>
        <v>مياه راكدة</v>
      </c>
    </row>
    <row r="3138" ht="15.75" customHeight="1">
      <c r="A3138" s="1" t="s">
        <v>6202</v>
      </c>
      <c r="B3138" s="1" t="s">
        <v>6205</v>
      </c>
      <c r="C3138" s="2" t="s">
        <v>6206</v>
      </c>
      <c r="D3138" s="1" t="str">
        <f>IFERROR(__xludf.DUMMYFUNCTION("GOOGLETRANSLATE(A3138 , ""auto"", ""ar"")"),"مياه راكدة")</f>
        <v>مياه راكدة</v>
      </c>
    </row>
    <row r="3139" ht="15.75" customHeight="1">
      <c r="A3139" s="1" t="s">
        <v>6207</v>
      </c>
      <c r="B3139" s="1" t="s">
        <v>4839</v>
      </c>
      <c r="C3139" s="2" t="s">
        <v>4840</v>
      </c>
      <c r="D3139" s="1" t="str">
        <f>IFERROR(__xludf.DUMMYFUNCTION("GOOGLETRANSLATE(A3139 , ""auto"", ""ar"")"),"ضجة")</f>
        <v>ضجة</v>
      </c>
    </row>
    <row r="3140" ht="15.75" customHeight="1">
      <c r="A3140" s="1" t="s">
        <v>6207</v>
      </c>
      <c r="B3140" s="1" t="s">
        <v>4745</v>
      </c>
      <c r="C3140" s="2" t="s">
        <v>4746</v>
      </c>
      <c r="D3140" s="1" t="str">
        <f>IFERROR(__xludf.DUMMYFUNCTION("GOOGLETRANSLATE(A3140 , ""auto"", ""ar"")"),"ضجة")</f>
        <v>ضجة</v>
      </c>
    </row>
    <row r="3141" ht="15.75" customHeight="1">
      <c r="A3141" s="1" t="s">
        <v>6208</v>
      </c>
      <c r="B3141" s="1" t="s">
        <v>6209</v>
      </c>
      <c r="C3141" s="2" t="s">
        <v>6210</v>
      </c>
      <c r="D3141" s="1" t="str">
        <f>IFERROR(__xludf.DUMMYFUNCTION("GOOGLETRANSLATE(A3141 , ""auto"", ""ar"")"),"غرزة")</f>
        <v>غرزة</v>
      </c>
    </row>
    <row r="3142" ht="15.75" customHeight="1">
      <c r="A3142" s="1" t="s">
        <v>6208</v>
      </c>
      <c r="B3142" s="1" t="s">
        <v>6209</v>
      </c>
      <c r="C3142" s="2" t="s">
        <v>6210</v>
      </c>
      <c r="D3142" s="1" t="str">
        <f>IFERROR(__xludf.DUMMYFUNCTION("GOOGLETRANSLATE(A3142 , ""auto"", ""ar"")"),"غرزة")</f>
        <v>غرزة</v>
      </c>
    </row>
    <row r="3143" ht="15.75" customHeight="1">
      <c r="A3143" s="1" t="s">
        <v>6211</v>
      </c>
      <c r="B3143" s="1" t="s">
        <v>6212</v>
      </c>
      <c r="C3143" s="2" t="s">
        <v>6213</v>
      </c>
      <c r="D3143" s="1" t="str">
        <f>IFERROR(__xludf.DUMMYFUNCTION("GOOGLETRANSLATE(A3143 , ""auto"", ""ar"")"),"تداول الاسهم")</f>
        <v>تداول الاسهم</v>
      </c>
    </row>
    <row r="3144" ht="15.75" customHeight="1">
      <c r="A3144" s="1" t="s">
        <v>6214</v>
      </c>
      <c r="B3144" s="1" t="s">
        <v>6215</v>
      </c>
      <c r="C3144" s="2" t="s">
        <v>6216</v>
      </c>
      <c r="D3144" s="1" t="str">
        <f>IFERROR(__xludf.DUMMYFUNCTION("GOOGLETRANSLATE(A3144 , ""auto"", ""ar"")"),"معدة")</f>
        <v>معدة</v>
      </c>
    </row>
    <row r="3145" ht="15.75" customHeight="1">
      <c r="A3145" s="1" t="s">
        <v>6217</v>
      </c>
      <c r="B3145" s="1" t="s">
        <v>575</v>
      </c>
      <c r="C3145" s="2" t="s">
        <v>576</v>
      </c>
      <c r="D3145" s="1" t="str">
        <f>IFERROR(__xludf.DUMMYFUNCTION("GOOGLETRANSLATE(A3145 , ""auto"", ""ar"")"),"حجر")</f>
        <v>حجر</v>
      </c>
    </row>
    <row r="3146" ht="15.75" customHeight="1">
      <c r="A3146" s="1" t="s">
        <v>6218</v>
      </c>
      <c r="B3146" s="1" t="s">
        <v>6219</v>
      </c>
      <c r="C3146" s="2" t="s">
        <v>6220</v>
      </c>
      <c r="D3146" s="1" t="str">
        <f>IFERROR(__xludf.DUMMYFUNCTION("GOOGLETRANSLATE(A3146 , ""auto"", ""ar"")"),"حجرية")</f>
        <v>حجرية</v>
      </c>
    </row>
    <row r="3147" ht="15.75" customHeight="1">
      <c r="A3147" s="1" t="s">
        <v>6221</v>
      </c>
      <c r="B3147" s="1" t="s">
        <v>720</v>
      </c>
      <c r="C3147" s="2" t="s">
        <v>721</v>
      </c>
      <c r="D3147" s="1" t="str">
        <f>IFERROR(__xludf.DUMMYFUNCTION("GOOGLETRANSLATE(A3147 , ""auto"", ""ar"")"),"براز")</f>
        <v>براز</v>
      </c>
    </row>
    <row r="3148" ht="15.75" customHeight="1">
      <c r="A3148" s="1" t="s">
        <v>6222</v>
      </c>
      <c r="B3148" s="1" t="s">
        <v>3098</v>
      </c>
      <c r="C3148" s="2" t="s">
        <v>3099</v>
      </c>
      <c r="D3148" s="1" t="str">
        <f>IFERROR(__xludf.DUMMYFUNCTION("GOOGLETRANSLATE(A3148 , ""auto"", ""ar"")"),"قف")</f>
        <v>قف</v>
      </c>
    </row>
    <row r="3149" ht="15.75" customHeight="1">
      <c r="A3149" s="1" t="s">
        <v>6222</v>
      </c>
      <c r="B3149" s="1" t="s">
        <v>363</v>
      </c>
      <c r="C3149" s="2" t="s">
        <v>364</v>
      </c>
      <c r="D3149" s="1" t="str">
        <f>IFERROR(__xludf.DUMMYFUNCTION("GOOGLETRANSLATE(A3149 , ""auto"", ""ar"")"),"قف")</f>
        <v>قف</v>
      </c>
    </row>
    <row r="3150" ht="15.75" customHeight="1">
      <c r="A3150" s="1" t="s">
        <v>6222</v>
      </c>
      <c r="B3150" s="1" t="s">
        <v>6223</v>
      </c>
      <c r="C3150" s="2" t="s">
        <v>6224</v>
      </c>
      <c r="D3150" s="1" t="str">
        <f>IFERROR(__xludf.DUMMYFUNCTION("GOOGLETRANSLATE(A3150 , ""auto"", ""ar"")"),"قف")</f>
        <v>قف</v>
      </c>
    </row>
    <row r="3151" ht="15.75" customHeight="1">
      <c r="A3151" s="1" t="s">
        <v>6222</v>
      </c>
      <c r="B3151" s="1" t="s">
        <v>6225</v>
      </c>
      <c r="C3151" s="2" t="s">
        <v>6226</v>
      </c>
      <c r="D3151" s="1" t="str">
        <f>IFERROR(__xludf.DUMMYFUNCTION("GOOGLETRANSLATE(A3151 , ""auto"", ""ar"")"),"قف")</f>
        <v>قف</v>
      </c>
    </row>
    <row r="3152" ht="15.75" customHeight="1">
      <c r="A3152" s="1" t="s">
        <v>6227</v>
      </c>
      <c r="B3152" s="1" t="s">
        <v>568</v>
      </c>
      <c r="C3152" s="1"/>
      <c r="D3152" s="1" t="str">
        <f>IFERROR(__xludf.DUMMYFUNCTION("GOOGLETRANSLATE(A3152 , ""auto"", ""ar"")"),"غرفة التخزين")</f>
        <v>غرفة التخزين</v>
      </c>
    </row>
    <row r="3153" ht="15.75" customHeight="1">
      <c r="A3153" s="1" t="s">
        <v>6228</v>
      </c>
      <c r="B3153" s="1" t="s">
        <v>5747</v>
      </c>
      <c r="C3153" s="1"/>
      <c r="D3153" s="1" t="str">
        <f>IFERROR(__xludf.DUMMYFUNCTION("GOOGLETRANSLATE(A3153 , ""auto"", ""ar"")"),"امين المخزن")</f>
        <v>امين المخزن</v>
      </c>
    </row>
    <row r="3154" ht="15.75" customHeight="1">
      <c r="A3154" s="1" t="s">
        <v>6229</v>
      </c>
      <c r="B3154" s="1" t="s">
        <v>2800</v>
      </c>
      <c r="C3154" s="2" t="s">
        <v>2801</v>
      </c>
      <c r="D3154" s="1" t="str">
        <f>IFERROR(__xludf.DUMMYFUNCTION("GOOGLETRANSLATE(A3154 , ""auto"", ""ar"")"),"طابق")</f>
        <v>طابق</v>
      </c>
    </row>
    <row r="3155" ht="15.75" customHeight="1">
      <c r="A3155" s="1" t="s">
        <v>6230</v>
      </c>
      <c r="B3155" s="1" t="s">
        <v>6231</v>
      </c>
      <c r="C3155" s="2" t="s">
        <v>6232</v>
      </c>
      <c r="D3155" s="1" t="str">
        <f>IFERROR(__xludf.DUMMYFUNCTION("GOOGLETRANSLATE(A3155 , ""auto"", ""ar"")"),"عاصفة")</f>
        <v>عاصفة</v>
      </c>
    </row>
    <row r="3156" ht="15.75" customHeight="1">
      <c r="A3156" s="1" t="s">
        <v>6233</v>
      </c>
      <c r="B3156" s="1" t="s">
        <v>6234</v>
      </c>
      <c r="C3156" s="2" t="s">
        <v>65</v>
      </c>
      <c r="D3156" s="1" t="str">
        <f>IFERROR(__xludf.DUMMYFUNCTION("GOOGLETRANSLATE(A3156 , ""auto"", ""ar"")"),"عاصفة")</f>
        <v>عاصفة</v>
      </c>
    </row>
    <row r="3157" ht="15.75" customHeight="1">
      <c r="A3157" s="1" t="s">
        <v>6235</v>
      </c>
      <c r="B3157" s="1" t="s">
        <v>6236</v>
      </c>
      <c r="C3157" s="2" t="s">
        <v>6237</v>
      </c>
      <c r="D3157" s="1" t="str">
        <f>IFERROR(__xludf.DUMMYFUNCTION("GOOGLETRANSLATE(A3157 , ""auto"", ""ar"")"),"قصة")</f>
        <v>قصة</v>
      </c>
    </row>
    <row r="3158" ht="15.75" customHeight="1">
      <c r="A3158" s="1" t="s">
        <v>6235</v>
      </c>
      <c r="B3158" s="1" t="s">
        <v>6238</v>
      </c>
      <c r="C3158" s="1"/>
      <c r="D3158" s="1" t="str">
        <f>IFERROR(__xludf.DUMMYFUNCTION("GOOGLETRANSLATE(A3158 , ""auto"", ""ar"")"),"قصة")</f>
        <v>قصة</v>
      </c>
    </row>
    <row r="3159" ht="15.75" customHeight="1">
      <c r="A3159" s="1" t="s">
        <v>6235</v>
      </c>
      <c r="B3159" s="1" t="s">
        <v>2800</v>
      </c>
      <c r="C3159" s="2" t="s">
        <v>2801</v>
      </c>
      <c r="D3159" s="1" t="str">
        <f>IFERROR(__xludf.DUMMYFUNCTION("GOOGLETRANSLATE(A3159 , ""auto"", ""ar"")"),"قصة")</f>
        <v>قصة</v>
      </c>
    </row>
    <row r="3160" ht="15.75" customHeight="1">
      <c r="A3160" s="1" t="s">
        <v>6239</v>
      </c>
      <c r="B3160" s="1" t="s">
        <v>6240</v>
      </c>
      <c r="C3160" s="2" t="s">
        <v>65</v>
      </c>
      <c r="D3160" s="1" t="str">
        <f>IFERROR(__xludf.DUMMYFUNCTION("GOOGLETRANSLATE(A3160 , ""auto"", ""ar"")"),"مستقيم")</f>
        <v>مستقيم</v>
      </c>
    </row>
    <row r="3161" ht="15.75" customHeight="1">
      <c r="A3161" s="1" t="s">
        <v>6239</v>
      </c>
      <c r="B3161" s="1" t="s">
        <v>5170</v>
      </c>
      <c r="C3161" s="2" t="s">
        <v>5171</v>
      </c>
      <c r="D3161" s="1" t="str">
        <f>IFERROR(__xludf.DUMMYFUNCTION("GOOGLETRANSLATE(A3161 , ""auto"", ""ar"")"),"مستقيم")</f>
        <v>مستقيم</v>
      </c>
    </row>
    <row r="3162" ht="15.75" customHeight="1">
      <c r="A3162" s="1" t="s">
        <v>6239</v>
      </c>
      <c r="B3162" s="1" t="s">
        <v>5170</v>
      </c>
      <c r="C3162" s="2" t="s">
        <v>5171</v>
      </c>
      <c r="D3162" s="1" t="str">
        <f>IFERROR(__xludf.DUMMYFUNCTION("GOOGLETRANSLATE(A3162 , ""auto"", ""ar"")"),"مستقيم")</f>
        <v>مستقيم</v>
      </c>
    </row>
    <row r="3163" ht="15.75" customHeight="1">
      <c r="A3163" s="1" t="s">
        <v>6241</v>
      </c>
      <c r="B3163" s="1" t="s">
        <v>5170</v>
      </c>
      <c r="C3163" s="2" t="s">
        <v>5171</v>
      </c>
      <c r="D3163" s="1" t="str">
        <f>IFERROR(__xludf.DUMMYFUNCTION("GOOGLETRANSLATE(A3163 , ""auto"", ""ar"")"),"إلى الأمام مباشرة")</f>
        <v>إلى الأمام مباشرة</v>
      </c>
    </row>
    <row r="3164" ht="15.75" customHeight="1">
      <c r="A3164" s="1" t="s">
        <v>6242</v>
      </c>
      <c r="B3164" s="1" t="s">
        <v>6243</v>
      </c>
      <c r="C3164" s="1"/>
      <c r="D3164" s="1" t="str">
        <f>IFERROR(__xludf.DUMMYFUNCTION("GOOGLETRANSLATE(A3164 , ""auto"", ""ar"")"),"حالا")</f>
        <v>حالا</v>
      </c>
    </row>
    <row r="3165" ht="15.75" customHeight="1">
      <c r="A3165" s="1" t="s">
        <v>6244</v>
      </c>
      <c r="B3165" s="1" t="s">
        <v>5170</v>
      </c>
      <c r="C3165" s="2" t="s">
        <v>5171</v>
      </c>
      <c r="D3165" s="1" t="str">
        <f>IFERROR(__xludf.DUMMYFUNCTION("GOOGLETRANSLATE(A3165 , ""auto"", ""ar"")"),"مباشرة")</f>
        <v>مباشرة</v>
      </c>
    </row>
    <row r="3166" ht="15.75" customHeight="1">
      <c r="A3166" s="1" t="s">
        <v>6245</v>
      </c>
      <c r="B3166" s="1" t="s">
        <v>1562</v>
      </c>
      <c r="C3166" s="2" t="s">
        <v>1563</v>
      </c>
      <c r="D3166" s="1" t="str">
        <f>IFERROR(__xludf.DUMMYFUNCTION("GOOGLETRANSLATE(A3166 , ""auto"", ""ar"")"),"مصفاة")</f>
        <v>مصفاة</v>
      </c>
    </row>
    <row r="3167" ht="15.75" customHeight="1">
      <c r="A3167" s="1" t="s">
        <v>6246</v>
      </c>
      <c r="B3167" s="1" t="s">
        <v>6247</v>
      </c>
      <c r="C3167" s="2" t="s">
        <v>6248</v>
      </c>
      <c r="D3167" s="1" t="str">
        <f>IFERROR(__xludf.DUMMYFUNCTION("GOOGLETRANSLATE(A3167 , ""auto"", ""ar"")"),"غريب")</f>
        <v>غريب</v>
      </c>
    </row>
    <row r="3168" ht="15.75" customHeight="1">
      <c r="A3168" s="1" t="s">
        <v>6246</v>
      </c>
      <c r="B3168" s="1" t="s">
        <v>6249</v>
      </c>
      <c r="C3168" s="2" t="s">
        <v>6250</v>
      </c>
      <c r="D3168" s="1" t="str">
        <f>IFERROR(__xludf.DUMMYFUNCTION("GOOGLETRANSLATE(A3168 , ""auto"", ""ar"")"),"غريب")</f>
        <v>غريب</v>
      </c>
    </row>
    <row r="3169" ht="15.75" customHeight="1">
      <c r="A3169" s="1" t="s">
        <v>6246</v>
      </c>
      <c r="B3169" s="1" t="s">
        <v>6251</v>
      </c>
      <c r="C3169" s="2" t="s">
        <v>6252</v>
      </c>
      <c r="D3169" s="1" t="str">
        <f>IFERROR(__xludf.DUMMYFUNCTION("GOOGLETRANSLATE(A3169 , ""auto"", ""ar"")"),"غريب")</f>
        <v>غريب</v>
      </c>
    </row>
    <row r="3170" ht="15.75" customHeight="1">
      <c r="A3170" s="1" t="s">
        <v>6253</v>
      </c>
      <c r="B3170" s="1" t="s">
        <v>6254</v>
      </c>
      <c r="C3170" s="1"/>
      <c r="D3170" s="1" t="str">
        <f>IFERROR(__xludf.DUMMYFUNCTION("GOOGLETRANSLATE(A3170 , ""auto"", ""ar"")"),"قبعة القش")</f>
        <v>قبعة القش</v>
      </c>
    </row>
    <row r="3171" ht="15.75" customHeight="1">
      <c r="A3171" s="1" t="s">
        <v>6255</v>
      </c>
      <c r="B3171" s="1" t="s">
        <v>6256</v>
      </c>
      <c r="C3171" s="2" t="s">
        <v>6257</v>
      </c>
      <c r="D3171" s="1" t="str">
        <f>IFERROR(__xludf.DUMMYFUNCTION("GOOGLETRANSLATE(A3171 , ""auto"", ""ar"")"),"الفراولة")</f>
        <v>الفراولة</v>
      </c>
    </row>
    <row r="3172" ht="15.75" customHeight="1">
      <c r="A3172" s="1" t="s">
        <v>6258</v>
      </c>
      <c r="B3172" s="1" t="s">
        <v>6259</v>
      </c>
      <c r="C3172" s="2" t="s">
        <v>6260</v>
      </c>
      <c r="D3172" s="1" t="str">
        <f>IFERROR(__xludf.DUMMYFUNCTION("GOOGLETRANSLATE(A3172 , ""auto"", ""ar"")"),"شارع")</f>
        <v>شارع</v>
      </c>
    </row>
    <row r="3173" ht="15.75" customHeight="1">
      <c r="A3173" s="1" t="s">
        <v>6258</v>
      </c>
      <c r="B3173" s="1" t="s">
        <v>5757</v>
      </c>
      <c r="C3173" s="2" t="s">
        <v>6261</v>
      </c>
      <c r="D3173" s="1" t="str">
        <f>IFERROR(__xludf.DUMMYFUNCTION("GOOGLETRANSLATE(A3173 , ""auto"", ""ar"")"),"شارع")</f>
        <v>شارع</v>
      </c>
    </row>
    <row r="3174" ht="15.75" customHeight="1">
      <c r="A3174" s="1" t="s">
        <v>6262</v>
      </c>
      <c r="B3174" s="1" t="s">
        <v>2867</v>
      </c>
      <c r="C3174" s="2" t="s">
        <v>2868</v>
      </c>
      <c r="D3174" s="1" t="str">
        <f>IFERROR(__xludf.DUMMYFUNCTION("GOOGLETRANSLATE(A3174 , ""auto"", ""ar"")"),"قوة")</f>
        <v>قوة</v>
      </c>
    </row>
    <row r="3175" ht="15.75" customHeight="1">
      <c r="A3175" s="1" t="s">
        <v>6263</v>
      </c>
      <c r="B3175" s="1" t="s">
        <v>1149</v>
      </c>
      <c r="C3175" s="2" t="s">
        <v>4350</v>
      </c>
      <c r="D3175" s="1" t="str">
        <f>IFERROR(__xludf.DUMMYFUNCTION("GOOGLETRANSLATE(A3175 , ""auto"", ""ar"")"),"خيط")</f>
        <v>خيط</v>
      </c>
    </row>
    <row r="3176" ht="15.75" customHeight="1">
      <c r="A3176" s="1" t="s">
        <v>6264</v>
      </c>
      <c r="B3176" s="1" t="s">
        <v>6265</v>
      </c>
      <c r="C3176" s="2" t="s">
        <v>6266</v>
      </c>
      <c r="D3176" s="1" t="str">
        <f>IFERROR(__xludf.DUMMYFUNCTION("GOOGLETRANSLATE(A3176 , ""auto"", ""ar"")"),"مخطط")</f>
        <v>مخطط</v>
      </c>
    </row>
    <row r="3177" ht="15.75" customHeight="1">
      <c r="A3177" s="1" t="s">
        <v>6267</v>
      </c>
      <c r="B3177" s="1" t="s">
        <v>6268</v>
      </c>
      <c r="C3177" s="2" t="s">
        <v>65</v>
      </c>
      <c r="D3177" s="1" t="str">
        <f>IFERROR(__xludf.DUMMYFUNCTION("GOOGLETRANSLATE(A3177 , ""auto"", ""ar"")"),"قوي")</f>
        <v>قوي</v>
      </c>
    </row>
    <row r="3178" ht="15.75" customHeight="1">
      <c r="A3178" s="1" t="s">
        <v>6269</v>
      </c>
      <c r="B3178" s="1" t="s">
        <v>6270</v>
      </c>
      <c r="C3178" s="2" t="s">
        <v>6271</v>
      </c>
      <c r="D3178" s="1" t="str">
        <f>IFERROR(__xludf.DUMMYFUNCTION("GOOGLETRANSLATE(A3178 , ""auto"", ""ar"")"),"عنيد")</f>
        <v>عنيد</v>
      </c>
    </row>
    <row r="3179" ht="15.75" customHeight="1">
      <c r="A3179" s="1" t="s">
        <v>6272</v>
      </c>
      <c r="B3179" s="1" t="s">
        <v>6273</v>
      </c>
      <c r="C3179" s="1"/>
      <c r="D3179" s="1" t="str">
        <f>IFERROR(__xludf.DUMMYFUNCTION("GOOGLETRANSLATE(A3179 , ""auto"", ""ar"")"),"طالب")</f>
        <v>طالب</v>
      </c>
    </row>
    <row r="3180" ht="15.75" customHeight="1">
      <c r="A3180" s="1" t="s">
        <v>6274</v>
      </c>
      <c r="B3180" s="1" t="s">
        <v>6275</v>
      </c>
      <c r="C3180" s="2" t="s">
        <v>6276</v>
      </c>
      <c r="D3180" s="1" t="str">
        <f>IFERROR(__xludf.DUMMYFUNCTION("GOOGLETRANSLATE(A3180 , ""auto"", ""ar"")"),"دراسات")</f>
        <v>دراسات</v>
      </c>
    </row>
    <row r="3181" ht="15.75" customHeight="1">
      <c r="A3181" s="1" t="s">
        <v>6277</v>
      </c>
      <c r="B3181" s="1" t="s">
        <v>3426</v>
      </c>
      <c r="C3181" s="2" t="s">
        <v>3427</v>
      </c>
      <c r="D3181" s="1" t="str">
        <f>IFERROR(__xludf.DUMMYFUNCTION("GOOGLETRANSLATE(A3181 , ""auto"", ""ar"")"),"مواظب")</f>
        <v>مواظب</v>
      </c>
    </row>
    <row r="3182" ht="15.75" customHeight="1">
      <c r="A3182" s="1" t="s">
        <v>6278</v>
      </c>
      <c r="B3182" s="1" t="s">
        <v>6279</v>
      </c>
      <c r="C3182" s="2" t="s">
        <v>6280</v>
      </c>
      <c r="D3182" s="1" t="str">
        <f>IFERROR(__xludf.DUMMYFUNCTION("GOOGLETRANSLATE(A3182 , ""auto"", ""ar"")"),"يذاكر")</f>
        <v>يذاكر</v>
      </c>
    </row>
    <row r="3183" ht="15.75" customHeight="1">
      <c r="A3183" s="1" t="s">
        <v>6278</v>
      </c>
      <c r="B3183" s="1" t="s">
        <v>6281</v>
      </c>
      <c r="C3183" s="2" t="s">
        <v>6282</v>
      </c>
      <c r="D3183" s="1" t="str">
        <f>IFERROR(__xludf.DUMMYFUNCTION("GOOGLETRANSLATE(A3183 , ""auto"", ""ar"")"),"يذاكر")</f>
        <v>يذاكر</v>
      </c>
    </row>
    <row r="3184" ht="15.75" customHeight="1">
      <c r="A3184" s="1" t="s">
        <v>6283</v>
      </c>
      <c r="B3184" s="1" t="s">
        <v>6284</v>
      </c>
      <c r="C3184" s="2" t="s">
        <v>6285</v>
      </c>
      <c r="D3184" s="1" t="str">
        <f>IFERROR(__xludf.DUMMYFUNCTION("GOOGLETRANSLATE(A3184 , ""auto"", ""ar"")"),"محشو")</f>
        <v>محشو</v>
      </c>
    </row>
    <row r="3185" ht="15.75" customHeight="1">
      <c r="A3185" s="1" t="s">
        <v>6286</v>
      </c>
      <c r="B3185" s="1" t="s">
        <v>6287</v>
      </c>
      <c r="C3185" s="2" t="s">
        <v>6288</v>
      </c>
      <c r="D3185" s="1" t="str">
        <f>IFERROR(__xludf.DUMMYFUNCTION("GOOGLETRANSLATE(A3185 , ""auto"", ""ar"")"),"غبي")</f>
        <v>غبي</v>
      </c>
    </row>
    <row r="3186" ht="15.75" customHeight="1">
      <c r="A3186" s="1" t="s">
        <v>6289</v>
      </c>
      <c r="B3186" s="1" t="s">
        <v>5695</v>
      </c>
      <c r="C3186" s="2" t="s">
        <v>5696</v>
      </c>
      <c r="D3186" s="1" t="str">
        <f>IFERROR(__xludf.DUMMYFUNCTION("GOOGLETRANSLATE(A3186 , ""auto"", ""ar"")"),"أسلوب")</f>
        <v>أسلوب</v>
      </c>
    </row>
    <row r="3187" ht="15.75" customHeight="1">
      <c r="A3187" s="1" t="s">
        <v>6290</v>
      </c>
      <c r="B3187" s="1" t="s">
        <v>6291</v>
      </c>
      <c r="C3187" s="1"/>
      <c r="D3187" s="1" t="str">
        <f>IFERROR(__xludf.DUMMYFUNCTION("GOOGLETRANSLATE(A3187 , ""auto"", ""ar"")"),"موضوع")</f>
        <v>موضوع</v>
      </c>
    </row>
    <row r="3188" ht="15.75" customHeight="1">
      <c r="A3188" s="1" t="s">
        <v>6290</v>
      </c>
      <c r="B3188" s="1" t="s">
        <v>6292</v>
      </c>
      <c r="C3188" s="2" t="s">
        <v>6293</v>
      </c>
      <c r="D3188" s="1" t="str">
        <f>IFERROR(__xludf.DUMMYFUNCTION("GOOGLETRANSLATE(A3188 , ""auto"", ""ar"")"),"موضوع")</f>
        <v>موضوع</v>
      </c>
    </row>
    <row r="3189" ht="15.75" customHeight="1">
      <c r="A3189" s="1" t="s">
        <v>6294</v>
      </c>
      <c r="B3189" s="1" t="s">
        <v>5871</v>
      </c>
      <c r="C3189" s="2" t="s">
        <v>5872</v>
      </c>
      <c r="D3189" s="1" t="str">
        <f>IFERROR(__xludf.DUMMYFUNCTION("GOOGLETRANSLATE(A3189 , ""auto"", ""ar"")"),"غمر")</f>
        <v>غمر</v>
      </c>
    </row>
    <row r="3190" ht="15.75" customHeight="1">
      <c r="A3190" s="1" t="s">
        <v>6295</v>
      </c>
      <c r="B3190" s="1" t="s">
        <v>6296</v>
      </c>
      <c r="C3190" s="2" t="s">
        <v>6297</v>
      </c>
      <c r="D3190" s="1" t="str">
        <f>IFERROR(__xludf.DUMMYFUNCTION("GOOGLETRANSLATE(A3190 , ""auto"", ""ar"")"),"مترو")</f>
        <v>مترو</v>
      </c>
    </row>
    <row r="3191" ht="15.75" customHeight="1">
      <c r="A3191" s="1" t="s">
        <v>6295</v>
      </c>
      <c r="B3191" s="1"/>
      <c r="C3191" s="1"/>
      <c r="D3191" s="1" t="str">
        <f>IFERROR(__xludf.DUMMYFUNCTION("GOOGLETRANSLATE(A3191 , ""auto"", ""ar"")"),"مترو")</f>
        <v>مترو</v>
      </c>
    </row>
    <row r="3192" ht="15.75" customHeight="1">
      <c r="A3192" s="1" t="s">
        <v>6298</v>
      </c>
      <c r="B3192" s="1" t="s">
        <v>6299</v>
      </c>
      <c r="C3192" s="2" t="s">
        <v>6300</v>
      </c>
      <c r="D3192" s="1" t="str">
        <f>IFERROR(__xludf.DUMMYFUNCTION("GOOGLETRANSLATE(A3192 , ""auto"", ""ar"")"),"ينجح")</f>
        <v>ينجح</v>
      </c>
    </row>
    <row r="3193" ht="15.75" customHeight="1">
      <c r="A3193" s="1" t="s">
        <v>6301</v>
      </c>
      <c r="B3193" s="1" t="s">
        <v>6302</v>
      </c>
      <c r="C3193" s="1"/>
      <c r="D3193" s="1" t="str">
        <f>IFERROR(__xludf.DUMMYFUNCTION("GOOGLETRANSLATE(A3193 , ""auto"", ""ar"")"),"فجأة")</f>
        <v>فجأة</v>
      </c>
    </row>
    <row r="3194" ht="15.75" customHeight="1">
      <c r="A3194" s="1" t="s">
        <v>6301</v>
      </c>
      <c r="B3194" s="1" t="s">
        <v>6303</v>
      </c>
      <c r="C3194" s="1"/>
      <c r="D3194" s="1" t="str">
        <f>IFERROR(__xludf.DUMMYFUNCTION("GOOGLETRANSLATE(A3194 , ""auto"", ""ar"")"),"فجأة")</f>
        <v>فجأة</v>
      </c>
    </row>
    <row r="3195" ht="15.75" customHeight="1">
      <c r="A3195" s="1" t="s">
        <v>6304</v>
      </c>
      <c r="B3195" s="1" t="s">
        <v>6305</v>
      </c>
      <c r="C3195" s="2" t="s">
        <v>6306</v>
      </c>
      <c r="D3195" s="1" t="str">
        <f>IFERROR(__xludf.DUMMYFUNCTION("GOOGLETRANSLATE(A3195 , ""auto"", ""ar"")"),"يعاني")</f>
        <v>يعاني</v>
      </c>
    </row>
    <row r="3196" ht="15.75" customHeight="1">
      <c r="A3196" s="1" t="s">
        <v>6304</v>
      </c>
      <c r="B3196" s="1" t="s">
        <v>3720</v>
      </c>
      <c r="C3196" s="2" t="s">
        <v>3721</v>
      </c>
      <c r="D3196" s="1" t="str">
        <f>IFERROR(__xludf.DUMMYFUNCTION("GOOGLETRANSLATE(A3196 , ""auto"", ""ar"")"),"يعاني")</f>
        <v>يعاني</v>
      </c>
    </row>
    <row r="3197" ht="15.75" customHeight="1">
      <c r="A3197" s="1" t="s">
        <v>6307</v>
      </c>
      <c r="B3197" s="1" t="s">
        <v>3739</v>
      </c>
      <c r="C3197" s="2" t="s">
        <v>6308</v>
      </c>
      <c r="D3197" s="1" t="str">
        <f>IFERROR(__xludf.DUMMYFUNCTION("GOOGLETRANSLATE(A3197 , ""auto"", ""ar"")"),"سكر")</f>
        <v>سكر</v>
      </c>
    </row>
    <row r="3198" ht="15.75" customHeight="1">
      <c r="A3198" s="1" t="s">
        <v>6309</v>
      </c>
      <c r="B3198" s="1" t="s">
        <v>6310</v>
      </c>
      <c r="C3198" s="1"/>
      <c r="D3198" s="1" t="str">
        <f>IFERROR(__xludf.DUMMYFUNCTION("GOOGLETRANSLATE(A3198 , ""auto"", ""ar"")"),"ورق السكر")</f>
        <v>ورق السكر</v>
      </c>
    </row>
    <row r="3199" ht="15.75" customHeight="1">
      <c r="A3199" s="1" t="s">
        <v>6311</v>
      </c>
      <c r="B3199" s="1" t="s">
        <v>6312</v>
      </c>
      <c r="C3199" s="2" t="s">
        <v>6313</v>
      </c>
      <c r="D3199" s="1" t="str">
        <f>IFERROR(__xludf.DUMMYFUNCTION("GOOGLETRANSLATE(A3199 , ""auto"", ""ar"")"),"بدلة")</f>
        <v>بدلة</v>
      </c>
    </row>
    <row r="3200" ht="15.75" customHeight="1">
      <c r="A3200" s="1" t="s">
        <v>6311</v>
      </c>
      <c r="B3200" s="1" t="s">
        <v>6314</v>
      </c>
      <c r="C3200" s="1"/>
      <c r="D3200" s="1" t="str">
        <f>IFERROR(__xludf.DUMMYFUNCTION("GOOGLETRANSLATE(A3200 , ""auto"", ""ar"")"),"بدلة")</f>
        <v>بدلة</v>
      </c>
    </row>
    <row r="3201" ht="15.75" customHeight="1">
      <c r="A3201" s="1" t="s">
        <v>6315</v>
      </c>
      <c r="B3201" s="1" t="s">
        <v>6316</v>
      </c>
      <c r="C3201" s="2" t="s">
        <v>6317</v>
      </c>
      <c r="D3201" s="1" t="str">
        <f>IFERROR(__xludf.DUMMYFUNCTION("GOOGLETRANSLATE(A3201 , ""auto"", ""ar"")"),"مناسب")</f>
        <v>مناسب</v>
      </c>
    </row>
    <row r="3202" ht="15.75" customHeight="1">
      <c r="A3202" s="1" t="s">
        <v>6318</v>
      </c>
      <c r="B3202" s="1" t="s">
        <v>6319</v>
      </c>
      <c r="C3202" s="2" t="s">
        <v>6320</v>
      </c>
      <c r="D3202" s="1" t="str">
        <f>IFERROR(__xludf.DUMMYFUNCTION("GOOGLETRANSLATE(A3202 , ""auto"", ""ar"")"),"حقيبة سفر")</f>
        <v>حقيبة سفر</v>
      </c>
    </row>
    <row r="3203" ht="15.75" customHeight="1">
      <c r="A3203" s="1" t="s">
        <v>6318</v>
      </c>
      <c r="B3203" s="1" t="s">
        <v>6321</v>
      </c>
      <c r="C3203" s="1"/>
      <c r="D3203" s="1" t="str">
        <f>IFERROR(__xludf.DUMMYFUNCTION("GOOGLETRANSLATE(A3203 , ""auto"", ""ar"")"),"حقيبة سفر")</f>
        <v>حقيبة سفر</v>
      </c>
    </row>
    <row r="3204" ht="15.75" customHeight="1">
      <c r="A3204" s="1" t="s">
        <v>6322</v>
      </c>
      <c r="B3204" s="1" t="s">
        <v>6323</v>
      </c>
      <c r="C3204" s="2" t="s">
        <v>6324</v>
      </c>
      <c r="D3204" s="1" t="str">
        <f>IFERROR(__xludf.DUMMYFUNCTION("GOOGLETRANSLATE(A3204 , ""auto"", ""ar"")"),"ملخص")</f>
        <v>ملخص</v>
      </c>
    </row>
    <row r="3205" ht="15.75" customHeight="1">
      <c r="A3205" s="1" t="s">
        <v>6325</v>
      </c>
      <c r="B3205" s="1" t="s">
        <v>6326</v>
      </c>
      <c r="C3205" s="2" t="s">
        <v>6327</v>
      </c>
      <c r="D3205" s="1" t="str">
        <f>IFERROR(__xludf.DUMMYFUNCTION("GOOGLETRANSLATE(A3205 , ""auto"", ""ar"")"),"صيف")</f>
        <v>صيف</v>
      </c>
    </row>
    <row r="3206" ht="15.75" customHeight="1">
      <c r="A3206" s="1" t="s">
        <v>6328</v>
      </c>
      <c r="B3206" s="1" t="s">
        <v>6329</v>
      </c>
      <c r="C3206" s="2" t="s">
        <v>6330</v>
      </c>
      <c r="D3206" s="1" t="str">
        <f>IFERROR(__xludf.DUMMYFUNCTION("GOOGLETRANSLATE(A3206 , ""auto"", ""ar"")"),"شمس")</f>
        <v>شمس</v>
      </c>
    </row>
    <row r="3207" ht="15.75" customHeight="1">
      <c r="A3207" s="1" t="s">
        <v>6331</v>
      </c>
      <c r="B3207" s="1" t="s">
        <v>1925</v>
      </c>
      <c r="C3207" s="2" t="s">
        <v>6332</v>
      </c>
      <c r="D3207" s="1" t="str">
        <f>IFERROR(__xludf.DUMMYFUNCTION("GOOGLETRANSLATE(A3207 , ""auto"", ""ar"")"),"الأحد")</f>
        <v>الأحد</v>
      </c>
    </row>
    <row r="3208" ht="15.75" customHeight="1">
      <c r="A3208" s="1" t="s">
        <v>6331</v>
      </c>
      <c r="B3208" s="1" t="s">
        <v>6333</v>
      </c>
      <c r="C3208" s="2" t="s">
        <v>6334</v>
      </c>
      <c r="D3208" s="1" t="str">
        <f>IFERROR(__xludf.DUMMYFUNCTION("GOOGLETRANSLATE(A3208 , ""auto"", ""ar"")"),"الأحد")</f>
        <v>الأحد</v>
      </c>
    </row>
    <row r="3209" ht="15.75" customHeight="1">
      <c r="A3209" s="1" t="s">
        <v>6335</v>
      </c>
      <c r="B3209" s="1" t="s">
        <v>6336</v>
      </c>
      <c r="C3209" s="2" t="s">
        <v>6337</v>
      </c>
      <c r="D3209" s="1" t="str">
        <f>IFERROR(__xludf.DUMMYFUNCTION("GOOGLETRANSLATE(A3209 , ""auto"", ""ar"")"),"مشمس")</f>
        <v>مشمس</v>
      </c>
    </row>
    <row r="3210" ht="15.75" customHeight="1">
      <c r="A3210" s="1" t="s">
        <v>6338</v>
      </c>
      <c r="B3210" s="1" t="s">
        <v>6339</v>
      </c>
      <c r="C3210" s="2" t="s">
        <v>6340</v>
      </c>
      <c r="D3210" s="1" t="str">
        <f>IFERROR(__xludf.DUMMYFUNCTION("GOOGLETRANSLATE(A3210 , ""auto"", ""ar"")"),"شروق الشمس")</f>
        <v>شروق الشمس</v>
      </c>
    </row>
    <row r="3211" ht="15.75" customHeight="1">
      <c r="A3211" s="1" t="s">
        <v>6341</v>
      </c>
      <c r="B3211" s="1" t="s">
        <v>6342</v>
      </c>
      <c r="C3211" s="1"/>
      <c r="D3211" s="1" t="str">
        <f>IFERROR(__xludf.DUMMYFUNCTION("GOOGLETRANSLATE(A3211 , ""auto"", ""ar"")"),"غروب")</f>
        <v>غروب</v>
      </c>
    </row>
    <row r="3212" ht="15.75" customHeight="1">
      <c r="A3212" s="1" t="s">
        <v>6343</v>
      </c>
      <c r="B3212" s="1" t="s">
        <v>6344</v>
      </c>
      <c r="C3212" s="2" t="s">
        <v>6345</v>
      </c>
      <c r="D3212" s="1" t="str">
        <f>IFERROR(__xludf.DUMMYFUNCTION("GOOGLETRANSLATE(A3212 , ""auto"", ""ar"")"),"ممتاز")</f>
        <v>ممتاز</v>
      </c>
    </row>
    <row r="3213" ht="15.75" customHeight="1">
      <c r="A3213" s="1" t="s">
        <v>6346</v>
      </c>
      <c r="B3213" s="1" t="s">
        <v>6347</v>
      </c>
      <c r="C3213" s="2" t="s">
        <v>6348</v>
      </c>
      <c r="D3213" s="1" t="str">
        <f>IFERROR(__xludf.DUMMYFUNCTION("GOOGLETRANSLATE(A3213 , ""auto"", ""ar"")"),"بالتأكيد")</f>
        <v>بالتأكيد</v>
      </c>
    </row>
    <row r="3214" ht="15.75" customHeight="1">
      <c r="A3214" s="1" t="s">
        <v>466</v>
      </c>
      <c r="B3214" s="1" t="s">
        <v>467</v>
      </c>
      <c r="C3214" s="2" t="s">
        <v>468</v>
      </c>
      <c r="D3214" s="1" t="str">
        <f>IFERROR(__xludf.DUMMYFUNCTION("GOOGLETRANSLATE(A3214 , ""auto"", ""ar"")"),"اسم العائلة")</f>
        <v>اسم العائلة</v>
      </c>
    </row>
    <row r="3215" ht="15.75" customHeight="1">
      <c r="A3215" s="1" t="s">
        <v>6349</v>
      </c>
      <c r="B3215" s="1" t="s">
        <v>6350</v>
      </c>
      <c r="C3215" s="2" t="s">
        <v>6351</v>
      </c>
      <c r="D3215" s="1" t="str">
        <f>IFERROR(__xludf.DUMMYFUNCTION("GOOGLETRANSLATE(A3215 , ""auto"", ""ar"")"),"مفاجأة")</f>
        <v>مفاجأة</v>
      </c>
    </row>
    <row r="3216" ht="15.75" customHeight="1">
      <c r="A3216" s="1" t="s">
        <v>6349</v>
      </c>
      <c r="B3216" s="1" t="s">
        <v>6352</v>
      </c>
      <c r="C3216" s="2" t="s">
        <v>6353</v>
      </c>
      <c r="D3216" s="1" t="str">
        <f>IFERROR(__xludf.DUMMYFUNCTION("GOOGLETRANSLATE(A3216 , ""auto"", ""ar"")"),"مفاجأة")</f>
        <v>مفاجأة</v>
      </c>
    </row>
    <row r="3217" ht="15.75" customHeight="1">
      <c r="A3217" s="1" t="s">
        <v>6349</v>
      </c>
      <c r="B3217" s="1" t="s">
        <v>6354</v>
      </c>
      <c r="C3217" s="2" t="s">
        <v>6355</v>
      </c>
      <c r="D3217" s="1" t="str">
        <f>IFERROR(__xludf.DUMMYFUNCTION("GOOGLETRANSLATE(A3217 , ""auto"", ""ar"")"),"مفاجأة")</f>
        <v>مفاجأة</v>
      </c>
    </row>
    <row r="3218" ht="15.75" customHeight="1">
      <c r="A3218" s="1" t="s">
        <v>6356</v>
      </c>
      <c r="B3218" s="1" t="s">
        <v>5539</v>
      </c>
      <c r="C3218" s="2" t="s">
        <v>6357</v>
      </c>
      <c r="D3218" s="1" t="str">
        <f>IFERROR(__xludf.DUMMYFUNCTION("GOOGLETRANSLATE(A3218 , ""auto"", ""ar"")"),"ينجو")</f>
        <v>ينجو</v>
      </c>
    </row>
    <row r="3219" ht="15.75" customHeight="1">
      <c r="A3219" s="1" t="s">
        <v>6358</v>
      </c>
      <c r="B3219" s="1" t="s">
        <v>3389</v>
      </c>
      <c r="C3219" s="2" t="s">
        <v>3390</v>
      </c>
      <c r="D3219" s="1" t="str">
        <f>IFERROR(__xludf.DUMMYFUNCTION("GOOGLETRANSLATE(A3219 , ""auto"", ""ar"")"),"تعليق")</f>
        <v>تعليق</v>
      </c>
    </row>
    <row r="3220" ht="15.75" customHeight="1">
      <c r="A3220" s="1" t="s">
        <v>6359</v>
      </c>
      <c r="B3220" s="1" t="s">
        <v>6360</v>
      </c>
      <c r="C3220" s="2" t="s">
        <v>6361</v>
      </c>
      <c r="D3220" s="1" t="str">
        <f>IFERROR(__xludf.DUMMYFUNCTION("GOOGLETRANSLATE(A3220 , ""auto"", ""ar"")"),"ابتلاع")</f>
        <v>ابتلاع</v>
      </c>
    </row>
    <row r="3221" ht="15.75" customHeight="1">
      <c r="A3221" s="1" t="s">
        <v>6362</v>
      </c>
      <c r="B3221" s="1" t="s">
        <v>6363</v>
      </c>
      <c r="C3221" s="2" t="s">
        <v>6364</v>
      </c>
      <c r="D3221" s="1" t="str">
        <f>IFERROR(__xludf.DUMMYFUNCTION("GOOGLETRANSLATE(A3221 , ""auto"", ""ar"")"),"يُقسم")</f>
        <v>يُقسم</v>
      </c>
    </row>
    <row r="3222" ht="15.75" customHeight="1">
      <c r="A3222" s="1" t="s">
        <v>6362</v>
      </c>
      <c r="B3222" s="1" t="s">
        <v>6365</v>
      </c>
      <c r="C3222" s="2" t="s">
        <v>6366</v>
      </c>
      <c r="D3222" s="1" t="str">
        <f>IFERROR(__xludf.DUMMYFUNCTION("GOOGLETRANSLATE(A3222 , ""auto"", ""ar"")"),"يُقسم")</f>
        <v>يُقسم</v>
      </c>
    </row>
    <row r="3223" ht="15.75" customHeight="1">
      <c r="A3223" s="1" t="s">
        <v>6367</v>
      </c>
      <c r="B3223" s="1" t="s">
        <v>3860</v>
      </c>
      <c r="C3223" s="2" t="s">
        <v>3861</v>
      </c>
      <c r="D3223" s="1" t="str">
        <f>IFERROR(__xludf.DUMMYFUNCTION("GOOGLETRANSLATE(A3223 , ""auto"", ""ar"")"),"أداء اليمين الدستورية")</f>
        <v>أداء اليمين الدستورية</v>
      </c>
    </row>
    <row r="3224" ht="15.75" customHeight="1">
      <c r="A3224" s="1" t="s">
        <v>6368</v>
      </c>
      <c r="B3224" s="1" t="s">
        <v>5425</v>
      </c>
      <c r="C3224" s="1"/>
      <c r="D3224" s="1" t="str">
        <f>IFERROR(__xludf.DUMMYFUNCTION("GOOGLETRANSLATE(A3224 , ""auto"", ""ar"")"),"يعرق")</f>
        <v>يعرق</v>
      </c>
    </row>
    <row r="3225" ht="15.75" customHeight="1">
      <c r="A3225" s="1" t="s">
        <v>6368</v>
      </c>
      <c r="B3225" s="1" t="s">
        <v>5427</v>
      </c>
      <c r="C3225" s="2" t="s">
        <v>5428</v>
      </c>
      <c r="D3225" s="1" t="str">
        <f>IFERROR(__xludf.DUMMYFUNCTION("GOOGLETRANSLATE(A3225 , ""auto"", ""ar"")"),"يعرق")</f>
        <v>يعرق</v>
      </c>
    </row>
    <row r="3226" ht="15.75" customHeight="1">
      <c r="A3226" s="1" t="s">
        <v>6368</v>
      </c>
      <c r="B3226" s="1" t="s">
        <v>5429</v>
      </c>
      <c r="C3226" s="2" t="s">
        <v>5430</v>
      </c>
      <c r="D3226" s="1" t="str">
        <f>IFERROR(__xludf.DUMMYFUNCTION("GOOGLETRANSLATE(A3226 , ""auto"", ""ar"")"),"يعرق")</f>
        <v>يعرق</v>
      </c>
    </row>
    <row r="3227" ht="15.75" customHeight="1">
      <c r="A3227" s="1" t="s">
        <v>6369</v>
      </c>
      <c r="B3227" s="1" t="s">
        <v>4047</v>
      </c>
      <c r="C3227" s="2" t="s">
        <v>4048</v>
      </c>
      <c r="D3227" s="1" t="str">
        <f>IFERROR(__xludf.DUMMYFUNCTION("GOOGLETRANSLATE(A3227 , ""auto"", ""ar"")"),"سترة")</f>
        <v>سترة</v>
      </c>
    </row>
    <row r="3228" ht="15.75" customHeight="1">
      <c r="A3228" s="1" t="s">
        <v>6370</v>
      </c>
      <c r="B3228" s="1" t="s">
        <v>6371</v>
      </c>
      <c r="C3228" s="2" t="s">
        <v>6372</v>
      </c>
      <c r="D3228" s="1" t="str">
        <f>IFERROR(__xludf.DUMMYFUNCTION("GOOGLETRANSLATE(A3228 , ""auto"", ""ar"")"),"مسح")</f>
        <v>مسح</v>
      </c>
    </row>
    <row r="3229" ht="15.75" customHeight="1">
      <c r="A3229" s="1" t="s">
        <v>6373</v>
      </c>
      <c r="B3229" s="1" t="s">
        <v>6374</v>
      </c>
      <c r="C3229" s="2" t="s">
        <v>6375</v>
      </c>
      <c r="D3229" s="1" t="str">
        <f>IFERROR(__xludf.DUMMYFUNCTION("GOOGLETRANSLATE(A3229 , ""auto"", ""ar"")"),"حلو")</f>
        <v>حلو</v>
      </c>
    </row>
    <row r="3230" ht="15.75" customHeight="1">
      <c r="A3230" s="1" t="s">
        <v>6373</v>
      </c>
      <c r="B3230" s="1" t="s">
        <v>1218</v>
      </c>
      <c r="C3230" s="2" t="s">
        <v>1219</v>
      </c>
      <c r="D3230" s="1" t="str">
        <f>IFERROR(__xludf.DUMMYFUNCTION("GOOGLETRANSLATE(A3230 , ""auto"", ""ar"")"),"حلو")</f>
        <v>حلو</v>
      </c>
    </row>
    <row r="3231" ht="15.75" customHeight="1">
      <c r="A3231" s="1" t="s">
        <v>6376</v>
      </c>
      <c r="B3231" s="1" t="s">
        <v>6377</v>
      </c>
      <c r="C3231" s="2" t="s">
        <v>6378</v>
      </c>
      <c r="D3231" s="1" t="str">
        <f>IFERROR(__xludf.DUMMYFUNCTION("GOOGLETRANSLATE(A3231 , ""auto"", ""ar"")"),"أحلى")</f>
        <v>أحلى</v>
      </c>
    </row>
    <row r="3232" ht="15.75" customHeight="1">
      <c r="A3232" s="1" t="s">
        <v>6379</v>
      </c>
      <c r="B3232" s="1" t="s">
        <v>6380</v>
      </c>
      <c r="C3232" s="2" t="s">
        <v>6381</v>
      </c>
      <c r="D3232" s="1" t="str">
        <f>IFERROR(__xludf.DUMMYFUNCTION("GOOGLETRANSLATE(A3232 , ""auto"", ""ar"")"),"السباحة")</f>
        <v>السباحة</v>
      </c>
    </row>
    <row r="3233" ht="15.75" customHeight="1">
      <c r="A3233" s="1" t="s">
        <v>6382</v>
      </c>
      <c r="B3233" s="1" t="s">
        <v>6383</v>
      </c>
      <c r="C3233" s="2" t="s">
        <v>6384</v>
      </c>
      <c r="D3233" s="1" t="str">
        <f>IFERROR(__xludf.DUMMYFUNCTION("GOOGLETRANSLATE(A3233 , ""auto"", ""ar"")"),"حمام السباحة")</f>
        <v>حمام السباحة</v>
      </c>
    </row>
    <row r="3234" ht="15.75" customHeight="1">
      <c r="A3234" s="1" t="s">
        <v>6382</v>
      </c>
      <c r="B3234" s="1" t="s">
        <v>6385</v>
      </c>
      <c r="C3234" s="2" t="s">
        <v>6386</v>
      </c>
      <c r="D3234" s="1" t="str">
        <f>IFERROR(__xludf.DUMMYFUNCTION("GOOGLETRANSLATE(A3234 , ""auto"", ""ar"")"),"حمام السباحة")</f>
        <v>حمام السباحة</v>
      </c>
    </row>
    <row r="3235" ht="15.75" customHeight="1">
      <c r="A3235" s="1" t="s">
        <v>6387</v>
      </c>
      <c r="B3235" s="1" t="s">
        <v>6388</v>
      </c>
      <c r="C3235" s="2" t="s">
        <v>6389</v>
      </c>
      <c r="D3235" s="1" t="str">
        <f>IFERROR(__xludf.DUMMYFUNCTION("GOOGLETRANSLATE(A3235 , ""auto"", ""ar"")"),"اطفيء")</f>
        <v>اطفيء</v>
      </c>
    </row>
    <row r="3236" ht="15.75" customHeight="1">
      <c r="A3236" s="1" t="s">
        <v>6390</v>
      </c>
      <c r="B3236" s="1" t="s">
        <v>4315</v>
      </c>
      <c r="C3236" s="2" t="s">
        <v>4316</v>
      </c>
      <c r="D3236" s="1" t="str">
        <f>IFERROR(__xludf.DUMMYFUNCTION("GOOGLETRANSLATE(A3236 , ""auto"", ""ar"")"),"شغل")</f>
        <v>شغل</v>
      </c>
    </row>
    <row r="3237" ht="15.75" customHeight="1">
      <c r="A3237" s="1" t="s">
        <v>6391</v>
      </c>
      <c r="B3237" s="1" t="s">
        <v>6392</v>
      </c>
      <c r="C3237" s="2" t="s">
        <v>6393</v>
      </c>
      <c r="D3237" s="1" t="str">
        <f>IFERROR(__xludf.DUMMYFUNCTION("GOOGLETRANSLATE(A3237 , ""auto"", ""ar"")"),"سيف")</f>
        <v>سيف</v>
      </c>
    </row>
    <row r="3238" ht="15.75" customHeight="1">
      <c r="A3238" s="1" t="s">
        <v>6394</v>
      </c>
      <c r="B3238" s="1" t="s">
        <v>4959</v>
      </c>
      <c r="C3238" s="2" t="s">
        <v>4960</v>
      </c>
      <c r="D3238" s="1" t="str">
        <f>IFERROR(__xludf.DUMMYFUNCTION("GOOGLETRANSLATE(A3238 , ""auto"", ""ar"")"),"حقنة")</f>
        <v>حقنة</v>
      </c>
    </row>
    <row r="3239" ht="15.75" customHeight="1">
      <c r="A3239" s="1" t="s">
        <v>6395</v>
      </c>
      <c r="B3239" s="1" t="s">
        <v>5218</v>
      </c>
      <c r="C3239" s="2" t="s">
        <v>5219</v>
      </c>
      <c r="D3239" s="1" t="str">
        <f>IFERROR(__xludf.DUMMYFUNCTION("GOOGLETRANSLATE(A3239 , ""auto"", ""ar"")"),"نظام")</f>
        <v>نظام</v>
      </c>
    </row>
    <row r="3240" ht="15.75" customHeight="1">
      <c r="A3240" s="1" t="s">
        <v>6395</v>
      </c>
      <c r="B3240" s="1" t="s">
        <v>6396</v>
      </c>
      <c r="C3240" s="1"/>
      <c r="D3240" s="1" t="str">
        <f>IFERROR(__xludf.DUMMYFUNCTION("GOOGLETRANSLATE(A3240 , ""auto"", ""ar"")"),"نظام")</f>
        <v>نظام</v>
      </c>
    </row>
    <row r="3241" ht="15.75" customHeight="1">
      <c r="A3241" s="1" t="s">
        <v>466</v>
      </c>
      <c r="B3241" s="1" t="s">
        <v>467</v>
      </c>
      <c r="C3241" s="2" t="s">
        <v>468</v>
      </c>
      <c r="D3241" s="1" t="str">
        <f>IFERROR(__xludf.DUMMYFUNCTION("GOOGLETRANSLATE(A3241 , ""auto"", ""ar"")"),"اسم العائلة")</f>
        <v>اسم العائلة</v>
      </c>
    </row>
    <row r="3242" ht="15.75" customHeight="1">
      <c r="A3242" s="1" t="s">
        <v>43</v>
      </c>
      <c r="B3242" s="1" t="s">
        <v>44</v>
      </c>
      <c r="C3242" s="2" t="s">
        <v>45</v>
      </c>
      <c r="D3242" s="1" t="str">
        <f>IFERROR(__xludf.DUMMYFUNCTION("GOOGLETRANSLATE(A3242 , ""auto"", ""ar"")"),"مقبول")</f>
        <v>مقبول</v>
      </c>
    </row>
    <row r="3243" ht="15.75" customHeight="1">
      <c r="A3243" s="1" t="s">
        <v>469</v>
      </c>
      <c r="B3243" s="1" t="s">
        <v>470</v>
      </c>
      <c r="C3243" s="2" t="s">
        <v>471</v>
      </c>
      <c r="D3243" s="1" t="str">
        <f>IFERROR(__xludf.DUMMYFUNCTION("GOOGLETRANSLATE(A3243 , ""auto"", ""ar"")"),"التصالح")</f>
        <v>التصالح</v>
      </c>
    </row>
    <row r="3244" ht="15.75" customHeight="1">
      <c r="A3244" s="1" t="s">
        <v>472</v>
      </c>
      <c r="B3244" s="1" t="s">
        <v>473</v>
      </c>
      <c r="C3244" s="2" t="s">
        <v>474</v>
      </c>
      <c r="D3244" s="1" t="str">
        <f>IFERROR(__xludf.DUMMYFUNCTION("GOOGLETRANSLATE(A3244 , ""auto"", ""ar"")"),"مغفرة")</f>
        <v>مغفرة</v>
      </c>
    </row>
    <row r="3245" ht="15.75" customHeight="1">
      <c r="A3245" s="1" t="s">
        <v>475</v>
      </c>
      <c r="B3245" s="1" t="s">
        <v>476</v>
      </c>
      <c r="C3245" s="2" t="s">
        <v>477</v>
      </c>
      <c r="D3245" s="1" t="str">
        <f>IFERROR(__xludf.DUMMYFUNCTION("GOOGLETRANSLATE(A3245 , ""auto"", ""ar"")"),"يخبر")</f>
        <v>يخبر</v>
      </c>
    </row>
    <row r="3246" ht="15.75" customHeight="1">
      <c r="A3246" s="1" t="s">
        <v>6397</v>
      </c>
      <c r="B3246" s="1" t="s">
        <v>6398</v>
      </c>
      <c r="C3246" s="2" t="s">
        <v>6399</v>
      </c>
      <c r="D3246" s="1" t="str">
        <f>IFERROR(__xludf.DUMMYFUNCTION("GOOGLETRANSLATE(A3246 , ""auto"", ""ar"")"),"تي شيرت")</f>
        <v>تي شيرت</v>
      </c>
    </row>
    <row r="3247" ht="15.75" customHeight="1">
      <c r="A3247" s="1" t="s">
        <v>6400</v>
      </c>
      <c r="B3247" s="1" t="s">
        <v>6401</v>
      </c>
      <c r="C3247" s="2" t="s">
        <v>6402</v>
      </c>
      <c r="D3247" s="1" t="str">
        <f>IFERROR(__xludf.DUMMYFUNCTION("GOOGLETRANSLATE(A3247 , ""auto"", ""ar"")"),"طاولة")</f>
        <v>طاولة</v>
      </c>
    </row>
    <row r="3248" ht="15.75" customHeight="1">
      <c r="A3248" s="1" t="s">
        <v>6400</v>
      </c>
      <c r="B3248" s="1" t="s">
        <v>6403</v>
      </c>
      <c r="C3248" s="1"/>
      <c r="D3248" s="1" t="str">
        <f>IFERROR(__xludf.DUMMYFUNCTION("GOOGLETRANSLATE(A3248 , ""auto"", ""ar"")"),"طاولة")</f>
        <v>طاولة</v>
      </c>
    </row>
    <row r="3249" ht="15.75" customHeight="1">
      <c r="A3249" s="1" t="s">
        <v>6404</v>
      </c>
      <c r="B3249" s="1" t="s">
        <v>6405</v>
      </c>
      <c r="C3249" s="1"/>
      <c r="D3249" s="1" t="str">
        <f>IFERROR(__xludf.DUMMYFUNCTION("GOOGLETRANSLATE(A3249 , ""auto"", ""ar"")"),"غطاء طاولة")</f>
        <v>غطاء طاولة</v>
      </c>
    </row>
    <row r="3250" ht="15.75" customHeight="1">
      <c r="A3250" s="1" t="s">
        <v>6404</v>
      </c>
      <c r="B3250" s="1" t="s">
        <v>6406</v>
      </c>
      <c r="C3250" s="1"/>
      <c r="D3250" s="1" t="str">
        <f>IFERROR(__xludf.DUMMYFUNCTION("GOOGLETRANSLATE(A3250 , ""auto"", ""ar"")"),"غطاء طاولة")</f>
        <v>غطاء طاولة</v>
      </c>
    </row>
    <row r="3251" ht="15.75" customHeight="1">
      <c r="A3251" s="1" t="s">
        <v>6407</v>
      </c>
      <c r="B3251" s="1" t="s">
        <v>6113</v>
      </c>
      <c r="C3251" s="1"/>
      <c r="D3251" s="1" t="str">
        <f>IFERROR(__xludf.DUMMYFUNCTION("GOOGLETRANSLATE(A3251 , ""auto"", ""ar"")"),"ملعقة طعام")</f>
        <v>ملعقة طعام</v>
      </c>
    </row>
    <row r="3252" ht="15.75" customHeight="1">
      <c r="A3252" s="1" t="s">
        <v>6407</v>
      </c>
      <c r="B3252" s="1" t="s">
        <v>4161</v>
      </c>
      <c r="C3252" s="1"/>
      <c r="D3252" s="1" t="str">
        <f>IFERROR(__xludf.DUMMYFUNCTION("GOOGLETRANSLATE(A3252 , ""auto"", ""ar"")"),"ملعقة طعام")</f>
        <v>ملعقة طعام</v>
      </c>
    </row>
    <row r="3253" ht="15.75" customHeight="1">
      <c r="A3253" s="1" t="s">
        <v>6408</v>
      </c>
      <c r="B3253" s="1" t="s">
        <v>1231</v>
      </c>
      <c r="C3253" s="1"/>
      <c r="D3253" s="1" t="str">
        <f>IFERROR(__xludf.DUMMYFUNCTION("GOOGLETRANSLATE(A3253 , ""auto"", ""ar"")"),"لوح")</f>
        <v>لوح</v>
      </c>
    </row>
    <row r="3254" ht="15.75" customHeight="1">
      <c r="A3254" s="1" t="s">
        <v>6409</v>
      </c>
      <c r="B3254" s="1" t="s">
        <v>6410</v>
      </c>
      <c r="C3254" s="2" t="s">
        <v>6411</v>
      </c>
      <c r="D3254" s="1" t="str">
        <f>IFERROR(__xludf.DUMMYFUNCTION("GOOGLETRANSLATE(A3254 , ""auto"", ""ar"")"),"تاجين")</f>
        <v>تاجين</v>
      </c>
    </row>
    <row r="3255" ht="15.75" customHeight="1">
      <c r="A3255" s="1" t="s">
        <v>6412</v>
      </c>
      <c r="B3255" s="1" t="s">
        <v>2240</v>
      </c>
      <c r="C3255" s="2" t="s">
        <v>6413</v>
      </c>
      <c r="D3255" s="1" t="str">
        <f>IFERROR(__xludf.DUMMYFUNCTION("GOOGLETRANSLATE(A3255 , ""auto"", ""ar"")"),"خياط")</f>
        <v>خياط</v>
      </c>
    </row>
    <row r="3256" ht="15.75" customHeight="1">
      <c r="A3256" s="1" t="s">
        <v>6414</v>
      </c>
      <c r="B3256" s="1" t="s">
        <v>3606</v>
      </c>
      <c r="C3256" s="2" t="s">
        <v>3607</v>
      </c>
      <c r="D3256" s="1" t="str">
        <f>IFERROR(__xludf.DUMMYFUNCTION("GOOGLETRANSLATE(A3256 , ""auto"", ""ar"")"),"يأخذ")</f>
        <v>يأخذ</v>
      </c>
    </row>
    <row r="3257" ht="15.75" customHeight="1">
      <c r="A3257" s="1" t="s">
        <v>6414</v>
      </c>
      <c r="B3257" s="1" t="s">
        <v>6415</v>
      </c>
      <c r="C3257" s="2" t="s">
        <v>6416</v>
      </c>
      <c r="D3257" s="1" t="str">
        <f>IFERROR(__xludf.DUMMYFUNCTION("GOOGLETRANSLATE(A3257 , ""auto"", ""ar"")"),"يأخذ")</f>
        <v>يأخذ</v>
      </c>
    </row>
    <row r="3258" ht="15.75" customHeight="1">
      <c r="A3258" s="1" t="s">
        <v>6414</v>
      </c>
      <c r="B3258" s="1" t="s">
        <v>1249</v>
      </c>
      <c r="C3258" s="2" t="s">
        <v>1250</v>
      </c>
      <c r="D3258" s="1" t="str">
        <f>IFERROR(__xludf.DUMMYFUNCTION("GOOGLETRANSLATE(A3258 , ""auto"", ""ar"")"),"يأخذ")</f>
        <v>يأخذ</v>
      </c>
    </row>
    <row r="3259" ht="15.75" customHeight="1">
      <c r="A3259" s="1" t="s">
        <v>6414</v>
      </c>
      <c r="B3259" s="1" t="s">
        <v>6417</v>
      </c>
      <c r="C3259" s="2" t="s">
        <v>6418</v>
      </c>
      <c r="D3259" s="1" t="str">
        <f>IFERROR(__xludf.DUMMYFUNCTION("GOOGLETRANSLATE(A3259 , ""auto"", ""ar"")"),"يأخذ")</f>
        <v>يأخذ</v>
      </c>
    </row>
    <row r="3260" ht="15.75" customHeight="1">
      <c r="A3260" s="1" t="s">
        <v>6419</v>
      </c>
      <c r="B3260" s="1" t="s">
        <v>6420</v>
      </c>
      <c r="C3260" s="2" t="s">
        <v>6421</v>
      </c>
      <c r="D3260" s="1" t="str">
        <f>IFERROR(__xludf.DUMMYFUNCTION("GOOGLETRANSLATE(A3260 , ""auto"", ""ar"")"),"التقاط صورة")</f>
        <v>التقاط صورة</v>
      </c>
    </row>
    <row r="3261" ht="15.75" customHeight="1">
      <c r="A3261" s="1" t="s">
        <v>6419</v>
      </c>
      <c r="B3261" s="1" t="s">
        <v>6422</v>
      </c>
      <c r="C3261" s="2" t="s">
        <v>6423</v>
      </c>
      <c r="D3261" s="1" t="str">
        <f>IFERROR(__xludf.DUMMYFUNCTION("GOOGLETRANSLATE(A3261 , ""auto"", ""ar"")"),"التقاط صورة")</f>
        <v>التقاط صورة</v>
      </c>
    </row>
    <row r="3262" ht="15.75" customHeight="1">
      <c r="A3262" s="1" t="s">
        <v>6424</v>
      </c>
      <c r="B3262" s="1" t="s">
        <v>5788</v>
      </c>
      <c r="C3262" s="1"/>
      <c r="D3262" s="1" t="str">
        <f>IFERROR(__xludf.DUMMYFUNCTION("GOOGLETRANSLATE(A3262 , ""auto"", ""ar"")"),"خذ حماما")</f>
        <v>خذ حماما</v>
      </c>
    </row>
    <row r="3263" ht="15.75" customHeight="1">
      <c r="A3263" s="1" t="s">
        <v>6425</v>
      </c>
      <c r="B3263" s="1" t="s">
        <v>3159</v>
      </c>
      <c r="C3263" s="2" t="s">
        <v>3160</v>
      </c>
      <c r="D3263" s="1" t="str">
        <f>IFERROR(__xludf.DUMMYFUNCTION("GOOGLETRANSLATE(A3263 , ""auto"", ""ar"")"),"تأخذ نزهة")</f>
        <v>تأخذ نزهة</v>
      </c>
    </row>
    <row r="3264" ht="15.75" customHeight="1">
      <c r="A3264" s="1" t="s">
        <v>6425</v>
      </c>
      <c r="B3264" s="1" t="s">
        <v>3161</v>
      </c>
      <c r="C3264" s="2" t="s">
        <v>3162</v>
      </c>
      <c r="D3264" s="1" t="str">
        <f>IFERROR(__xludf.DUMMYFUNCTION("GOOGLETRANSLATE(A3264 , ""auto"", ""ar"")"),"تأخذ نزهة")</f>
        <v>تأخذ نزهة</v>
      </c>
    </row>
    <row r="3265" ht="15.75" customHeight="1">
      <c r="A3265" s="1" t="s">
        <v>6425</v>
      </c>
      <c r="B3265" s="1" t="s">
        <v>3163</v>
      </c>
      <c r="C3265" s="2" t="s">
        <v>3164</v>
      </c>
      <c r="D3265" s="1" t="str">
        <f>IFERROR(__xludf.DUMMYFUNCTION("GOOGLETRANSLATE(A3265 , ""auto"", ""ar"")"),"تأخذ نزهة")</f>
        <v>تأخذ نزهة</v>
      </c>
    </row>
    <row r="3266" ht="15.75" customHeight="1">
      <c r="A3266" s="1" t="s">
        <v>6426</v>
      </c>
      <c r="B3266" s="1" t="s">
        <v>6427</v>
      </c>
      <c r="C3266" s="2" t="s">
        <v>6428</v>
      </c>
      <c r="D3266" s="1" t="str">
        <f>IFERROR(__xludf.DUMMYFUNCTION("GOOGLETRANSLATE(A3266 , ""auto"", ""ar"")"),"يعتني")</f>
        <v>يعتني</v>
      </c>
    </row>
    <row r="3267" ht="15.75" customHeight="1">
      <c r="A3267" s="1" t="s">
        <v>6426</v>
      </c>
      <c r="B3267" s="1" t="s">
        <v>613</v>
      </c>
      <c r="C3267" s="1"/>
      <c r="D3267" s="1" t="str">
        <f>IFERROR(__xludf.DUMMYFUNCTION("GOOGLETRANSLATE(A3267 , ""auto"", ""ar"")"),"يعتني")</f>
        <v>يعتني</v>
      </c>
    </row>
    <row r="3268" ht="15.75" customHeight="1">
      <c r="A3268" s="1" t="s">
        <v>6426</v>
      </c>
      <c r="B3268" s="1" t="s">
        <v>953</v>
      </c>
      <c r="C3268" s="2" t="s">
        <v>601</v>
      </c>
      <c r="D3268" s="1" t="str">
        <f>IFERROR(__xludf.DUMMYFUNCTION("GOOGLETRANSLATE(A3268 , ""auto"", ""ar"")"),"يعتني")</f>
        <v>يعتني</v>
      </c>
    </row>
    <row r="3269" ht="15.75" customHeight="1">
      <c r="A3269" s="1" t="s">
        <v>6429</v>
      </c>
      <c r="B3269" s="1" t="s">
        <v>6430</v>
      </c>
      <c r="C3269" s="1"/>
      <c r="D3269" s="1" t="str">
        <f>IFERROR(__xludf.DUMMYFUNCTION("GOOGLETRANSLATE(A3269 , ""auto"", ""ar"")"),"خذ الأدوية")</f>
        <v>خذ الأدوية</v>
      </c>
    </row>
    <row r="3270" ht="15.75" customHeight="1">
      <c r="A3270" s="1" t="s">
        <v>6431</v>
      </c>
      <c r="B3270" s="1" t="s">
        <v>6432</v>
      </c>
      <c r="C3270" s="2" t="s">
        <v>6433</v>
      </c>
      <c r="D3270" s="1" t="str">
        <f>IFERROR(__xludf.DUMMYFUNCTION("GOOGLETRANSLATE(A3270 , ""auto"", ""ar"")"),"اخلع")</f>
        <v>اخلع</v>
      </c>
    </row>
    <row r="3271" ht="15.75" customHeight="1">
      <c r="A3271" s="1" t="s">
        <v>6431</v>
      </c>
      <c r="B3271" s="1" t="s">
        <v>6434</v>
      </c>
      <c r="C3271" s="1"/>
      <c r="D3271" s="1" t="str">
        <f>IFERROR(__xludf.DUMMYFUNCTION("GOOGLETRANSLATE(A3271 , ""auto"", ""ar"")"),"اخلع")</f>
        <v>اخلع</v>
      </c>
    </row>
    <row r="3272" ht="15.75" customHeight="1">
      <c r="A3272" s="1" t="s">
        <v>6435</v>
      </c>
      <c r="B3272" s="1" t="s">
        <v>3085</v>
      </c>
      <c r="C3272" s="2" t="s">
        <v>3086</v>
      </c>
      <c r="D3272" s="1" t="str">
        <f>IFERROR(__xludf.DUMMYFUNCTION("GOOGLETRANSLATE(A3272 , ""auto"", ""ar"")"),"أخرج")</f>
        <v>أخرج</v>
      </c>
    </row>
    <row r="3273" ht="15.75" customHeight="1">
      <c r="A3273" s="1" t="s">
        <v>6435</v>
      </c>
      <c r="B3273" s="1" t="s">
        <v>3087</v>
      </c>
      <c r="C3273" s="2" t="s">
        <v>3088</v>
      </c>
      <c r="D3273" s="1" t="str">
        <f>IFERROR(__xludf.DUMMYFUNCTION("GOOGLETRANSLATE(A3273 , ""auto"", ""ar"")"),"أخرج")</f>
        <v>أخرج</v>
      </c>
    </row>
    <row r="3274" ht="15.75" customHeight="1">
      <c r="A3274" s="1" t="s">
        <v>6436</v>
      </c>
      <c r="B3274" s="1" t="s">
        <v>454</v>
      </c>
      <c r="C3274" s="2" t="s">
        <v>455</v>
      </c>
      <c r="D3274" s="1" t="str">
        <f>IFERROR(__xludf.DUMMYFUNCTION("GOOGLETRANSLATE(A3274 , ""auto"", ""ar"")"),"الأخذ بالثأر")</f>
        <v>الأخذ بالثأر</v>
      </c>
    </row>
    <row r="3275" ht="15.75" customHeight="1">
      <c r="A3275" s="1" t="s">
        <v>6437</v>
      </c>
      <c r="B3275" s="1" t="s">
        <v>6438</v>
      </c>
      <c r="C3275" s="1"/>
      <c r="D3275" s="1" t="str">
        <f>IFERROR(__xludf.DUMMYFUNCTION("GOOGLETRANSLATE(A3275 , ""auto"", ""ar"")"),"سرق")</f>
        <v>سرق</v>
      </c>
    </row>
    <row r="3276" ht="15.75" customHeight="1">
      <c r="A3276" s="1" t="s">
        <v>6439</v>
      </c>
      <c r="B3276" s="1" t="s">
        <v>6440</v>
      </c>
      <c r="C3276" s="2" t="s">
        <v>6441</v>
      </c>
      <c r="D3276" s="1" t="str">
        <f>IFERROR(__xludf.DUMMYFUNCTION("GOOGLETRANSLATE(A3276 , ""auto"", ""ar"")"),"الموهبة")</f>
        <v>الموهبة</v>
      </c>
    </row>
    <row r="3277" ht="15.75" customHeight="1">
      <c r="A3277" s="1" t="s">
        <v>6442</v>
      </c>
      <c r="B3277" s="1" t="s">
        <v>6079</v>
      </c>
      <c r="C3277" s="2" t="s">
        <v>6080</v>
      </c>
      <c r="D3277" s="1" t="str">
        <f>IFERROR(__xludf.DUMMYFUNCTION("GOOGLETRANSLATE(A3277 , ""auto"", ""ar"")"),"يتحدث")</f>
        <v>يتحدث</v>
      </c>
    </row>
    <row r="3278" ht="15.75" customHeight="1">
      <c r="A3278" s="1" t="s">
        <v>6442</v>
      </c>
      <c r="B3278" s="1" t="s">
        <v>6081</v>
      </c>
      <c r="C3278" s="2" t="s">
        <v>6082</v>
      </c>
      <c r="D3278" s="1" t="str">
        <f>IFERROR(__xludf.DUMMYFUNCTION("GOOGLETRANSLATE(A3278 , ""auto"", ""ar"")"),"يتحدث")</f>
        <v>يتحدث</v>
      </c>
    </row>
    <row r="3279" ht="15.75" customHeight="1">
      <c r="A3279" s="1" t="s">
        <v>6442</v>
      </c>
      <c r="B3279" s="1" t="s">
        <v>6083</v>
      </c>
      <c r="C3279" s="2" t="s">
        <v>6084</v>
      </c>
      <c r="D3279" s="1" t="str">
        <f>IFERROR(__xludf.DUMMYFUNCTION("GOOGLETRANSLATE(A3279 , ""auto"", ""ar"")"),"يتحدث")</f>
        <v>يتحدث</v>
      </c>
    </row>
    <row r="3280" ht="15.75" customHeight="1">
      <c r="A3280" s="1" t="s">
        <v>6442</v>
      </c>
      <c r="B3280" s="1" t="s">
        <v>6443</v>
      </c>
      <c r="C3280" s="2" t="s">
        <v>6444</v>
      </c>
      <c r="D3280" s="1" t="str">
        <f>IFERROR(__xludf.DUMMYFUNCTION("GOOGLETRANSLATE(A3280 , ""auto"", ""ar"")"),"يتحدث")</f>
        <v>يتحدث</v>
      </c>
    </row>
    <row r="3281" ht="15.75" customHeight="1">
      <c r="A3281" s="1" t="s">
        <v>6442</v>
      </c>
      <c r="B3281" s="1" t="s">
        <v>6445</v>
      </c>
      <c r="C3281" s="2" t="s">
        <v>6446</v>
      </c>
      <c r="D3281" s="1" t="str">
        <f>IFERROR(__xludf.DUMMYFUNCTION("GOOGLETRANSLATE(A3281 , ""auto"", ""ar"")"),"يتحدث")</f>
        <v>يتحدث</v>
      </c>
    </row>
    <row r="3282" ht="15.75" customHeight="1">
      <c r="A3282" s="1" t="s">
        <v>6447</v>
      </c>
      <c r="B3282" s="1" t="s">
        <v>4411</v>
      </c>
      <c r="C3282" s="2" t="s">
        <v>4412</v>
      </c>
      <c r="D3282" s="1" t="str">
        <f>IFERROR(__xludf.DUMMYFUNCTION("GOOGLETRANSLATE(A3282 , ""auto"", ""ar"")"),"طويل")</f>
        <v>طويل</v>
      </c>
    </row>
    <row r="3283" ht="15.75" customHeight="1">
      <c r="A3283" s="1" t="s">
        <v>6448</v>
      </c>
      <c r="B3283" s="1" t="s">
        <v>6449</v>
      </c>
      <c r="C3283" s="2" t="s">
        <v>6450</v>
      </c>
      <c r="D3283" s="1" t="str">
        <f>IFERROR(__xludf.DUMMYFUNCTION("GOOGLETRANSLATE(A3283 , ""auto"", ""ar"")"),"أطول")</f>
        <v>أطول</v>
      </c>
    </row>
    <row r="3284" ht="15.75" customHeight="1">
      <c r="A3284" s="1" t="s">
        <v>6451</v>
      </c>
      <c r="B3284" s="1" t="s">
        <v>6452</v>
      </c>
      <c r="C3284" s="2" t="s">
        <v>6453</v>
      </c>
      <c r="D3284" s="1" t="str">
        <f>IFERROR(__xludf.DUMMYFUNCTION("GOOGLETRANSLATE(A3284 , ""auto"", ""ar"")"),"طنانة")</f>
        <v>طنانة</v>
      </c>
    </row>
    <row r="3285" ht="15.75" customHeight="1">
      <c r="A3285" s="1" t="s">
        <v>6454</v>
      </c>
      <c r="B3285" s="1" t="s">
        <v>6455</v>
      </c>
      <c r="C3285" s="2" t="s">
        <v>6456</v>
      </c>
      <c r="D3285" s="1" t="str">
        <f>IFERROR(__xludf.DUMMYFUNCTION("GOOGLETRANSLATE(A3285 , ""auto"", ""ar"")"),"مقبض")</f>
        <v>مقبض</v>
      </c>
    </row>
    <row r="3286" ht="15.75" customHeight="1">
      <c r="A3286" s="1" t="s">
        <v>6457</v>
      </c>
      <c r="B3286" s="1" t="s">
        <v>6458</v>
      </c>
      <c r="C3286" s="2" t="s">
        <v>6459</v>
      </c>
      <c r="D3286" s="1" t="str">
        <f>IFERROR(__xludf.DUMMYFUNCTION("GOOGLETRANSLATE(A3286 , ""auto"", ""ar"")"),"مدرج")</f>
        <v>مدرج</v>
      </c>
    </row>
    <row r="3287" ht="15.75" customHeight="1">
      <c r="A3287" s="1" t="s">
        <v>6460</v>
      </c>
      <c r="B3287" s="1" t="s">
        <v>6461</v>
      </c>
      <c r="C3287" s="2" t="s">
        <v>6462</v>
      </c>
      <c r="D3287" s="1" t="str">
        <f>IFERROR(__xludf.DUMMYFUNCTION("GOOGLETRANSLATE(A3287 , ""auto"", ""ar"")"),"ذوق")</f>
        <v>ذوق</v>
      </c>
    </row>
    <row r="3288" ht="15.75" customHeight="1">
      <c r="A3288" s="1" t="s">
        <v>6460</v>
      </c>
      <c r="B3288" s="1" t="s">
        <v>6463</v>
      </c>
      <c r="C3288" s="1"/>
      <c r="D3288" s="1" t="str">
        <f>IFERROR(__xludf.DUMMYFUNCTION("GOOGLETRANSLATE(A3288 , ""auto"", ""ar"")"),"ذوق")</f>
        <v>ذوق</v>
      </c>
    </row>
    <row r="3289" ht="15.75" customHeight="1">
      <c r="A3289" s="1" t="s">
        <v>6460</v>
      </c>
      <c r="B3289" s="1" t="s">
        <v>6464</v>
      </c>
      <c r="C3289" s="2" t="s">
        <v>6465</v>
      </c>
      <c r="D3289" s="1" t="str">
        <f>IFERROR(__xludf.DUMMYFUNCTION("GOOGLETRANSLATE(A3289 , ""auto"", ""ar"")"),"ذوق")</f>
        <v>ذوق</v>
      </c>
    </row>
    <row r="3290" ht="15.75" customHeight="1">
      <c r="A3290" s="1" t="s">
        <v>6466</v>
      </c>
      <c r="B3290" s="1" t="s">
        <v>6467</v>
      </c>
      <c r="C3290" s="2" t="s">
        <v>6468</v>
      </c>
      <c r="D3290" s="1" t="str">
        <f>IFERROR(__xludf.DUMMYFUNCTION("GOOGLETRANSLATE(A3290 , ""auto"", ""ar"")"),"ضريبة")</f>
        <v>ضريبة</v>
      </c>
    </row>
    <row r="3291" ht="15.75" customHeight="1">
      <c r="A3291" s="1" t="s">
        <v>6469</v>
      </c>
      <c r="B3291" s="1" t="s">
        <v>6470</v>
      </c>
      <c r="C3291" s="2" t="s">
        <v>6471</v>
      </c>
      <c r="D3291" s="1" t="str">
        <f>IFERROR(__xludf.DUMMYFUNCTION("GOOGLETRANSLATE(A3291 , ""auto"", ""ar"")"),"سيارة اجره")</f>
        <v>سيارة اجره</v>
      </c>
    </row>
    <row r="3292" ht="15.75" customHeight="1">
      <c r="A3292" s="1" t="s">
        <v>6472</v>
      </c>
      <c r="B3292" s="1" t="s">
        <v>1106</v>
      </c>
      <c r="C3292" s="1"/>
      <c r="D3292" s="1" t="str">
        <f>IFERROR(__xludf.DUMMYFUNCTION("GOOGLETRANSLATE(A3292 , ""auto"", ""ar"")"),"موقف سيارات الأجرة")</f>
        <v>موقف سيارات الأجرة</v>
      </c>
    </row>
    <row r="3293" ht="15.75" customHeight="1">
      <c r="A3293" s="1" t="s">
        <v>6473</v>
      </c>
      <c r="B3293" s="1" t="s">
        <v>6474</v>
      </c>
      <c r="C3293" s="2" t="s">
        <v>6475</v>
      </c>
      <c r="D3293" s="1" t="str">
        <f>IFERROR(__xludf.DUMMYFUNCTION("GOOGLETRANSLATE(A3293 , ""auto"", ""ar"")"),"شاي")</f>
        <v>شاي</v>
      </c>
    </row>
    <row r="3294" ht="15.75" customHeight="1">
      <c r="A3294" s="1" t="s">
        <v>6476</v>
      </c>
      <c r="B3294" s="1" t="s">
        <v>6477</v>
      </c>
      <c r="C3294" s="2" t="s">
        <v>6478</v>
      </c>
      <c r="D3294" s="1" t="str">
        <f>IFERROR(__xludf.DUMMYFUNCTION("GOOGLETRANSLATE(A3294 , ""auto"", ""ar"")"),"يعلم")</f>
        <v>يعلم</v>
      </c>
    </row>
    <row r="3295" ht="15.75" customHeight="1">
      <c r="A3295" s="1" t="s">
        <v>6476</v>
      </c>
      <c r="B3295" s="1" t="s">
        <v>6479</v>
      </c>
      <c r="C3295" s="2" t="s">
        <v>6480</v>
      </c>
      <c r="D3295" s="1" t="str">
        <f>IFERROR(__xludf.DUMMYFUNCTION("GOOGLETRANSLATE(A3295 , ""auto"", ""ar"")"),"يعلم")</f>
        <v>يعلم</v>
      </c>
    </row>
    <row r="3296" ht="15.75" customHeight="1">
      <c r="A3296" s="1" t="s">
        <v>6481</v>
      </c>
      <c r="B3296" s="1" t="s">
        <v>6482</v>
      </c>
      <c r="C3296" s="2" t="s">
        <v>6483</v>
      </c>
      <c r="D3296" s="1" t="str">
        <f>IFERROR(__xludf.DUMMYFUNCTION("GOOGLETRANSLATE(A3296 , ""auto"", ""ar"")"),"مدرس")</f>
        <v>مدرس</v>
      </c>
    </row>
    <row r="3297" ht="15.75" customHeight="1">
      <c r="A3297" s="1" t="s">
        <v>6484</v>
      </c>
      <c r="B3297" s="1" t="s">
        <v>6485</v>
      </c>
      <c r="C3297" s="2" t="s">
        <v>6486</v>
      </c>
      <c r="D3297" s="1" t="str">
        <f>IFERROR(__xludf.DUMMYFUNCTION("GOOGLETRANSLATE(A3297 , ""auto"", ""ar"")"),"ابريق الشاي")</f>
        <v>ابريق الشاي</v>
      </c>
    </row>
    <row r="3298" ht="15.75" customHeight="1">
      <c r="A3298" s="1" t="s">
        <v>6487</v>
      </c>
      <c r="B3298" s="1" t="s">
        <v>6488</v>
      </c>
      <c r="C3298" s="2" t="s">
        <v>6489</v>
      </c>
      <c r="D3298" s="1" t="str">
        <f>IFERROR(__xludf.DUMMYFUNCTION("GOOGLETRANSLATE(A3298 , ""auto"", ""ar"")"),"يٌقطِّع")</f>
        <v>يٌقطِّع</v>
      </c>
    </row>
    <row r="3299" ht="15.75" customHeight="1">
      <c r="A3299" s="1" t="s">
        <v>6490</v>
      </c>
      <c r="B3299" s="1" t="s">
        <v>6113</v>
      </c>
      <c r="C3299" s="2" t="s">
        <v>6491</v>
      </c>
      <c r="D3299" s="1" t="str">
        <f>IFERROR(__xludf.DUMMYFUNCTION("GOOGLETRANSLATE(A3299 , ""auto"", ""ar"")"),"ملعقة صغيرة")</f>
        <v>ملعقة صغيرة</v>
      </c>
    </row>
    <row r="3300" ht="15.75" customHeight="1">
      <c r="A3300" s="1" t="s">
        <v>6492</v>
      </c>
      <c r="B3300" s="1" t="s">
        <v>6493</v>
      </c>
      <c r="C3300" s="2" t="s">
        <v>6494</v>
      </c>
      <c r="D3300" s="1" t="str">
        <f>IFERROR(__xludf.DUMMYFUNCTION("GOOGLETRANSLATE(A3300 , ""auto"", ""ar"")"),"اِصطِلاحِيّ")</f>
        <v>اِصطِلاحِيّ</v>
      </c>
    </row>
    <row r="3301" ht="15.75" customHeight="1">
      <c r="A3301" s="1" t="s">
        <v>6495</v>
      </c>
      <c r="B3301" s="1" t="s">
        <v>6496</v>
      </c>
      <c r="C3301" s="2" t="s">
        <v>6497</v>
      </c>
      <c r="D3301" s="1" t="str">
        <f>IFERROR(__xludf.DUMMYFUNCTION("GOOGLETRANSLATE(A3301 , ""auto"", ""ar"")"),"مراهقة")</f>
        <v>مراهقة</v>
      </c>
    </row>
    <row r="3302" ht="15.75" customHeight="1">
      <c r="A3302" s="1" t="s">
        <v>6498</v>
      </c>
      <c r="B3302" s="1" t="s">
        <v>1292</v>
      </c>
      <c r="C3302" s="2" t="s">
        <v>1293</v>
      </c>
      <c r="D3302" s="1" t="str">
        <f>IFERROR(__xludf.DUMMYFUNCTION("GOOGLETRANSLATE(A3302 , ""auto"", ""ar"")"),"هاتف")</f>
        <v>هاتف</v>
      </c>
    </row>
    <row r="3303" ht="15.75" customHeight="1">
      <c r="A3303" s="1" t="s">
        <v>6498</v>
      </c>
      <c r="B3303" s="1" t="s">
        <v>1168</v>
      </c>
      <c r="C3303" s="2" t="s">
        <v>1169</v>
      </c>
      <c r="D3303" s="1" t="str">
        <f>IFERROR(__xludf.DUMMYFUNCTION("GOOGLETRANSLATE(A3303 , ""auto"", ""ar"")"),"هاتف")</f>
        <v>هاتف</v>
      </c>
    </row>
    <row r="3304" ht="15.75" customHeight="1">
      <c r="A3304" s="1" t="s">
        <v>6498</v>
      </c>
      <c r="B3304" s="1" t="s">
        <v>1170</v>
      </c>
      <c r="C3304" s="2" t="s">
        <v>1171</v>
      </c>
      <c r="D3304" s="1" t="str">
        <f>IFERROR(__xludf.DUMMYFUNCTION("GOOGLETRANSLATE(A3304 , ""auto"", ""ar"")"),"هاتف")</f>
        <v>هاتف</v>
      </c>
    </row>
    <row r="3305" ht="15.75" customHeight="1">
      <c r="A3305" s="1" t="s">
        <v>6498</v>
      </c>
      <c r="B3305" s="1" t="s">
        <v>1172</v>
      </c>
      <c r="C3305" s="2" t="s">
        <v>1173</v>
      </c>
      <c r="D3305" s="1" t="str">
        <f>IFERROR(__xludf.DUMMYFUNCTION("GOOGLETRANSLATE(A3305 , ""auto"", ""ar"")"),"هاتف")</f>
        <v>هاتف</v>
      </c>
    </row>
    <row r="3306" ht="15.75" customHeight="1">
      <c r="A3306" s="1" t="s">
        <v>6499</v>
      </c>
      <c r="B3306" s="1" t="s">
        <v>6500</v>
      </c>
      <c r="C3306" s="2" t="s">
        <v>6501</v>
      </c>
      <c r="D3306" s="1" t="str">
        <f>IFERROR(__xludf.DUMMYFUNCTION("GOOGLETRANSLATE(A3306 , ""auto"", ""ar"")"),"التلفاز")</f>
        <v>التلفاز</v>
      </c>
    </row>
    <row r="3307" ht="15.75" customHeight="1">
      <c r="A3307" s="1" t="s">
        <v>6502</v>
      </c>
      <c r="B3307" s="1" t="s">
        <v>1174</v>
      </c>
      <c r="C3307" s="2" t="s">
        <v>1175</v>
      </c>
      <c r="D3307" s="1" t="str">
        <f>IFERROR(__xludf.DUMMYFUNCTION("GOOGLETRANSLATE(A3307 , ""auto"", ""ar"")"),"يخبر")</f>
        <v>يخبر</v>
      </c>
    </row>
    <row r="3308" ht="15.75" customHeight="1">
      <c r="A3308" s="1" t="s">
        <v>6502</v>
      </c>
      <c r="B3308" s="1" t="s">
        <v>1177</v>
      </c>
      <c r="C3308" s="2" t="s">
        <v>1178</v>
      </c>
      <c r="D3308" s="1" t="str">
        <f>IFERROR(__xludf.DUMMYFUNCTION("GOOGLETRANSLATE(A3308 , ""auto"", ""ar"")"),"يخبر")</f>
        <v>يخبر</v>
      </c>
    </row>
    <row r="3309" ht="15.75" customHeight="1">
      <c r="A3309" s="1" t="s">
        <v>6503</v>
      </c>
      <c r="B3309" s="1" t="s">
        <v>2673</v>
      </c>
      <c r="C3309" s="2" t="s">
        <v>2674</v>
      </c>
      <c r="D3309" s="1" t="str">
        <f>IFERROR(__xludf.DUMMYFUNCTION("GOOGLETRANSLATE(A3309 , ""auto"", ""ar"")"),"درجة حرارة")</f>
        <v>درجة حرارة</v>
      </c>
    </row>
    <row r="3310" ht="15.75" customHeight="1">
      <c r="A3310" s="1" t="s">
        <v>6504</v>
      </c>
      <c r="B3310" s="1" t="s">
        <v>6505</v>
      </c>
      <c r="C3310" s="2" t="s">
        <v>6506</v>
      </c>
      <c r="D3310" s="1" t="str">
        <f>IFERROR(__xludf.DUMMYFUNCTION("GOOGLETRANSLATE(A3310 , ""auto"", ""ar"")"),"عشرة")</f>
        <v>عشرة</v>
      </c>
    </row>
    <row r="3311" ht="15.75" customHeight="1">
      <c r="A3311" s="1" t="s">
        <v>6504</v>
      </c>
      <c r="B3311" s="1" t="s">
        <v>6507</v>
      </c>
      <c r="C3311" s="2" t="s">
        <v>6508</v>
      </c>
      <c r="D3311" s="1" t="str">
        <f>IFERROR(__xludf.DUMMYFUNCTION("GOOGLETRANSLATE(A3311 , ""auto"", ""ar"")"),"عشرة")</f>
        <v>عشرة</v>
      </c>
    </row>
    <row r="3312" ht="15.75" customHeight="1">
      <c r="A3312" s="1" t="s">
        <v>6509</v>
      </c>
      <c r="B3312" s="1" t="s">
        <v>6510</v>
      </c>
      <c r="C3312" s="2" t="s">
        <v>6511</v>
      </c>
      <c r="D3312" s="1" t="str">
        <f>IFERROR(__xludf.DUMMYFUNCTION("GOOGLETRANSLATE(A3312 , ""auto"", ""ar"")"),"عشر دقائق")</f>
        <v>عشر دقائق</v>
      </c>
    </row>
    <row r="3313" ht="15.75" customHeight="1">
      <c r="A3313" s="1" t="s">
        <v>6512</v>
      </c>
      <c r="B3313" s="1" t="s">
        <v>6513</v>
      </c>
      <c r="C3313" s="2" t="s">
        <v>6514</v>
      </c>
      <c r="D3313" s="1" t="str">
        <f>IFERROR(__xludf.DUMMYFUNCTION("GOOGLETRANSLATE(A3313 , ""auto"", ""ar"")"),"تنس")</f>
        <v>تنس</v>
      </c>
    </row>
    <row r="3314" ht="15.75" customHeight="1">
      <c r="A3314" s="1" t="s">
        <v>6515</v>
      </c>
      <c r="B3314" s="1" t="s">
        <v>6516</v>
      </c>
      <c r="C3314" s="2" t="s">
        <v>6517</v>
      </c>
      <c r="D3314" s="1" t="str">
        <f>IFERROR(__xludf.DUMMYFUNCTION("GOOGLETRANSLATE(A3314 , ""auto"", ""ar"")"),"العاشر")</f>
        <v>العاشر</v>
      </c>
    </row>
    <row r="3315" ht="15.75" customHeight="1">
      <c r="A3315" s="1" t="s">
        <v>6518</v>
      </c>
      <c r="B3315" s="1" t="s">
        <v>6519</v>
      </c>
      <c r="C3315" s="2" t="s">
        <v>6520</v>
      </c>
      <c r="D3315" s="1" t="str">
        <f>IFERROR(__xludf.DUMMYFUNCTION("GOOGLETRANSLATE(A3315 , ""auto"", ""ar"")"),"محطة")</f>
        <v>محطة</v>
      </c>
    </row>
    <row r="3316" ht="15.75" customHeight="1">
      <c r="A3316" s="1" t="s">
        <v>6521</v>
      </c>
      <c r="B3316" s="1" t="s">
        <v>2508</v>
      </c>
      <c r="C3316" s="2" t="s">
        <v>2509</v>
      </c>
      <c r="D3316" s="1" t="str">
        <f>IFERROR(__xludf.DUMMYFUNCTION("GOOGLETRANSLATE(A3316 , ""auto"", ""ar"")"),"امتحان")</f>
        <v>امتحان</v>
      </c>
    </row>
    <row r="3317" ht="15.75" customHeight="1">
      <c r="A3317" s="1" t="s">
        <v>6521</v>
      </c>
      <c r="B3317" s="1" t="s">
        <v>258</v>
      </c>
      <c r="C3317" s="2" t="s">
        <v>259</v>
      </c>
      <c r="D3317" s="1" t="str">
        <f>IFERROR(__xludf.DUMMYFUNCTION("GOOGLETRANSLATE(A3317 , ""auto"", ""ar"")"),"امتحان")</f>
        <v>امتحان</v>
      </c>
    </row>
    <row r="3318" ht="15.75" customHeight="1">
      <c r="A3318" s="1" t="s">
        <v>6522</v>
      </c>
      <c r="B3318" s="1" t="s">
        <v>4666</v>
      </c>
      <c r="C3318" s="2" t="s">
        <v>4667</v>
      </c>
      <c r="D3318" s="1" t="str">
        <f>IFERROR(__xludf.DUMMYFUNCTION("GOOGLETRANSLATE(A3318 , ""auto"", ""ar"")"),"رسالة نصية")</f>
        <v>رسالة نصية</v>
      </c>
    </row>
    <row r="3319" ht="15.75" customHeight="1">
      <c r="A3319" s="1" t="s">
        <v>6523</v>
      </c>
      <c r="B3319" s="1" t="s">
        <v>2858</v>
      </c>
      <c r="C3319" s="2" t="s">
        <v>2859</v>
      </c>
      <c r="D3319" s="1" t="str">
        <f>IFERROR(__xludf.DUMMYFUNCTION("GOOGLETRANSLATE(A3319 , ""auto"", ""ar"")"),"من")</f>
        <v>من</v>
      </c>
    </row>
    <row r="3320" ht="15.75" customHeight="1">
      <c r="A3320" s="1" t="s">
        <v>6524</v>
      </c>
      <c r="B3320" s="1" t="s">
        <v>6525</v>
      </c>
      <c r="C3320" s="2" t="s">
        <v>6526</v>
      </c>
      <c r="D3320" s="1" t="str">
        <f>IFERROR(__xludf.DUMMYFUNCTION("GOOGLETRANSLATE(A3320 , ""auto"", ""ar"")"),"شكر")</f>
        <v>شكر</v>
      </c>
    </row>
    <row r="3321" ht="15.75" customHeight="1">
      <c r="A3321" s="1" t="s">
        <v>6527</v>
      </c>
      <c r="B3321" s="1" t="s">
        <v>6528</v>
      </c>
      <c r="C3321" s="2" t="s">
        <v>6529</v>
      </c>
      <c r="D3321" s="1" t="str">
        <f>IFERROR(__xludf.DUMMYFUNCTION("GOOGLETRANSLATE(A3321 , ""auto"", ""ar"")"),"شكرًا لك")</f>
        <v>شكرًا لك</v>
      </c>
    </row>
    <row r="3322" ht="15.75" customHeight="1">
      <c r="A3322" s="1" t="s">
        <v>6527</v>
      </c>
      <c r="B3322" s="1" t="s">
        <v>6530</v>
      </c>
      <c r="C3322" s="2" t="s">
        <v>6531</v>
      </c>
      <c r="D3322" s="1" t="str">
        <f>IFERROR(__xludf.DUMMYFUNCTION("GOOGLETRANSLATE(A3322 , ""auto"", ""ar"")"),"شكرًا لك")</f>
        <v>شكرًا لك</v>
      </c>
    </row>
    <row r="3323" ht="15.75" customHeight="1">
      <c r="A3323" s="1" t="s">
        <v>6532</v>
      </c>
      <c r="B3323" s="1" t="s">
        <v>6533</v>
      </c>
      <c r="C3323" s="1"/>
      <c r="D3323" s="1" t="str">
        <f>IFERROR(__xludf.DUMMYFUNCTION("GOOGLETRANSLATE(A3323 , ""auto"", ""ar"")"),"شكرا ل")</f>
        <v>شكرا ل</v>
      </c>
    </row>
    <row r="3324" ht="15.75" customHeight="1">
      <c r="A3324" s="1" t="s">
        <v>6534</v>
      </c>
      <c r="B3324" s="1" t="s">
        <v>6535</v>
      </c>
      <c r="C3324" s="2" t="s">
        <v>6536</v>
      </c>
      <c r="D3324" s="1" t="str">
        <f>IFERROR(__xludf.DUMMYFUNCTION("GOOGLETRANSLATE(A3324 , ""auto"", ""ar"")"),"الذي - التي")</f>
        <v>الذي - التي</v>
      </c>
    </row>
    <row r="3325" ht="15.75" customHeight="1">
      <c r="A3325" s="1" t="s">
        <v>6534</v>
      </c>
      <c r="B3325" s="1" t="s">
        <v>6537</v>
      </c>
      <c r="C3325" s="2" t="s">
        <v>6538</v>
      </c>
      <c r="D3325" s="1" t="str">
        <f>IFERROR(__xludf.DUMMYFUNCTION("GOOGLETRANSLATE(A3325 , ""auto"", ""ar"")"),"الذي - التي")</f>
        <v>الذي - التي</v>
      </c>
    </row>
    <row r="3326" ht="15.75" customHeight="1">
      <c r="A3326" s="1" t="s">
        <v>6534</v>
      </c>
      <c r="B3326" s="1" t="s">
        <v>6539</v>
      </c>
      <c r="C3326" s="2" t="s">
        <v>6540</v>
      </c>
      <c r="D3326" s="1" t="str">
        <f>IFERROR(__xludf.DUMMYFUNCTION("GOOGLETRANSLATE(A3326 , ""auto"", ""ar"")"),"الذي - التي")</f>
        <v>الذي - التي</v>
      </c>
    </row>
    <row r="3327" ht="15.75" customHeight="1">
      <c r="A3327" s="1" t="s">
        <v>6534</v>
      </c>
      <c r="B3327" s="1" t="s">
        <v>6541</v>
      </c>
      <c r="C3327" s="2" t="s">
        <v>6542</v>
      </c>
      <c r="D3327" s="1" t="str">
        <f>IFERROR(__xludf.DUMMYFUNCTION("GOOGLETRANSLATE(A3327 , ""auto"", ""ar"")"),"الذي - التي")</f>
        <v>الذي - التي</v>
      </c>
    </row>
    <row r="3328" ht="15.75" customHeight="1">
      <c r="A3328" s="1" t="s">
        <v>6543</v>
      </c>
      <c r="B3328" s="1" t="s">
        <v>6537</v>
      </c>
      <c r="C3328" s="2" t="s">
        <v>6538</v>
      </c>
      <c r="D3328" s="1" t="str">
        <f>IFERROR(__xludf.DUMMYFUNCTION("GOOGLETRANSLATE(A3328 , ""auto"", ""ar"")"),"هذا")</f>
        <v>هذا</v>
      </c>
    </row>
    <row r="3329" ht="15.75" customHeight="1">
      <c r="A3329" s="1" t="s">
        <v>6543</v>
      </c>
      <c r="B3329" s="1" t="s">
        <v>6535</v>
      </c>
      <c r="C3329" s="2" t="s">
        <v>6536</v>
      </c>
      <c r="D3329" s="1" t="str">
        <f>IFERROR(__xludf.DUMMYFUNCTION("GOOGLETRANSLATE(A3329 , ""auto"", ""ar"")"),"هذا")</f>
        <v>هذا</v>
      </c>
    </row>
    <row r="3330" ht="15.75" customHeight="1">
      <c r="A3330" s="1" t="s">
        <v>6544</v>
      </c>
      <c r="B3330" s="1" t="s">
        <v>6545</v>
      </c>
      <c r="C3330" s="2" t="s">
        <v>6546</v>
      </c>
      <c r="D3330" s="1" t="str">
        <f>IFERROR(__xludf.DUMMYFUNCTION("GOOGLETRANSLATE(A3330 , ""auto"", ""ar"")"),"هذا الشيء")</f>
        <v>هذا الشيء</v>
      </c>
    </row>
    <row r="3331" ht="15.75" customHeight="1">
      <c r="A3331" s="1" t="s">
        <v>6547</v>
      </c>
      <c r="B3331" s="1" t="s">
        <v>6548</v>
      </c>
      <c r="C3331" s="2" t="s">
        <v>3914</v>
      </c>
      <c r="D3331" s="1" t="str">
        <f>IFERROR(__xludf.DUMMYFUNCTION("GOOGLETRANSLATE(A3331 , ""auto"", ""ar"")"),"هذا يكفي")</f>
        <v>هذا يكفي</v>
      </c>
    </row>
    <row r="3332" ht="15.75" customHeight="1">
      <c r="A3332" s="1" t="s">
        <v>6547</v>
      </c>
      <c r="B3332" s="1" t="s">
        <v>816</v>
      </c>
      <c r="C3332" s="2" t="s">
        <v>817</v>
      </c>
      <c r="D3332" s="1" t="str">
        <f>IFERROR(__xludf.DUMMYFUNCTION("GOOGLETRANSLATE(A3332 , ""auto"", ""ar"")"),"هذا يكفي")</f>
        <v>هذا يكفي</v>
      </c>
    </row>
    <row r="3333" ht="15.75" customHeight="1">
      <c r="A3333" s="1" t="s">
        <v>6549</v>
      </c>
      <c r="B3333" s="1" t="s">
        <v>6550</v>
      </c>
      <c r="C3333" s="2" t="s">
        <v>6551</v>
      </c>
      <c r="D3333" s="1" t="str">
        <f>IFERROR(__xludf.DUMMYFUNCTION("GOOGLETRANSLATE(A3333 , ""auto"", ""ar"")"),"بعد غد")</f>
        <v>بعد غد</v>
      </c>
    </row>
    <row r="3334" ht="15.75" customHeight="1">
      <c r="A3334" s="1" t="s">
        <v>6552</v>
      </c>
      <c r="B3334" s="1" t="s">
        <v>6553</v>
      </c>
      <c r="C3334" s="2" t="s">
        <v>6554</v>
      </c>
      <c r="D3334" s="1" t="str">
        <f>IFERROR(__xludf.DUMMYFUNCTION("GOOGLETRANSLATE(A3334 , ""auto"", ""ar"")"),"اليوم السابق لكستورد")</f>
        <v>اليوم السابق لكستورد</v>
      </c>
    </row>
    <row r="3335" ht="15.75" customHeight="1">
      <c r="A3335" s="1" t="s">
        <v>6555</v>
      </c>
      <c r="B3335" s="1" t="s">
        <v>6556</v>
      </c>
      <c r="C3335" s="2" t="s">
        <v>6557</v>
      </c>
      <c r="D3335" s="1" t="str">
        <f>IFERROR(__xludf.DUMMYFUNCTION("GOOGLETRANSLATE(A3335 , ""auto"", ""ar"")"),"نفس العمر")</f>
        <v>نفس العمر</v>
      </c>
    </row>
    <row r="3336" ht="15.75" customHeight="1">
      <c r="A3336" s="1" t="s">
        <v>6555</v>
      </c>
      <c r="B3336" s="1" t="s">
        <v>6558</v>
      </c>
      <c r="C3336" s="2" t="s">
        <v>6559</v>
      </c>
      <c r="D3336" s="1" t="str">
        <f>IFERROR(__xludf.DUMMYFUNCTION("GOOGLETRANSLATE(A3336 , ""auto"", ""ar"")"),"نفس العمر")</f>
        <v>نفس العمر</v>
      </c>
    </row>
    <row r="3337" ht="15.75" customHeight="1">
      <c r="A3337" s="1" t="s">
        <v>6560</v>
      </c>
      <c r="B3337" s="1" t="s">
        <v>6556</v>
      </c>
      <c r="C3337" s="2" t="s">
        <v>6557</v>
      </c>
      <c r="D3337" s="1" t="str">
        <f>IFERROR(__xludf.DUMMYFUNCTION("GOOGLETRANSLATE(A3337 , ""auto"", ""ar"")"),"نفس الحجم")</f>
        <v>نفس الحجم</v>
      </c>
    </row>
    <row r="3338" ht="15.75" customHeight="1">
      <c r="A3338" s="1" t="s">
        <v>6560</v>
      </c>
      <c r="B3338" s="1" t="s">
        <v>6558</v>
      </c>
      <c r="C3338" s="2" t="s">
        <v>6559</v>
      </c>
      <c r="D3338" s="1" t="str">
        <f>IFERROR(__xludf.DUMMYFUNCTION("GOOGLETRANSLATE(A3338 , ""auto"", ""ar"")"),"نفس الحجم")</f>
        <v>نفس الحجم</v>
      </c>
    </row>
    <row r="3339" ht="15.75" customHeight="1">
      <c r="A3339" s="1" t="s">
        <v>6561</v>
      </c>
      <c r="B3339" s="1" t="s">
        <v>6562</v>
      </c>
      <c r="C3339" s="2" t="s">
        <v>6563</v>
      </c>
      <c r="D3339" s="1" t="str">
        <f>IFERROR(__xludf.DUMMYFUNCTION("GOOGLETRANSLATE(A3339 , ""auto"", ""ar"")"),"سرقة")</f>
        <v>سرقة</v>
      </c>
    </row>
    <row r="3340" ht="15.75" customHeight="1">
      <c r="A3340" s="1" t="s">
        <v>6564</v>
      </c>
      <c r="B3340" s="1" t="s">
        <v>6565</v>
      </c>
      <c r="C3340" s="2" t="s">
        <v>6566</v>
      </c>
      <c r="D3340" s="1" t="str">
        <f>IFERROR(__xludf.DUMMYFUNCTION("GOOGLETRANSLATE(A3340 , ""auto"", ""ar"")"),"هُم")</f>
        <v>هُم</v>
      </c>
    </row>
    <row r="3341" ht="15.75" customHeight="1">
      <c r="A3341" s="1" t="s">
        <v>6564</v>
      </c>
      <c r="B3341" s="1" t="s">
        <v>6567</v>
      </c>
      <c r="C3341" s="2" t="s">
        <v>6568</v>
      </c>
      <c r="D3341" s="1" t="str">
        <f>IFERROR(__xludf.DUMMYFUNCTION("GOOGLETRANSLATE(A3341 , ""auto"", ""ar"")"),"هُم")</f>
        <v>هُم</v>
      </c>
    </row>
    <row r="3342" ht="15.75" customHeight="1">
      <c r="A3342" s="1" t="s">
        <v>6564</v>
      </c>
      <c r="B3342" s="1" t="s">
        <v>6569</v>
      </c>
      <c r="C3342" s="1"/>
      <c r="D3342" s="1" t="str">
        <f>IFERROR(__xludf.DUMMYFUNCTION("GOOGLETRANSLATE(A3342 , ""auto"", ""ar"")"),"هُم")</f>
        <v>هُم</v>
      </c>
    </row>
    <row r="3343" ht="15.75" customHeight="1">
      <c r="A3343" s="1" t="s">
        <v>6570</v>
      </c>
      <c r="B3343" s="1" t="s">
        <v>6571</v>
      </c>
      <c r="C3343" s="2" t="s">
        <v>6572</v>
      </c>
      <c r="D3343" s="1" t="str">
        <f>IFERROR(__xludf.DUMMYFUNCTION("GOOGLETRANSLATE(A3343 , ""auto"", ""ar"")"),"هناك")</f>
        <v>هناك</v>
      </c>
    </row>
    <row r="3344" ht="15.75" customHeight="1">
      <c r="A3344" s="1" t="s">
        <v>6573</v>
      </c>
      <c r="B3344" s="1" t="s">
        <v>6574</v>
      </c>
      <c r="C3344" s="2" t="s">
        <v>6575</v>
      </c>
      <c r="D3344" s="1" t="str">
        <f>IFERROR(__xludf.DUMMYFUNCTION("GOOGLETRANSLATE(A3344 , ""auto"", ""ar"")"),"هنالك")</f>
        <v>هنالك</v>
      </c>
    </row>
    <row r="3345" ht="15.75" customHeight="1">
      <c r="A3345" s="1" t="s">
        <v>6576</v>
      </c>
      <c r="B3345" s="1" t="s">
        <v>6577</v>
      </c>
      <c r="C3345" s="2" t="s">
        <v>6578</v>
      </c>
      <c r="D3345" s="1" t="str">
        <f>IFERROR(__xludf.DUMMYFUNCTION("GOOGLETRANSLATE(A3345 , ""auto"", ""ar"")"),"هؤلاء")</f>
        <v>هؤلاء</v>
      </c>
    </row>
    <row r="3346" ht="15.75" customHeight="1">
      <c r="A3346" s="1" t="s">
        <v>6576</v>
      </c>
      <c r="B3346" s="1" t="s">
        <v>6579</v>
      </c>
      <c r="C3346" s="2" t="s">
        <v>6580</v>
      </c>
      <c r="D3346" s="1" t="str">
        <f>IFERROR(__xludf.DUMMYFUNCTION("GOOGLETRANSLATE(A3346 , ""auto"", ""ar"")"),"هؤلاء")</f>
        <v>هؤلاء</v>
      </c>
    </row>
    <row r="3347" ht="15.75" customHeight="1">
      <c r="A3347" s="1" t="s">
        <v>6576</v>
      </c>
      <c r="B3347" s="1" t="s">
        <v>6579</v>
      </c>
      <c r="C3347" s="2" t="s">
        <v>6580</v>
      </c>
      <c r="D3347" s="1" t="str">
        <f>IFERROR(__xludf.DUMMYFUNCTION("GOOGLETRANSLATE(A3347 , ""auto"", ""ar"")"),"هؤلاء")</f>
        <v>هؤلاء</v>
      </c>
    </row>
    <row r="3348" ht="15.75" customHeight="1">
      <c r="A3348" s="1" t="s">
        <v>6581</v>
      </c>
      <c r="B3348" s="1" t="s">
        <v>6579</v>
      </c>
      <c r="C3348" s="2" t="s">
        <v>6580</v>
      </c>
      <c r="D3348" s="1" t="str">
        <f>IFERROR(__xludf.DUMMYFUNCTION("GOOGLETRANSLATE(A3348 , ""auto"", ""ar"")"),"هؤلاء")</f>
        <v>هؤلاء</v>
      </c>
    </row>
    <row r="3349" ht="15.75" customHeight="1">
      <c r="A3349" s="1" t="s">
        <v>6582</v>
      </c>
      <c r="B3349" s="1" t="s">
        <v>6583</v>
      </c>
      <c r="C3349" s="2" t="s">
        <v>6584</v>
      </c>
      <c r="D3349" s="1" t="str">
        <f>IFERROR(__xludf.DUMMYFUNCTION("GOOGLETRANSLATE(A3349 , ""auto"", ""ar"")"),"هم")</f>
        <v>هم</v>
      </c>
    </row>
    <row r="3350" ht="15.75" customHeight="1">
      <c r="A3350" s="1" t="s">
        <v>6585</v>
      </c>
      <c r="B3350" s="1" t="s">
        <v>2631</v>
      </c>
      <c r="C3350" s="2" t="s">
        <v>2632</v>
      </c>
      <c r="D3350" s="1" t="str">
        <f>IFERROR(__xludf.DUMMYFUNCTION("GOOGLETRANSLATE(A3350 , ""auto"", ""ar"")"),"سميك")</f>
        <v>سميك</v>
      </c>
    </row>
    <row r="3351" ht="15.75" customHeight="1">
      <c r="A3351" s="1" t="s">
        <v>6586</v>
      </c>
      <c r="B3351" s="1" t="s">
        <v>6587</v>
      </c>
      <c r="C3351" s="2" t="s">
        <v>6588</v>
      </c>
      <c r="D3351" s="1" t="str">
        <f>IFERROR(__xludf.DUMMYFUNCTION("GOOGLETRANSLATE(A3351 , ""auto"", ""ar"")"),"لص")</f>
        <v>لص</v>
      </c>
    </row>
    <row r="3352" ht="15.75" customHeight="1">
      <c r="A3352" s="1" t="s">
        <v>6586</v>
      </c>
      <c r="B3352" s="1" t="s">
        <v>6589</v>
      </c>
      <c r="C3352" s="2" t="s">
        <v>65</v>
      </c>
      <c r="D3352" s="1" t="str">
        <f>IFERROR(__xludf.DUMMYFUNCTION("GOOGLETRANSLATE(A3352 , ""auto"", ""ar"")"),"لص")</f>
        <v>لص</v>
      </c>
    </row>
    <row r="3353" ht="15.75" customHeight="1">
      <c r="A3353" s="1" t="s">
        <v>6586</v>
      </c>
      <c r="B3353" s="1" t="s">
        <v>1549</v>
      </c>
      <c r="C3353" s="2" t="s">
        <v>6590</v>
      </c>
      <c r="D3353" s="1" t="str">
        <f>IFERROR(__xludf.DUMMYFUNCTION("GOOGLETRANSLATE(A3353 , ""auto"", ""ar"")"),"لص")</f>
        <v>لص</v>
      </c>
    </row>
    <row r="3354" ht="15.75" customHeight="1">
      <c r="A3354" s="1" t="s">
        <v>6591</v>
      </c>
      <c r="B3354" s="1" t="s">
        <v>4246</v>
      </c>
      <c r="C3354" s="2" t="s">
        <v>4247</v>
      </c>
      <c r="D3354" s="1" t="str">
        <f>IFERROR(__xludf.DUMMYFUNCTION("GOOGLETRANSLATE(A3354 , ""auto"", ""ar"")"),"فخذ")</f>
        <v>فخذ</v>
      </c>
    </row>
    <row r="3355" ht="15.75" customHeight="1">
      <c r="A3355" s="1" t="s">
        <v>6592</v>
      </c>
      <c r="B3355" s="1" t="s">
        <v>6593</v>
      </c>
      <c r="C3355" s="2" t="s">
        <v>6594</v>
      </c>
      <c r="D3355" s="1" t="str">
        <f>IFERROR(__xludf.DUMMYFUNCTION("GOOGLETRANSLATE(A3355 , ""auto"", ""ar"")"),"رفيع")</f>
        <v>رفيع</v>
      </c>
    </row>
    <row r="3356" ht="15.75" customHeight="1">
      <c r="A3356" s="1" t="s">
        <v>6595</v>
      </c>
      <c r="B3356" s="1" t="s">
        <v>6596</v>
      </c>
      <c r="C3356" s="2" t="s">
        <v>6597</v>
      </c>
      <c r="D3356" s="1" t="str">
        <f>IFERROR(__xludf.DUMMYFUNCTION("GOOGLETRANSLATE(A3356 , ""auto"", ""ar"")"),"شيء")</f>
        <v>شيء</v>
      </c>
    </row>
    <row r="3357" ht="15.75" customHeight="1">
      <c r="A3357" s="1" t="s">
        <v>6595</v>
      </c>
      <c r="B3357" s="1" t="s">
        <v>6598</v>
      </c>
      <c r="C3357" s="1"/>
      <c r="D3357" s="1" t="str">
        <f>IFERROR(__xludf.DUMMYFUNCTION("GOOGLETRANSLATE(A3357 , ""auto"", ""ar"")"),"شيء")</f>
        <v>شيء</v>
      </c>
    </row>
    <row r="3358" ht="15.75" customHeight="1">
      <c r="A3358" s="1" t="s">
        <v>6595</v>
      </c>
      <c r="B3358" s="1" t="s">
        <v>6599</v>
      </c>
      <c r="C3358" s="1"/>
      <c r="D3358" s="1" t="str">
        <f>IFERROR(__xludf.DUMMYFUNCTION("GOOGLETRANSLATE(A3358 , ""auto"", ""ar"")"),"شيء")</f>
        <v>شيء</v>
      </c>
    </row>
    <row r="3359" ht="15.75" customHeight="1">
      <c r="A3359" s="1" t="s">
        <v>6600</v>
      </c>
      <c r="B3359" s="1" t="s">
        <v>6601</v>
      </c>
      <c r="C3359" s="2" t="s">
        <v>6602</v>
      </c>
      <c r="D3359" s="1" t="str">
        <f>IFERROR(__xludf.DUMMYFUNCTION("GOOGLETRANSLATE(A3359 , ""auto"", ""ar"")"),"يفكر")</f>
        <v>يفكر</v>
      </c>
    </row>
    <row r="3360" ht="15.75" customHeight="1">
      <c r="A3360" s="1" t="s">
        <v>6600</v>
      </c>
      <c r="B3360" s="1" t="s">
        <v>6603</v>
      </c>
      <c r="C3360" s="2" t="s">
        <v>6604</v>
      </c>
      <c r="D3360" s="1" t="str">
        <f>IFERROR(__xludf.DUMMYFUNCTION("GOOGLETRANSLATE(A3360 , ""auto"", ""ar"")"),"يفكر")</f>
        <v>يفكر</v>
      </c>
    </row>
    <row r="3361" ht="15.75" customHeight="1">
      <c r="A3361" s="1" t="s">
        <v>6600</v>
      </c>
      <c r="B3361" s="1" t="s">
        <v>690</v>
      </c>
      <c r="C3361" s="2" t="s">
        <v>691</v>
      </c>
      <c r="D3361" s="1" t="str">
        <f>IFERROR(__xludf.DUMMYFUNCTION("GOOGLETRANSLATE(A3361 , ""auto"", ""ar"")"),"يفكر")</f>
        <v>يفكر</v>
      </c>
    </row>
    <row r="3362" ht="15.75" customHeight="1">
      <c r="A3362" s="1" t="s">
        <v>6600</v>
      </c>
      <c r="B3362" s="1" t="s">
        <v>6601</v>
      </c>
      <c r="C3362" s="2" t="s">
        <v>6602</v>
      </c>
      <c r="D3362" s="1" t="str">
        <f>IFERROR(__xludf.DUMMYFUNCTION("GOOGLETRANSLATE(A3362 , ""auto"", ""ar"")"),"يفكر")</f>
        <v>يفكر</v>
      </c>
    </row>
    <row r="3363" ht="15.75" customHeight="1">
      <c r="A3363" s="1" t="s">
        <v>6605</v>
      </c>
      <c r="B3363" s="1" t="s">
        <v>6606</v>
      </c>
      <c r="C3363" s="2" t="s">
        <v>6607</v>
      </c>
      <c r="D3363" s="1" t="str">
        <f>IFERROR(__xludf.DUMMYFUNCTION("GOOGLETRANSLATE(A3363 , ""auto"", ""ar"")"),"ثالث")</f>
        <v>ثالث</v>
      </c>
    </row>
    <row r="3364" ht="15.75" customHeight="1">
      <c r="A3364" s="1" t="s">
        <v>6605</v>
      </c>
      <c r="B3364" s="1" t="s">
        <v>6608</v>
      </c>
      <c r="C3364" s="2" t="s">
        <v>6609</v>
      </c>
      <c r="D3364" s="1" t="str">
        <f>IFERROR(__xludf.DUMMYFUNCTION("GOOGLETRANSLATE(A3364 , ""auto"", ""ar"")"),"ثالث")</f>
        <v>ثالث</v>
      </c>
    </row>
    <row r="3365" ht="15.75" customHeight="1">
      <c r="A3365" s="1" t="s">
        <v>6610</v>
      </c>
      <c r="B3365" s="1" t="s">
        <v>6611</v>
      </c>
      <c r="C3365" s="2" t="s">
        <v>6612</v>
      </c>
      <c r="D3365" s="1" t="str">
        <f>IFERROR(__xludf.DUMMYFUNCTION("GOOGLETRANSLATE(A3365 , ""auto"", ""ar"")"),"العطش")</f>
        <v>العطش</v>
      </c>
    </row>
    <row r="3366" ht="15.75" customHeight="1">
      <c r="A3366" s="1" t="s">
        <v>6613</v>
      </c>
      <c r="B3366" s="1" t="s">
        <v>6614</v>
      </c>
      <c r="C3366" s="2" t="s">
        <v>6615</v>
      </c>
      <c r="D3366" s="1" t="str">
        <f>IFERROR(__xludf.DUMMYFUNCTION("GOOGLETRANSLATE(A3366 , ""auto"", ""ar"")"),"متعطش")</f>
        <v>متعطش</v>
      </c>
    </row>
    <row r="3367" ht="15.75" customHeight="1">
      <c r="A3367" s="1" t="s">
        <v>6616</v>
      </c>
      <c r="B3367" s="1" t="s">
        <v>6617</v>
      </c>
      <c r="C3367" s="2" t="s">
        <v>6618</v>
      </c>
      <c r="D3367" s="1" t="str">
        <f>IFERROR(__xludf.DUMMYFUNCTION("GOOGLETRANSLATE(A3367 , ""auto"", ""ar"")"),"ثلاثة عشر")</f>
        <v>ثلاثة عشر</v>
      </c>
    </row>
    <row r="3368" ht="15.75" customHeight="1">
      <c r="A3368" s="1" t="s">
        <v>6619</v>
      </c>
      <c r="B3368" s="1" t="s">
        <v>6620</v>
      </c>
      <c r="C3368" s="2" t="s">
        <v>6621</v>
      </c>
      <c r="D3368" s="1" t="str">
        <f>IFERROR(__xludf.DUMMYFUNCTION("GOOGLETRANSLATE(A3368 , ""auto"", ""ar"")"),"ثلاثون")</f>
        <v>ثلاثون</v>
      </c>
    </row>
    <row r="3369" ht="15.75" customHeight="1">
      <c r="A3369" s="1" t="s">
        <v>6622</v>
      </c>
      <c r="B3369" s="1" t="s">
        <v>6577</v>
      </c>
      <c r="C3369" s="2" t="s">
        <v>6578</v>
      </c>
      <c r="D3369" s="1" t="str">
        <f>IFERROR(__xludf.DUMMYFUNCTION("GOOGLETRANSLATE(A3369 , ""auto"", ""ar"")"),"هذا")</f>
        <v>هذا</v>
      </c>
    </row>
    <row r="3370" ht="15.75" customHeight="1">
      <c r="A3370" s="1" t="s">
        <v>6622</v>
      </c>
      <c r="B3370" s="1" t="s">
        <v>6623</v>
      </c>
      <c r="C3370" s="2" t="s">
        <v>6624</v>
      </c>
      <c r="D3370" s="1" t="str">
        <f>IFERROR(__xludf.DUMMYFUNCTION("GOOGLETRANSLATE(A3370 , ""auto"", ""ar"")"),"هذا")</f>
        <v>هذا</v>
      </c>
    </row>
    <row r="3371" ht="15.75" customHeight="1">
      <c r="A3371" s="1" t="s">
        <v>6622</v>
      </c>
      <c r="B3371" s="1" t="s">
        <v>6623</v>
      </c>
      <c r="C3371" s="2" t="s">
        <v>6624</v>
      </c>
      <c r="D3371" s="1" t="str">
        <f>IFERROR(__xludf.DUMMYFUNCTION("GOOGLETRANSLATE(A3371 , ""auto"", ""ar"")"),"هذا")</f>
        <v>هذا</v>
      </c>
    </row>
    <row r="3372" ht="15.75" customHeight="1">
      <c r="A3372" s="1" t="s">
        <v>6625</v>
      </c>
      <c r="B3372" s="1" t="s">
        <v>6623</v>
      </c>
      <c r="C3372" s="2" t="s">
        <v>6624</v>
      </c>
      <c r="D3372" s="1" t="str">
        <f>IFERROR(__xludf.DUMMYFUNCTION("GOOGLETRANSLATE(A3372 , ""auto"", ""ar"")"),"هذا")</f>
        <v>هذا</v>
      </c>
    </row>
    <row r="3373" ht="15.75" customHeight="1">
      <c r="A3373" s="1" t="s">
        <v>6626</v>
      </c>
      <c r="B3373" s="1" t="s">
        <v>6627</v>
      </c>
      <c r="C3373" s="2" t="s">
        <v>6628</v>
      </c>
      <c r="D3373" s="1" t="str">
        <f>IFERROR(__xludf.DUMMYFUNCTION("GOOGLETRANSLATE(A3373 , ""auto"", ""ar"")"),"هذا الشيء")</f>
        <v>هذا الشيء</v>
      </c>
    </row>
    <row r="3374" ht="15.75" customHeight="1">
      <c r="A3374" s="1" t="s">
        <v>6629</v>
      </c>
      <c r="B3374" s="1" t="s">
        <v>6577</v>
      </c>
      <c r="C3374" s="2" t="s">
        <v>6578</v>
      </c>
      <c r="D3374" s="1" t="str">
        <f>IFERROR(__xludf.DUMMYFUNCTION("GOOGLETRANSLATE(A3374 , ""auto"", ""ar"")"),"أولئك")</f>
        <v>أولئك</v>
      </c>
    </row>
    <row r="3375" ht="15.75" customHeight="1">
      <c r="A3375" s="1" t="s">
        <v>6629</v>
      </c>
      <c r="B3375" s="1" t="s">
        <v>6579</v>
      </c>
      <c r="C3375" s="2" t="s">
        <v>6580</v>
      </c>
      <c r="D3375" s="1" t="str">
        <f>IFERROR(__xludf.DUMMYFUNCTION("GOOGLETRANSLATE(A3375 , ""auto"", ""ar"")"),"أولئك")</f>
        <v>أولئك</v>
      </c>
    </row>
    <row r="3376" ht="15.75" customHeight="1">
      <c r="A3376" s="1" t="s">
        <v>6629</v>
      </c>
      <c r="B3376" s="1" t="s">
        <v>6630</v>
      </c>
      <c r="C3376" s="2" t="s">
        <v>6631</v>
      </c>
      <c r="D3376" s="1" t="str">
        <f>IFERROR(__xludf.DUMMYFUNCTION("GOOGLETRANSLATE(A3376 , ""auto"", ""ar"")"),"أولئك")</f>
        <v>أولئك</v>
      </c>
    </row>
    <row r="3377" ht="15.75" customHeight="1">
      <c r="A3377" s="1" t="s">
        <v>6632</v>
      </c>
      <c r="B3377" s="1" t="s">
        <v>6630</v>
      </c>
      <c r="C3377" s="2" t="s">
        <v>6631</v>
      </c>
      <c r="D3377" s="1" t="str">
        <f>IFERROR(__xludf.DUMMYFUNCTION("GOOGLETRANSLATE(A3377 , ""auto"", ""ar"")"),"أولئك")</f>
        <v>أولئك</v>
      </c>
    </row>
    <row r="3378" ht="15.75" customHeight="1">
      <c r="A3378" s="1" t="s">
        <v>6632</v>
      </c>
      <c r="B3378" s="1" t="s">
        <v>6633</v>
      </c>
      <c r="C3378" s="2" t="s">
        <v>6634</v>
      </c>
      <c r="D3378" s="1" t="str">
        <f>IFERROR(__xludf.DUMMYFUNCTION("GOOGLETRANSLATE(A3378 , ""auto"", ""ar"")"),"أولئك")</f>
        <v>أولئك</v>
      </c>
    </row>
    <row r="3379" ht="15.75" customHeight="1">
      <c r="A3379" s="1" t="s">
        <v>6635</v>
      </c>
      <c r="B3379" s="1" t="s">
        <v>3741</v>
      </c>
      <c r="C3379" s="2" t="s">
        <v>3742</v>
      </c>
      <c r="D3379" s="1" t="str">
        <f>IFERROR(__xludf.DUMMYFUNCTION("GOOGLETRANSLATE(A3379 , ""auto"", ""ar"")"),"معتقد")</f>
        <v>معتقد</v>
      </c>
    </row>
    <row r="3380" ht="15.75" customHeight="1">
      <c r="A3380" s="1" t="s">
        <v>6636</v>
      </c>
      <c r="B3380" s="1" t="s">
        <v>6637</v>
      </c>
      <c r="C3380" s="2" t="s">
        <v>6638</v>
      </c>
      <c r="D3380" s="1" t="str">
        <f>IFERROR(__xludf.DUMMYFUNCTION("GOOGLETRANSLATE(A3380 , ""auto"", ""ar"")"),"ألف")</f>
        <v>ألف</v>
      </c>
    </row>
    <row r="3381" ht="15.75" customHeight="1">
      <c r="A3381" s="1" t="s">
        <v>6639</v>
      </c>
      <c r="B3381" s="1" t="s">
        <v>1149</v>
      </c>
      <c r="C3381" s="2" t="s">
        <v>4350</v>
      </c>
      <c r="D3381" s="1" t="str">
        <f>IFERROR(__xludf.DUMMYFUNCTION("GOOGLETRANSLATE(A3381 , ""auto"", ""ar"")"),"خيط")</f>
        <v>خيط</v>
      </c>
    </row>
    <row r="3382" ht="15.75" customHeight="1">
      <c r="A3382" s="1" t="s">
        <v>6639</v>
      </c>
      <c r="B3382" s="1" t="s">
        <v>1149</v>
      </c>
      <c r="C3382" s="1"/>
      <c r="D3382" s="1" t="str">
        <f>IFERROR(__xludf.DUMMYFUNCTION("GOOGLETRANSLATE(A3382 , ""auto"", ""ar"")"),"خيط")</f>
        <v>خيط</v>
      </c>
    </row>
    <row r="3383" ht="15.75" customHeight="1">
      <c r="A3383" s="1" t="s">
        <v>6640</v>
      </c>
      <c r="B3383" s="1" t="s">
        <v>6641</v>
      </c>
      <c r="C3383" s="2" t="s">
        <v>6642</v>
      </c>
      <c r="D3383" s="1" t="str">
        <f>IFERROR(__xludf.DUMMYFUNCTION("GOOGLETRANSLATE(A3383 , ""auto"", ""ar"")"),"تهديد")</f>
        <v>تهديد</v>
      </c>
    </row>
    <row r="3384" ht="15.75" customHeight="1">
      <c r="A3384" s="1" t="s">
        <v>6643</v>
      </c>
      <c r="B3384" s="1" t="s">
        <v>6644</v>
      </c>
      <c r="C3384" s="2" t="s">
        <v>6645</v>
      </c>
      <c r="D3384" s="1" t="str">
        <f>IFERROR(__xludf.DUMMYFUNCTION("GOOGLETRANSLATE(A3384 , ""auto"", ""ar"")"),"هدد")</f>
        <v>هدد</v>
      </c>
    </row>
    <row r="3385" ht="15.75" customHeight="1">
      <c r="A3385" s="1" t="s">
        <v>6646</v>
      </c>
      <c r="B3385" s="1" t="s">
        <v>6647</v>
      </c>
      <c r="C3385" s="2" t="s">
        <v>6648</v>
      </c>
      <c r="D3385" s="1" t="str">
        <f>IFERROR(__xludf.DUMMYFUNCTION("GOOGLETRANSLATE(A3385 , ""auto"", ""ar"")"),"ثلاثة")</f>
        <v>ثلاثة</v>
      </c>
    </row>
    <row r="3386" ht="15.75" customHeight="1">
      <c r="A3386" s="1" t="s">
        <v>6646</v>
      </c>
      <c r="B3386" s="1" t="s">
        <v>6649</v>
      </c>
      <c r="C3386" s="2" t="s">
        <v>6650</v>
      </c>
      <c r="D3386" s="1" t="str">
        <f>IFERROR(__xludf.DUMMYFUNCTION("GOOGLETRANSLATE(A3386 , ""auto"", ""ar"")"),"ثلاثة")</f>
        <v>ثلاثة</v>
      </c>
    </row>
    <row r="3387" ht="15.75" customHeight="1">
      <c r="A3387" s="1" t="s">
        <v>6651</v>
      </c>
      <c r="B3387" s="1" t="s">
        <v>6652</v>
      </c>
      <c r="C3387" s="1"/>
      <c r="D3387" s="1" t="str">
        <f>IFERROR(__xludf.DUMMYFUNCTION("GOOGLETRANSLATE(A3387 , ""auto"", ""ar"")"),"ثلاثة أرباع")</f>
        <v>ثلاثة أرباع</v>
      </c>
    </row>
    <row r="3388" ht="15.75" customHeight="1">
      <c r="A3388" s="1" t="s">
        <v>6653</v>
      </c>
      <c r="B3388" s="1" t="s">
        <v>6654</v>
      </c>
      <c r="C3388" s="2" t="s">
        <v>6655</v>
      </c>
      <c r="D3388" s="1" t="str">
        <f>IFERROR(__xludf.DUMMYFUNCTION("GOOGLETRANSLATE(A3388 , ""auto"", ""ar"")"),"يرمي")</f>
        <v>يرمي</v>
      </c>
    </row>
    <row r="3389" ht="15.75" customHeight="1">
      <c r="A3389" s="1" t="s">
        <v>6653</v>
      </c>
      <c r="B3389" s="1" t="s">
        <v>6656</v>
      </c>
      <c r="C3389" s="2" t="s">
        <v>6657</v>
      </c>
      <c r="D3389" s="1" t="str">
        <f>IFERROR(__xludf.DUMMYFUNCTION("GOOGLETRANSLATE(A3389 , ""auto"", ""ar"")"),"يرمي")</f>
        <v>يرمي</v>
      </c>
    </row>
    <row r="3390" ht="15.75" customHeight="1">
      <c r="A3390" s="1" t="s">
        <v>6658</v>
      </c>
      <c r="B3390" s="1" t="s">
        <v>6659</v>
      </c>
      <c r="C3390" s="2" t="s">
        <v>6660</v>
      </c>
      <c r="D3390" s="1" t="str">
        <f>IFERROR(__xludf.DUMMYFUNCTION("GOOGLETRANSLATE(A3390 , ""auto"", ""ar"")"),"ألقيت")</f>
        <v>ألقيت</v>
      </c>
    </row>
    <row r="3391" ht="15.75" customHeight="1">
      <c r="A3391" s="1" t="s">
        <v>6661</v>
      </c>
      <c r="B3391" s="1" t="s">
        <v>6662</v>
      </c>
      <c r="C3391" s="2" t="s">
        <v>6663</v>
      </c>
      <c r="D3391" s="1" t="str">
        <f>IFERROR(__xludf.DUMMYFUNCTION("GOOGLETRANSLATE(A3391 , ""auto"", ""ar"")"),"رعد")</f>
        <v>رعد</v>
      </c>
    </row>
    <row r="3392" ht="15.75" customHeight="1">
      <c r="A3392" s="1" t="s">
        <v>6664</v>
      </c>
      <c r="B3392" s="1" t="s">
        <v>6665</v>
      </c>
      <c r="C3392" s="2" t="s">
        <v>6666</v>
      </c>
      <c r="D3392" s="1" t="str">
        <f>IFERROR(__xludf.DUMMYFUNCTION("GOOGLETRANSLATE(A3392 , ""auto"", ""ar"")"),"يوم الخميس")</f>
        <v>يوم الخميس</v>
      </c>
    </row>
    <row r="3393" ht="15.75" customHeight="1">
      <c r="A3393" s="1" t="s">
        <v>6664</v>
      </c>
      <c r="B3393" s="1" t="s">
        <v>6667</v>
      </c>
      <c r="C3393" s="2" t="s">
        <v>6668</v>
      </c>
      <c r="D3393" s="1" t="str">
        <f>IFERROR(__xludf.DUMMYFUNCTION("GOOGLETRANSLATE(A3393 , ""auto"", ""ar"")"),"يوم الخميس")</f>
        <v>يوم الخميس</v>
      </c>
    </row>
    <row r="3394" ht="15.75" customHeight="1">
      <c r="A3394" s="1" t="s">
        <v>6669</v>
      </c>
      <c r="B3394" s="1" t="s">
        <v>4224</v>
      </c>
      <c r="C3394" s="2" t="s">
        <v>4225</v>
      </c>
      <c r="D3394" s="1" t="str">
        <f>IFERROR(__xludf.DUMMYFUNCTION("GOOGLETRANSLATE(A3394 , ""auto"", ""ar"")"),"تذكرة")</f>
        <v>تذكرة</v>
      </c>
    </row>
    <row r="3395" ht="15.75" customHeight="1">
      <c r="A3395" s="1" t="s">
        <v>6669</v>
      </c>
      <c r="B3395" s="1" t="s">
        <v>6670</v>
      </c>
      <c r="C3395" s="1"/>
      <c r="D3395" s="1" t="str">
        <f>IFERROR(__xludf.DUMMYFUNCTION("GOOGLETRANSLATE(A3395 , ""auto"", ""ar"")"),"تذكرة")</f>
        <v>تذكرة</v>
      </c>
    </row>
    <row r="3396" ht="15.75" customHeight="1">
      <c r="A3396" s="1" t="s">
        <v>6671</v>
      </c>
      <c r="B3396" s="1" t="s">
        <v>400</v>
      </c>
      <c r="C3396" s="2" t="s">
        <v>401</v>
      </c>
      <c r="D3396" s="1" t="str">
        <f>IFERROR(__xludf.DUMMYFUNCTION("GOOGLETRANSLATE(A3396 , ""auto"", ""ar"")"),"مرتب")</f>
        <v>مرتب</v>
      </c>
    </row>
    <row r="3397" ht="15.75" customHeight="1">
      <c r="A3397" s="1" t="s">
        <v>6671</v>
      </c>
      <c r="B3397" s="1" t="s">
        <v>2153</v>
      </c>
      <c r="C3397" s="1"/>
      <c r="D3397" s="1" t="str">
        <f>IFERROR(__xludf.DUMMYFUNCTION("GOOGLETRANSLATE(A3397 , ""auto"", ""ar"")"),"مرتب")</f>
        <v>مرتب</v>
      </c>
    </row>
    <row r="3398" ht="15.75" customHeight="1">
      <c r="A3398" s="1" t="s">
        <v>6671</v>
      </c>
      <c r="B3398" s="1" t="s">
        <v>2154</v>
      </c>
      <c r="C3398" s="1"/>
      <c r="D3398" s="1" t="str">
        <f>IFERROR(__xludf.DUMMYFUNCTION("GOOGLETRANSLATE(A3398 , ""auto"", ""ar"")"),"مرتب")</f>
        <v>مرتب</v>
      </c>
    </row>
    <row r="3399" ht="15.75" customHeight="1">
      <c r="A3399" s="1" t="s">
        <v>6672</v>
      </c>
      <c r="B3399" s="1" t="s">
        <v>4952</v>
      </c>
      <c r="C3399" s="2" t="s">
        <v>4953</v>
      </c>
      <c r="D3399" s="1" t="str">
        <f>IFERROR(__xludf.DUMMYFUNCTION("GOOGLETRANSLATE(A3399 , ""auto"", ""ar"")"),"رَابِطَة")</f>
        <v>رَابِطَة</v>
      </c>
    </row>
    <row r="3400" ht="15.75" customHeight="1">
      <c r="A3400" s="1" t="s">
        <v>6672</v>
      </c>
      <c r="B3400" s="1" t="s">
        <v>4134</v>
      </c>
      <c r="C3400" s="2" t="s">
        <v>4135</v>
      </c>
      <c r="D3400" s="1" t="str">
        <f>IFERROR(__xludf.DUMMYFUNCTION("GOOGLETRANSLATE(A3400 , ""auto"", ""ar"")"),"رَابِطَة")</f>
        <v>رَابِطَة</v>
      </c>
    </row>
    <row r="3401" ht="15.75" customHeight="1">
      <c r="A3401" s="1" t="s">
        <v>6672</v>
      </c>
      <c r="B3401" s="1" t="s">
        <v>4136</v>
      </c>
      <c r="C3401" s="2" t="s">
        <v>4137</v>
      </c>
      <c r="D3401" s="1" t="str">
        <f>IFERROR(__xludf.DUMMYFUNCTION("GOOGLETRANSLATE(A3401 , ""auto"", ""ar"")"),"رَابِطَة")</f>
        <v>رَابِطَة</v>
      </c>
    </row>
    <row r="3402" ht="15.75" customHeight="1">
      <c r="A3402" s="1" t="s">
        <v>6673</v>
      </c>
      <c r="B3402" s="1" t="s">
        <v>4134</v>
      </c>
      <c r="C3402" s="2" t="s">
        <v>4135</v>
      </c>
      <c r="D3402" s="1" t="str">
        <f>IFERROR(__xludf.DUMMYFUNCTION("GOOGLETRANSLATE(A3402 , ""auto"", ""ar"")"),"اربط في عقدة")</f>
        <v>اربط في عقدة</v>
      </c>
    </row>
    <row r="3403" ht="15.75" customHeight="1">
      <c r="A3403" s="1" t="s">
        <v>6673</v>
      </c>
      <c r="B3403" s="1" t="s">
        <v>4136</v>
      </c>
      <c r="C3403" s="2" t="s">
        <v>4137</v>
      </c>
      <c r="D3403" s="1" t="str">
        <f>IFERROR(__xludf.DUMMYFUNCTION("GOOGLETRANSLATE(A3403 , ""auto"", ""ar"")"),"اربط في عقدة")</f>
        <v>اربط في عقدة</v>
      </c>
    </row>
    <row r="3404" ht="15.75" customHeight="1">
      <c r="A3404" s="1" t="s">
        <v>6674</v>
      </c>
      <c r="B3404" s="1" t="s">
        <v>6675</v>
      </c>
      <c r="C3404" s="2" t="s">
        <v>6676</v>
      </c>
      <c r="D3404" s="1" t="str">
        <f>IFERROR(__xludf.DUMMYFUNCTION("GOOGLETRANSLATE(A3404 , ""auto"", ""ar"")"),"نمر")</f>
        <v>نمر</v>
      </c>
    </row>
    <row r="3405" ht="15.75" customHeight="1">
      <c r="A3405" s="1" t="s">
        <v>6677</v>
      </c>
      <c r="B3405" s="1" t="s">
        <v>4914</v>
      </c>
      <c r="C3405" s="2" t="s">
        <v>4915</v>
      </c>
      <c r="D3405" s="1" t="str">
        <f>IFERROR(__xludf.DUMMYFUNCTION("GOOGLETRANSLATE(A3405 , ""auto"", ""ar"")"),"ضيق")</f>
        <v>ضيق</v>
      </c>
    </row>
    <row r="3406" ht="15.75" customHeight="1">
      <c r="A3406" s="1" t="s">
        <v>6678</v>
      </c>
      <c r="B3406" s="1" t="s">
        <v>6679</v>
      </c>
      <c r="C3406" s="1"/>
      <c r="D3406" s="1" t="str">
        <f>IFERROR(__xludf.DUMMYFUNCTION("GOOGLETRANSLATE(A3406 , ""auto"", ""ar"")"),"لباس ضيق")</f>
        <v>لباس ضيق</v>
      </c>
    </row>
    <row r="3407" ht="15.75" customHeight="1">
      <c r="A3407" s="1" t="s">
        <v>6680</v>
      </c>
      <c r="B3407" s="1" t="s">
        <v>6681</v>
      </c>
      <c r="C3407" s="1"/>
      <c r="D3407" s="1" t="str">
        <f>IFERROR(__xludf.DUMMYFUNCTION("GOOGLETRANSLATE(A3407 , ""auto"", ""ar"")"),"بلاط")</f>
        <v>بلاط</v>
      </c>
    </row>
    <row r="3408" ht="15.75" customHeight="1">
      <c r="A3408" s="1" t="s">
        <v>6680</v>
      </c>
      <c r="B3408" s="1" t="s">
        <v>6682</v>
      </c>
      <c r="C3408" s="1"/>
      <c r="D3408" s="1" t="str">
        <f>IFERROR(__xludf.DUMMYFUNCTION("GOOGLETRANSLATE(A3408 , ""auto"", ""ar"")"),"بلاط")</f>
        <v>بلاط</v>
      </c>
    </row>
    <row r="3409" ht="15.75" customHeight="1">
      <c r="A3409" s="1" t="s">
        <v>6683</v>
      </c>
      <c r="B3409" s="1" t="s">
        <v>6681</v>
      </c>
      <c r="C3409" s="1"/>
      <c r="D3409" s="1" t="str">
        <f>IFERROR(__xludf.DUMMYFUNCTION("GOOGLETRANSLATE(A3409 , ""auto"", ""ar"")"),"تبليط")</f>
        <v>تبليط</v>
      </c>
    </row>
    <row r="3410" ht="15.75" customHeight="1">
      <c r="A3410" s="1" t="s">
        <v>6683</v>
      </c>
      <c r="B3410" s="1" t="s">
        <v>6682</v>
      </c>
      <c r="C3410" s="1"/>
      <c r="D3410" s="1" t="str">
        <f>IFERROR(__xludf.DUMMYFUNCTION("GOOGLETRANSLATE(A3410 , ""auto"", ""ar"")"),"تبليط")</f>
        <v>تبليط</v>
      </c>
    </row>
    <row r="3411" ht="15.75" customHeight="1">
      <c r="A3411" s="1" t="s">
        <v>6684</v>
      </c>
      <c r="B3411" s="1" t="s">
        <v>6685</v>
      </c>
      <c r="C3411" s="2" t="s">
        <v>6686</v>
      </c>
      <c r="D3411" s="1" t="str">
        <f>IFERROR(__xludf.DUMMYFUNCTION("GOOGLETRANSLATE(A3411 , ""auto"", ""ar"")"),"وقت")</f>
        <v>وقت</v>
      </c>
    </row>
    <row r="3412" ht="15.75" customHeight="1">
      <c r="A3412" s="1" t="s">
        <v>6684</v>
      </c>
      <c r="B3412" s="1" t="s">
        <v>6687</v>
      </c>
      <c r="C3412" s="2" t="s">
        <v>6688</v>
      </c>
      <c r="D3412" s="1" t="str">
        <f>IFERROR(__xludf.DUMMYFUNCTION("GOOGLETRANSLATE(A3412 , ""auto"", ""ar"")"),"وقت")</f>
        <v>وقت</v>
      </c>
    </row>
    <row r="3413" ht="15.75" customHeight="1">
      <c r="A3413" s="1" t="s">
        <v>6684</v>
      </c>
      <c r="B3413" s="1" t="s">
        <v>6689</v>
      </c>
      <c r="C3413" s="1"/>
      <c r="D3413" s="1" t="str">
        <f>IFERROR(__xludf.DUMMYFUNCTION("GOOGLETRANSLATE(A3413 , ""auto"", ""ar"")"),"وقت")</f>
        <v>وقت</v>
      </c>
    </row>
    <row r="3414" ht="15.75" customHeight="1">
      <c r="A3414" s="1" t="s">
        <v>6684</v>
      </c>
      <c r="B3414" s="1" t="s">
        <v>6690</v>
      </c>
      <c r="C3414" s="2" t="s">
        <v>6691</v>
      </c>
      <c r="D3414" s="1" t="str">
        <f>IFERROR(__xludf.DUMMYFUNCTION("GOOGLETRANSLATE(A3414 , ""auto"", ""ar"")"),"وقت")</f>
        <v>وقت</v>
      </c>
    </row>
    <row r="3415" ht="15.75" customHeight="1">
      <c r="A3415" s="1" t="s">
        <v>6692</v>
      </c>
      <c r="B3415" s="1" t="s">
        <v>4236</v>
      </c>
      <c r="C3415" s="1"/>
      <c r="D3415" s="1" t="str">
        <f>IFERROR(__xludf.DUMMYFUNCTION("GOOGLETRANSLATE(A3415 , ""auto"", ""ar"")"),"انتهى الوقت")</f>
        <v>انتهى الوقت</v>
      </c>
    </row>
    <row r="3416" ht="15.75" customHeight="1">
      <c r="A3416" s="1" t="s">
        <v>6693</v>
      </c>
      <c r="B3416" s="1" t="s">
        <v>6694</v>
      </c>
      <c r="C3416" s="1"/>
      <c r="D3416" s="1" t="str">
        <f>IFERROR(__xludf.DUMMYFUNCTION("GOOGLETRANSLATE(A3416 , ""auto"", ""ar"")"),"وقت الرحيل")</f>
        <v>وقت الرحيل</v>
      </c>
    </row>
    <row r="3417" ht="15.75" customHeight="1">
      <c r="A3417" s="1" t="s">
        <v>6695</v>
      </c>
      <c r="B3417" s="1" t="s">
        <v>386</v>
      </c>
      <c r="C3417" s="2" t="s">
        <v>387</v>
      </c>
      <c r="D3417" s="1" t="str">
        <f>IFERROR(__xludf.DUMMYFUNCTION("GOOGLETRANSLATE(A3417 , ""auto"", ""ar"")"),"خجول")</f>
        <v>خجول</v>
      </c>
    </row>
    <row r="3418" ht="15.75" customHeight="1">
      <c r="A3418" s="1" t="s">
        <v>6695</v>
      </c>
      <c r="B3418" s="1" t="s">
        <v>592</v>
      </c>
      <c r="C3418" s="1"/>
      <c r="D3418" s="1" t="str">
        <f>IFERROR(__xludf.DUMMYFUNCTION("GOOGLETRANSLATE(A3418 , ""auto"", ""ar"")"),"خجول")</f>
        <v>خجول</v>
      </c>
    </row>
    <row r="3419" ht="15.75" customHeight="1">
      <c r="A3419" s="1" t="s">
        <v>6696</v>
      </c>
      <c r="B3419" s="1" t="s">
        <v>1203</v>
      </c>
      <c r="C3419" s="2" t="s">
        <v>1204</v>
      </c>
      <c r="D3419" s="1" t="str">
        <f>IFERROR(__xludf.DUMMYFUNCTION("GOOGLETRANSLATE(A3419 , ""auto"", ""ar"")"),"يعتقد")</f>
        <v>يعتقد</v>
      </c>
    </row>
    <row r="3420" ht="15.75" customHeight="1">
      <c r="A3420" s="1" t="s">
        <v>6697</v>
      </c>
      <c r="B3420" s="1" t="s">
        <v>6698</v>
      </c>
      <c r="C3420" s="2" t="s">
        <v>6699</v>
      </c>
      <c r="D3420" s="1" t="str">
        <f>IFERROR(__xludf.DUMMYFUNCTION("GOOGLETRANSLATE(A3420 , ""auto"", ""ar"")"),"مرهق")</f>
        <v>مرهق</v>
      </c>
    </row>
    <row r="3421" ht="15.75" customHeight="1">
      <c r="A3421" s="1" t="s">
        <v>6697</v>
      </c>
      <c r="B3421" s="1" t="s">
        <v>6700</v>
      </c>
      <c r="C3421" s="2" t="s">
        <v>6701</v>
      </c>
      <c r="D3421" s="1" t="str">
        <f>IFERROR(__xludf.DUMMYFUNCTION("GOOGLETRANSLATE(A3421 , ""auto"", ""ar"")"),"مرهق")</f>
        <v>مرهق</v>
      </c>
    </row>
    <row r="3422" ht="15.75" customHeight="1">
      <c r="A3422" s="1" t="s">
        <v>6702</v>
      </c>
      <c r="B3422" s="1" t="s">
        <v>6703</v>
      </c>
      <c r="C3422" s="2" t="s">
        <v>6704</v>
      </c>
      <c r="D3422" s="1" t="str">
        <f>IFERROR(__xludf.DUMMYFUNCTION("GOOGLETRANSLATE(A3422 , ""auto"", ""ar"")"),"التعب")</f>
        <v>التعب</v>
      </c>
    </row>
    <row r="3423" ht="15.75" customHeight="1">
      <c r="A3423" s="1" t="s">
        <v>6705</v>
      </c>
      <c r="B3423" s="1" t="s">
        <v>6706</v>
      </c>
      <c r="C3423" s="1"/>
      <c r="D3423" s="1" t="str">
        <f>IFERROR(__xludf.DUMMYFUNCTION("GOOGLETRANSLATE(A3423 , ""auto"", ""ar"")"),"متعب")</f>
        <v>متعب</v>
      </c>
    </row>
    <row r="3424" ht="15.75" customHeight="1">
      <c r="A3424" s="1" t="s">
        <v>6707</v>
      </c>
      <c r="B3424" s="1" t="s">
        <v>6708</v>
      </c>
      <c r="C3424" s="2" t="s">
        <v>6709</v>
      </c>
      <c r="D3424" s="1" t="str">
        <f>IFERROR(__xludf.DUMMYFUNCTION("GOOGLETRANSLATE(A3424 , ""auto"", ""ar"")"),"منديل")</f>
        <v>منديل</v>
      </c>
    </row>
    <row r="3425" ht="15.75" customHeight="1">
      <c r="A3425" s="1" t="s">
        <v>6710</v>
      </c>
      <c r="B3425" s="1" t="s">
        <v>2855</v>
      </c>
      <c r="C3425" s="2" t="s">
        <v>6711</v>
      </c>
      <c r="D3425" s="1" t="str">
        <f>IFERROR(__xludf.DUMMYFUNCTION("GOOGLETRANSLATE(A3425 , ""auto"", ""ar"")"),"ل")</f>
        <v>ل</v>
      </c>
    </row>
    <row r="3426" ht="15.75" customHeight="1">
      <c r="A3426" s="1" t="s">
        <v>6710</v>
      </c>
      <c r="B3426" s="1" t="s">
        <v>6712</v>
      </c>
      <c r="C3426" s="2" t="s">
        <v>3791</v>
      </c>
      <c r="D3426" s="1" t="str">
        <f>IFERROR(__xludf.DUMMYFUNCTION("GOOGLETRANSLATE(A3426 , ""auto"", ""ar"")"),"ل")</f>
        <v>ل</v>
      </c>
    </row>
    <row r="3427" ht="15.75" customHeight="1">
      <c r="A3427" s="1" t="s">
        <v>6713</v>
      </c>
      <c r="B3427" s="1" t="s">
        <v>6714</v>
      </c>
      <c r="C3427" s="1"/>
      <c r="D3427" s="1" t="str">
        <f>IFERROR(__xludf.DUMMYFUNCTION("GOOGLETRANSLATE(A3427 , ""auto"", ""ar"")"),"إلى اليمين")</f>
        <v>إلى اليمين</v>
      </c>
    </row>
    <row r="3428" ht="15.75" customHeight="1">
      <c r="A3428" s="1" t="s">
        <v>6713</v>
      </c>
      <c r="B3428" s="1" t="s">
        <v>6715</v>
      </c>
      <c r="C3428" s="2" t="s">
        <v>6716</v>
      </c>
      <c r="D3428" s="1" t="str">
        <f>IFERROR(__xludf.DUMMYFUNCTION("GOOGLETRANSLATE(A3428 , ""auto"", ""ar"")"),"إلى اليمين")</f>
        <v>إلى اليمين</v>
      </c>
    </row>
    <row r="3429" ht="15.75" customHeight="1">
      <c r="A3429" s="1" t="s">
        <v>6717</v>
      </c>
      <c r="B3429" s="1" t="s">
        <v>6718</v>
      </c>
      <c r="C3429" s="2" t="s">
        <v>6719</v>
      </c>
      <c r="D3429" s="1" t="str">
        <f>IFERROR(__xludf.DUMMYFUNCTION("GOOGLETRANSLATE(A3429 , ""auto"", ""ar"")"),"متجر التبغ")</f>
        <v>متجر التبغ</v>
      </c>
    </row>
    <row r="3430" ht="15.75" customHeight="1">
      <c r="A3430" s="1" t="s">
        <v>6720</v>
      </c>
      <c r="B3430" s="1" t="s">
        <v>6718</v>
      </c>
      <c r="C3430" s="2" t="s">
        <v>6719</v>
      </c>
      <c r="D3430" s="1" t="str">
        <f>IFERROR(__xludf.DUMMYFUNCTION("GOOGLETRANSLATE(A3430 , ""auto"", ""ar"")"),"متجر التبغ")</f>
        <v>متجر التبغ</v>
      </c>
    </row>
    <row r="3431" ht="15.75" customHeight="1">
      <c r="A3431" s="1" t="s">
        <v>6721</v>
      </c>
      <c r="B3431" s="1" t="s">
        <v>6722</v>
      </c>
      <c r="C3431" s="2" t="s">
        <v>6723</v>
      </c>
      <c r="D3431" s="1" t="str">
        <f>IFERROR(__xludf.DUMMYFUNCTION("GOOGLETRANSLATE(A3431 , ""auto"", ""ar"")"),"اليوم")</f>
        <v>اليوم</v>
      </c>
    </row>
    <row r="3432" ht="15.75" customHeight="1">
      <c r="A3432" s="1" t="s">
        <v>6721</v>
      </c>
      <c r="B3432" s="1" t="s">
        <v>6724</v>
      </c>
      <c r="C3432" s="2" t="s">
        <v>6725</v>
      </c>
      <c r="D3432" s="1" t="str">
        <f>IFERROR(__xludf.DUMMYFUNCTION("GOOGLETRANSLATE(A3432 , ""auto"", ""ar"")"),"اليوم")</f>
        <v>اليوم</v>
      </c>
    </row>
    <row r="3433" ht="15.75" customHeight="1">
      <c r="A3433" s="1" t="s">
        <v>6726</v>
      </c>
      <c r="B3433" s="1" t="s">
        <v>2733</v>
      </c>
      <c r="C3433" s="2" t="s">
        <v>2734</v>
      </c>
      <c r="D3433" s="1" t="str">
        <f>IFERROR(__xludf.DUMMYFUNCTION("GOOGLETRANSLATE(A3433 , ""auto"", ""ar"")"),"ثم")</f>
        <v>ثم</v>
      </c>
    </row>
    <row r="3434" ht="15.75" customHeight="1">
      <c r="A3434" s="1" t="s">
        <v>6727</v>
      </c>
      <c r="B3434" s="1" t="s">
        <v>6728</v>
      </c>
      <c r="C3434" s="2" t="s">
        <v>6729</v>
      </c>
      <c r="D3434" s="1" t="str">
        <f>IFERROR(__xludf.DUMMYFUNCTION("GOOGLETRANSLATE(A3434 , ""auto"", ""ar"")"),"معاً")</f>
        <v>معاً</v>
      </c>
    </row>
    <row r="3435" ht="15.75" customHeight="1">
      <c r="A3435" s="1" t="s">
        <v>6727</v>
      </c>
      <c r="B3435" s="1" t="s">
        <v>200</v>
      </c>
      <c r="C3435" s="2" t="s">
        <v>1626</v>
      </c>
      <c r="D3435" s="1" t="str">
        <f>IFERROR(__xludf.DUMMYFUNCTION("GOOGLETRANSLATE(A3435 , ""auto"", ""ar"")"),"معاً")</f>
        <v>معاً</v>
      </c>
    </row>
    <row r="3436" ht="15.75" customHeight="1">
      <c r="A3436" s="1" t="s">
        <v>6730</v>
      </c>
      <c r="B3436" s="1" t="s">
        <v>568</v>
      </c>
      <c r="C3436" s="2" t="s">
        <v>569</v>
      </c>
      <c r="D3436" s="1" t="str">
        <f>IFERROR(__xludf.DUMMYFUNCTION("GOOGLETRANSLATE(A3436 , ""auto"", ""ar"")"),"الحمام")</f>
        <v>الحمام</v>
      </c>
    </row>
    <row r="3437" ht="15.75" customHeight="1">
      <c r="A3437" s="1" t="s">
        <v>6730</v>
      </c>
      <c r="B3437" s="1" t="s">
        <v>570</v>
      </c>
      <c r="C3437" s="1"/>
      <c r="D3437" s="1" t="str">
        <f>IFERROR(__xludf.DUMMYFUNCTION("GOOGLETRANSLATE(A3437 , ""auto"", ""ar"")"),"الحمام")</f>
        <v>الحمام</v>
      </c>
    </row>
    <row r="3438" ht="15.75" customHeight="1">
      <c r="A3438" s="1" t="s">
        <v>6730</v>
      </c>
      <c r="B3438" s="1" t="s">
        <v>571</v>
      </c>
      <c r="C3438" s="2" t="s">
        <v>572</v>
      </c>
      <c r="D3438" s="1" t="str">
        <f>IFERROR(__xludf.DUMMYFUNCTION("GOOGLETRANSLATE(A3438 , ""auto"", ""ar"")"),"الحمام")</f>
        <v>الحمام</v>
      </c>
    </row>
    <row r="3439" ht="15.75" customHeight="1">
      <c r="A3439" s="1" t="s">
        <v>6730</v>
      </c>
      <c r="B3439" s="1" t="s">
        <v>568</v>
      </c>
      <c r="C3439" s="1"/>
      <c r="D3439" s="1" t="str">
        <f>IFERROR(__xludf.DUMMYFUNCTION("GOOGLETRANSLATE(A3439 , ""auto"", ""ar"")"),"الحمام")</f>
        <v>الحمام</v>
      </c>
    </row>
    <row r="3440" ht="15.75" customHeight="1">
      <c r="A3440" s="1" t="s">
        <v>6731</v>
      </c>
      <c r="B3440" s="1" t="s">
        <v>1060</v>
      </c>
      <c r="C3440" s="2" t="s">
        <v>6732</v>
      </c>
      <c r="D3440" s="1" t="str">
        <f>IFERROR(__xludf.DUMMYFUNCTION("GOOGLETRANSLATE(A3440 , ""auto"", ""ar"")"),"فرشاة دورة المياة")</f>
        <v>فرشاة دورة المياة</v>
      </c>
    </row>
    <row r="3441" ht="15.75" customHeight="1">
      <c r="A3441" s="1" t="s">
        <v>6733</v>
      </c>
      <c r="B3441" s="1" t="s">
        <v>6734</v>
      </c>
      <c r="C3441" s="2" t="s">
        <v>6735</v>
      </c>
      <c r="D3441" s="1" t="str">
        <f>IFERROR(__xludf.DUMMYFUNCTION("GOOGLETRANSLATE(A3441 , ""auto"", ""ar"")"),"مناديل المراحيض")</f>
        <v>مناديل المراحيض</v>
      </c>
    </row>
    <row r="3442" ht="15.75" customHeight="1">
      <c r="A3442" s="1" t="s">
        <v>6736</v>
      </c>
      <c r="B3442" s="1" t="s">
        <v>6737</v>
      </c>
      <c r="C3442" s="2" t="s">
        <v>6738</v>
      </c>
      <c r="D3442" s="1" t="str">
        <f>IFERROR(__xludf.DUMMYFUNCTION("GOOGLETRANSLATE(A3442 , ""auto"", ""ar"")"),"طماطم")</f>
        <v>طماطم</v>
      </c>
    </row>
    <row r="3443" ht="15.75" customHeight="1">
      <c r="A3443" s="1" t="s">
        <v>6739</v>
      </c>
      <c r="B3443" s="1" t="s">
        <v>6740</v>
      </c>
      <c r="C3443" s="1"/>
      <c r="D3443" s="1" t="str">
        <f>IFERROR(__xludf.DUMMYFUNCTION("GOOGLETRANSLATE(A3443 , ""auto"", ""ar"")"),"هريس")</f>
        <v>هريس</v>
      </c>
    </row>
    <row r="3444" ht="15.75" customHeight="1">
      <c r="A3444" s="1" t="s">
        <v>6739</v>
      </c>
      <c r="B3444" s="1" t="s">
        <v>6741</v>
      </c>
      <c r="C3444" s="1"/>
      <c r="D3444" s="1" t="str">
        <f>IFERROR(__xludf.DUMMYFUNCTION("GOOGLETRANSLATE(A3444 , ""auto"", ""ar"")"),"هريس")</f>
        <v>هريس</v>
      </c>
    </row>
    <row r="3445" ht="15.75" customHeight="1">
      <c r="A3445" s="1" t="s">
        <v>6742</v>
      </c>
      <c r="B3445" s="1" t="s">
        <v>6743</v>
      </c>
      <c r="C3445" s="2" t="s">
        <v>6744</v>
      </c>
      <c r="D3445" s="1" t="str">
        <f>IFERROR(__xludf.DUMMYFUNCTION("GOOGLETRANSLATE(A3445 , ""auto"", ""ar"")"),"غداً")</f>
        <v>غداً</v>
      </c>
    </row>
    <row r="3446" ht="15.75" customHeight="1">
      <c r="A3446" s="1" t="s">
        <v>6745</v>
      </c>
      <c r="B3446" s="1" t="s">
        <v>6746</v>
      </c>
      <c r="C3446" s="2" t="s">
        <v>6747</v>
      </c>
      <c r="D3446" s="1" t="str">
        <f>IFERROR(__xludf.DUMMYFUNCTION("GOOGLETRANSLATE(A3446 , ""auto"", ""ar"")"),"لسان")</f>
        <v>لسان</v>
      </c>
    </row>
    <row r="3447" ht="15.75" customHeight="1">
      <c r="A3447" s="1" t="s">
        <v>6748</v>
      </c>
      <c r="B3447" s="1" t="s">
        <v>234</v>
      </c>
      <c r="C3447" s="2" t="s">
        <v>235</v>
      </c>
      <c r="D3447" s="1" t="str">
        <f>IFERROR(__xludf.DUMMYFUNCTION("GOOGLETRANSLATE(A3447 , ""auto"", ""ar"")"),"أيضاً")</f>
        <v>أيضاً</v>
      </c>
    </row>
    <row r="3448" ht="15.75" customHeight="1">
      <c r="A3448" s="1" t="s">
        <v>6749</v>
      </c>
      <c r="B3448" s="1" t="s">
        <v>6750</v>
      </c>
      <c r="C3448" s="1"/>
      <c r="D3448" s="1" t="str">
        <f>IFERROR(__xludf.DUMMYFUNCTION("GOOGLETRANSLATE(A3448 , ""auto"", ""ar"")"),"سيئة للغاية!")</f>
        <v>سيئة للغاية!</v>
      </c>
    </row>
    <row r="3449" ht="15.75" customHeight="1">
      <c r="A3449" s="1" t="s">
        <v>6751</v>
      </c>
      <c r="B3449" s="1" t="s">
        <v>5</v>
      </c>
      <c r="C3449" s="2" t="s">
        <v>6</v>
      </c>
      <c r="D3449" s="1" t="str">
        <f>IFERROR(__xludf.DUMMYFUNCTION("GOOGLETRANSLATE(A3449 , ""auto"", ""ar"")"),"أكثر مما ينبغي")</f>
        <v>أكثر مما ينبغي</v>
      </c>
    </row>
    <row r="3450" ht="15.75" customHeight="1">
      <c r="A3450" s="1" t="s">
        <v>6751</v>
      </c>
      <c r="B3450" s="1" t="s">
        <v>6752</v>
      </c>
      <c r="C3450" s="2" t="s">
        <v>6753</v>
      </c>
      <c r="D3450" s="1" t="str">
        <f>IFERROR(__xludf.DUMMYFUNCTION("GOOGLETRANSLATE(A3450 , ""auto"", ""ar"")"),"أكثر مما ينبغي")</f>
        <v>أكثر مما ينبغي</v>
      </c>
    </row>
    <row r="3451" ht="15.75" customHeight="1">
      <c r="A3451" s="1" t="s">
        <v>6751</v>
      </c>
      <c r="B3451" s="1" t="s">
        <v>7</v>
      </c>
      <c r="C3451" s="1"/>
      <c r="D3451" s="1" t="str">
        <f>IFERROR(__xludf.DUMMYFUNCTION("GOOGLETRANSLATE(A3451 , ""auto"", ""ar"")"),"أكثر مما ينبغي")</f>
        <v>أكثر مما ينبغي</v>
      </c>
    </row>
    <row r="3452" ht="15.75" customHeight="1">
      <c r="A3452" s="1" t="s">
        <v>6754</v>
      </c>
      <c r="B3452" s="1" t="s">
        <v>6755</v>
      </c>
      <c r="C3452" s="2" t="s">
        <v>6756</v>
      </c>
      <c r="D3452" s="1" t="str">
        <f>IFERROR(__xludf.DUMMYFUNCTION("GOOGLETRANSLATE(A3452 , ""auto"", ""ar"")"),"أداة")</f>
        <v>أداة</v>
      </c>
    </row>
    <row r="3453" ht="15.75" customHeight="1">
      <c r="A3453" s="1" t="s">
        <v>6757</v>
      </c>
      <c r="B3453" s="1" t="s">
        <v>6758</v>
      </c>
      <c r="C3453" s="2" t="s">
        <v>6759</v>
      </c>
      <c r="D3453" s="1" t="str">
        <f>IFERROR(__xludf.DUMMYFUNCTION("GOOGLETRANSLATE(A3453 , ""auto"", ""ar"")"),"سن")</f>
        <v>سن</v>
      </c>
    </row>
    <row r="3454" ht="15.75" customHeight="1">
      <c r="A3454" s="1" t="s">
        <v>6760</v>
      </c>
      <c r="B3454" s="1" t="s">
        <v>1060</v>
      </c>
      <c r="C3454" s="2" t="s">
        <v>6761</v>
      </c>
      <c r="D3454" s="1" t="str">
        <f>IFERROR(__xludf.DUMMYFUNCTION("GOOGLETRANSLATE(A3454 , ""auto"", ""ar"")"),"فرشاة الأسنان")</f>
        <v>فرشاة الأسنان</v>
      </c>
    </row>
    <row r="3455" ht="15.75" customHeight="1">
      <c r="A3455" s="1" t="s">
        <v>6762</v>
      </c>
      <c r="B3455" s="1" t="s">
        <v>6763</v>
      </c>
      <c r="C3455" s="2" t="s">
        <v>6764</v>
      </c>
      <c r="D3455" s="1" t="str">
        <f>IFERROR(__xludf.DUMMYFUNCTION("GOOGLETRANSLATE(A3455 , ""auto"", ""ar"")"),"معجون الأسنان")</f>
        <v>معجون الأسنان</v>
      </c>
    </row>
    <row r="3456" ht="15.75" customHeight="1">
      <c r="A3456" s="1" t="s">
        <v>6765</v>
      </c>
      <c r="B3456" s="1" t="s">
        <v>2785</v>
      </c>
      <c r="C3456" s="1"/>
      <c r="D3456" s="1" t="str">
        <f>IFERROR(__xludf.DUMMYFUNCTION("GOOGLETRANSLATE(A3456 , ""auto"", ""ar"")"),"شعلة")</f>
        <v>شعلة</v>
      </c>
    </row>
    <row r="3457" ht="15.75" customHeight="1">
      <c r="A3457" s="1" t="s">
        <v>6766</v>
      </c>
      <c r="B3457" s="1" t="s">
        <v>6767</v>
      </c>
      <c r="C3457" s="2" t="s">
        <v>6768</v>
      </c>
      <c r="D3457" s="1" t="str">
        <f>IFERROR(__xludf.DUMMYFUNCTION("GOOGLETRANSLATE(A3457 , ""auto"", ""ar"")"),"سلحفاء")</f>
        <v>سلحفاء</v>
      </c>
    </row>
    <row r="3458" ht="15.75" customHeight="1">
      <c r="A3458" s="1" t="s">
        <v>6769</v>
      </c>
      <c r="B3458" s="1" t="s">
        <v>6770</v>
      </c>
      <c r="C3458" s="2" t="s">
        <v>4624</v>
      </c>
      <c r="D3458" s="1" t="str">
        <f>IFERROR(__xludf.DUMMYFUNCTION("GOOGLETRANSLATE(A3458 , ""auto"", ""ar"")"),"يلمس")</f>
        <v>يلمس</v>
      </c>
    </row>
    <row r="3459" ht="15.75" customHeight="1">
      <c r="A3459" s="1" t="s">
        <v>6769</v>
      </c>
      <c r="B3459" s="1" t="s">
        <v>6771</v>
      </c>
      <c r="C3459" s="2" t="s">
        <v>6772</v>
      </c>
      <c r="D3459" s="1" t="str">
        <f>IFERROR(__xludf.DUMMYFUNCTION("GOOGLETRANSLATE(A3459 , ""auto"", ""ar"")"),"يلمس")</f>
        <v>يلمس</v>
      </c>
    </row>
    <row r="3460" ht="15.75" customHeight="1">
      <c r="A3460" s="1" t="s">
        <v>6773</v>
      </c>
      <c r="B3460" s="1" t="s">
        <v>6774</v>
      </c>
      <c r="C3460" s="1"/>
      <c r="D3460" s="1" t="str">
        <f>IFERROR(__xludf.DUMMYFUNCTION("GOOGLETRANSLATE(A3460 , ""auto"", ""ar"")"),"رحلة")</f>
        <v>رحلة</v>
      </c>
    </row>
    <row r="3461" ht="15.75" customHeight="1">
      <c r="A3461" s="1" t="s">
        <v>6775</v>
      </c>
      <c r="B3461" s="1" t="s">
        <v>6776</v>
      </c>
      <c r="C3461" s="2" t="s">
        <v>6777</v>
      </c>
      <c r="D3461" s="1" t="str">
        <f>IFERROR(__xludf.DUMMYFUNCTION("GOOGLETRANSLATE(A3461 , ""auto"", ""ar"")"),"السياحة")</f>
        <v>السياحة</v>
      </c>
    </row>
    <row r="3462" ht="15.75" customHeight="1">
      <c r="A3462" s="1" t="s">
        <v>6778</v>
      </c>
      <c r="B3462" s="1" t="s">
        <v>6779</v>
      </c>
      <c r="C3462" s="2" t="s">
        <v>6780</v>
      </c>
      <c r="D3462" s="1" t="str">
        <f>IFERROR(__xludf.DUMMYFUNCTION("GOOGLETRANSLATE(A3462 , ""auto"", ""ar"")"),"مرشد سياحي")</f>
        <v>مرشد سياحي</v>
      </c>
    </row>
    <row r="3463" ht="15.75" customHeight="1">
      <c r="A3463" s="1" t="s">
        <v>6781</v>
      </c>
      <c r="B3463" s="1" t="s">
        <v>348</v>
      </c>
      <c r="C3463" s="1"/>
      <c r="D3463" s="1" t="str">
        <f>IFERROR(__xludf.DUMMYFUNCTION("GOOGLETRANSLATE(A3463 , ""auto"", ""ar"")"),"باتجاه")</f>
        <v>باتجاه</v>
      </c>
    </row>
    <row r="3464" ht="15.75" customHeight="1">
      <c r="A3464" s="1" t="s">
        <v>6782</v>
      </c>
      <c r="B3464" s="1" t="s">
        <v>348</v>
      </c>
      <c r="C3464" s="1"/>
      <c r="D3464" s="1" t="str">
        <f>IFERROR(__xludf.DUMMYFUNCTION("GOOGLETRANSLATE(A3464 , ""auto"", ""ar"")"),"تجاه")</f>
        <v>تجاه</v>
      </c>
    </row>
    <row r="3465" ht="15.75" customHeight="1">
      <c r="A3465" s="1" t="s">
        <v>6783</v>
      </c>
      <c r="B3465" s="1" t="s">
        <v>6784</v>
      </c>
      <c r="C3465" s="2" t="s">
        <v>6785</v>
      </c>
      <c r="D3465" s="1" t="str">
        <f>IFERROR(__xludf.DUMMYFUNCTION("GOOGLETRANSLATE(A3465 , ""auto"", ""ar"")"),"منشفة")</f>
        <v>منشفة</v>
      </c>
    </row>
    <row r="3466" ht="15.75" customHeight="1">
      <c r="A3466" s="1" t="s">
        <v>6786</v>
      </c>
      <c r="B3466" s="1" t="s">
        <v>6787</v>
      </c>
      <c r="C3466" s="2" t="s">
        <v>6788</v>
      </c>
      <c r="D3466" s="1" t="str">
        <f>IFERROR(__xludf.DUMMYFUNCTION("GOOGLETRANSLATE(A3466 , ""auto"", ""ar"")"),"بلدة")</f>
        <v>بلدة</v>
      </c>
    </row>
    <row r="3467" ht="15.75" customHeight="1">
      <c r="A3467" s="1" t="s">
        <v>6786</v>
      </c>
      <c r="B3467" s="1" t="s">
        <v>1439</v>
      </c>
      <c r="C3467" s="1"/>
      <c r="D3467" s="1" t="str">
        <f>IFERROR(__xludf.DUMMYFUNCTION("GOOGLETRANSLATE(A3467 , ""auto"", ""ar"")"),"بلدة")</f>
        <v>بلدة</v>
      </c>
    </row>
    <row r="3468" ht="15.75" customHeight="1">
      <c r="A3468" s="1" t="s">
        <v>6789</v>
      </c>
      <c r="B3468" s="1" t="s">
        <v>1441</v>
      </c>
      <c r="C3468" s="2" t="s">
        <v>1442</v>
      </c>
      <c r="D3468" s="1" t="str">
        <f>IFERROR(__xludf.DUMMYFUNCTION("GOOGLETRANSLATE(A3468 , ""auto"", ""ar"")"),"مبنى البلدية")</f>
        <v>مبنى البلدية</v>
      </c>
    </row>
    <row r="3469" ht="15.75" customHeight="1">
      <c r="A3469" s="1" t="s">
        <v>6790</v>
      </c>
      <c r="B3469" s="1" t="s">
        <v>6791</v>
      </c>
      <c r="C3469" s="2" t="s">
        <v>6792</v>
      </c>
      <c r="D3469" s="1" t="str">
        <f>IFERROR(__xludf.DUMMYFUNCTION("GOOGLETRANSLATE(A3469 , ""auto"", ""ar"")"),"يتعقب")</f>
        <v>يتعقب</v>
      </c>
    </row>
    <row r="3470" ht="15.75" customHeight="1">
      <c r="A3470" s="1" t="s">
        <v>6793</v>
      </c>
      <c r="B3470" s="1" t="s">
        <v>6794</v>
      </c>
      <c r="C3470" s="1"/>
      <c r="D3470" s="1" t="str">
        <f>IFERROR(__xludf.DUMMYFUNCTION("GOOGLETRANSLATE(A3470 , ""auto"", ""ar"")"),"مسار")</f>
        <v>مسار</v>
      </c>
    </row>
    <row r="3471" ht="15.75" customHeight="1">
      <c r="A3471" s="1" t="s">
        <v>6795</v>
      </c>
      <c r="B3471" s="1" t="s">
        <v>6796</v>
      </c>
      <c r="C3471" s="2" t="s">
        <v>6797</v>
      </c>
      <c r="D3471" s="1" t="str">
        <f>IFERROR(__xludf.DUMMYFUNCTION("GOOGLETRANSLATE(A3471 , ""auto"", ""ar"")"),"جرار زراعى")</f>
        <v>جرار زراعى</v>
      </c>
    </row>
    <row r="3472" ht="15.75" customHeight="1">
      <c r="A3472" s="1" t="s">
        <v>6798</v>
      </c>
      <c r="B3472" s="1" t="s">
        <v>1601</v>
      </c>
      <c r="C3472" s="2" t="s">
        <v>1602</v>
      </c>
      <c r="D3472" s="1" t="str">
        <f>IFERROR(__xludf.DUMMYFUNCTION("GOOGLETRANSLATE(A3472 , ""auto"", ""ar"")"),"تجارة")</f>
        <v>تجارة</v>
      </c>
    </row>
    <row r="3473" ht="15.75" customHeight="1">
      <c r="A3473" s="1" t="s">
        <v>6799</v>
      </c>
      <c r="B3473" s="1" t="s">
        <v>6800</v>
      </c>
      <c r="C3473" s="1"/>
      <c r="D3473" s="1" t="str">
        <f>IFERROR(__xludf.DUMMYFUNCTION("GOOGLETRANSLATE(A3473 , ""auto"", ""ar"")"),"التقليد")</f>
        <v>التقليد</v>
      </c>
    </row>
    <row r="3474" ht="15.75" customHeight="1">
      <c r="A3474" s="1" t="s">
        <v>6801</v>
      </c>
      <c r="B3474" s="1" t="s">
        <v>6802</v>
      </c>
      <c r="C3474" s="2" t="s">
        <v>6803</v>
      </c>
      <c r="D3474" s="1" t="str">
        <f>IFERROR(__xludf.DUMMYFUNCTION("GOOGLETRANSLATE(A3474 , ""auto"", ""ar"")"),"تقليدي")</f>
        <v>تقليدي</v>
      </c>
    </row>
    <row r="3475" ht="15.75" customHeight="1">
      <c r="A3475" s="1" t="s">
        <v>6801</v>
      </c>
      <c r="B3475" s="1" t="s">
        <v>6804</v>
      </c>
      <c r="C3475" s="2" t="s">
        <v>6805</v>
      </c>
      <c r="D3475" s="1" t="str">
        <f>IFERROR(__xludf.DUMMYFUNCTION("GOOGLETRANSLATE(A3475 , ""auto"", ""ar"")"),"تقليدي")</f>
        <v>تقليدي</v>
      </c>
    </row>
    <row r="3476" ht="15.75" customHeight="1">
      <c r="A3476" s="1" t="s">
        <v>6806</v>
      </c>
      <c r="B3476" s="1" t="s">
        <v>6807</v>
      </c>
      <c r="C3476" s="1"/>
      <c r="D3476" s="1" t="str">
        <f>IFERROR(__xludf.DUMMYFUNCTION("GOOGLETRANSLATE(A3476 , ""auto"", ""ar"")"),"دائرة المرور")</f>
        <v>دائرة المرور</v>
      </c>
    </row>
    <row r="3477" ht="15.75" customHeight="1">
      <c r="A3477" s="1" t="s">
        <v>6808</v>
      </c>
      <c r="B3477" s="1" t="s">
        <v>6794</v>
      </c>
      <c r="C3477" s="1"/>
      <c r="D3477" s="1" t="str">
        <f>IFERROR(__xludf.DUMMYFUNCTION("GOOGLETRANSLATE(A3477 , ""auto"", ""ar"")"),"أثر")</f>
        <v>أثر</v>
      </c>
    </row>
    <row r="3478" ht="15.75" customHeight="1">
      <c r="A3478" s="1" t="s">
        <v>6809</v>
      </c>
      <c r="B3478" s="1" t="s">
        <v>6810</v>
      </c>
      <c r="C3478" s="2" t="s">
        <v>6811</v>
      </c>
      <c r="D3478" s="1" t="str">
        <f>IFERROR(__xludf.DUMMYFUNCTION("GOOGLETRANSLATE(A3478 , ""auto"", ""ar"")"),"يدرب")</f>
        <v>يدرب</v>
      </c>
    </row>
    <row r="3479" ht="15.75" customHeight="1">
      <c r="A3479" s="1" t="s">
        <v>6812</v>
      </c>
      <c r="B3479" s="1" t="s">
        <v>6813</v>
      </c>
      <c r="C3479" s="2" t="s">
        <v>6814</v>
      </c>
      <c r="D3479" s="1" t="str">
        <f>IFERROR(__xludf.DUMMYFUNCTION("GOOGLETRANSLATE(A3479 , ""auto"", ""ar"")"),"محطة القطار")</f>
        <v>محطة القطار</v>
      </c>
    </row>
    <row r="3480" ht="15.75" customHeight="1">
      <c r="A3480" s="1" t="s">
        <v>6812</v>
      </c>
      <c r="B3480" s="1" t="s">
        <v>6813</v>
      </c>
      <c r="C3480" s="2" t="s">
        <v>6815</v>
      </c>
      <c r="D3480" s="1" t="str">
        <f>IFERROR(__xludf.DUMMYFUNCTION("GOOGLETRANSLATE(A3480 , ""auto"", ""ar"")"),"محطة القطار")</f>
        <v>محطة القطار</v>
      </c>
    </row>
    <row r="3481" ht="15.75" customHeight="1">
      <c r="A3481" s="1" t="s">
        <v>6816</v>
      </c>
      <c r="B3481" s="1" t="s">
        <v>5978</v>
      </c>
      <c r="C3481" s="2" t="s">
        <v>5979</v>
      </c>
      <c r="D3481" s="1" t="str">
        <f>IFERROR(__xludf.DUMMYFUNCTION("GOOGLETRANSLATE(A3481 , ""auto"", ""ar"")"),"المدربون")</f>
        <v>المدربون</v>
      </c>
    </row>
    <row r="3482" ht="15.75" customHeight="1">
      <c r="A3482" s="1" t="s">
        <v>6817</v>
      </c>
      <c r="B3482" s="1" t="s">
        <v>3878</v>
      </c>
      <c r="C3482" s="2" t="s">
        <v>3879</v>
      </c>
      <c r="D3482" s="1" t="str">
        <f>IFERROR(__xludf.DUMMYFUNCTION("GOOGLETRANSLATE(A3482 , ""auto"", ""ar"")"),"يترجم")</f>
        <v>يترجم</v>
      </c>
    </row>
    <row r="3483" ht="15.75" customHeight="1">
      <c r="A3483" s="1" t="s">
        <v>6818</v>
      </c>
      <c r="B3483" s="1" t="s">
        <v>3881</v>
      </c>
      <c r="C3483" s="2" t="s">
        <v>3882</v>
      </c>
      <c r="D3483" s="1" t="str">
        <f>IFERROR(__xludf.DUMMYFUNCTION("GOOGLETRANSLATE(A3483 , ""auto"", ""ar"")"),"ترجمة")</f>
        <v>ترجمة</v>
      </c>
    </row>
    <row r="3484" ht="15.75" customHeight="1">
      <c r="A3484" s="1" t="s">
        <v>6819</v>
      </c>
      <c r="B3484" s="1" t="s">
        <v>3884</v>
      </c>
      <c r="C3484" s="2" t="s">
        <v>3885</v>
      </c>
      <c r="D3484" s="1" t="str">
        <f>IFERROR(__xludf.DUMMYFUNCTION("GOOGLETRANSLATE(A3484 , ""auto"", ""ar"")"),"مترجم")</f>
        <v>مترجم</v>
      </c>
    </row>
    <row r="3485" ht="15.75" customHeight="1">
      <c r="A3485" s="1" t="s">
        <v>6820</v>
      </c>
      <c r="B3485" s="1" t="s">
        <v>6821</v>
      </c>
      <c r="C3485" s="2" t="s">
        <v>6822</v>
      </c>
      <c r="D3485" s="1" t="str">
        <f>IFERROR(__xludf.DUMMYFUNCTION("GOOGLETRANSLATE(A3485 , ""auto"", ""ar"")"),"فخ")</f>
        <v>فخ</v>
      </c>
    </row>
    <row r="3486" ht="15.75" customHeight="1">
      <c r="A3486" s="1" t="s">
        <v>6823</v>
      </c>
      <c r="B3486" s="1" t="s">
        <v>770</v>
      </c>
      <c r="C3486" s="2" t="s">
        <v>6824</v>
      </c>
      <c r="D3486" s="1" t="str">
        <f>IFERROR(__xludf.DUMMYFUNCTION("GOOGLETRANSLATE(A3486 , ""auto"", ""ar"")"),"نفاية")</f>
        <v>نفاية</v>
      </c>
    </row>
    <row r="3487" ht="15.75" customHeight="1">
      <c r="A3487" s="1" t="s">
        <v>6825</v>
      </c>
      <c r="B3487" s="1" t="s">
        <v>770</v>
      </c>
      <c r="C3487" s="1"/>
      <c r="D3487" s="1" t="str">
        <f>IFERROR(__xludf.DUMMYFUNCTION("GOOGLETRANSLATE(A3487 , ""auto"", ""ar"")"),"حاوية القمامة")</f>
        <v>حاوية القمامة</v>
      </c>
    </row>
    <row r="3488" ht="15.75" customHeight="1">
      <c r="A3488" s="1" t="s">
        <v>6825</v>
      </c>
      <c r="B3488" s="1" t="s">
        <v>771</v>
      </c>
      <c r="C3488" s="1"/>
      <c r="D3488" s="1" t="str">
        <f>IFERROR(__xludf.DUMMYFUNCTION("GOOGLETRANSLATE(A3488 , ""auto"", ""ar"")"),"حاوية القمامة")</f>
        <v>حاوية القمامة</v>
      </c>
    </row>
    <row r="3489" ht="15.75" customHeight="1">
      <c r="A3489" s="1" t="s">
        <v>6826</v>
      </c>
      <c r="B3489" s="1" t="s">
        <v>6827</v>
      </c>
      <c r="C3489" s="2" t="s">
        <v>6828</v>
      </c>
      <c r="D3489" s="1" t="str">
        <f>IFERROR(__xludf.DUMMYFUNCTION("GOOGLETRANSLATE(A3489 , ""auto"", ""ar"")"),"يسافر")</f>
        <v>يسافر</v>
      </c>
    </row>
    <row r="3490" ht="15.75" customHeight="1">
      <c r="A3490" s="1" t="s">
        <v>6826</v>
      </c>
      <c r="B3490" s="1" t="s">
        <v>6829</v>
      </c>
      <c r="C3490" s="2" t="s">
        <v>65</v>
      </c>
      <c r="D3490" s="1" t="str">
        <f>IFERROR(__xludf.DUMMYFUNCTION("GOOGLETRANSLATE(A3490 , ""auto"", ""ar"")"),"يسافر")</f>
        <v>يسافر</v>
      </c>
    </row>
    <row r="3491" ht="15.75" customHeight="1">
      <c r="A3491" s="1" t="s">
        <v>6830</v>
      </c>
      <c r="B3491" s="1" t="s">
        <v>6831</v>
      </c>
      <c r="C3491" s="2" t="s">
        <v>6832</v>
      </c>
      <c r="D3491" s="1" t="str">
        <f>IFERROR(__xludf.DUMMYFUNCTION("GOOGLETRANSLATE(A3491 , ""auto"", ""ar"")"),"صينية")</f>
        <v>صينية</v>
      </c>
    </row>
    <row r="3492" ht="15.75" customHeight="1">
      <c r="A3492" s="1" t="s">
        <v>6830</v>
      </c>
      <c r="B3492" s="1" t="s">
        <v>6833</v>
      </c>
      <c r="C3492" s="2" t="s">
        <v>6834</v>
      </c>
      <c r="D3492" s="1" t="str">
        <f>IFERROR(__xludf.DUMMYFUNCTION("GOOGLETRANSLATE(A3492 , ""auto"", ""ar"")"),"صينية")</f>
        <v>صينية</v>
      </c>
    </row>
    <row r="3493" ht="15.75" customHeight="1">
      <c r="A3493" s="1" t="s">
        <v>6835</v>
      </c>
      <c r="B3493" s="1" t="s">
        <v>6836</v>
      </c>
      <c r="C3493" s="2" t="s">
        <v>6837</v>
      </c>
      <c r="D3493" s="1" t="str">
        <f>IFERROR(__xludf.DUMMYFUNCTION("GOOGLETRANSLATE(A3493 , ""auto"", ""ar"")"),"منبسط")</f>
        <v>منبسط</v>
      </c>
    </row>
    <row r="3494" ht="15.75" customHeight="1">
      <c r="A3494" s="1" t="s">
        <v>6838</v>
      </c>
      <c r="B3494" s="1" t="s">
        <v>6839</v>
      </c>
      <c r="C3494" s="2" t="s">
        <v>6840</v>
      </c>
      <c r="D3494" s="1" t="str">
        <f>IFERROR(__xludf.DUMMYFUNCTION("GOOGLETRANSLATE(A3494 , ""auto"", ""ar"")"),"كنز")</f>
        <v>كنز</v>
      </c>
    </row>
    <row r="3495" ht="15.75" customHeight="1">
      <c r="A3495" s="1" t="s">
        <v>6841</v>
      </c>
      <c r="B3495" s="1" t="s">
        <v>6842</v>
      </c>
      <c r="C3495" s="2" t="s">
        <v>6843</v>
      </c>
      <c r="D3495" s="1" t="str">
        <f>IFERROR(__xludf.DUMMYFUNCTION("GOOGLETRANSLATE(A3495 , ""auto"", ""ar"")"),"شجرة")</f>
        <v>شجرة</v>
      </c>
    </row>
    <row r="3496" ht="15.75" customHeight="1">
      <c r="A3496" s="1" t="s">
        <v>6844</v>
      </c>
      <c r="B3496" s="1" t="s">
        <v>6845</v>
      </c>
      <c r="C3496" s="1"/>
      <c r="D3496" s="1" t="str">
        <f>IFERROR(__xludf.DUMMYFUNCTION("GOOGLETRANSLATE(A3496 , ""auto"", ""ar"")"),"يرتعش")</f>
        <v>يرتعش</v>
      </c>
    </row>
    <row r="3497" ht="15.75" customHeight="1">
      <c r="A3497" s="1" t="s">
        <v>6846</v>
      </c>
      <c r="B3497" s="1" t="s">
        <v>6847</v>
      </c>
      <c r="C3497" s="1"/>
      <c r="D3497" s="1" t="str">
        <f>IFERROR(__xludf.DUMMYFUNCTION("GOOGLETRANSLATE(A3497 , ""auto"", ""ar"")"),"مثلث")</f>
        <v>مثلث</v>
      </c>
    </row>
    <row r="3498" ht="15.75" customHeight="1">
      <c r="A3498" s="1" t="s">
        <v>6848</v>
      </c>
      <c r="B3498" s="1" t="s">
        <v>6849</v>
      </c>
      <c r="C3498" s="2" t="s">
        <v>6850</v>
      </c>
      <c r="D3498" s="1" t="str">
        <f>IFERROR(__xludf.DUMMYFUNCTION("GOOGLETRANSLATE(A3498 , ""auto"", ""ar"")"),"رحلة")</f>
        <v>رحلة</v>
      </c>
    </row>
    <row r="3499" ht="15.75" customHeight="1">
      <c r="A3499" s="1" t="s">
        <v>6851</v>
      </c>
      <c r="B3499" s="1" t="s">
        <v>3989</v>
      </c>
      <c r="C3499" s="2" t="s">
        <v>5289</v>
      </c>
      <c r="D3499" s="1" t="str">
        <f>IFERROR(__xludf.DUMMYFUNCTION("GOOGLETRANSLATE(A3499 , ""auto"", ""ar"")"),"بنطلون")</f>
        <v>بنطلون</v>
      </c>
    </row>
    <row r="3500" ht="15.75" customHeight="1">
      <c r="A3500" s="1" t="s">
        <v>6852</v>
      </c>
      <c r="B3500" s="1" t="s">
        <v>4438</v>
      </c>
      <c r="C3500" s="2" t="s">
        <v>4439</v>
      </c>
      <c r="D3500" s="1" t="str">
        <f>IFERROR(__xludf.DUMMYFUNCTION("GOOGLETRANSLATE(A3500 , ""auto"", ""ar"")"),"شاحنة")</f>
        <v>شاحنة</v>
      </c>
    </row>
    <row r="3501" ht="15.75" customHeight="1">
      <c r="A3501" s="1" t="b">
        <v>1</v>
      </c>
      <c r="B3501" s="1" t="s">
        <v>6853</v>
      </c>
      <c r="C3501" s="2" t="s">
        <v>6854</v>
      </c>
      <c r="D3501" s="1" t="str">
        <f>IFERROR(__xludf.DUMMYFUNCTION("GOOGLETRANSLATE(A3501 , ""auto"", ""ar"")"),"حقيقي")</f>
        <v>حقيقي</v>
      </c>
    </row>
    <row r="3502" ht="15.75" customHeight="1">
      <c r="A3502" s="1" t="s">
        <v>6855</v>
      </c>
      <c r="B3502" s="1" t="s">
        <v>895</v>
      </c>
      <c r="C3502" s="2" t="s">
        <v>896</v>
      </c>
      <c r="D3502" s="1" t="str">
        <f>IFERROR(__xludf.DUMMYFUNCTION("GOOGLETRANSLATE(A3502 , ""auto"", ""ar"")"),"صُندُوق")</f>
        <v>صُندُوق</v>
      </c>
    </row>
    <row r="3503" ht="15.75" customHeight="1">
      <c r="A3503" s="1" t="s">
        <v>6855</v>
      </c>
      <c r="B3503" s="1" t="s">
        <v>936</v>
      </c>
      <c r="C3503" s="2" t="s">
        <v>937</v>
      </c>
      <c r="D3503" s="1" t="str">
        <f>IFERROR(__xludf.DUMMYFUNCTION("GOOGLETRANSLATE(A3503 , ""auto"", ""ar"")"),"صُندُوق")</f>
        <v>صُندُوق</v>
      </c>
    </row>
    <row r="3504" ht="15.75" customHeight="1">
      <c r="A3504" s="1" t="s">
        <v>6856</v>
      </c>
      <c r="B3504" s="1" t="s">
        <v>1647</v>
      </c>
      <c r="C3504" s="2" t="s">
        <v>1648</v>
      </c>
      <c r="D3504" s="1" t="str">
        <f>IFERROR(__xludf.DUMMYFUNCTION("GOOGLETRANSLATE(A3504 , ""auto"", ""ar"")"),"يثق")</f>
        <v>يثق</v>
      </c>
    </row>
    <row r="3505" ht="15.75" customHeight="1">
      <c r="A3505" s="1" t="s">
        <v>6856</v>
      </c>
      <c r="B3505" s="1" t="s">
        <v>6857</v>
      </c>
      <c r="C3505" s="2" t="s">
        <v>6858</v>
      </c>
      <c r="D3505" s="1" t="str">
        <f>IFERROR(__xludf.DUMMYFUNCTION("GOOGLETRANSLATE(A3505 , ""auto"", ""ar"")"),"يثق")</f>
        <v>يثق</v>
      </c>
    </row>
    <row r="3506" ht="15.75" customHeight="1">
      <c r="A3506" s="1" t="s">
        <v>6856</v>
      </c>
      <c r="B3506" s="1" t="s">
        <v>209</v>
      </c>
      <c r="C3506" s="1"/>
      <c r="D3506" s="1" t="str">
        <f>IFERROR(__xludf.DUMMYFUNCTION("GOOGLETRANSLATE(A3506 , ""auto"", ""ar"")"),"يثق")</f>
        <v>يثق</v>
      </c>
    </row>
    <row r="3507" ht="15.75" customHeight="1">
      <c r="A3507" s="1" t="s">
        <v>6859</v>
      </c>
      <c r="B3507" s="1" t="s">
        <v>6860</v>
      </c>
      <c r="C3507" s="2" t="s">
        <v>6861</v>
      </c>
      <c r="D3507" s="1" t="str">
        <f>IFERROR(__xludf.DUMMYFUNCTION("GOOGLETRANSLATE(A3507 , ""auto"", ""ar"")"),"حقيقة")</f>
        <v>حقيقة</v>
      </c>
    </row>
    <row r="3508" ht="15.75" customHeight="1">
      <c r="A3508" s="1" t="s">
        <v>6859</v>
      </c>
      <c r="B3508" s="1" t="s">
        <v>2572</v>
      </c>
      <c r="C3508" s="2" t="s">
        <v>2573</v>
      </c>
      <c r="D3508" s="1" t="str">
        <f>IFERROR(__xludf.DUMMYFUNCTION("GOOGLETRANSLATE(A3508 , ""auto"", ""ar"")"),"حقيقة")</f>
        <v>حقيقة</v>
      </c>
    </row>
    <row r="3509" ht="15.75" customHeight="1">
      <c r="A3509" s="1" t="s">
        <v>6862</v>
      </c>
      <c r="B3509" s="1" t="s">
        <v>6863</v>
      </c>
      <c r="C3509" s="2" t="s">
        <v>6864</v>
      </c>
      <c r="D3509" s="1" t="str">
        <f>IFERROR(__xludf.DUMMYFUNCTION("GOOGLETRANSLATE(A3509 , ""auto"", ""ar"")"),"يحاول")</f>
        <v>يحاول</v>
      </c>
    </row>
    <row r="3510" ht="15.75" customHeight="1">
      <c r="A3510" s="1" t="s">
        <v>6862</v>
      </c>
      <c r="B3510" s="1" t="s">
        <v>6865</v>
      </c>
      <c r="C3510" s="2" t="s">
        <v>6866</v>
      </c>
      <c r="D3510" s="1" t="str">
        <f>IFERROR(__xludf.DUMMYFUNCTION("GOOGLETRANSLATE(A3510 , ""auto"", ""ar"")"),"يحاول")</f>
        <v>يحاول</v>
      </c>
    </row>
    <row r="3511" ht="15.75" customHeight="1">
      <c r="A3511" s="1" t="s">
        <v>6867</v>
      </c>
      <c r="B3511" s="1" t="s">
        <v>6868</v>
      </c>
      <c r="C3511" s="2" t="s">
        <v>6869</v>
      </c>
      <c r="D3511" s="1" t="str">
        <f>IFERROR(__xludf.DUMMYFUNCTION("GOOGLETRANSLATE(A3511 , ""auto"", ""ar"")"),"حاول في")</f>
        <v>حاول في</v>
      </c>
    </row>
    <row r="3512" ht="15.75" customHeight="1">
      <c r="A3512" s="1" t="s">
        <v>6870</v>
      </c>
      <c r="B3512" s="1" t="s">
        <v>6871</v>
      </c>
      <c r="C3512" s="2" t="s">
        <v>6872</v>
      </c>
      <c r="D3512" s="1" t="str">
        <f>IFERROR(__xludf.DUMMYFUNCTION("GOOGLETRANSLATE(A3512 , ""auto"", ""ar"")"),"يوم الثلاثاء")</f>
        <v>يوم الثلاثاء</v>
      </c>
    </row>
    <row r="3513" ht="15.75" customHeight="1">
      <c r="A3513" s="1" t="s">
        <v>6870</v>
      </c>
      <c r="B3513" s="1" t="s">
        <v>6873</v>
      </c>
      <c r="C3513" s="2" t="s">
        <v>6874</v>
      </c>
      <c r="D3513" s="1" t="str">
        <f>IFERROR(__xludf.DUMMYFUNCTION("GOOGLETRANSLATE(A3513 , ""auto"", ""ar"")"),"يوم الثلاثاء")</f>
        <v>يوم الثلاثاء</v>
      </c>
    </row>
    <row r="3514" ht="15.75" customHeight="1">
      <c r="A3514" s="1" t="s">
        <v>6875</v>
      </c>
      <c r="B3514" s="1" t="s">
        <v>702</v>
      </c>
      <c r="C3514" s="2" t="s">
        <v>703</v>
      </c>
      <c r="D3514" s="1" t="str">
        <f>IFERROR(__xludf.DUMMYFUNCTION("GOOGLETRANSLATE(A3514 , ""auto"", ""ar"")"),"البطن")</f>
        <v>البطن</v>
      </c>
    </row>
    <row r="3515" ht="15.75" customHeight="1">
      <c r="A3515" s="1" t="s">
        <v>6876</v>
      </c>
      <c r="B3515" s="1" t="s">
        <v>705</v>
      </c>
      <c r="C3515" s="2" t="s">
        <v>706</v>
      </c>
      <c r="D3515" s="1" t="str">
        <f>IFERROR(__xludf.DUMMYFUNCTION("GOOGLETRANSLATE(A3515 , ""auto"", ""ar"")"),"الم البطن")</f>
        <v>الم البطن</v>
      </c>
    </row>
    <row r="3516" ht="15.75" customHeight="1">
      <c r="A3516" s="1" t="s">
        <v>6877</v>
      </c>
      <c r="B3516" s="1" t="s">
        <v>6878</v>
      </c>
      <c r="C3516" s="2" t="s">
        <v>6879</v>
      </c>
      <c r="D3516" s="1" t="str">
        <f>IFERROR(__xludf.DUMMYFUNCTION("GOOGLETRANSLATE(A3516 , ""auto"", ""ar"")"),"تونة")</f>
        <v>تونة</v>
      </c>
    </row>
    <row r="3517" ht="15.75" customHeight="1">
      <c r="A3517" s="1" t="s">
        <v>6880</v>
      </c>
      <c r="B3517" s="1" t="s">
        <v>6881</v>
      </c>
      <c r="C3517" s="1"/>
      <c r="D3517" s="1" t="str">
        <f>IFERROR(__xludf.DUMMYFUNCTION("GOOGLETRANSLATE(A3517 , ""auto"", ""ar"")"),"سترة")</f>
        <v>سترة</v>
      </c>
    </row>
    <row r="3518" ht="15.75" customHeight="1">
      <c r="A3518" s="1" t="s">
        <v>6882</v>
      </c>
      <c r="B3518" s="1" t="s">
        <v>6883</v>
      </c>
      <c r="C3518" s="2" t="s">
        <v>6884</v>
      </c>
      <c r="D3518" s="1" t="str">
        <f>IFERROR(__xludf.DUMMYFUNCTION("GOOGLETRANSLATE(A3518 , ""auto"", ""ar"")"),"تونس")</f>
        <v>تونس</v>
      </c>
    </row>
    <row r="3519" ht="15.75" customHeight="1">
      <c r="A3519" s="1" t="s">
        <v>6885</v>
      </c>
      <c r="B3519" s="1" t="s">
        <v>6886</v>
      </c>
      <c r="C3519" s="2" t="s">
        <v>6887</v>
      </c>
      <c r="D3519" s="1" t="str">
        <f>IFERROR(__xludf.DUMMYFUNCTION("GOOGLETRANSLATE(A3519 , ""auto"", ""ar"")"),"التونسي")</f>
        <v>التونسي</v>
      </c>
    </row>
    <row r="3520" ht="15.75" customHeight="1">
      <c r="A3520" s="1" t="s">
        <v>6885</v>
      </c>
      <c r="B3520" s="1" t="s">
        <v>6886</v>
      </c>
      <c r="C3520" s="2" t="s">
        <v>6887</v>
      </c>
      <c r="D3520" s="1" t="str">
        <f>IFERROR(__xludf.DUMMYFUNCTION("GOOGLETRANSLATE(A3520 , ""auto"", ""ar"")"),"التونسي")</f>
        <v>التونسي</v>
      </c>
    </row>
    <row r="3521" ht="15.75" customHeight="1">
      <c r="A3521" s="1" t="s">
        <v>6888</v>
      </c>
      <c r="B3521" s="1" t="s">
        <v>6889</v>
      </c>
      <c r="C3521" s="2" t="s">
        <v>6890</v>
      </c>
      <c r="D3521" s="1" t="str">
        <f>IFERROR(__xludf.DUMMYFUNCTION("GOOGLETRANSLATE(A3521 , ""auto"", ""ar"")"),"ديك رومى")</f>
        <v>ديك رومى</v>
      </c>
    </row>
    <row r="3522" ht="15.75" customHeight="1">
      <c r="A3522" s="1" t="s">
        <v>6891</v>
      </c>
      <c r="B3522" s="1" t="s">
        <v>5790</v>
      </c>
      <c r="C3522" s="2" t="s">
        <v>5791</v>
      </c>
      <c r="D3522" s="1" t="str">
        <f>IFERROR(__xludf.DUMMYFUNCTION("GOOGLETRANSLATE(A3522 , ""auto"", ""ar"")"),"الحمامات التركية")</f>
        <v>الحمامات التركية</v>
      </c>
    </row>
    <row r="3523" ht="15.75" customHeight="1">
      <c r="A3523" s="1" t="s">
        <v>6892</v>
      </c>
      <c r="B3523" s="1" t="s">
        <v>6893</v>
      </c>
      <c r="C3523" s="2" t="s">
        <v>6894</v>
      </c>
      <c r="D3523" s="1" t="str">
        <f>IFERROR(__xludf.DUMMYFUNCTION("GOOGLETRANSLATE(A3523 , ""auto"", ""ar"")"),"كُركُم")</f>
        <v>كُركُم</v>
      </c>
    </row>
    <row r="3524" ht="15.75" customHeight="1">
      <c r="A3524" s="1" t="s">
        <v>6892</v>
      </c>
      <c r="B3524" s="1" t="s">
        <v>5481</v>
      </c>
      <c r="C3524" s="2" t="s">
        <v>6895</v>
      </c>
      <c r="D3524" s="1" t="str">
        <f>IFERROR(__xludf.DUMMYFUNCTION("GOOGLETRANSLATE(A3524 , ""auto"", ""ar"")"),"كُركُم")</f>
        <v>كُركُم</v>
      </c>
    </row>
    <row r="3525" ht="15.75" customHeight="1">
      <c r="A3525" s="1" t="s">
        <v>6896</v>
      </c>
      <c r="B3525" s="1" t="s">
        <v>3159</v>
      </c>
      <c r="C3525" s="2" t="s">
        <v>3160</v>
      </c>
      <c r="D3525" s="1" t="str">
        <f>IFERROR(__xludf.DUMMYFUNCTION("GOOGLETRANSLATE(A3525 , ""auto"", ""ar"")"),"دور")</f>
        <v>دور</v>
      </c>
    </row>
    <row r="3526" ht="15.75" customHeight="1">
      <c r="A3526" s="1" t="s">
        <v>6896</v>
      </c>
      <c r="B3526" s="1" t="s">
        <v>3508</v>
      </c>
      <c r="C3526" s="2" t="s">
        <v>3509</v>
      </c>
      <c r="D3526" s="1" t="str">
        <f>IFERROR(__xludf.DUMMYFUNCTION("GOOGLETRANSLATE(A3526 , ""auto"", ""ar"")"),"دور")</f>
        <v>دور</v>
      </c>
    </row>
    <row r="3527" ht="15.75" customHeight="1">
      <c r="A3527" s="1" t="s">
        <v>6896</v>
      </c>
      <c r="B3527" s="1" t="s">
        <v>6897</v>
      </c>
      <c r="C3527" s="1"/>
      <c r="D3527" s="1" t="str">
        <f>IFERROR(__xludf.DUMMYFUNCTION("GOOGLETRANSLATE(A3527 , ""auto"", ""ar"")"),"دور")</f>
        <v>دور</v>
      </c>
    </row>
    <row r="3528" ht="15.75" customHeight="1">
      <c r="A3528" s="1" t="s">
        <v>6898</v>
      </c>
      <c r="B3528" s="1" t="s">
        <v>6388</v>
      </c>
      <c r="C3528" s="2" t="s">
        <v>6389</v>
      </c>
      <c r="D3528" s="1" t="str">
        <f>IFERROR(__xludf.DUMMYFUNCTION("GOOGLETRANSLATE(A3528 , ""auto"", ""ar"")"),"أطفأ")</f>
        <v>أطفأ</v>
      </c>
    </row>
    <row r="3529" ht="15.75" customHeight="1">
      <c r="A3529" s="1" t="s">
        <v>6899</v>
      </c>
      <c r="B3529" s="1" t="s">
        <v>4315</v>
      </c>
      <c r="C3529" s="2" t="s">
        <v>4316</v>
      </c>
      <c r="D3529" s="1" t="str">
        <f>IFERROR(__xludf.DUMMYFUNCTION("GOOGLETRANSLATE(A3529 , ""auto"", ""ar"")"),"شغله")</f>
        <v>شغله</v>
      </c>
    </row>
    <row r="3530" ht="15.75" customHeight="1">
      <c r="A3530" s="1" t="s">
        <v>6900</v>
      </c>
      <c r="B3530" s="1" t="s">
        <v>6901</v>
      </c>
      <c r="C3530" s="1"/>
      <c r="D3530" s="1" t="str">
        <f>IFERROR(__xludf.DUMMYFUNCTION("GOOGLETRANSLATE(A3530 , ""auto"", ""ar"")"),"شغل نظرة")</f>
        <v>شغل نظرة</v>
      </c>
    </row>
    <row r="3531" ht="15.75" customHeight="1">
      <c r="A3531" s="1" t="s">
        <v>6902</v>
      </c>
      <c r="B3531" s="1" t="s">
        <v>3508</v>
      </c>
      <c r="C3531" s="2" t="s">
        <v>3509</v>
      </c>
      <c r="D3531" s="1" t="str">
        <f>IFERROR(__xludf.DUMMYFUNCTION("GOOGLETRANSLATE(A3531 , ""auto"", ""ar"")"),"دوران")</f>
        <v>دوران</v>
      </c>
    </row>
    <row r="3532" ht="15.75" customHeight="1">
      <c r="A3532" s="1" t="s">
        <v>6903</v>
      </c>
      <c r="B3532" s="1" t="s">
        <v>79</v>
      </c>
      <c r="C3532" s="2" t="s">
        <v>80</v>
      </c>
      <c r="D3532" s="1" t="str">
        <f>IFERROR(__xludf.DUMMYFUNCTION("GOOGLETRANSLATE(A3532 , ""auto"", ""ar"")"),"دُر")</f>
        <v>دُر</v>
      </c>
    </row>
    <row r="3533" ht="15.75" customHeight="1">
      <c r="A3533" s="1" t="s">
        <v>6904</v>
      </c>
      <c r="B3533" s="1" t="s">
        <v>6905</v>
      </c>
      <c r="C3533" s="2" t="s">
        <v>6906</v>
      </c>
      <c r="D3533" s="1" t="str">
        <f>IFERROR(__xludf.DUMMYFUNCTION("GOOGLETRANSLATE(A3533 , ""auto"", ""ar"")"),"اللفت")</f>
        <v>اللفت</v>
      </c>
    </row>
    <row r="3534" ht="15.75" customHeight="1">
      <c r="A3534" s="1" t="s">
        <v>6907</v>
      </c>
      <c r="B3534" s="1" t="s">
        <v>6908</v>
      </c>
      <c r="C3534" s="2" t="s">
        <v>6909</v>
      </c>
      <c r="D3534" s="1" t="str">
        <f>IFERROR(__xludf.DUMMYFUNCTION("GOOGLETRANSLATE(A3534 , ""auto"", ""ar"")"),"جهاز التحكم عن بُعد")</f>
        <v>جهاز التحكم عن بُعد</v>
      </c>
    </row>
    <row r="3535" ht="15.75" customHeight="1">
      <c r="A3535" s="1" t="s">
        <v>6910</v>
      </c>
      <c r="B3535" s="1" t="s">
        <v>6911</v>
      </c>
      <c r="C3535" s="2" t="s">
        <v>6912</v>
      </c>
      <c r="D3535" s="1" t="str">
        <f>IFERROR(__xludf.DUMMYFUNCTION("GOOGLETRANSLATE(A3535 , ""auto"", ""ar"")"),"الثاني عشر")</f>
        <v>الثاني عشر</v>
      </c>
    </row>
    <row r="3536" ht="15.75" customHeight="1">
      <c r="A3536" s="1" t="s">
        <v>6913</v>
      </c>
      <c r="B3536" s="1" t="s">
        <v>6914</v>
      </c>
      <c r="C3536" s="2" t="s">
        <v>6915</v>
      </c>
      <c r="D3536" s="1" t="str">
        <f>IFERROR(__xludf.DUMMYFUNCTION("GOOGLETRANSLATE(A3536 , ""auto"", ""ar"")"),"اثني عشر")</f>
        <v>اثني عشر</v>
      </c>
    </row>
    <row r="3537" ht="15.75" customHeight="1">
      <c r="A3537" s="1" t="s">
        <v>6916</v>
      </c>
      <c r="B3537" s="1" t="s">
        <v>6917</v>
      </c>
      <c r="C3537" s="2" t="s">
        <v>6918</v>
      </c>
      <c r="D3537" s="1" t="str">
        <f>IFERROR(__xludf.DUMMYFUNCTION("GOOGLETRANSLATE(A3537 , ""auto"", ""ar"")"),"عشرين")</f>
        <v>عشرين</v>
      </c>
    </row>
    <row r="3538" ht="15.75" customHeight="1">
      <c r="A3538" s="1" t="s">
        <v>6919</v>
      </c>
      <c r="B3538" s="1" t="s">
        <v>6920</v>
      </c>
      <c r="C3538" s="2" t="s">
        <v>6921</v>
      </c>
      <c r="D3538" s="1" t="str">
        <f>IFERROR(__xludf.DUMMYFUNCTION("GOOGLETRANSLATE(A3538 , ""auto"", ""ar"")"),"التوأم")</f>
        <v>التوأم</v>
      </c>
    </row>
    <row r="3539" ht="15.75" customHeight="1">
      <c r="A3539" s="1" t="s">
        <v>6919</v>
      </c>
      <c r="B3539" s="1" t="s">
        <v>6920</v>
      </c>
      <c r="C3539" s="2" t="s">
        <v>6921</v>
      </c>
      <c r="D3539" s="1" t="str">
        <f>IFERROR(__xludf.DUMMYFUNCTION("GOOGLETRANSLATE(A3539 , ""auto"", ""ar"")"),"التوأم")</f>
        <v>التوأم</v>
      </c>
    </row>
    <row r="3540" ht="15.75" customHeight="1">
      <c r="A3540" s="1" t="s">
        <v>6922</v>
      </c>
      <c r="B3540" s="1" t="s">
        <v>6923</v>
      </c>
      <c r="C3540" s="2" t="s">
        <v>6924</v>
      </c>
      <c r="D3540" s="1" t="str">
        <f>IFERROR(__xludf.DUMMYFUNCTION("GOOGLETRANSLATE(A3540 , ""auto"", ""ar"")"),"ملتوية")</f>
        <v>ملتوية</v>
      </c>
    </row>
    <row r="3541" ht="15.75" customHeight="1">
      <c r="A3541" s="1" t="s">
        <v>6925</v>
      </c>
      <c r="B3541" s="1" t="s">
        <v>6926</v>
      </c>
      <c r="C3541" s="2" t="s">
        <v>6927</v>
      </c>
      <c r="D3541" s="1" t="str">
        <f>IFERROR(__xludf.DUMMYFUNCTION("GOOGLETRANSLATE(A3541 , ""auto"", ""ar"")"),"اثنين")</f>
        <v>اثنين</v>
      </c>
    </row>
    <row r="3542" ht="15.75" customHeight="1">
      <c r="A3542" s="1" t="s">
        <v>6925</v>
      </c>
      <c r="B3542" s="1" t="s">
        <v>6928</v>
      </c>
      <c r="C3542" s="2" t="s">
        <v>6929</v>
      </c>
      <c r="D3542" s="1" t="str">
        <f>IFERROR(__xludf.DUMMYFUNCTION("GOOGLETRANSLATE(A3542 , ""auto"", ""ar"")"),"اثنين")</f>
        <v>اثنين</v>
      </c>
    </row>
    <row r="3543" ht="15.75" customHeight="1">
      <c r="A3543" s="1" t="s">
        <v>6930</v>
      </c>
      <c r="B3543" s="1" t="s">
        <v>6931</v>
      </c>
      <c r="C3543" s="1"/>
      <c r="D3543" s="1" t="str">
        <f>IFERROR(__xludf.DUMMYFUNCTION("GOOGLETRANSLATE(A3543 , ""auto"", ""ar"")"),"يكتب")</f>
        <v>يكتب</v>
      </c>
    </row>
    <row r="3544" ht="15.75" customHeight="1">
      <c r="A3544" s="1" t="s">
        <v>466</v>
      </c>
      <c r="B3544" s="1" t="s">
        <v>467</v>
      </c>
      <c r="C3544" s="2" t="s">
        <v>468</v>
      </c>
      <c r="D3544" s="1" t="str">
        <f>IFERROR(__xludf.DUMMYFUNCTION("GOOGLETRANSLATE(A3544 , ""auto"", ""ar"")"),"اسم العائلة")</f>
        <v>اسم العائلة</v>
      </c>
    </row>
    <row r="3545" ht="15.75" customHeight="1">
      <c r="A3545" s="1" t="s">
        <v>43</v>
      </c>
      <c r="B3545" s="1" t="s">
        <v>44</v>
      </c>
      <c r="C3545" s="2" t="s">
        <v>45</v>
      </c>
      <c r="D3545" s="1" t="str">
        <f>IFERROR(__xludf.DUMMYFUNCTION("GOOGLETRANSLATE(A3545 , ""auto"", ""ar"")"),"مقبول")</f>
        <v>مقبول</v>
      </c>
    </row>
    <row r="3546" ht="15.75" customHeight="1">
      <c r="A3546" s="1" t="s">
        <v>469</v>
      </c>
      <c r="B3546" s="1" t="s">
        <v>470</v>
      </c>
      <c r="C3546" s="2" t="s">
        <v>471</v>
      </c>
      <c r="D3546" s="1" t="str">
        <f>IFERROR(__xludf.DUMMYFUNCTION("GOOGLETRANSLATE(A3546 , ""auto"", ""ar"")"),"التصالح")</f>
        <v>التصالح</v>
      </c>
    </row>
    <row r="3547" ht="15.75" customHeight="1">
      <c r="A3547" s="1" t="s">
        <v>472</v>
      </c>
      <c r="B3547" s="1" t="s">
        <v>473</v>
      </c>
      <c r="C3547" s="2" t="s">
        <v>474</v>
      </c>
      <c r="D3547" s="1" t="str">
        <f>IFERROR(__xludf.DUMMYFUNCTION("GOOGLETRANSLATE(A3547 , ""auto"", ""ar"")"),"مغفرة")</f>
        <v>مغفرة</v>
      </c>
    </row>
    <row r="3548" ht="15.75" customHeight="1">
      <c r="A3548" s="1" t="s">
        <v>475</v>
      </c>
      <c r="B3548" s="1" t="s">
        <v>476</v>
      </c>
      <c r="C3548" s="2" t="s">
        <v>477</v>
      </c>
      <c r="D3548" s="1" t="str">
        <f>IFERROR(__xludf.DUMMYFUNCTION("GOOGLETRANSLATE(A3548 , ""auto"", ""ar"")"),"يخبر")</f>
        <v>يخبر</v>
      </c>
    </row>
    <row r="3549" ht="15.75" customHeight="1">
      <c r="A3549" s="1" t="s">
        <v>6932</v>
      </c>
      <c r="B3549" s="1" t="s">
        <v>489</v>
      </c>
      <c r="C3549" s="2" t="s">
        <v>490</v>
      </c>
      <c r="D3549" s="1" t="str">
        <f>IFERROR(__xludf.DUMMYFUNCTION("GOOGLETRANSLATE(A3549 , ""auto"", ""ar"")"),"قبيح")</f>
        <v>قبيح</v>
      </c>
    </row>
    <row r="3550" ht="15.75" customHeight="1">
      <c r="A3550" s="1" t="s">
        <v>6933</v>
      </c>
      <c r="B3550" s="1" t="s">
        <v>6934</v>
      </c>
      <c r="C3550" s="1"/>
      <c r="D3550" s="1" t="str">
        <f>IFERROR(__xludf.DUMMYFUNCTION("GOOGLETRANSLATE(A3550 , ""auto"", ""ar"")"),"ululation")</f>
        <v>ululation</v>
      </c>
    </row>
    <row r="3551" ht="15.75" customHeight="1">
      <c r="A3551" s="1" t="s">
        <v>6935</v>
      </c>
      <c r="B3551" s="1" t="s">
        <v>6936</v>
      </c>
      <c r="C3551" s="2" t="s">
        <v>6937</v>
      </c>
      <c r="D3551" s="1" t="str">
        <f>IFERROR(__xludf.DUMMYFUNCTION("GOOGLETRANSLATE(A3551 , ""auto"", ""ar"")"),"مظلة")</f>
        <v>مظلة</v>
      </c>
    </row>
    <row r="3552" ht="15.75" customHeight="1">
      <c r="A3552" s="1" t="s">
        <v>6938</v>
      </c>
      <c r="B3552" s="1" t="s">
        <v>6939</v>
      </c>
      <c r="C3552" s="2" t="s">
        <v>6940</v>
      </c>
      <c r="D3552" s="1" t="str">
        <f>IFERROR(__xludf.DUMMYFUNCTION("GOOGLETRANSLATE(A3552 , ""auto"", ""ar"")"),"رفع الحظر")</f>
        <v>رفع الحظر</v>
      </c>
    </row>
    <row r="3553" ht="15.75" customHeight="1">
      <c r="A3553" s="1" t="s">
        <v>6941</v>
      </c>
      <c r="B3553" s="1" t="s">
        <v>6942</v>
      </c>
      <c r="C3553" s="2" t="s">
        <v>6943</v>
      </c>
      <c r="D3553" s="1" t="str">
        <f>IFERROR(__xludf.DUMMYFUNCTION("GOOGLETRANSLATE(A3553 , ""auto"", ""ar"")"),"الملغى حظره")</f>
        <v>الملغى حظره</v>
      </c>
    </row>
    <row r="3554" ht="15.75" customHeight="1">
      <c r="A3554" s="1" t="s">
        <v>6944</v>
      </c>
      <c r="B3554" s="1" t="s">
        <v>6945</v>
      </c>
      <c r="C3554" s="2" t="s">
        <v>6946</v>
      </c>
      <c r="D3554" s="1" t="str">
        <f>IFERROR(__xludf.DUMMYFUNCTION("GOOGLETRANSLATE(A3554 , ""auto"", ""ar"")"),"عم")</f>
        <v>عم</v>
      </c>
    </row>
    <row r="3555" ht="15.75" customHeight="1">
      <c r="A3555" s="1" t="s">
        <v>6944</v>
      </c>
      <c r="B3555" s="1" t="s">
        <v>6947</v>
      </c>
      <c r="C3555" s="2" t="s">
        <v>6948</v>
      </c>
      <c r="D3555" s="1" t="str">
        <f>IFERROR(__xludf.DUMMYFUNCTION("GOOGLETRANSLATE(A3555 , ""auto"", ""ar"")"),"عم")</f>
        <v>عم</v>
      </c>
    </row>
    <row r="3556" ht="15.75" customHeight="1">
      <c r="A3556" s="1" t="s">
        <v>6949</v>
      </c>
      <c r="B3556" s="1" t="s">
        <v>714</v>
      </c>
      <c r="C3556" s="2" t="s">
        <v>715</v>
      </c>
      <c r="D3556" s="1" t="str">
        <f>IFERROR(__xludf.DUMMYFUNCTION("GOOGLETRANSLATE(A3556 , ""auto"", ""ar"")"),"تحت")</f>
        <v>تحت</v>
      </c>
    </row>
    <row r="3557" ht="15.75" customHeight="1">
      <c r="A3557" s="1" t="s">
        <v>6950</v>
      </c>
      <c r="B3557" s="1" t="s">
        <v>6296</v>
      </c>
      <c r="C3557" s="2" t="s">
        <v>6297</v>
      </c>
      <c r="D3557" s="1" t="str">
        <f>IFERROR(__xludf.DUMMYFUNCTION("GOOGLETRANSLATE(A3557 , ""auto"", ""ar"")"),"تحت الأرض")</f>
        <v>تحت الأرض</v>
      </c>
    </row>
    <row r="3558" ht="15.75" customHeight="1">
      <c r="A3558" s="1" t="s">
        <v>6950</v>
      </c>
      <c r="B3558" s="1"/>
      <c r="C3558" s="1"/>
      <c r="D3558" s="1" t="str">
        <f>IFERROR(__xludf.DUMMYFUNCTION("GOOGLETRANSLATE(A3558 , ""auto"", ""ar"")"),"تحت الأرض")</f>
        <v>تحت الأرض</v>
      </c>
    </row>
    <row r="3559" ht="15.75" customHeight="1">
      <c r="A3559" s="1" t="s">
        <v>6951</v>
      </c>
      <c r="B3559" s="1" t="s">
        <v>731</v>
      </c>
      <c r="C3559" s="2" t="s">
        <v>732</v>
      </c>
      <c r="D3559" s="1" t="str">
        <f>IFERROR(__xludf.DUMMYFUNCTION("GOOGLETRANSLATE(A3559 , ""auto"", ""ar"")"),"تحته")</f>
        <v>تحته</v>
      </c>
    </row>
    <row r="3560" ht="15.75" customHeight="1">
      <c r="A3560" s="1" t="s">
        <v>6951</v>
      </c>
      <c r="B3560" s="1" t="s">
        <v>6952</v>
      </c>
      <c r="C3560" s="1"/>
      <c r="D3560" s="1" t="str">
        <f>IFERROR(__xludf.DUMMYFUNCTION("GOOGLETRANSLATE(A3560 , ""auto"", ""ar"")"),"تحته")</f>
        <v>تحته</v>
      </c>
    </row>
    <row r="3561" ht="15.75" customHeight="1">
      <c r="A3561" s="1" t="s">
        <v>6953</v>
      </c>
      <c r="B3561" s="1" t="s">
        <v>1025</v>
      </c>
      <c r="C3561" s="2" t="s">
        <v>1026</v>
      </c>
      <c r="D3561" s="1" t="str">
        <f>IFERROR(__xludf.DUMMYFUNCTION("GOOGLETRANSLATE(A3561 , ""auto"", ""ar"")"),"السراويل الداخلية")</f>
        <v>السراويل الداخلية</v>
      </c>
    </row>
    <row r="3562" ht="15.75" customHeight="1">
      <c r="A3562" s="1" t="s">
        <v>6954</v>
      </c>
      <c r="B3562" s="1" t="s">
        <v>6955</v>
      </c>
      <c r="C3562" s="2" t="s">
        <v>6956</v>
      </c>
      <c r="D3562" s="1" t="str">
        <f>IFERROR(__xludf.DUMMYFUNCTION("GOOGLETRANSLATE(A3562 , ""auto"", ""ar"")"),"قميص داخلي")</f>
        <v>قميص داخلي</v>
      </c>
    </row>
    <row r="3563" ht="15.75" customHeight="1">
      <c r="A3563" s="1" t="s">
        <v>6954</v>
      </c>
      <c r="B3563" s="1" t="s">
        <v>6957</v>
      </c>
      <c r="C3563" s="1"/>
      <c r="D3563" s="1" t="str">
        <f>IFERROR(__xludf.DUMMYFUNCTION("GOOGLETRANSLATE(A3563 , ""auto"", ""ar"")"),"قميص داخلي")</f>
        <v>قميص داخلي</v>
      </c>
    </row>
    <row r="3564" ht="15.75" customHeight="1">
      <c r="A3564" s="1" t="s">
        <v>6954</v>
      </c>
      <c r="B3564" s="1" t="s">
        <v>6958</v>
      </c>
      <c r="C3564" s="1"/>
      <c r="D3564" s="1" t="str">
        <f>IFERROR(__xludf.DUMMYFUNCTION("GOOGLETRANSLATE(A3564 , ""auto"", ""ar"")"),"قميص داخلي")</f>
        <v>قميص داخلي</v>
      </c>
    </row>
    <row r="3565" ht="15.75" customHeight="1">
      <c r="A3565" s="1" t="s">
        <v>6959</v>
      </c>
      <c r="B3565" s="1" t="s">
        <v>6960</v>
      </c>
      <c r="C3565" s="2" t="s">
        <v>6961</v>
      </c>
      <c r="D3565" s="1" t="str">
        <f>IFERROR(__xludf.DUMMYFUNCTION("GOOGLETRANSLATE(A3565 , ""auto"", ""ar"")"),"يفهم")</f>
        <v>يفهم</v>
      </c>
    </row>
    <row r="3566" ht="15.75" customHeight="1">
      <c r="A3566" s="1" t="s">
        <v>6962</v>
      </c>
      <c r="B3566" s="1" t="s">
        <v>6963</v>
      </c>
      <c r="C3566" s="2" t="s">
        <v>65</v>
      </c>
      <c r="D3566" s="1" t="str">
        <f>IFERROR(__xludf.DUMMYFUNCTION("GOOGLETRANSLATE(A3566 , ""auto"", ""ar"")"),"مفهوم")</f>
        <v>مفهوم</v>
      </c>
    </row>
    <row r="3567" ht="15.75" customHeight="1">
      <c r="A3567" s="1" t="s">
        <v>6964</v>
      </c>
      <c r="B3567" s="1" t="s">
        <v>6965</v>
      </c>
      <c r="C3567" s="2" t="s">
        <v>6966</v>
      </c>
      <c r="D3567" s="1" t="str">
        <f>IFERROR(__xludf.DUMMYFUNCTION("GOOGLETRANSLATE(A3567 , ""auto"", ""ar"")"),"ثياب داخلية")</f>
        <v>ثياب داخلية</v>
      </c>
    </row>
    <row r="3568" ht="15.75" customHeight="1">
      <c r="A3568" s="1" t="s">
        <v>6967</v>
      </c>
      <c r="B3568" s="1" t="s">
        <v>6968</v>
      </c>
      <c r="C3568" s="2" t="s">
        <v>6969</v>
      </c>
      <c r="D3568" s="1" t="str">
        <f>IFERROR(__xludf.DUMMYFUNCTION("GOOGLETRANSLATE(A3568 , ""auto"", ""ar"")"),"للأسف")</f>
        <v>للأسف</v>
      </c>
    </row>
    <row r="3569" ht="15.75" customHeight="1">
      <c r="A3569" s="1" t="s">
        <v>6967</v>
      </c>
      <c r="B3569" s="1" t="s">
        <v>6970</v>
      </c>
      <c r="C3569" s="1"/>
      <c r="D3569" s="1" t="str">
        <f>IFERROR(__xludf.DUMMYFUNCTION("GOOGLETRANSLATE(A3569 , ""auto"", ""ar"")"),"للأسف")</f>
        <v>للأسف</v>
      </c>
    </row>
    <row r="3570" ht="15.75" customHeight="1">
      <c r="A3570" s="1" t="s">
        <v>6967</v>
      </c>
      <c r="B3570" s="1" t="s">
        <v>6971</v>
      </c>
      <c r="C3570" s="1"/>
      <c r="D3570" s="1" t="str">
        <f>IFERROR(__xludf.DUMMYFUNCTION("GOOGLETRANSLATE(A3570 , ""auto"", ""ar"")"),"للأسف")</f>
        <v>للأسف</v>
      </c>
    </row>
    <row r="3571" ht="15.75" customHeight="1">
      <c r="A3571" s="1" t="s">
        <v>6972</v>
      </c>
      <c r="B3571" s="1" t="s">
        <v>1574</v>
      </c>
      <c r="C3571" s="2" t="s">
        <v>1575</v>
      </c>
      <c r="D3571" s="1" t="str">
        <f>IFERROR(__xludf.DUMMYFUNCTION("GOOGLETRANSLATE(A3571 , ""auto"", ""ar"")"),"ها")</f>
        <v>ها</v>
      </c>
    </row>
    <row r="3572" ht="15.75" customHeight="1">
      <c r="A3572" s="1" t="s">
        <v>6972</v>
      </c>
      <c r="B3572" s="1" t="s">
        <v>1576</v>
      </c>
      <c r="C3572" s="1"/>
      <c r="D3572" s="1" t="str">
        <f>IFERROR(__xludf.DUMMYFUNCTION("GOOGLETRANSLATE(A3572 , ""auto"", ""ar"")"),"ها")</f>
        <v>ها</v>
      </c>
    </row>
    <row r="3573" ht="15.75" customHeight="1">
      <c r="A3573" s="1" t="s">
        <v>6973</v>
      </c>
      <c r="B3573" s="1" t="s">
        <v>1574</v>
      </c>
      <c r="C3573" s="2" t="s">
        <v>1575</v>
      </c>
      <c r="D3573" s="1" t="str">
        <f>IFERROR(__xludf.DUMMYFUNCTION("GOOGLETRANSLATE(A3573 , ""auto"", ""ar"")"),"جامعة")</f>
        <v>جامعة</v>
      </c>
    </row>
    <row r="3574" ht="15.75" customHeight="1">
      <c r="A3574" s="1" t="s">
        <v>6973</v>
      </c>
      <c r="B3574" s="1" t="s">
        <v>1576</v>
      </c>
      <c r="C3574" s="1"/>
      <c r="D3574" s="1" t="str">
        <f>IFERROR(__xludf.DUMMYFUNCTION("GOOGLETRANSLATE(A3574 , ""auto"", ""ar"")"),"جامعة")</f>
        <v>جامعة</v>
      </c>
    </row>
    <row r="3575" ht="15.75" customHeight="1">
      <c r="A3575" s="1" t="s">
        <v>6973</v>
      </c>
      <c r="B3575" s="1" t="s">
        <v>6974</v>
      </c>
      <c r="C3575" s="1"/>
      <c r="D3575" s="1" t="str">
        <f>IFERROR(__xludf.DUMMYFUNCTION("GOOGLETRANSLATE(A3575 , ""auto"", ""ar"")"),"جامعة")</f>
        <v>جامعة</v>
      </c>
    </row>
    <row r="3576" ht="15.75" customHeight="1">
      <c r="A3576" s="1" t="s">
        <v>6973</v>
      </c>
      <c r="B3576" s="1" t="s">
        <v>6974</v>
      </c>
      <c r="C3576" s="1"/>
      <c r="D3576" s="1" t="str">
        <f>IFERROR(__xludf.DUMMYFUNCTION("GOOGLETRANSLATE(A3576 , ""auto"", ""ar"")"),"جامعة")</f>
        <v>جامعة</v>
      </c>
    </row>
    <row r="3577" ht="15.75" customHeight="1">
      <c r="A3577" s="1" t="s">
        <v>6975</v>
      </c>
      <c r="B3577" s="1" t="s">
        <v>6939</v>
      </c>
      <c r="C3577" s="2" t="s">
        <v>6940</v>
      </c>
      <c r="D3577" s="1" t="str">
        <f>IFERROR(__xludf.DUMMYFUNCTION("GOOGLETRANSLATE(A3577 , ""auto"", ""ar"")"),"فك")</f>
        <v>فك</v>
      </c>
    </row>
    <row r="3578" ht="15.75" customHeight="1">
      <c r="A3578" s="1" t="s">
        <v>6976</v>
      </c>
      <c r="B3578" s="1" t="s">
        <v>6977</v>
      </c>
      <c r="C3578" s="1"/>
      <c r="D3578" s="1" t="str">
        <f>IFERROR(__xludf.DUMMYFUNCTION("GOOGLETRANSLATE(A3578 , ""auto"", ""ar"")"),"حتى")</f>
        <v>حتى</v>
      </c>
    </row>
    <row r="3579" ht="15.75" customHeight="1">
      <c r="A3579" s="1" t="s">
        <v>6976</v>
      </c>
      <c r="B3579" s="1" t="s">
        <v>234</v>
      </c>
      <c r="C3579" s="2" t="s">
        <v>235</v>
      </c>
      <c r="D3579" s="1" t="str">
        <f>IFERROR(__xludf.DUMMYFUNCTION("GOOGLETRANSLATE(A3579 , ""auto"", ""ar"")"),"حتى")</f>
        <v>حتى</v>
      </c>
    </row>
    <row r="3580" ht="15.75" customHeight="1">
      <c r="A3580" s="1" t="s">
        <v>6978</v>
      </c>
      <c r="B3580" s="1" t="s">
        <v>6979</v>
      </c>
      <c r="C3580" s="2" t="s">
        <v>6980</v>
      </c>
      <c r="D3580" s="1" t="str">
        <f>IFERROR(__xludf.DUMMYFUNCTION("GOOGLETRANSLATE(A3580 , ""auto"", ""ar"")"),"حتى وقت متأخر")</f>
        <v>حتى وقت متأخر</v>
      </c>
    </row>
    <row r="3581" ht="15.75" customHeight="1">
      <c r="A3581" s="1" t="s">
        <v>6981</v>
      </c>
      <c r="B3581" s="1" t="s">
        <v>273</v>
      </c>
      <c r="C3581" s="2" t="s">
        <v>274</v>
      </c>
      <c r="D3581" s="1" t="str">
        <f>IFERROR(__xludf.DUMMYFUNCTION("GOOGLETRANSLATE(A3581 , ""auto"", ""ar"")"),"منزعج")</f>
        <v>منزعج</v>
      </c>
    </row>
    <row r="3582" ht="15.75" customHeight="1">
      <c r="A3582" s="1" t="s">
        <v>6981</v>
      </c>
      <c r="B3582" s="1" t="s">
        <v>6982</v>
      </c>
      <c r="C3582" s="2" t="s">
        <v>274</v>
      </c>
      <c r="D3582" s="1" t="str">
        <f>IFERROR(__xludf.DUMMYFUNCTION("GOOGLETRANSLATE(A3582 , ""auto"", ""ar"")"),"منزعج")</f>
        <v>منزعج</v>
      </c>
    </row>
    <row r="3583" ht="15.75" customHeight="1">
      <c r="A3583" s="1" t="s">
        <v>6983</v>
      </c>
      <c r="B3583" s="1" t="s">
        <v>6984</v>
      </c>
      <c r="C3583" s="2" t="s">
        <v>6985</v>
      </c>
      <c r="D3583" s="1" t="str">
        <f>IFERROR(__xludf.DUMMYFUNCTION("GOOGLETRANSLATE(A3583 , ""auto"", ""ar"")"),"رأسا على عقب")</f>
        <v>رأسا على عقب</v>
      </c>
    </row>
    <row r="3584" ht="15.75" customHeight="1">
      <c r="A3584" s="1" t="s">
        <v>6986</v>
      </c>
      <c r="B3584" s="1" t="s">
        <v>6987</v>
      </c>
      <c r="C3584" s="1"/>
      <c r="D3584" s="1" t="str">
        <f>IFERROR(__xludf.DUMMYFUNCTION("GOOGLETRANSLATE(A3584 , ""auto"", ""ar"")"),"البول")</f>
        <v>البول</v>
      </c>
    </row>
    <row r="3585" ht="15.75" customHeight="1">
      <c r="A3585" s="1" t="s">
        <v>6986</v>
      </c>
      <c r="B3585" s="1" t="s">
        <v>6988</v>
      </c>
      <c r="C3585" s="1"/>
      <c r="D3585" s="1" t="str">
        <f>IFERROR(__xludf.DUMMYFUNCTION("GOOGLETRANSLATE(A3585 , ""auto"", ""ar"")"),"البول")</f>
        <v>البول</v>
      </c>
    </row>
    <row r="3586" ht="15.75" customHeight="1">
      <c r="A3586" s="1" t="s">
        <v>6989</v>
      </c>
      <c r="B3586" s="1" t="s">
        <v>6990</v>
      </c>
      <c r="C3586" s="2" t="s">
        <v>6991</v>
      </c>
      <c r="D3586" s="1" t="str">
        <f>IFERROR(__xludf.DUMMYFUNCTION("GOOGLETRANSLATE(A3586 , ""auto"", ""ar"")"),"نحن")</f>
        <v>نحن</v>
      </c>
    </row>
    <row r="3587" ht="15.75" customHeight="1">
      <c r="A3587" s="1" t="s">
        <v>6992</v>
      </c>
      <c r="B3587" s="1" t="s">
        <v>6993</v>
      </c>
      <c r="C3587" s="2" t="s">
        <v>6994</v>
      </c>
      <c r="D3587" s="1" t="str">
        <f>IFERROR(__xludf.DUMMYFUNCTION("GOOGLETRANSLATE(A3587 , ""auto"", ""ar"")"),"يستخدم")</f>
        <v>يستخدم</v>
      </c>
    </row>
    <row r="3588" ht="15.75" customHeight="1">
      <c r="A3588" s="1" t="s">
        <v>6992</v>
      </c>
      <c r="B3588" s="1" t="s">
        <v>209</v>
      </c>
      <c r="C3588" s="2" t="s">
        <v>2152</v>
      </c>
      <c r="D3588" s="1" t="str">
        <f>IFERROR(__xludf.DUMMYFUNCTION("GOOGLETRANSLATE(A3588 , ""auto"", ""ar"")"),"يستخدم")</f>
        <v>يستخدم</v>
      </c>
    </row>
    <row r="3589" ht="15.75" customHeight="1">
      <c r="A3589" s="1" t="s">
        <v>6995</v>
      </c>
      <c r="B3589" s="1" t="s">
        <v>60</v>
      </c>
      <c r="C3589" s="2" t="s">
        <v>61</v>
      </c>
      <c r="D3589" s="1" t="str">
        <f>IFERROR(__xludf.DUMMYFUNCTION("GOOGLETRANSLATE(A3589 , ""auto"", ""ar"")"),"تستخدم ل")</f>
        <v>تستخدم ل</v>
      </c>
    </row>
    <row r="3590" ht="15.75" customHeight="1">
      <c r="A3590" s="1" t="s">
        <v>6996</v>
      </c>
      <c r="B3590" s="1" t="s">
        <v>6997</v>
      </c>
      <c r="C3590" s="2" t="s">
        <v>6998</v>
      </c>
      <c r="D3590" s="1" t="str">
        <f>IFERROR(__xludf.DUMMYFUNCTION("GOOGLETRANSLATE(A3590 , ""auto"", ""ar"")"),"مفيد")</f>
        <v>مفيد</v>
      </c>
    </row>
    <row r="3591" ht="15.75" customHeight="1">
      <c r="A3591" s="1" t="s">
        <v>6999</v>
      </c>
      <c r="B3591" s="1" t="s">
        <v>3344</v>
      </c>
      <c r="C3591" s="2" t="s">
        <v>3345</v>
      </c>
      <c r="D3591" s="1" t="str">
        <f>IFERROR(__xludf.DUMMYFUNCTION("GOOGLETRANSLATE(A3591 , ""auto"", ""ar"")"),"الممارسة المعتادة")</f>
        <v>الممارسة المعتادة</v>
      </c>
    </row>
    <row r="3592" ht="15.75" customHeight="1">
      <c r="A3592" s="1" t="s">
        <v>6999</v>
      </c>
      <c r="B3592" s="1" t="s">
        <v>3346</v>
      </c>
      <c r="C3592" s="2" t="s">
        <v>3347</v>
      </c>
      <c r="D3592" s="1" t="str">
        <f>IFERROR(__xludf.DUMMYFUNCTION("GOOGLETRANSLATE(A3592 , ""auto"", ""ar"")"),"الممارسة المعتادة")</f>
        <v>الممارسة المعتادة</v>
      </c>
    </row>
    <row r="3593" ht="15.75" customHeight="1">
      <c r="A3593" s="1" t="s">
        <v>466</v>
      </c>
      <c r="B3593" s="1" t="s">
        <v>467</v>
      </c>
      <c r="C3593" s="2" t="s">
        <v>468</v>
      </c>
      <c r="D3593" s="1" t="str">
        <f>IFERROR(__xludf.DUMMYFUNCTION("GOOGLETRANSLATE(A3593 , ""auto"", ""ar"")"),"اسم العائلة")</f>
        <v>اسم العائلة</v>
      </c>
    </row>
    <row r="3594" ht="15.75" customHeight="1">
      <c r="A3594" s="1" t="s">
        <v>43</v>
      </c>
      <c r="B3594" s="1" t="s">
        <v>44</v>
      </c>
      <c r="C3594" s="2" t="s">
        <v>45</v>
      </c>
      <c r="D3594" s="1" t="str">
        <f>IFERROR(__xludf.DUMMYFUNCTION("GOOGLETRANSLATE(A3594 , ""auto"", ""ar"")"),"مقبول")</f>
        <v>مقبول</v>
      </c>
    </row>
    <row r="3595" ht="15.75" customHeight="1">
      <c r="A3595" s="1" t="s">
        <v>469</v>
      </c>
      <c r="B3595" s="1" t="s">
        <v>470</v>
      </c>
      <c r="C3595" s="2" t="s">
        <v>471</v>
      </c>
      <c r="D3595" s="1" t="str">
        <f>IFERROR(__xludf.DUMMYFUNCTION("GOOGLETRANSLATE(A3595 , ""auto"", ""ar"")"),"التصالح")</f>
        <v>التصالح</v>
      </c>
    </row>
    <row r="3596" ht="15.75" customHeight="1">
      <c r="A3596" s="1" t="s">
        <v>472</v>
      </c>
      <c r="B3596" s="1" t="s">
        <v>473</v>
      </c>
      <c r="C3596" s="2" t="s">
        <v>474</v>
      </c>
      <c r="D3596" s="1" t="str">
        <f>IFERROR(__xludf.DUMMYFUNCTION("GOOGLETRANSLATE(A3596 , ""auto"", ""ar"")"),"مغفرة")</f>
        <v>مغفرة</v>
      </c>
    </row>
    <row r="3597" ht="15.75" customHeight="1">
      <c r="A3597" s="1" t="s">
        <v>475</v>
      </c>
      <c r="B3597" s="1" t="s">
        <v>476</v>
      </c>
      <c r="C3597" s="2" t="s">
        <v>477</v>
      </c>
      <c r="D3597" s="1" t="str">
        <f>IFERROR(__xludf.DUMMYFUNCTION("GOOGLETRANSLATE(A3597 , ""auto"", ""ar"")"),"يخبر")</f>
        <v>يخبر</v>
      </c>
    </row>
    <row r="3598" ht="15.75" customHeight="1">
      <c r="A3598" s="1" t="s">
        <v>7000</v>
      </c>
      <c r="B3598" s="1" t="s">
        <v>3619</v>
      </c>
      <c r="C3598" s="2" t="s">
        <v>3620</v>
      </c>
      <c r="D3598" s="1" t="str">
        <f>IFERROR(__xludf.DUMMYFUNCTION("GOOGLETRANSLATE(A3598 , ""auto"", ""ar"")"),"أجازة")</f>
        <v>أجازة</v>
      </c>
    </row>
    <row r="3599" ht="15.75" customHeight="1">
      <c r="A3599" s="1" t="s">
        <v>7001</v>
      </c>
      <c r="B3599" s="1" t="s">
        <v>7002</v>
      </c>
      <c r="C3599" s="1"/>
      <c r="D3599" s="1" t="str">
        <f>IFERROR(__xludf.DUMMYFUNCTION("GOOGLETRANSLATE(A3599 , ""auto"", ""ar"")"),"لقح")</f>
        <v>لقح</v>
      </c>
    </row>
    <row r="3600" ht="15.75" customHeight="1">
      <c r="A3600" s="1" t="s">
        <v>7003</v>
      </c>
      <c r="B3600" s="1" t="s">
        <v>7004</v>
      </c>
      <c r="C3600" s="2" t="s">
        <v>7005</v>
      </c>
      <c r="D3600" s="1" t="str">
        <f>IFERROR(__xludf.DUMMYFUNCTION("GOOGLETRANSLATE(A3600 , ""auto"", ""ar"")"),"تلقيح")</f>
        <v>تلقيح</v>
      </c>
    </row>
    <row r="3601" ht="15.75" customHeight="1">
      <c r="A3601" s="1" t="s">
        <v>7006</v>
      </c>
      <c r="B3601" s="1" t="s">
        <v>7007</v>
      </c>
      <c r="C3601" s="2" t="s">
        <v>7008</v>
      </c>
      <c r="D3601" s="1" t="str">
        <f>IFERROR(__xludf.DUMMYFUNCTION("GOOGLETRANSLATE(A3601 , ""auto"", ""ar"")"),"قيّم")</f>
        <v>قيّم</v>
      </c>
    </row>
    <row r="3602" ht="15.75" customHeight="1">
      <c r="A3602" s="1" t="s">
        <v>7009</v>
      </c>
      <c r="B3602" s="1" t="s">
        <v>7010</v>
      </c>
      <c r="C3602" s="2" t="s">
        <v>7011</v>
      </c>
      <c r="D3602" s="1" t="str">
        <f>IFERROR(__xludf.DUMMYFUNCTION("GOOGLETRANSLATE(A3602 , ""auto"", ""ar"")"),"قيمة")</f>
        <v>قيمة</v>
      </c>
    </row>
    <row r="3603" ht="15.75" customHeight="1">
      <c r="A3603" s="1" t="s">
        <v>7012</v>
      </c>
      <c r="B3603" s="1" t="s">
        <v>7013</v>
      </c>
      <c r="C3603" s="2" t="s">
        <v>7014</v>
      </c>
      <c r="D3603" s="1" t="str">
        <f>IFERROR(__xludf.DUMMYFUNCTION("GOOGLETRANSLATE(A3603 , ""auto"", ""ar"")"),"مزهرية")</f>
        <v>مزهرية</v>
      </c>
    </row>
    <row r="3604" ht="15.75" customHeight="1">
      <c r="A3604" s="1" t="s">
        <v>7015</v>
      </c>
      <c r="B3604" s="1" t="s">
        <v>5141</v>
      </c>
      <c r="C3604" s="1"/>
      <c r="D3604" s="1" t="str">
        <f>IFERROR(__xludf.DUMMYFUNCTION("GOOGLETRANSLATE(A3604 , ""auto"", ""ar"")"),"زيت نباتي")</f>
        <v>زيت نباتي</v>
      </c>
    </row>
    <row r="3605" ht="15.75" customHeight="1">
      <c r="A3605" s="1" t="s">
        <v>7016</v>
      </c>
      <c r="B3605" s="1" t="s">
        <v>7017</v>
      </c>
      <c r="C3605" s="2" t="s">
        <v>7018</v>
      </c>
      <c r="D3605" s="1" t="str">
        <f>IFERROR(__xludf.DUMMYFUNCTION("GOOGLETRANSLATE(A3605 , ""auto"", ""ar"")"),"خضروات")</f>
        <v>خضروات</v>
      </c>
    </row>
    <row r="3606" ht="15.75" customHeight="1">
      <c r="A3606" s="1" t="s">
        <v>7019</v>
      </c>
      <c r="B3606" s="1" t="s">
        <v>5429</v>
      </c>
      <c r="C3606" s="2" t="s">
        <v>5430</v>
      </c>
      <c r="D3606" s="1" t="str">
        <f>IFERROR(__xludf.DUMMYFUNCTION("GOOGLETRANSLATE(A3606 , ""auto"", ""ar"")"),"الوريد")</f>
        <v>الوريد</v>
      </c>
    </row>
    <row r="3607" ht="15.75" customHeight="1">
      <c r="A3607" s="1" t="s">
        <v>7020</v>
      </c>
      <c r="B3607" s="1" t="s">
        <v>5500</v>
      </c>
      <c r="C3607" s="2" t="s">
        <v>5501</v>
      </c>
      <c r="D3607" s="1" t="str">
        <f>IFERROR(__xludf.DUMMYFUNCTION("GOOGLETRANSLATE(A3607 , ""auto"", ""ar"")"),"بائع")</f>
        <v>بائع</v>
      </c>
    </row>
    <row r="3608" ht="15.75" customHeight="1">
      <c r="A3608" s="1" t="s">
        <v>7020</v>
      </c>
      <c r="B3608" s="1" t="s">
        <v>7021</v>
      </c>
      <c r="C3608" s="1"/>
      <c r="D3608" s="1" t="str">
        <f>IFERROR(__xludf.DUMMYFUNCTION("GOOGLETRANSLATE(A3608 , ""auto"", ""ar"")"),"بائع")</f>
        <v>بائع</v>
      </c>
    </row>
    <row r="3609" ht="15.75" customHeight="1">
      <c r="A3609" s="1" t="s">
        <v>7020</v>
      </c>
      <c r="B3609" s="1" t="s">
        <v>3282</v>
      </c>
      <c r="C3609" s="2" t="s">
        <v>3283</v>
      </c>
      <c r="D3609" s="1" t="str">
        <f>IFERROR(__xludf.DUMMYFUNCTION("GOOGLETRANSLATE(A3609 , ""auto"", ""ar"")"),"بائع")</f>
        <v>بائع</v>
      </c>
    </row>
    <row r="3610" ht="15.75" customHeight="1">
      <c r="A3610" s="1" t="s">
        <v>7022</v>
      </c>
      <c r="B3610" s="1" t="s">
        <v>7023</v>
      </c>
      <c r="C3610" s="2" t="s">
        <v>7024</v>
      </c>
      <c r="D3610" s="1" t="str">
        <f>IFERROR(__xludf.DUMMYFUNCTION("GOOGLETRANSLATE(A3610 , ""auto"", ""ar"")"),"الانتقام")</f>
        <v>الانتقام</v>
      </c>
    </row>
    <row r="3611" ht="15.75" customHeight="1">
      <c r="A3611" s="1" t="s">
        <v>7025</v>
      </c>
      <c r="B3611" s="1" t="s">
        <v>7026</v>
      </c>
      <c r="C3611" s="2" t="s">
        <v>7027</v>
      </c>
      <c r="D3611" s="1" t="str">
        <f>IFERROR(__xludf.DUMMYFUNCTION("GOOGLETRANSLATE(A3611 , ""auto"", ""ar"")"),"الفعل")</f>
        <v>الفعل</v>
      </c>
    </row>
    <row r="3612" ht="15.75" customHeight="1">
      <c r="A3612" s="1" t="s">
        <v>7028</v>
      </c>
      <c r="B3612" s="1" t="s">
        <v>7029</v>
      </c>
      <c r="C3612" s="2" t="s">
        <v>7030</v>
      </c>
      <c r="D3612" s="1" t="str">
        <f>IFERROR(__xludf.DUMMYFUNCTION("GOOGLETRANSLATE(A3612 , ""auto"", ""ar"")"),"Verbena")</f>
        <v>Verbena</v>
      </c>
    </row>
    <row r="3613" ht="15.75" customHeight="1">
      <c r="A3613" s="1" t="s">
        <v>7031</v>
      </c>
      <c r="B3613" s="1" t="s">
        <v>5044</v>
      </c>
      <c r="C3613" s="2" t="s">
        <v>5045</v>
      </c>
      <c r="D3613" s="1" t="str">
        <f>IFERROR(__xludf.DUMMYFUNCTION("GOOGLETRANSLATE(A3613 , ""auto"", ""ar"")"),"فيرميسيلي")</f>
        <v>فيرميسيلي</v>
      </c>
    </row>
    <row r="3614" ht="15.75" customHeight="1">
      <c r="A3614" s="1" t="s">
        <v>7032</v>
      </c>
      <c r="B3614" s="1" t="s">
        <v>7033</v>
      </c>
      <c r="C3614" s="2" t="s">
        <v>7034</v>
      </c>
      <c r="D3614" s="1" t="str">
        <f>IFERROR(__xludf.DUMMYFUNCTION("GOOGLETRANSLATE(A3614 , ""auto"", ""ar"")"),"فيرميسيلي مع الدجاج والقرفة والسكر المثلج")</f>
        <v>فيرميسيلي مع الدجاج والقرفة والسكر المثلج</v>
      </c>
    </row>
    <row r="3615" ht="15.75" customHeight="1">
      <c r="A3615" s="1" t="s">
        <v>7035</v>
      </c>
      <c r="B3615" s="1" t="s">
        <v>7036</v>
      </c>
      <c r="C3615" s="2" t="s">
        <v>7037</v>
      </c>
      <c r="D3615" s="1" t="str">
        <f>IFERROR(__xludf.DUMMYFUNCTION("GOOGLETRANSLATE(A3615 , ""auto"", ""ar"")"),"سترة")</f>
        <v>سترة</v>
      </c>
    </row>
    <row r="3616" ht="15.75" customHeight="1">
      <c r="A3616" s="1" t="s">
        <v>7035</v>
      </c>
      <c r="B3616" s="1" t="s">
        <v>7038</v>
      </c>
      <c r="C3616" s="2" t="s">
        <v>6956</v>
      </c>
      <c r="D3616" s="1" t="str">
        <f>IFERROR(__xludf.DUMMYFUNCTION("GOOGLETRANSLATE(A3616 , ""auto"", ""ar"")"),"سترة")</f>
        <v>سترة</v>
      </c>
    </row>
    <row r="3617" ht="15.75" customHeight="1">
      <c r="A3617" s="1" t="s">
        <v>7035</v>
      </c>
      <c r="B3617" s="1" t="s">
        <v>6957</v>
      </c>
      <c r="C3617" s="1"/>
      <c r="D3617" s="1" t="str">
        <f>IFERROR(__xludf.DUMMYFUNCTION("GOOGLETRANSLATE(A3617 , ""auto"", ""ar"")"),"سترة")</f>
        <v>سترة</v>
      </c>
    </row>
    <row r="3618" ht="15.75" customHeight="1">
      <c r="A3618" s="1" t="s">
        <v>7035</v>
      </c>
      <c r="B3618" s="1" t="s">
        <v>6958</v>
      </c>
      <c r="C3618" s="1"/>
      <c r="D3618" s="1" t="str">
        <f>IFERROR(__xludf.DUMMYFUNCTION("GOOGLETRANSLATE(A3618 , ""auto"", ""ar"")"),"سترة")</f>
        <v>سترة</v>
      </c>
    </row>
    <row r="3619" ht="15.75" customHeight="1">
      <c r="A3619" s="1" t="s">
        <v>7039</v>
      </c>
      <c r="B3619" s="1" t="s">
        <v>7040</v>
      </c>
      <c r="C3619" s="1"/>
      <c r="D3619" s="1" t="str">
        <f>IFERROR(__xludf.DUMMYFUNCTION("GOOGLETRANSLATE(A3619 , ""auto"", ""ar"")"),"دكتور بيطري")</f>
        <v>دكتور بيطري</v>
      </c>
    </row>
    <row r="3620" ht="15.75" customHeight="1">
      <c r="A3620" s="1" t="s">
        <v>7041</v>
      </c>
      <c r="B3620" s="1" t="s">
        <v>7040</v>
      </c>
      <c r="C3620" s="1"/>
      <c r="D3620" s="1" t="str">
        <f>IFERROR(__xludf.DUMMYFUNCTION("GOOGLETRANSLATE(A3620 , ""auto"", ""ar"")"),"طبيب بيطري")</f>
        <v>طبيب بيطري</v>
      </c>
    </row>
    <row r="3621" ht="15.75" customHeight="1">
      <c r="A3621" s="1" t="s">
        <v>7042</v>
      </c>
      <c r="B3621" s="1" t="s">
        <v>7043</v>
      </c>
      <c r="C3621" s="1"/>
      <c r="D3621" s="1" t="str">
        <f>IFERROR(__xludf.DUMMYFUNCTION("GOOGLETRANSLATE(A3621 , ""auto"", ""ar"")"),"طبيب بيطري - بيطري")</f>
        <v>طبيب بيطري - بيطري</v>
      </c>
    </row>
    <row r="3622" ht="15.75" customHeight="1">
      <c r="A3622" s="1" t="s">
        <v>7044</v>
      </c>
      <c r="B3622" s="1" t="s">
        <v>7045</v>
      </c>
      <c r="C3622" s="2" t="s">
        <v>7046</v>
      </c>
      <c r="D3622" s="1" t="str">
        <f>IFERROR(__xludf.DUMMYFUNCTION("GOOGLETRANSLATE(A3622 , ""auto"", ""ar"")"),"فيديو")</f>
        <v>فيديو</v>
      </c>
    </row>
    <row r="3623" ht="15.75" customHeight="1">
      <c r="A3623" s="1" t="s">
        <v>7047</v>
      </c>
      <c r="B3623" s="1" t="s">
        <v>7048</v>
      </c>
      <c r="C3623" s="1"/>
      <c r="D3623" s="1" t="str">
        <f>IFERROR(__xludf.DUMMYFUNCTION("GOOGLETRANSLATE(A3623 , ""auto"", ""ar"")"),"منظر")</f>
        <v>منظر</v>
      </c>
    </row>
    <row r="3624" ht="15.75" customHeight="1">
      <c r="A3624" s="1" t="s">
        <v>7049</v>
      </c>
      <c r="B3624" s="1" t="s">
        <v>7050</v>
      </c>
      <c r="C3624" s="2" t="s">
        <v>7051</v>
      </c>
      <c r="D3624" s="1" t="str">
        <f>IFERROR(__xludf.DUMMYFUNCTION("GOOGLETRANSLATE(A3624 , ""auto"", ""ar"")"),"قرية")</f>
        <v>قرية</v>
      </c>
    </row>
    <row r="3625" ht="15.75" customHeight="1">
      <c r="A3625" s="1" t="s">
        <v>7052</v>
      </c>
      <c r="B3625" s="1" t="s">
        <v>7053</v>
      </c>
      <c r="C3625" s="2" t="s">
        <v>7054</v>
      </c>
      <c r="D3625" s="1" t="str">
        <f>IFERROR(__xludf.DUMMYFUNCTION("GOOGLETRANSLATE(A3625 , ""auto"", ""ar"")"),"خل")</f>
        <v>خل</v>
      </c>
    </row>
    <row r="3626" ht="15.75" customHeight="1">
      <c r="A3626" s="1" t="s">
        <v>7055</v>
      </c>
      <c r="B3626" s="1" t="s">
        <v>7056</v>
      </c>
      <c r="C3626" s="2" t="s">
        <v>7057</v>
      </c>
      <c r="D3626" s="1" t="str">
        <f>IFERROR(__xludf.DUMMYFUNCTION("GOOGLETRANSLATE(A3626 , ""auto"", ""ar"")"),"كمان")</f>
        <v>كمان</v>
      </c>
    </row>
    <row r="3627" ht="15.75" customHeight="1">
      <c r="A3627" s="1" t="s">
        <v>7055</v>
      </c>
      <c r="B3627" s="1" t="s">
        <v>7058</v>
      </c>
      <c r="C3627" s="1"/>
      <c r="D3627" s="1" t="str">
        <f>IFERROR(__xludf.DUMMYFUNCTION("GOOGLETRANSLATE(A3627 , ""auto"", ""ar"")"),"كمان")</f>
        <v>كمان</v>
      </c>
    </row>
    <row r="3628" ht="15.75" customHeight="1">
      <c r="A3628" s="1" t="s">
        <v>7059</v>
      </c>
      <c r="B3628" s="1" t="s">
        <v>5706</v>
      </c>
      <c r="C3628" s="1"/>
      <c r="D3628" s="1" t="str">
        <f>IFERROR(__xludf.DUMMYFUNCTION("GOOGLETRANSLATE(A3628 , ""auto"", ""ar"")"),"أفعى")</f>
        <v>أفعى</v>
      </c>
    </row>
    <row r="3629" ht="15.75" customHeight="1">
      <c r="A3629" s="1" t="s">
        <v>7060</v>
      </c>
      <c r="B3629" s="1" t="s">
        <v>7061</v>
      </c>
      <c r="C3629" s="2" t="s">
        <v>7062</v>
      </c>
      <c r="D3629" s="1" t="str">
        <f>IFERROR(__xludf.DUMMYFUNCTION("GOOGLETRANSLATE(A3629 , ""auto"", ""ar"")"),"فايروس")</f>
        <v>فايروس</v>
      </c>
    </row>
    <row r="3630" ht="15.75" customHeight="1">
      <c r="A3630" s="1" t="s">
        <v>7063</v>
      </c>
      <c r="B3630" s="1" t="s">
        <v>7064</v>
      </c>
      <c r="C3630" s="2" t="s">
        <v>7065</v>
      </c>
      <c r="D3630" s="1" t="str">
        <f>IFERROR(__xludf.DUMMYFUNCTION("GOOGLETRANSLATE(A3630 , ""auto"", ""ar"")"),"تأشيرة")</f>
        <v>تأشيرة</v>
      </c>
    </row>
    <row r="3631" ht="15.75" customHeight="1">
      <c r="A3631" s="1" t="s">
        <v>7066</v>
      </c>
      <c r="B3631" s="1" t="s">
        <v>7067</v>
      </c>
      <c r="C3631" s="1"/>
      <c r="D3631" s="1" t="str">
        <f>IFERROR(__xludf.DUMMYFUNCTION("GOOGLETRANSLATE(A3631 , ""auto"", ""ar"")"),"رؤية")</f>
        <v>رؤية</v>
      </c>
    </row>
    <row r="3632" ht="15.75" customHeight="1">
      <c r="A3632" s="1" t="s">
        <v>7068</v>
      </c>
      <c r="B3632" s="1" t="s">
        <v>7069</v>
      </c>
      <c r="C3632" s="2" t="s">
        <v>7070</v>
      </c>
      <c r="D3632" s="1" t="str">
        <f>IFERROR(__xludf.DUMMYFUNCTION("GOOGLETRANSLATE(A3632 , ""auto"", ""ar"")"),"يزور")</f>
        <v>يزور</v>
      </c>
    </row>
    <row r="3633" ht="15.75" customHeight="1">
      <c r="A3633" s="1" t="s">
        <v>7068</v>
      </c>
      <c r="B3633" s="1" t="s">
        <v>7071</v>
      </c>
      <c r="C3633" s="2" t="s">
        <v>7072</v>
      </c>
      <c r="D3633" s="1" t="str">
        <f>IFERROR(__xludf.DUMMYFUNCTION("GOOGLETRANSLATE(A3633 , ""auto"", ""ar"")"),"يزور")</f>
        <v>يزور</v>
      </c>
    </row>
    <row r="3634" ht="15.75" customHeight="1">
      <c r="A3634" s="1" t="s">
        <v>7068</v>
      </c>
      <c r="B3634" s="1" t="s">
        <v>209</v>
      </c>
      <c r="C3634" s="2" t="s">
        <v>7073</v>
      </c>
      <c r="D3634" s="1" t="str">
        <f>IFERROR(__xludf.DUMMYFUNCTION("GOOGLETRANSLATE(A3634 , ""auto"", ""ar"")"),"يزور")</f>
        <v>يزور</v>
      </c>
    </row>
    <row r="3635" ht="15.75" customHeight="1">
      <c r="A3635" s="1" t="s">
        <v>7068</v>
      </c>
      <c r="B3635" s="1" t="s">
        <v>3147</v>
      </c>
      <c r="C3635" s="2" t="s">
        <v>4445</v>
      </c>
      <c r="D3635" s="1" t="str">
        <f>IFERROR(__xludf.DUMMYFUNCTION("GOOGLETRANSLATE(A3635 , ""auto"", ""ar"")"),"يزور")</f>
        <v>يزور</v>
      </c>
    </row>
    <row r="3636" ht="15.75" customHeight="1">
      <c r="A3636" s="1" t="s">
        <v>7074</v>
      </c>
      <c r="B3636" s="1" t="s">
        <v>3332</v>
      </c>
      <c r="C3636" s="2" t="s">
        <v>3333</v>
      </c>
      <c r="D3636" s="1" t="str">
        <f>IFERROR(__xludf.DUMMYFUNCTION("GOOGLETRANSLATE(A3636 , ""auto"", ""ar"")"),"لزيارة")</f>
        <v>لزيارة</v>
      </c>
    </row>
    <row r="3637" ht="15.75" customHeight="1">
      <c r="A3637" s="1" t="s">
        <v>7075</v>
      </c>
      <c r="B3637" s="1" t="s">
        <v>7076</v>
      </c>
      <c r="C3637" s="2" t="s">
        <v>7077</v>
      </c>
      <c r="D3637" s="1" t="str">
        <f>IFERROR(__xludf.DUMMYFUNCTION("GOOGLETRANSLATE(A3637 , ""auto"", ""ar"")"),"صوتي")</f>
        <v>صوتي</v>
      </c>
    </row>
    <row r="3638" ht="15.75" customHeight="1">
      <c r="A3638" s="1" t="s">
        <v>7078</v>
      </c>
      <c r="B3638" s="1" t="s">
        <v>6051</v>
      </c>
      <c r="C3638" s="2" t="s">
        <v>6046</v>
      </c>
      <c r="D3638" s="1" t="str">
        <f>IFERROR(__xludf.DUMMYFUNCTION("GOOGLETRANSLATE(A3638 , ""auto"", ""ar"")"),"صوت")</f>
        <v>صوت</v>
      </c>
    </row>
    <row r="3639" ht="15.75" customHeight="1">
      <c r="A3639" s="1" t="s">
        <v>7079</v>
      </c>
      <c r="B3639" s="1" t="s">
        <v>7080</v>
      </c>
      <c r="C3639" s="2" t="s">
        <v>7081</v>
      </c>
      <c r="D3639" s="1" t="str">
        <f>IFERROR(__xludf.DUMMYFUNCTION("GOOGLETRANSLATE(A3639 , ""auto"", ""ar"")"),"البريد الصوتي")</f>
        <v>البريد الصوتي</v>
      </c>
    </row>
    <row r="3640" ht="15.75" customHeight="1">
      <c r="A3640" s="1" t="s">
        <v>7082</v>
      </c>
      <c r="B3640" s="1" t="s">
        <v>7083</v>
      </c>
      <c r="C3640" s="1"/>
      <c r="D3640" s="1" t="str">
        <f>IFERROR(__xludf.DUMMYFUNCTION("GOOGLETRANSLATE(A3640 , ""auto"", ""ar"")"),"عمل تطوعي")</f>
        <v>عمل تطوعي</v>
      </c>
    </row>
    <row r="3641" ht="15.75" customHeight="1">
      <c r="A3641" s="1" t="s">
        <v>7084</v>
      </c>
      <c r="B3641" s="1" t="s">
        <v>7085</v>
      </c>
      <c r="C3641" s="2" t="s">
        <v>7086</v>
      </c>
      <c r="D3641" s="1" t="str">
        <f>IFERROR(__xludf.DUMMYFUNCTION("GOOGLETRANSLATE(A3641 , ""auto"", ""ar"")"),"متطوع")</f>
        <v>متطوع</v>
      </c>
    </row>
    <row r="3642" ht="15.75" customHeight="1">
      <c r="A3642" s="1" t="s">
        <v>7087</v>
      </c>
      <c r="B3642" s="1" t="s">
        <v>7088</v>
      </c>
      <c r="C3642" s="2" t="s">
        <v>7089</v>
      </c>
      <c r="D3642" s="1" t="str">
        <f>IFERROR(__xludf.DUMMYFUNCTION("GOOGLETRANSLATE(A3642 , ""auto"", ""ar"")"),"القيء")</f>
        <v>القيء</v>
      </c>
    </row>
    <row r="3643" ht="15.75" customHeight="1">
      <c r="A3643" s="1" t="s">
        <v>7087</v>
      </c>
      <c r="B3643" s="1" t="s">
        <v>293</v>
      </c>
      <c r="C3643" s="2" t="s">
        <v>294</v>
      </c>
      <c r="D3643" s="1" t="str">
        <f>IFERROR(__xludf.DUMMYFUNCTION("GOOGLETRANSLATE(A3643 , ""auto"", ""ar"")"),"القيء")</f>
        <v>القيء</v>
      </c>
    </row>
    <row r="3644" ht="15.75" customHeight="1">
      <c r="A3644" s="1" t="s">
        <v>466</v>
      </c>
      <c r="B3644" s="1" t="s">
        <v>467</v>
      </c>
      <c r="C3644" s="2" t="s">
        <v>468</v>
      </c>
      <c r="D3644" s="1" t="str">
        <f>IFERROR(__xludf.DUMMYFUNCTION("GOOGLETRANSLATE(A3644 , ""auto"", ""ar"")"),"اسم العائلة")</f>
        <v>اسم العائلة</v>
      </c>
    </row>
    <row r="3645" ht="15.75" customHeight="1">
      <c r="A3645" s="1" t="s">
        <v>43</v>
      </c>
      <c r="B3645" s="1" t="s">
        <v>44</v>
      </c>
      <c r="C3645" s="2" t="s">
        <v>45</v>
      </c>
      <c r="D3645" s="1" t="str">
        <f>IFERROR(__xludf.DUMMYFUNCTION("GOOGLETRANSLATE(A3645 , ""auto"", ""ar"")"),"مقبول")</f>
        <v>مقبول</v>
      </c>
    </row>
    <row r="3646" ht="15.75" customHeight="1">
      <c r="A3646" s="1" t="s">
        <v>469</v>
      </c>
      <c r="B3646" s="1" t="s">
        <v>470</v>
      </c>
      <c r="C3646" s="2" t="s">
        <v>471</v>
      </c>
      <c r="D3646" s="1" t="str">
        <f>IFERROR(__xludf.DUMMYFUNCTION("GOOGLETRANSLATE(A3646 , ""auto"", ""ar"")"),"التصالح")</f>
        <v>التصالح</v>
      </c>
    </row>
    <row r="3647" ht="15.75" customHeight="1">
      <c r="A3647" s="1" t="s">
        <v>472</v>
      </c>
      <c r="B3647" s="1" t="s">
        <v>473</v>
      </c>
      <c r="C3647" s="2" t="s">
        <v>474</v>
      </c>
      <c r="D3647" s="1" t="str">
        <f>IFERROR(__xludf.DUMMYFUNCTION("GOOGLETRANSLATE(A3647 , ""auto"", ""ar"")"),"مغفرة")</f>
        <v>مغفرة</v>
      </c>
    </row>
    <row r="3648" ht="15.75" customHeight="1">
      <c r="A3648" s="1" t="s">
        <v>475</v>
      </c>
      <c r="B3648" s="1" t="s">
        <v>476</v>
      </c>
      <c r="C3648" s="2" t="s">
        <v>477</v>
      </c>
      <c r="D3648" s="1" t="str">
        <f>IFERROR(__xludf.DUMMYFUNCTION("GOOGLETRANSLATE(A3648 , ""auto"", ""ar"")"),"يخبر")</f>
        <v>يخبر</v>
      </c>
    </row>
    <row r="3649" ht="15.75" customHeight="1">
      <c r="A3649" s="1" t="s">
        <v>7090</v>
      </c>
      <c r="B3649" s="1" t="s">
        <v>5491</v>
      </c>
      <c r="C3649" s="1"/>
      <c r="D3649" s="1" t="str">
        <f>IFERROR(__xludf.DUMMYFUNCTION("GOOGLETRANSLATE(A3649 , ""auto"", ""ar"")"),"الأجر")</f>
        <v>الأجر</v>
      </c>
    </row>
    <row r="3650" ht="15.75" customHeight="1">
      <c r="A3650" s="1" t="s">
        <v>7090</v>
      </c>
      <c r="B3650" s="1" t="s">
        <v>5492</v>
      </c>
      <c r="C3650" s="1"/>
      <c r="D3650" s="1" t="str">
        <f>IFERROR(__xludf.DUMMYFUNCTION("GOOGLETRANSLATE(A3650 , ""auto"", ""ar"")"),"الأجر")</f>
        <v>الأجر</v>
      </c>
    </row>
    <row r="3651" ht="15.75" customHeight="1">
      <c r="A3651" s="1" t="s">
        <v>7090</v>
      </c>
      <c r="B3651" s="1" t="s">
        <v>5493</v>
      </c>
      <c r="C3651" s="2" t="s">
        <v>5494</v>
      </c>
      <c r="D3651" s="1" t="str">
        <f>IFERROR(__xludf.DUMMYFUNCTION("GOOGLETRANSLATE(A3651 , ""auto"", ""ar"")"),"الأجر")</f>
        <v>الأجر</v>
      </c>
    </row>
    <row r="3652" ht="15.75" customHeight="1">
      <c r="A3652" s="1" t="s">
        <v>7091</v>
      </c>
      <c r="B3652" s="1" t="s">
        <v>7036</v>
      </c>
      <c r="C3652" s="2" t="s">
        <v>7037</v>
      </c>
      <c r="D3652" s="1" t="str">
        <f>IFERROR(__xludf.DUMMYFUNCTION("GOOGLETRANSLATE(A3652 , ""auto"", ""ar"")"),"صدار")</f>
        <v>صدار</v>
      </c>
    </row>
    <row r="3653" ht="15.75" customHeight="1">
      <c r="A3653" s="1" t="s">
        <v>7092</v>
      </c>
      <c r="B3653" s="1" t="s">
        <v>7093</v>
      </c>
      <c r="C3653" s="2" t="s">
        <v>7094</v>
      </c>
      <c r="D3653" s="1" t="str">
        <f>IFERROR(__xludf.DUMMYFUNCTION("GOOGLETRANSLATE(A3653 , ""auto"", ""ar"")"),"انتظر")</f>
        <v>انتظر</v>
      </c>
    </row>
    <row r="3654" ht="15.75" customHeight="1">
      <c r="A3654" s="1" t="s">
        <v>7092</v>
      </c>
      <c r="B3654" s="1" t="s">
        <v>7095</v>
      </c>
      <c r="C3654" s="2" t="s">
        <v>7096</v>
      </c>
      <c r="D3654" s="1" t="str">
        <f>IFERROR(__xludf.DUMMYFUNCTION("GOOGLETRANSLATE(A3654 , ""auto"", ""ar"")"),"انتظر")</f>
        <v>انتظر</v>
      </c>
    </row>
    <row r="3655" ht="15.75" customHeight="1">
      <c r="A3655" s="1" t="s">
        <v>7097</v>
      </c>
      <c r="B3655" s="1" t="s">
        <v>7098</v>
      </c>
      <c r="C3655" s="2" t="s">
        <v>7099</v>
      </c>
      <c r="D3655" s="1" t="str">
        <f>IFERROR(__xludf.DUMMYFUNCTION("GOOGLETRANSLATE(A3655 , ""auto"", ""ar"")"),"النادل")</f>
        <v>النادل</v>
      </c>
    </row>
    <row r="3656" ht="15.75" customHeight="1">
      <c r="A3656" s="1" t="s">
        <v>7097</v>
      </c>
      <c r="B3656" s="1" t="s">
        <v>7100</v>
      </c>
      <c r="C3656" s="2" t="s">
        <v>7101</v>
      </c>
      <c r="D3656" s="1" t="str">
        <f>IFERROR(__xludf.DUMMYFUNCTION("GOOGLETRANSLATE(A3656 , ""auto"", ""ar"")"),"النادل")</f>
        <v>النادل</v>
      </c>
    </row>
    <row r="3657" ht="15.75" customHeight="1">
      <c r="A3657" s="1" t="s">
        <v>7102</v>
      </c>
      <c r="B3657" s="1" t="s">
        <v>4795</v>
      </c>
      <c r="C3657" s="2" t="s">
        <v>4796</v>
      </c>
      <c r="D3657" s="1" t="str">
        <f>IFERROR(__xludf.DUMMYFUNCTION("GOOGLETRANSLATE(A3657 , ""auto"", ""ar"")"),"استيقظ")</f>
        <v>استيقظ</v>
      </c>
    </row>
    <row r="3658" ht="15.75" customHeight="1">
      <c r="A3658" s="1" t="s">
        <v>7102</v>
      </c>
      <c r="B3658" s="1" t="s">
        <v>7103</v>
      </c>
      <c r="C3658" s="2" t="s">
        <v>7104</v>
      </c>
      <c r="D3658" s="1" t="str">
        <f>IFERROR(__xludf.DUMMYFUNCTION("GOOGLETRANSLATE(A3658 , ""auto"", ""ar"")"),"استيقظ")</f>
        <v>استيقظ</v>
      </c>
    </row>
    <row r="3659" ht="15.75" customHeight="1">
      <c r="A3659" s="1" t="s">
        <v>7105</v>
      </c>
      <c r="B3659" s="1" t="s">
        <v>7106</v>
      </c>
      <c r="C3659" s="2" t="s">
        <v>7107</v>
      </c>
      <c r="D3659" s="1" t="str">
        <f>IFERROR(__xludf.DUMMYFUNCTION("GOOGLETRANSLATE(A3659 , ""auto"", ""ar"")"),"استيقظ")</f>
        <v>استيقظ</v>
      </c>
    </row>
    <row r="3660" ht="15.75" customHeight="1">
      <c r="A3660" s="1" t="s">
        <v>7108</v>
      </c>
      <c r="B3660" s="1" t="s">
        <v>3161</v>
      </c>
      <c r="C3660" s="2" t="s">
        <v>7109</v>
      </c>
      <c r="D3660" s="1" t="str">
        <f>IFERROR(__xludf.DUMMYFUNCTION("GOOGLETRANSLATE(A3660 , ""auto"", ""ar"")"),"يمشي")</f>
        <v>يمشي</v>
      </c>
    </row>
    <row r="3661" ht="15.75" customHeight="1">
      <c r="A3661" s="1" t="s">
        <v>7110</v>
      </c>
      <c r="B3661" s="1" t="s">
        <v>3159</v>
      </c>
      <c r="C3661" s="2" t="s">
        <v>3160</v>
      </c>
      <c r="D3661" s="1" t="str">
        <f>IFERROR(__xludf.DUMMYFUNCTION("GOOGLETRANSLATE(A3661 , ""auto"", ""ar"")"),"يمشى بلجوار")</f>
        <v>يمشى بلجوار</v>
      </c>
    </row>
    <row r="3662" ht="15.75" customHeight="1">
      <c r="A3662" s="1" t="s">
        <v>7111</v>
      </c>
      <c r="B3662" s="1" t="s">
        <v>1221</v>
      </c>
      <c r="C3662" s="2" t="s">
        <v>1222</v>
      </c>
      <c r="D3662" s="1" t="str">
        <f>IFERROR(__xludf.DUMMYFUNCTION("GOOGLETRANSLATE(A3662 , ""auto"", ""ar"")"),"عصا المشي")</f>
        <v>عصا المشي</v>
      </c>
    </row>
    <row r="3663" ht="15.75" customHeight="1">
      <c r="A3663" s="1" t="s">
        <v>7112</v>
      </c>
      <c r="B3663" s="1" t="s">
        <v>7113</v>
      </c>
      <c r="C3663" s="2" t="s">
        <v>7114</v>
      </c>
      <c r="D3663" s="1" t="str">
        <f>IFERROR(__xludf.DUMMYFUNCTION("GOOGLETRANSLATE(A3663 , ""auto"", ""ar"")"),"حائط")</f>
        <v>حائط</v>
      </c>
    </row>
    <row r="3664" ht="15.75" customHeight="1">
      <c r="A3664" s="1" t="s">
        <v>7115</v>
      </c>
      <c r="B3664" s="1" t="s">
        <v>7116</v>
      </c>
      <c r="C3664" s="1"/>
      <c r="D3664" s="1" t="str">
        <f>IFERROR(__xludf.DUMMYFUNCTION("GOOGLETRANSLATE(A3664 , ""auto"", ""ar"")"),"محفظة")</f>
        <v>محفظة</v>
      </c>
    </row>
    <row r="3665" ht="15.75" customHeight="1">
      <c r="A3665" s="1" t="s">
        <v>7117</v>
      </c>
      <c r="B3665" s="1" t="s">
        <v>7118</v>
      </c>
      <c r="C3665" s="2" t="s">
        <v>7119</v>
      </c>
      <c r="D3665" s="1" t="str">
        <f>IFERROR(__xludf.DUMMYFUNCTION("GOOGLETRANSLATE(A3665 , ""auto"", ""ar"")"),"جوز")</f>
        <v>جوز</v>
      </c>
    </row>
    <row r="3666" ht="15.75" customHeight="1">
      <c r="A3666" s="1" t="s">
        <v>7120</v>
      </c>
      <c r="B3666" s="1" t="s">
        <v>4458</v>
      </c>
      <c r="C3666" s="2" t="s">
        <v>4459</v>
      </c>
      <c r="D3666" s="1" t="str">
        <f>IFERROR(__xludf.DUMMYFUNCTION("GOOGLETRANSLATE(A3666 , ""auto"", ""ar"")"),"يريد")</f>
        <v>يريد</v>
      </c>
    </row>
    <row r="3667" ht="15.75" customHeight="1">
      <c r="A3667" s="1" t="s">
        <v>7120</v>
      </c>
      <c r="B3667" s="1" t="s">
        <v>7121</v>
      </c>
      <c r="C3667" s="2" t="s">
        <v>7122</v>
      </c>
      <c r="D3667" s="1" t="str">
        <f>IFERROR(__xludf.DUMMYFUNCTION("GOOGLETRANSLATE(A3667 , ""auto"", ""ar"")"),"يريد")</f>
        <v>يريد</v>
      </c>
    </row>
    <row r="3668" ht="15.75" customHeight="1">
      <c r="A3668" s="1" t="s">
        <v>7123</v>
      </c>
      <c r="B3668" s="1" t="s">
        <v>7124</v>
      </c>
      <c r="C3668" s="1"/>
      <c r="D3668" s="1" t="str">
        <f>IFERROR(__xludf.DUMMYFUNCTION("GOOGLETRANSLATE(A3668 , ""auto"", ""ar"")"),"مطلوب")</f>
        <v>مطلوب</v>
      </c>
    </row>
    <row r="3669" ht="15.75" customHeight="1">
      <c r="A3669" s="1" t="s">
        <v>7123</v>
      </c>
      <c r="B3669" s="1" t="s">
        <v>7125</v>
      </c>
      <c r="C3669" s="1"/>
      <c r="D3669" s="1" t="str">
        <f>IFERROR(__xludf.DUMMYFUNCTION("GOOGLETRANSLATE(A3669 , ""auto"", ""ar"")"),"مطلوب")</f>
        <v>مطلوب</v>
      </c>
    </row>
    <row r="3670" ht="15.75" customHeight="1">
      <c r="A3670" s="1" t="s">
        <v>7126</v>
      </c>
      <c r="B3670" s="1" t="s">
        <v>7127</v>
      </c>
      <c r="C3670" s="2" t="s">
        <v>7128</v>
      </c>
      <c r="D3670" s="1" t="str">
        <f>IFERROR(__xludf.DUMMYFUNCTION("GOOGLETRANSLATE(A3670 , ""auto"", ""ar"")"),"حرب")</f>
        <v>حرب</v>
      </c>
    </row>
    <row r="3671" ht="15.75" customHeight="1">
      <c r="A3671" s="1" t="s">
        <v>7129</v>
      </c>
      <c r="B3671" s="1" t="s">
        <v>1498</v>
      </c>
      <c r="C3671" s="2" t="s">
        <v>1499</v>
      </c>
      <c r="D3671" s="1" t="str">
        <f>IFERROR(__xludf.DUMMYFUNCTION("GOOGLETRANSLATE(A3671 , ""auto"", ""ar"")"),"خزانة الملابس")</f>
        <v>خزانة الملابس</v>
      </c>
    </row>
    <row r="3672" ht="15.75" customHeight="1">
      <c r="A3672" s="1" t="s">
        <v>7129</v>
      </c>
      <c r="B3672" s="1" t="s">
        <v>1500</v>
      </c>
      <c r="C3672" s="2" t="s">
        <v>1501</v>
      </c>
      <c r="D3672" s="1" t="str">
        <f>IFERROR(__xludf.DUMMYFUNCTION("GOOGLETRANSLATE(A3672 , ""auto"", ""ar"")"),"خزانة الملابس")</f>
        <v>خزانة الملابس</v>
      </c>
    </row>
    <row r="3673" ht="15.75" customHeight="1">
      <c r="A3673" s="1" t="s">
        <v>7130</v>
      </c>
      <c r="B3673" s="1" t="s">
        <v>7131</v>
      </c>
      <c r="C3673" s="2" t="s">
        <v>7132</v>
      </c>
      <c r="D3673" s="1" t="str">
        <f>IFERROR(__xludf.DUMMYFUNCTION("GOOGLETRANSLATE(A3673 , ""auto"", ""ar"")"),"دافيء")</f>
        <v>دافيء</v>
      </c>
    </row>
    <row r="3674" ht="15.75" customHeight="1">
      <c r="A3674" s="1" t="s">
        <v>7133</v>
      </c>
      <c r="B3674" s="1" t="s">
        <v>7134</v>
      </c>
      <c r="C3674" s="2" t="s">
        <v>7135</v>
      </c>
      <c r="D3674" s="1" t="str">
        <f>IFERROR(__xludf.DUMMYFUNCTION("GOOGLETRANSLATE(A3674 , ""auto"", ""ar"")"),"غسل")</f>
        <v>غسل</v>
      </c>
    </row>
    <row r="3675" ht="15.75" customHeight="1">
      <c r="A3675" s="1" t="s">
        <v>7133</v>
      </c>
      <c r="B3675" s="1" t="s">
        <v>7136</v>
      </c>
      <c r="C3675" s="2" t="s">
        <v>7137</v>
      </c>
      <c r="D3675" s="1" t="str">
        <f>IFERROR(__xludf.DUMMYFUNCTION("GOOGLETRANSLATE(A3675 , ""auto"", ""ar"")"),"غسل")</f>
        <v>غسل</v>
      </c>
    </row>
    <row r="3676" ht="15.75" customHeight="1">
      <c r="A3676" s="1" t="s">
        <v>7138</v>
      </c>
      <c r="B3676" s="1" t="s">
        <v>5870</v>
      </c>
      <c r="C3676" s="1"/>
      <c r="D3676" s="1" t="str">
        <f>IFERROR(__xludf.DUMMYFUNCTION("GOOGLETRANSLATE(A3676 , ""auto"", ""ar"")"),"مغسلة")</f>
        <v>مغسلة</v>
      </c>
    </row>
    <row r="3677" ht="15.75" customHeight="1">
      <c r="A3677" s="1" t="s">
        <v>7139</v>
      </c>
      <c r="B3677" s="1" t="s">
        <v>4499</v>
      </c>
      <c r="C3677" s="2" t="s">
        <v>4500</v>
      </c>
      <c r="D3677" s="1" t="str">
        <f>IFERROR(__xludf.DUMMYFUNCTION("GOOGLETRANSLATE(A3677 , ""auto"", ""ar"")"),"غسالة")</f>
        <v>غسالة</v>
      </c>
    </row>
    <row r="3678" ht="15.75" customHeight="1">
      <c r="A3678" s="1" t="s">
        <v>7139</v>
      </c>
      <c r="B3678" s="1" t="s">
        <v>4499</v>
      </c>
      <c r="C3678" s="2" t="s">
        <v>7140</v>
      </c>
      <c r="D3678" s="1" t="str">
        <f>IFERROR(__xludf.DUMMYFUNCTION("GOOGLETRANSLATE(A3678 , ""auto"", ""ar"")"),"غسالة")</f>
        <v>غسالة</v>
      </c>
    </row>
    <row r="3679" ht="15.75" customHeight="1">
      <c r="A3679" s="1" t="s">
        <v>7141</v>
      </c>
      <c r="B3679" s="1" t="s">
        <v>2110</v>
      </c>
      <c r="C3679" s="2" t="s">
        <v>2111</v>
      </c>
      <c r="D3679" s="1" t="str">
        <f>IFERROR(__xludf.DUMMYFUNCTION("GOOGLETRANSLATE(A3679 , ""auto"", ""ar"")"),"غسل الأواني")</f>
        <v>غسل الأواني</v>
      </c>
    </row>
    <row r="3680" ht="15.75" customHeight="1">
      <c r="A3680" s="1" t="s">
        <v>7142</v>
      </c>
      <c r="B3680" s="1" t="s">
        <v>7143</v>
      </c>
      <c r="C3680" s="2" t="s">
        <v>7144</v>
      </c>
      <c r="D3680" s="1" t="str">
        <f>IFERROR(__xludf.DUMMYFUNCTION("GOOGLETRANSLATE(A3680 , ""auto"", ""ar"")"),"يضيع")</f>
        <v>يضيع</v>
      </c>
    </row>
    <row r="3681" ht="15.75" customHeight="1">
      <c r="A3681" s="1" t="s">
        <v>7145</v>
      </c>
      <c r="B3681" s="1" t="s">
        <v>186</v>
      </c>
      <c r="C3681" s="2" t="s">
        <v>4680</v>
      </c>
      <c r="D3681" s="1" t="str">
        <f>IFERROR(__xludf.DUMMYFUNCTION("GOOGLETRANSLATE(A3681 , ""auto"", ""ar"")"),"يشاهد")</f>
        <v>يشاهد</v>
      </c>
    </row>
    <row r="3682" ht="15.75" customHeight="1">
      <c r="A3682" s="1" t="s">
        <v>7145</v>
      </c>
      <c r="B3682" s="1" t="s">
        <v>7146</v>
      </c>
      <c r="C3682" s="2" t="s">
        <v>7147</v>
      </c>
      <c r="D3682" s="1" t="str">
        <f>IFERROR(__xludf.DUMMYFUNCTION("GOOGLETRANSLATE(A3682 , ""auto"", ""ar"")"),"يشاهد")</f>
        <v>يشاهد</v>
      </c>
    </row>
    <row r="3683" ht="15.75" customHeight="1">
      <c r="A3683" s="1" t="s">
        <v>7148</v>
      </c>
      <c r="B3683" s="1" t="s">
        <v>7149</v>
      </c>
      <c r="C3683" s="2" t="s">
        <v>7150</v>
      </c>
      <c r="D3683" s="1" t="str">
        <f>IFERROR(__xludf.DUMMYFUNCTION("GOOGLETRANSLATE(A3683 , ""auto"", ""ar"")"),"احترس !")</f>
        <v>احترس !</v>
      </c>
    </row>
    <row r="3684" ht="15.75" customHeight="1">
      <c r="A3684" s="1" t="s">
        <v>7151</v>
      </c>
      <c r="B3684" s="1" t="s">
        <v>4419</v>
      </c>
      <c r="C3684" s="2" t="s">
        <v>4420</v>
      </c>
      <c r="D3684" s="1" t="str">
        <f>IFERROR(__xludf.DUMMYFUNCTION("GOOGLETRANSLATE(A3684 , ""auto"", ""ar"")"),"مراقبة")</f>
        <v>مراقبة</v>
      </c>
    </row>
    <row r="3685" ht="15.75" customHeight="1">
      <c r="A3685" s="1" t="s">
        <v>7151</v>
      </c>
      <c r="B3685" s="1" t="s">
        <v>4072</v>
      </c>
      <c r="C3685" s="2" t="s">
        <v>4073</v>
      </c>
      <c r="D3685" s="1" t="str">
        <f>IFERROR(__xludf.DUMMYFUNCTION("GOOGLETRANSLATE(A3685 , ""auto"", ""ar"")"),"مراقبة")</f>
        <v>مراقبة</v>
      </c>
    </row>
    <row r="3686" ht="15.75" customHeight="1">
      <c r="A3686" s="1" t="s">
        <v>7151</v>
      </c>
      <c r="B3686" s="1" t="s">
        <v>4074</v>
      </c>
      <c r="C3686" s="2" t="s">
        <v>4075</v>
      </c>
      <c r="D3686" s="1" t="str">
        <f>IFERROR(__xludf.DUMMYFUNCTION("GOOGLETRANSLATE(A3686 , ""auto"", ""ar"")"),"مراقبة")</f>
        <v>مراقبة</v>
      </c>
    </row>
    <row r="3687" ht="15.75" customHeight="1">
      <c r="A3687" s="1" t="s">
        <v>7152</v>
      </c>
      <c r="B3687" s="1" t="s">
        <v>7153</v>
      </c>
      <c r="C3687" s="2" t="s">
        <v>7154</v>
      </c>
      <c r="D3687" s="1" t="str">
        <f>IFERROR(__xludf.DUMMYFUNCTION("GOOGLETRANSLATE(A3687 , ""auto"", ""ar"")"),"رجل مراقبة")</f>
        <v>رجل مراقبة</v>
      </c>
    </row>
    <row r="3688" ht="15.75" customHeight="1">
      <c r="A3688" s="1" t="s">
        <v>7152</v>
      </c>
      <c r="B3688" s="1" t="s">
        <v>7155</v>
      </c>
      <c r="C3688" s="2" t="s">
        <v>7156</v>
      </c>
      <c r="D3688" s="1" t="str">
        <f>IFERROR(__xludf.DUMMYFUNCTION("GOOGLETRANSLATE(A3688 , ""auto"", ""ar"")"),"رجل مراقبة")</f>
        <v>رجل مراقبة</v>
      </c>
    </row>
    <row r="3689" ht="15.75" customHeight="1">
      <c r="A3689" s="1" t="s">
        <v>7152</v>
      </c>
      <c r="B3689" s="1" t="s">
        <v>7157</v>
      </c>
      <c r="C3689" s="1"/>
      <c r="D3689" s="1" t="str">
        <f>IFERROR(__xludf.DUMMYFUNCTION("GOOGLETRANSLATE(A3689 , ""auto"", ""ar"")"),"رجل مراقبة")</f>
        <v>رجل مراقبة</v>
      </c>
    </row>
    <row r="3690" ht="15.75" customHeight="1">
      <c r="A3690" s="1" t="s">
        <v>7158</v>
      </c>
      <c r="B3690" s="1" t="s">
        <v>6203</v>
      </c>
      <c r="C3690" s="2" t="s">
        <v>6204</v>
      </c>
      <c r="D3690" s="1" t="str">
        <f>IFERROR(__xludf.DUMMYFUNCTION("GOOGLETRANSLATE(A3690 , ""auto"", ""ar"")"),"ماء")</f>
        <v>ماء</v>
      </c>
    </row>
    <row r="3691" ht="15.75" customHeight="1">
      <c r="A3691" s="1" t="s">
        <v>7158</v>
      </c>
      <c r="B3691" s="1" t="s">
        <v>81</v>
      </c>
      <c r="C3691" s="2" t="s">
        <v>82</v>
      </c>
      <c r="D3691" s="1" t="str">
        <f>IFERROR(__xludf.DUMMYFUNCTION("GOOGLETRANSLATE(A3691 , ""auto"", ""ar"")"),"ماء")</f>
        <v>ماء</v>
      </c>
    </row>
    <row r="3692" ht="15.75" customHeight="1">
      <c r="A3692" s="1" t="s">
        <v>7159</v>
      </c>
      <c r="B3692" s="1" t="s">
        <v>7160</v>
      </c>
      <c r="C3692" s="2" t="s">
        <v>7161</v>
      </c>
      <c r="D3692" s="1" t="str">
        <f>IFERROR(__xludf.DUMMYFUNCTION("GOOGLETRANSLATE(A3692 , ""auto"", ""ar"")"),"سخان الماء")</f>
        <v>سخان الماء</v>
      </c>
    </row>
    <row r="3693" ht="15.75" customHeight="1">
      <c r="A3693" s="1" t="s">
        <v>7162</v>
      </c>
      <c r="B3693" s="1" t="s">
        <v>7163</v>
      </c>
      <c r="C3693" s="1"/>
      <c r="D3693" s="1" t="str">
        <f>IFERROR(__xludf.DUMMYFUNCTION("GOOGLETRANSLATE(A3693 , ""auto"", ""ar"")"),"شلال")</f>
        <v>شلال</v>
      </c>
    </row>
    <row r="3694" ht="15.75" customHeight="1">
      <c r="A3694" s="1" t="s">
        <v>7164</v>
      </c>
      <c r="B3694" s="1" t="s">
        <v>2894</v>
      </c>
      <c r="C3694" s="2" t="s">
        <v>2895</v>
      </c>
      <c r="D3694" s="1" t="str">
        <f>IFERROR(__xludf.DUMMYFUNCTION("GOOGLETRANSLATE(A3694 , ""auto"", ""ar"")"),"صفيحة للري")</f>
        <v>صفيحة للري</v>
      </c>
    </row>
    <row r="3695" ht="15.75" customHeight="1">
      <c r="A3695" s="1" t="s">
        <v>7165</v>
      </c>
      <c r="B3695" s="1" t="s">
        <v>7166</v>
      </c>
      <c r="C3695" s="2" t="s">
        <v>7167</v>
      </c>
      <c r="D3695" s="1" t="str">
        <f>IFERROR(__xludf.DUMMYFUNCTION("GOOGLETRANSLATE(A3695 , ""auto"", ""ar"")"),"بطيخ")</f>
        <v>بطيخ</v>
      </c>
    </row>
    <row r="3696" ht="15.75" customHeight="1">
      <c r="A3696" s="1" t="s">
        <v>7168</v>
      </c>
      <c r="B3696" s="1" t="s">
        <v>7169</v>
      </c>
      <c r="C3696" s="2" t="s">
        <v>7170</v>
      </c>
      <c r="D3696" s="1" t="str">
        <f>IFERROR(__xludf.DUMMYFUNCTION("GOOGLETRANSLATE(A3696 , ""auto"", ""ar"")"),"موجة")</f>
        <v>موجة</v>
      </c>
    </row>
    <row r="3697" ht="15.75" customHeight="1">
      <c r="A3697" s="1" t="s">
        <v>7171</v>
      </c>
      <c r="B3697" s="1" t="s">
        <v>5757</v>
      </c>
      <c r="C3697" s="2" t="s">
        <v>6261</v>
      </c>
      <c r="D3697" s="1" t="str">
        <f>IFERROR(__xludf.DUMMYFUNCTION("GOOGLETRANSLATE(A3697 , ""auto"", ""ar"")"),"طريق")</f>
        <v>طريق</v>
      </c>
    </row>
    <row r="3698" ht="15.75" customHeight="1">
      <c r="A3698" s="1" t="s">
        <v>7171</v>
      </c>
      <c r="B3698" s="1" t="s">
        <v>4548</v>
      </c>
      <c r="C3698" s="2" t="s">
        <v>4549</v>
      </c>
      <c r="D3698" s="1" t="str">
        <f>IFERROR(__xludf.DUMMYFUNCTION("GOOGLETRANSLATE(A3698 , ""auto"", ""ar"")"),"طريق")</f>
        <v>طريق</v>
      </c>
    </row>
    <row r="3699" ht="15.75" customHeight="1">
      <c r="A3699" s="1" t="s">
        <v>7172</v>
      </c>
      <c r="B3699" s="1" t="s">
        <v>6990</v>
      </c>
      <c r="C3699" s="2" t="s">
        <v>6991</v>
      </c>
      <c r="D3699" s="1" t="str">
        <f>IFERROR(__xludf.DUMMYFUNCTION("GOOGLETRANSLATE(A3699 , ""auto"", ""ar"")"),"نحن")</f>
        <v>نحن</v>
      </c>
    </row>
    <row r="3700" ht="15.75" customHeight="1">
      <c r="A3700" s="1" t="s">
        <v>7173</v>
      </c>
      <c r="B3700" s="1" t="s">
        <v>7174</v>
      </c>
      <c r="C3700" s="2" t="s">
        <v>7175</v>
      </c>
      <c r="D3700" s="1" t="str">
        <f>IFERROR(__xludf.DUMMYFUNCTION("GOOGLETRANSLATE(A3700 , ""auto"", ""ar"")"),"ضعيف")</f>
        <v>ضعيف</v>
      </c>
    </row>
    <row r="3701" ht="15.75" customHeight="1">
      <c r="A3701" s="1" t="s">
        <v>7176</v>
      </c>
      <c r="B3701" s="1" t="s">
        <v>3076</v>
      </c>
      <c r="C3701" s="2" t="s">
        <v>3077</v>
      </c>
      <c r="D3701" s="1" t="str">
        <f>IFERROR(__xludf.DUMMYFUNCTION("GOOGLETRANSLATE(A3701 , ""auto"", ""ar"")"),"يرتدي")</f>
        <v>يرتدي</v>
      </c>
    </row>
    <row r="3702" ht="15.75" customHeight="1">
      <c r="A3702" s="1" t="s">
        <v>7176</v>
      </c>
      <c r="B3702" s="1" t="s">
        <v>7177</v>
      </c>
      <c r="C3702" s="2" t="s">
        <v>7178</v>
      </c>
      <c r="D3702" s="1" t="str">
        <f>IFERROR(__xludf.DUMMYFUNCTION("GOOGLETRANSLATE(A3702 , ""auto"", ""ar"")"),"يرتدي")</f>
        <v>يرتدي</v>
      </c>
    </row>
    <row r="3703" ht="15.75" customHeight="1">
      <c r="A3703" s="1" t="s">
        <v>7179</v>
      </c>
      <c r="B3703" s="1" t="s">
        <v>7180</v>
      </c>
      <c r="C3703" s="2" t="s">
        <v>7181</v>
      </c>
      <c r="D3703" s="1" t="str">
        <f>IFERROR(__xludf.DUMMYFUNCTION("GOOGLETRANSLATE(A3703 , ""auto"", ""ar"")"),"طقس")</f>
        <v>طقس</v>
      </c>
    </row>
    <row r="3704" ht="15.75" customHeight="1">
      <c r="A3704" s="1" t="s">
        <v>7179</v>
      </c>
      <c r="B3704" s="1" t="s">
        <v>420</v>
      </c>
      <c r="C3704" s="2" t="s">
        <v>421</v>
      </c>
      <c r="D3704" s="1" t="str">
        <f>IFERROR(__xludf.DUMMYFUNCTION("GOOGLETRANSLATE(A3704 , ""auto"", ""ar"")"),"طقس")</f>
        <v>طقس</v>
      </c>
    </row>
    <row r="3705" ht="15.75" customHeight="1">
      <c r="A3705" s="1" t="s">
        <v>7182</v>
      </c>
      <c r="B3705" s="1" t="s">
        <v>7183</v>
      </c>
      <c r="C3705" s="2" t="s">
        <v>7184</v>
      </c>
      <c r="D3705" s="1" t="str">
        <f>IFERROR(__xludf.DUMMYFUNCTION("GOOGLETRANSLATE(A3705 , ""auto"", ""ar"")"),"تقرير حالة ألطقس")</f>
        <v>تقرير حالة ألطقس</v>
      </c>
    </row>
    <row r="3706" ht="15.75" customHeight="1">
      <c r="A3706" s="1" t="s">
        <v>7185</v>
      </c>
      <c r="B3706" s="1" t="s">
        <v>5325</v>
      </c>
      <c r="C3706" s="2" t="s">
        <v>5326</v>
      </c>
      <c r="D3706" s="1" t="str">
        <f>IFERROR(__xludf.DUMMYFUNCTION("GOOGLETRANSLATE(A3706 , ""auto"", ""ar"")"),"قِرَان")</f>
        <v>قِرَان</v>
      </c>
    </row>
    <row r="3707" ht="15.75" customHeight="1">
      <c r="A3707" s="1" t="s">
        <v>7186</v>
      </c>
      <c r="B3707" s="1" t="s">
        <v>7187</v>
      </c>
      <c r="C3707" s="1"/>
      <c r="D3707" s="1" t="str">
        <f>IFERROR(__xludf.DUMMYFUNCTION("GOOGLETRANSLATE(A3707 , ""auto"", ""ar"")"),"ذكرى الزواج")</f>
        <v>ذكرى الزواج</v>
      </c>
    </row>
    <row r="3708" ht="15.75" customHeight="1">
      <c r="A3708" s="1" t="s">
        <v>7188</v>
      </c>
      <c r="B3708" s="1" t="s">
        <v>7189</v>
      </c>
      <c r="C3708" s="1"/>
      <c r="D3708" s="1" t="str">
        <f>IFERROR(__xludf.DUMMYFUNCTION("GOOGLETRANSLATE(A3708 , ""auto"", ""ar"")"),"الاستقبال الخاص بالعرس")</f>
        <v>الاستقبال الخاص بالعرس</v>
      </c>
    </row>
    <row r="3709" ht="15.75" customHeight="1">
      <c r="A3709" s="1" t="s">
        <v>7190</v>
      </c>
      <c r="B3709" s="1" t="s">
        <v>7191</v>
      </c>
      <c r="C3709" s="1"/>
      <c r="D3709" s="1" t="str">
        <f>IFERROR(__xludf.DUMMYFUNCTION("GOOGLETRANSLATE(A3709 , ""auto"", ""ar"")"),"خاتم الزواج")</f>
        <v>خاتم الزواج</v>
      </c>
    </row>
    <row r="3710" ht="15.75" customHeight="1">
      <c r="A3710" s="1" t="s">
        <v>7190</v>
      </c>
      <c r="B3710" s="1" t="s">
        <v>7192</v>
      </c>
      <c r="C3710" s="1"/>
      <c r="D3710" s="1" t="str">
        <f>IFERROR(__xludf.DUMMYFUNCTION("GOOGLETRANSLATE(A3710 , ""auto"", ""ar"")"),"خاتم الزواج")</f>
        <v>خاتم الزواج</v>
      </c>
    </row>
    <row r="3711" ht="15.75" customHeight="1">
      <c r="A3711" s="1" t="s">
        <v>7193</v>
      </c>
      <c r="B3711" s="1" t="s">
        <v>7194</v>
      </c>
      <c r="C3711" s="2" t="s">
        <v>7195</v>
      </c>
      <c r="D3711" s="1" t="str">
        <f>IFERROR(__xludf.DUMMYFUNCTION("GOOGLETRANSLATE(A3711 , ""auto"", ""ar"")"),"الأربعاء")</f>
        <v>الأربعاء</v>
      </c>
    </row>
    <row r="3712" ht="15.75" customHeight="1">
      <c r="A3712" s="1" t="s">
        <v>7193</v>
      </c>
      <c r="B3712" s="1" t="s">
        <v>7196</v>
      </c>
      <c r="C3712" s="2" t="s">
        <v>7197</v>
      </c>
      <c r="D3712" s="1" t="str">
        <f>IFERROR(__xludf.DUMMYFUNCTION("GOOGLETRANSLATE(A3712 , ""auto"", ""ar"")"),"الأربعاء")</f>
        <v>الأربعاء</v>
      </c>
    </row>
    <row r="3713" ht="15.75" customHeight="1">
      <c r="A3713" s="1" t="s">
        <v>7198</v>
      </c>
      <c r="B3713" s="1" t="s">
        <v>7199</v>
      </c>
      <c r="C3713" s="1"/>
      <c r="D3713" s="1" t="str">
        <f>IFERROR(__xludf.DUMMYFUNCTION("GOOGLETRANSLATE(A3713 , ""auto"", ""ar"")"),"أسبوع")</f>
        <v>أسبوع</v>
      </c>
    </row>
    <row r="3714" ht="15.75" customHeight="1">
      <c r="A3714" s="1" t="s">
        <v>7200</v>
      </c>
      <c r="B3714" s="1" t="s">
        <v>7201</v>
      </c>
      <c r="C3714" s="2" t="s">
        <v>7202</v>
      </c>
      <c r="D3714" s="1" t="str">
        <f>IFERROR(__xludf.DUMMYFUNCTION("GOOGLETRANSLATE(A3714 , ""auto"", ""ar"")"),"عطلة نهاية الاسبوع")</f>
        <v>عطلة نهاية الاسبوع</v>
      </c>
    </row>
    <row r="3715" ht="15.75" customHeight="1">
      <c r="A3715" s="1" t="s">
        <v>7203</v>
      </c>
      <c r="B3715" s="1" t="s">
        <v>7204</v>
      </c>
      <c r="C3715" s="2" t="s">
        <v>7205</v>
      </c>
      <c r="D3715" s="1" t="str">
        <f>IFERROR(__xludf.DUMMYFUNCTION("GOOGLETRANSLATE(A3715 , ""auto"", ""ar"")"),"وزن")</f>
        <v>وزن</v>
      </c>
    </row>
    <row r="3716" ht="15.75" customHeight="1">
      <c r="A3716" s="1" t="s">
        <v>7203</v>
      </c>
      <c r="B3716" s="1" t="s">
        <v>4621</v>
      </c>
      <c r="C3716" s="2" t="s">
        <v>4622</v>
      </c>
      <c r="D3716" s="1" t="str">
        <f>IFERROR(__xludf.DUMMYFUNCTION("GOOGLETRANSLATE(A3716 , ""auto"", ""ar"")"),"وزن")</f>
        <v>وزن</v>
      </c>
    </row>
    <row r="3717" ht="15.75" customHeight="1">
      <c r="A3717" s="1" t="s">
        <v>7206</v>
      </c>
      <c r="B3717" s="1" t="s">
        <v>7207</v>
      </c>
      <c r="C3717" s="2" t="s">
        <v>7208</v>
      </c>
      <c r="D3717" s="1" t="str">
        <f>IFERROR(__xludf.DUMMYFUNCTION("GOOGLETRANSLATE(A3717 , ""auto"", ""ar"")"),"وزن")</f>
        <v>وزن</v>
      </c>
    </row>
    <row r="3718" ht="15.75" customHeight="1">
      <c r="A3718" s="1" t="s">
        <v>7206</v>
      </c>
      <c r="B3718" s="1" t="s">
        <v>4626</v>
      </c>
      <c r="C3718" s="2" t="s">
        <v>4627</v>
      </c>
      <c r="D3718" s="1" t="str">
        <f>IFERROR(__xludf.DUMMYFUNCTION("GOOGLETRANSLATE(A3718 , ""auto"", ""ar"")"),"وزن")</f>
        <v>وزن</v>
      </c>
    </row>
    <row r="3719" ht="15.75" customHeight="1">
      <c r="A3719" s="1" t="s">
        <v>7209</v>
      </c>
      <c r="B3719" s="1" t="s">
        <v>7210</v>
      </c>
      <c r="C3719" s="2" t="s">
        <v>7211</v>
      </c>
      <c r="D3719" s="1" t="str">
        <f>IFERROR(__xludf.DUMMYFUNCTION("GOOGLETRANSLATE(A3719 , ""auto"", ""ar"")"),"مرحباً")</f>
        <v>مرحباً</v>
      </c>
    </row>
    <row r="3720" ht="15.75" customHeight="1">
      <c r="A3720" s="1" t="s">
        <v>7209</v>
      </c>
      <c r="B3720" s="1" t="s">
        <v>7212</v>
      </c>
      <c r="C3720" s="2" t="s">
        <v>7213</v>
      </c>
      <c r="D3720" s="1" t="str">
        <f>IFERROR(__xludf.DUMMYFUNCTION("GOOGLETRANSLATE(A3720 , ""auto"", ""ar"")"),"مرحباً")</f>
        <v>مرحباً</v>
      </c>
    </row>
    <row r="3721" ht="15.75" customHeight="1">
      <c r="A3721" s="1" t="s">
        <v>7209</v>
      </c>
      <c r="B3721" s="1" t="s">
        <v>7214</v>
      </c>
      <c r="C3721" s="2" t="s">
        <v>7215</v>
      </c>
      <c r="D3721" s="1" t="str">
        <f>IFERROR(__xludf.DUMMYFUNCTION("GOOGLETRANSLATE(A3721 , ""auto"", ""ar"")"),"مرحباً")</f>
        <v>مرحباً</v>
      </c>
    </row>
    <row r="3722" ht="15.75" customHeight="1">
      <c r="A3722" s="1" t="s">
        <v>7209</v>
      </c>
      <c r="B3722" s="1" t="s">
        <v>7216</v>
      </c>
      <c r="C3722" s="2" t="s">
        <v>7217</v>
      </c>
      <c r="D3722" s="1" t="str">
        <f>IFERROR(__xludf.DUMMYFUNCTION("GOOGLETRANSLATE(A3722 , ""auto"", ""ar"")"),"مرحباً")</f>
        <v>مرحباً</v>
      </c>
    </row>
    <row r="3723" ht="15.75" customHeight="1">
      <c r="A3723" s="1" t="s">
        <v>7218</v>
      </c>
      <c r="B3723" s="1" t="s">
        <v>7219</v>
      </c>
      <c r="C3723" s="2" t="s">
        <v>7220</v>
      </c>
      <c r="D3723" s="1" t="str">
        <f>IFERROR(__xludf.DUMMYFUNCTION("GOOGLETRANSLATE(A3723 , ""auto"", ""ar"")"),"اللحام")</f>
        <v>اللحام</v>
      </c>
    </row>
    <row r="3724" ht="15.75" customHeight="1">
      <c r="A3724" s="1" t="s">
        <v>7221</v>
      </c>
      <c r="B3724" s="1" t="s">
        <v>7222</v>
      </c>
      <c r="C3724" s="2" t="s">
        <v>7223</v>
      </c>
      <c r="D3724" s="1" t="str">
        <f>IFERROR(__xludf.DUMMYFUNCTION("GOOGLETRANSLATE(A3724 , ""auto"", ""ar"")"),"لحام")</f>
        <v>لحام</v>
      </c>
    </row>
    <row r="3725" ht="15.75" customHeight="1">
      <c r="A3725" s="1" t="s">
        <v>7224</v>
      </c>
      <c r="B3725" s="1" t="s">
        <v>3209</v>
      </c>
      <c r="C3725" s="2" t="s">
        <v>3210</v>
      </c>
      <c r="D3725" s="1" t="str">
        <f>IFERROR(__xludf.DUMMYFUNCTION("GOOGLETRANSLATE(A3725 , ""auto"", ""ar"")"),"حسنًا")</f>
        <v>حسنًا</v>
      </c>
    </row>
    <row r="3726" ht="15.75" customHeight="1">
      <c r="A3726" s="1" t="s">
        <v>7224</v>
      </c>
      <c r="B3726" s="1" t="s">
        <v>662</v>
      </c>
      <c r="C3726" s="2" t="s">
        <v>7225</v>
      </c>
      <c r="D3726" s="1" t="str">
        <f>IFERROR(__xludf.DUMMYFUNCTION("GOOGLETRANSLATE(A3726 , ""auto"", ""ar"")"),"حسنًا")</f>
        <v>حسنًا</v>
      </c>
    </row>
    <row r="3727" ht="15.75" customHeight="1">
      <c r="A3727" s="1" t="s">
        <v>7226</v>
      </c>
      <c r="B3727" s="1" t="s">
        <v>4094</v>
      </c>
      <c r="C3727" s="2" t="s">
        <v>4095</v>
      </c>
      <c r="D3727" s="1" t="str">
        <f>IFERROR(__xludf.DUMMYFUNCTION("GOOGLETRANSLATE(A3727 , ""auto"", ""ar"")"),"حسن تصرف")</f>
        <v>حسن تصرف</v>
      </c>
    </row>
    <row r="3728" ht="15.75" customHeight="1">
      <c r="A3728" s="1" t="s">
        <v>7227</v>
      </c>
      <c r="B3728" s="1" t="s">
        <v>7228</v>
      </c>
      <c r="C3728" s="2" t="s">
        <v>7229</v>
      </c>
      <c r="D3728" s="1" t="str">
        <f>IFERROR(__xludf.DUMMYFUNCTION("GOOGLETRANSLATE(A3728 , ""auto"", ""ar"")"),"مبتل")</f>
        <v>مبتل</v>
      </c>
    </row>
    <row r="3729" ht="15.75" customHeight="1">
      <c r="A3729" s="1" t="s">
        <v>7227</v>
      </c>
      <c r="B3729" s="1" t="s">
        <v>7230</v>
      </c>
      <c r="C3729" s="2" t="s">
        <v>7231</v>
      </c>
      <c r="D3729" s="1" t="str">
        <f>IFERROR(__xludf.DUMMYFUNCTION("GOOGLETRANSLATE(A3729 , ""auto"", ""ar"")"),"مبتل")</f>
        <v>مبتل</v>
      </c>
    </row>
    <row r="3730" ht="15.75" customHeight="1">
      <c r="A3730" s="1" t="s">
        <v>7227</v>
      </c>
      <c r="B3730" s="1" t="s">
        <v>7230</v>
      </c>
      <c r="C3730" s="2" t="s">
        <v>7231</v>
      </c>
      <c r="D3730" s="1" t="str">
        <f>IFERROR(__xludf.DUMMYFUNCTION("GOOGLETRANSLATE(A3730 , ""auto"", ""ar"")"),"مبتل")</f>
        <v>مبتل</v>
      </c>
    </row>
    <row r="3731" ht="15.75" customHeight="1">
      <c r="A3731" s="1" t="s">
        <v>7232</v>
      </c>
      <c r="B3731" s="1" t="s">
        <v>7233</v>
      </c>
      <c r="C3731" s="2" t="s">
        <v>7234</v>
      </c>
      <c r="D3731" s="1" t="str">
        <f>IFERROR(__xludf.DUMMYFUNCTION("GOOGLETRANSLATE(A3731 , ""auto"", ""ar"")"),"ماذا")</f>
        <v>ماذا</v>
      </c>
    </row>
    <row r="3732" ht="15.75" customHeight="1">
      <c r="A3732" s="1" t="s">
        <v>7232</v>
      </c>
      <c r="B3732" s="1" t="s">
        <v>7235</v>
      </c>
      <c r="C3732" s="2" t="s">
        <v>7236</v>
      </c>
      <c r="D3732" s="1" t="str">
        <f>IFERROR(__xludf.DUMMYFUNCTION("GOOGLETRANSLATE(A3732 , ""auto"", ""ar"")"),"ماذا")</f>
        <v>ماذا</v>
      </c>
    </row>
    <row r="3733" ht="15.75" customHeight="1">
      <c r="A3733" s="1" t="s">
        <v>7232</v>
      </c>
      <c r="B3733" s="1" t="s">
        <v>7237</v>
      </c>
      <c r="C3733" s="2" t="s">
        <v>7238</v>
      </c>
      <c r="D3733" s="1" t="str">
        <f>IFERROR(__xludf.DUMMYFUNCTION("GOOGLETRANSLATE(A3733 , ""auto"", ""ar"")"),"ماذا")</f>
        <v>ماذا</v>
      </c>
    </row>
    <row r="3734" ht="15.75" customHeight="1">
      <c r="A3734" s="1" t="s">
        <v>7232</v>
      </c>
      <c r="B3734" s="1" t="s">
        <v>6539</v>
      </c>
      <c r="C3734" s="1"/>
      <c r="D3734" s="1" t="str">
        <f>IFERROR(__xludf.DUMMYFUNCTION("GOOGLETRANSLATE(A3734 , ""auto"", ""ar"")"),"ماذا")</f>
        <v>ماذا</v>
      </c>
    </row>
    <row r="3735" ht="15.75" customHeight="1">
      <c r="A3735" s="1" t="s">
        <v>7239</v>
      </c>
      <c r="B3735" s="1" t="s">
        <v>3676</v>
      </c>
      <c r="C3735" s="2" t="s">
        <v>3677</v>
      </c>
      <c r="D3735" s="1" t="str">
        <f>IFERROR(__xludf.DUMMYFUNCTION("GOOGLETRANSLATE(A3735 , ""auto"", ""ar"")"),"ماذا قلت؟")</f>
        <v>ماذا قلت؟</v>
      </c>
    </row>
    <row r="3736" ht="15.75" customHeight="1">
      <c r="A3736" s="1" t="s">
        <v>7240</v>
      </c>
      <c r="B3736" s="1" t="s">
        <v>7241</v>
      </c>
      <c r="C3736" s="2" t="s">
        <v>7242</v>
      </c>
      <c r="D3736" s="1" t="str">
        <f>IFERROR(__xludf.DUMMYFUNCTION("GOOGLETRANSLATE(A3736 , ""auto"", ""ar"")"),"متى ؟")</f>
        <v>متى ؟</v>
      </c>
    </row>
    <row r="3737" ht="15.75" customHeight="1">
      <c r="A3737" s="1" t="s">
        <v>7240</v>
      </c>
      <c r="B3737" s="1" t="s">
        <v>7243</v>
      </c>
      <c r="C3737" s="2" t="s">
        <v>7244</v>
      </c>
      <c r="D3737" s="1" t="str">
        <f>IFERROR(__xludf.DUMMYFUNCTION("GOOGLETRANSLATE(A3737 , ""auto"", ""ar"")"),"متى ؟")</f>
        <v>متى ؟</v>
      </c>
    </row>
    <row r="3738" ht="15.75" customHeight="1">
      <c r="A3738" s="1" t="s">
        <v>7240</v>
      </c>
      <c r="B3738" s="1" t="s">
        <v>7245</v>
      </c>
      <c r="C3738" s="1"/>
      <c r="D3738" s="1" t="str">
        <f>IFERROR(__xludf.DUMMYFUNCTION("GOOGLETRANSLATE(A3738 , ""auto"", ""ar"")"),"متى ؟")</f>
        <v>متى ؟</v>
      </c>
    </row>
    <row r="3739" ht="15.75" customHeight="1">
      <c r="A3739" s="1" t="s">
        <v>7240</v>
      </c>
      <c r="B3739" s="1" t="s">
        <v>7246</v>
      </c>
      <c r="C3739" s="2" t="s">
        <v>7247</v>
      </c>
      <c r="D3739" s="1" t="str">
        <f>IFERROR(__xludf.DUMMYFUNCTION("GOOGLETRANSLATE(A3739 , ""auto"", ""ar"")"),"متى ؟")</f>
        <v>متى ؟</v>
      </c>
    </row>
    <row r="3740" ht="15.75" customHeight="1">
      <c r="A3740" s="1" t="s">
        <v>7248</v>
      </c>
      <c r="B3740" s="1" t="s">
        <v>7249</v>
      </c>
      <c r="C3740" s="1"/>
      <c r="D3740" s="1" t="str">
        <f>IFERROR(__xludf.DUMMYFUNCTION("GOOGLETRANSLATE(A3740 , ""auto"", ""ar"")"),"ما هو الجديد؟")</f>
        <v>ما هو الجديد؟</v>
      </c>
    </row>
    <row r="3741" ht="15.75" customHeight="1">
      <c r="A3741" s="1" t="s">
        <v>7248</v>
      </c>
      <c r="B3741" s="1" t="s">
        <v>7250</v>
      </c>
      <c r="C3741" s="1"/>
      <c r="D3741" s="1" t="str">
        <f>IFERROR(__xludf.DUMMYFUNCTION("GOOGLETRANSLATE(A3741 , ""auto"", ""ar"")"),"ما هو الجديد؟")</f>
        <v>ما هو الجديد؟</v>
      </c>
    </row>
    <row r="3742" ht="15.75" customHeight="1">
      <c r="A3742" s="1" t="s">
        <v>7251</v>
      </c>
      <c r="B3742" s="1" t="s">
        <v>7252</v>
      </c>
      <c r="C3742" s="1"/>
      <c r="D3742" s="1" t="str">
        <f>IFERROR(__xludf.DUMMYFUNCTION("GOOGLETRANSLATE(A3742 , ""auto"", ""ar"")"),"ما هو الخطأ؟")</f>
        <v>ما هو الخطأ؟</v>
      </c>
    </row>
    <row r="3743" ht="15.75" customHeight="1">
      <c r="A3743" s="1" t="s">
        <v>7251</v>
      </c>
      <c r="B3743" s="1" t="s">
        <v>7253</v>
      </c>
      <c r="C3743" s="1"/>
      <c r="D3743" s="1" t="str">
        <f>IFERROR(__xludf.DUMMYFUNCTION("GOOGLETRANSLATE(A3743 , ""auto"", ""ar"")"),"ما هو الخطأ؟")</f>
        <v>ما هو الخطأ؟</v>
      </c>
    </row>
    <row r="3744" ht="15.75" customHeight="1">
      <c r="A3744" s="1" t="s">
        <v>7251</v>
      </c>
      <c r="B3744" s="1" t="s">
        <v>7254</v>
      </c>
      <c r="C3744" s="1"/>
      <c r="D3744" s="1" t="str">
        <f>IFERROR(__xludf.DUMMYFUNCTION("GOOGLETRANSLATE(A3744 , ""auto"", ""ar"")"),"ما هو الخطأ؟")</f>
        <v>ما هو الخطأ؟</v>
      </c>
    </row>
    <row r="3745" ht="15.75" customHeight="1">
      <c r="A3745" s="1" t="s">
        <v>7255</v>
      </c>
      <c r="B3745" s="1" t="s">
        <v>7256</v>
      </c>
      <c r="C3745" s="1"/>
      <c r="D3745" s="1" t="str">
        <f>IFERROR(__xludf.DUMMYFUNCTION("GOOGLETRANSLATE(A3745 , ""auto"", ""ar"")"),"قمح")</f>
        <v>قمح</v>
      </c>
    </row>
    <row r="3746" ht="15.75" customHeight="1">
      <c r="A3746" s="1" t="s">
        <v>7257</v>
      </c>
      <c r="B3746" s="1" t="s">
        <v>7258</v>
      </c>
      <c r="C3746" s="2" t="s">
        <v>7259</v>
      </c>
      <c r="D3746" s="1" t="str">
        <f>IFERROR(__xludf.DUMMYFUNCTION("GOOGLETRANSLATE(A3746 , ""auto"", ""ar"")"),"متى")</f>
        <v>متى</v>
      </c>
    </row>
    <row r="3747" ht="15.75" customHeight="1">
      <c r="A3747" s="1" t="s">
        <v>7257</v>
      </c>
      <c r="B3747" s="1" t="s">
        <v>7260</v>
      </c>
      <c r="C3747" s="2" t="s">
        <v>7261</v>
      </c>
      <c r="D3747" s="1" t="str">
        <f>IFERROR(__xludf.DUMMYFUNCTION("GOOGLETRANSLATE(A3747 , ""auto"", ""ar"")"),"متى")</f>
        <v>متى</v>
      </c>
    </row>
    <row r="3748" ht="15.75" customHeight="1">
      <c r="A3748" s="1" t="s">
        <v>7257</v>
      </c>
      <c r="B3748" s="1" t="s">
        <v>7262</v>
      </c>
      <c r="C3748" s="1"/>
      <c r="D3748" s="1" t="str">
        <f>IFERROR(__xludf.DUMMYFUNCTION("GOOGLETRANSLATE(A3748 , ""auto"", ""ar"")"),"متى")</f>
        <v>متى</v>
      </c>
    </row>
    <row r="3749" ht="15.75" customHeight="1">
      <c r="A3749" s="1" t="s">
        <v>7257</v>
      </c>
      <c r="B3749" s="1" t="s">
        <v>7263</v>
      </c>
      <c r="C3749" s="2" t="s">
        <v>7264</v>
      </c>
      <c r="D3749" s="1" t="str">
        <f>IFERROR(__xludf.DUMMYFUNCTION("GOOGLETRANSLATE(A3749 , ""auto"", ""ar"")"),"متى")</f>
        <v>متى</v>
      </c>
    </row>
    <row r="3750" ht="15.75" customHeight="1">
      <c r="A3750" s="1" t="s">
        <v>7257</v>
      </c>
      <c r="B3750" s="1" t="s">
        <v>7265</v>
      </c>
      <c r="C3750" s="1"/>
      <c r="D3750" s="1" t="str">
        <f>IFERROR(__xludf.DUMMYFUNCTION("GOOGLETRANSLATE(A3750 , ""auto"", ""ar"")"),"متى")</f>
        <v>متى</v>
      </c>
    </row>
    <row r="3751" ht="15.75" customHeight="1">
      <c r="A3751" s="1" t="s">
        <v>7266</v>
      </c>
      <c r="B3751" s="1" t="s">
        <v>7267</v>
      </c>
      <c r="C3751" s="2" t="s">
        <v>7268</v>
      </c>
      <c r="D3751" s="1" t="str">
        <f>IFERROR(__xludf.DUMMYFUNCTION("GOOGLETRANSLATE(A3751 , ""auto"", ""ar"")"),"أين")</f>
        <v>أين</v>
      </c>
    </row>
    <row r="3752" ht="15.75" customHeight="1">
      <c r="A3752" s="1" t="s">
        <v>7266</v>
      </c>
      <c r="B3752" s="1" t="s">
        <v>7269</v>
      </c>
      <c r="C3752" s="1"/>
      <c r="D3752" s="1" t="str">
        <f>IFERROR(__xludf.DUMMYFUNCTION("GOOGLETRANSLATE(A3752 , ""auto"", ""ar"")"),"أين")</f>
        <v>أين</v>
      </c>
    </row>
    <row r="3753" ht="15.75" customHeight="1">
      <c r="A3753" s="1" t="s">
        <v>7270</v>
      </c>
      <c r="B3753" s="1" t="s">
        <v>7271</v>
      </c>
      <c r="C3753" s="2" t="s">
        <v>7272</v>
      </c>
      <c r="D3753" s="1" t="str">
        <f>IFERROR(__xludf.DUMMYFUNCTION("GOOGLETRANSLATE(A3753 , ""auto"", ""ar"")"),"أيّ")</f>
        <v>أيّ</v>
      </c>
    </row>
    <row r="3754" ht="15.75" customHeight="1">
      <c r="A3754" s="1" t="s">
        <v>7270</v>
      </c>
      <c r="B3754" s="1" t="s">
        <v>7273</v>
      </c>
      <c r="C3754" s="1"/>
      <c r="D3754" s="1" t="str">
        <f>IFERROR(__xludf.DUMMYFUNCTION("GOOGLETRANSLATE(A3754 , ""auto"", ""ar"")"),"أيّ")</f>
        <v>أيّ</v>
      </c>
    </row>
    <row r="3755" ht="15.75" customHeight="1">
      <c r="A3755" s="1" t="s">
        <v>7270</v>
      </c>
      <c r="B3755" s="1" t="s">
        <v>6539</v>
      </c>
      <c r="C3755" s="2" t="s">
        <v>6540</v>
      </c>
      <c r="D3755" s="1" t="str">
        <f>IFERROR(__xludf.DUMMYFUNCTION("GOOGLETRANSLATE(A3755 , ""auto"", ""ar"")"),"أيّ")</f>
        <v>أيّ</v>
      </c>
    </row>
    <row r="3756" ht="15.75" customHeight="1">
      <c r="A3756" s="1" t="s">
        <v>7270</v>
      </c>
      <c r="B3756" s="1" t="s">
        <v>7274</v>
      </c>
      <c r="C3756" s="1"/>
      <c r="D3756" s="1" t="str">
        <f>IFERROR(__xludf.DUMMYFUNCTION("GOOGLETRANSLATE(A3756 , ""auto"", ""ar"")"),"أيّ")</f>
        <v>أيّ</v>
      </c>
    </row>
    <row r="3757" ht="15.75" customHeight="1">
      <c r="A3757" s="1" t="s">
        <v>7270</v>
      </c>
      <c r="B3757" s="1" t="s">
        <v>7275</v>
      </c>
      <c r="C3757" s="1"/>
      <c r="D3757" s="1" t="str">
        <f>IFERROR(__xludf.DUMMYFUNCTION("GOOGLETRANSLATE(A3757 , ""auto"", ""ar"")"),"أيّ")</f>
        <v>أيّ</v>
      </c>
    </row>
    <row r="3758" ht="15.75" customHeight="1">
      <c r="A3758" s="1" t="s">
        <v>7276</v>
      </c>
      <c r="B3758" s="1" t="s">
        <v>7265</v>
      </c>
      <c r="C3758" s="1"/>
      <c r="D3758" s="1" t="str">
        <f>IFERROR(__xludf.DUMMYFUNCTION("GOOGLETRANSLATE(A3758 , ""auto"", ""ar"")"),"بينما")</f>
        <v>بينما</v>
      </c>
    </row>
    <row r="3759" ht="15.75" customHeight="1">
      <c r="A3759" s="1" t="s">
        <v>7277</v>
      </c>
      <c r="B3759" s="1" t="s">
        <v>7278</v>
      </c>
      <c r="C3759" s="2" t="s">
        <v>2343</v>
      </c>
      <c r="D3759" s="1" t="str">
        <f>IFERROR(__xludf.DUMMYFUNCTION("GOOGLETRANSLATE(A3759 , ""auto"", ""ar"")"),"أبيض")</f>
        <v>أبيض</v>
      </c>
    </row>
    <row r="3760" ht="15.75" customHeight="1">
      <c r="A3760" s="1" t="s">
        <v>7279</v>
      </c>
      <c r="B3760" s="1" t="s">
        <v>3278</v>
      </c>
      <c r="C3760" s="2" t="s">
        <v>7280</v>
      </c>
      <c r="D3760" s="1" t="str">
        <f>IFERROR(__xludf.DUMMYFUNCTION("GOOGLETRANSLATE(A3760 , ""auto"", ""ar"")"),"الفاصوليا البيضاء")</f>
        <v>الفاصوليا البيضاء</v>
      </c>
    </row>
    <row r="3761" ht="15.75" customHeight="1">
      <c r="A3761" s="1" t="s">
        <v>7281</v>
      </c>
      <c r="B3761" s="1" t="s">
        <v>794</v>
      </c>
      <c r="C3761" s="1"/>
      <c r="D3761" s="1" t="str">
        <f>IFERROR(__xludf.DUMMYFUNCTION("GOOGLETRANSLATE(A3761 , ""auto"", ""ar"")"),"اللوحة البيضاء")</f>
        <v>اللوحة البيضاء</v>
      </c>
    </row>
    <row r="3762" ht="15.75" customHeight="1">
      <c r="A3762" s="1" t="s">
        <v>7282</v>
      </c>
      <c r="B3762" s="1" t="s">
        <v>7283</v>
      </c>
      <c r="C3762" s="2" t="s">
        <v>7284</v>
      </c>
      <c r="D3762" s="1" t="str">
        <f>IFERROR(__xludf.DUMMYFUNCTION("GOOGLETRANSLATE(A3762 , ""auto"", ""ar"")"),"الكوسة البيضاء")</f>
        <v>الكوسة البيضاء</v>
      </c>
    </row>
    <row r="3763" ht="15.75" customHeight="1">
      <c r="A3763" s="1" t="s">
        <v>7285</v>
      </c>
      <c r="B3763" s="1" t="s">
        <v>7283</v>
      </c>
      <c r="C3763" s="2" t="s">
        <v>7284</v>
      </c>
      <c r="D3763" s="1" t="str">
        <f>IFERROR(__xludf.DUMMYFUNCTION("GOOGLETRANSLATE(A3763 , ""auto"", ""ar"")"),"الكوسة البيضاء")</f>
        <v>الكوسة البيضاء</v>
      </c>
    </row>
    <row r="3764" ht="15.75" customHeight="1">
      <c r="A3764" s="1" t="s">
        <v>7286</v>
      </c>
      <c r="B3764" s="1" t="s">
        <v>7287</v>
      </c>
      <c r="C3764" s="2" t="s">
        <v>7288</v>
      </c>
      <c r="D3764" s="1" t="str">
        <f>IFERROR(__xludf.DUMMYFUNCTION("GOOGLETRANSLATE(A3764 , ""auto"", ""ar"")"),"من")</f>
        <v>من</v>
      </c>
    </row>
    <row r="3765" ht="15.75" customHeight="1">
      <c r="A3765" s="1" t="s">
        <v>7286</v>
      </c>
      <c r="B3765" s="1" t="s">
        <v>6539</v>
      </c>
      <c r="C3765" s="2" t="s">
        <v>6540</v>
      </c>
      <c r="D3765" s="1" t="str">
        <f>IFERROR(__xludf.DUMMYFUNCTION("GOOGLETRANSLATE(A3765 , ""auto"", ""ar"")"),"من")</f>
        <v>من</v>
      </c>
    </row>
    <row r="3766" ht="15.75" customHeight="1">
      <c r="A3766" s="1" t="s">
        <v>7289</v>
      </c>
      <c r="B3766" s="1" t="s">
        <v>200</v>
      </c>
      <c r="C3766" s="2" t="s">
        <v>1626</v>
      </c>
      <c r="D3766" s="1" t="str">
        <f>IFERROR(__xludf.DUMMYFUNCTION("GOOGLETRANSLATE(A3766 , ""auto"", ""ar"")"),"جميع")</f>
        <v>جميع</v>
      </c>
    </row>
    <row r="3767" ht="15.75" customHeight="1">
      <c r="A3767" s="1" t="s">
        <v>7290</v>
      </c>
      <c r="B3767" s="1" t="s">
        <v>7291</v>
      </c>
      <c r="C3767" s="2" t="s">
        <v>7292</v>
      </c>
      <c r="D3767" s="1" t="str">
        <f>IFERROR(__xludf.DUMMYFUNCTION("GOOGLETRANSLATE(A3767 , ""auto"", ""ar"")"),"لماذا")</f>
        <v>لماذا</v>
      </c>
    </row>
    <row r="3768" ht="15.75" customHeight="1">
      <c r="A3768" s="1" t="s">
        <v>7293</v>
      </c>
      <c r="B3768" s="1" t="s">
        <v>1031</v>
      </c>
      <c r="C3768" s="2" t="s">
        <v>1032</v>
      </c>
      <c r="D3768" s="1" t="str">
        <f>IFERROR(__xludf.DUMMYFUNCTION("GOOGLETRANSLATE(A3768 , ""auto"", ""ar"")"),"واسع")</f>
        <v>واسع</v>
      </c>
    </row>
    <row r="3769" ht="15.75" customHeight="1">
      <c r="A3769" s="1" t="s">
        <v>7293</v>
      </c>
      <c r="B3769" s="1" t="s">
        <v>1033</v>
      </c>
      <c r="C3769" s="2" t="s">
        <v>65</v>
      </c>
      <c r="D3769" s="1" t="str">
        <f>IFERROR(__xludf.DUMMYFUNCTION("GOOGLETRANSLATE(A3769 , ""auto"", ""ar"")"),"واسع")</f>
        <v>واسع</v>
      </c>
    </row>
    <row r="3770" ht="15.75" customHeight="1">
      <c r="A3770" s="1" t="s">
        <v>7294</v>
      </c>
      <c r="B3770" s="1" t="s">
        <v>7295</v>
      </c>
      <c r="C3770" s="2" t="s">
        <v>7296</v>
      </c>
      <c r="D3770" s="1" t="str">
        <f>IFERROR(__xludf.DUMMYFUNCTION("GOOGLETRANSLATE(A3770 , ""auto"", ""ar"")"),"زوجة")</f>
        <v>زوجة</v>
      </c>
    </row>
    <row r="3771" ht="15.75" customHeight="1">
      <c r="A3771" s="1" t="s">
        <v>7297</v>
      </c>
      <c r="B3771" s="1" t="s">
        <v>5442</v>
      </c>
      <c r="C3771" s="2" t="s">
        <v>5443</v>
      </c>
      <c r="D3771" s="1" t="str">
        <f>IFERROR(__xludf.DUMMYFUNCTION("GOOGLETRANSLATE(A3771 , ""auto"", ""ar"")"),"خنزير بري")</f>
        <v>خنزير بري</v>
      </c>
    </row>
    <row r="3772" ht="15.75" customHeight="1">
      <c r="A3772" s="1" t="s">
        <v>7298</v>
      </c>
      <c r="B3772" s="1" t="s">
        <v>7299</v>
      </c>
      <c r="C3772" s="2" t="s">
        <v>7300</v>
      </c>
      <c r="D3772" s="1" t="str">
        <f>IFERROR(__xludf.DUMMYFUNCTION("GOOGLETRANSLATE(A3772 , ""auto"", ""ar"")"),"يفوز")</f>
        <v>يفوز</v>
      </c>
    </row>
    <row r="3773" ht="15.75" customHeight="1">
      <c r="A3773" s="1" t="s">
        <v>7298</v>
      </c>
      <c r="B3773" s="1" t="s">
        <v>7301</v>
      </c>
      <c r="C3773" s="1"/>
      <c r="D3773" s="1" t="str">
        <f>IFERROR(__xludf.DUMMYFUNCTION("GOOGLETRANSLATE(A3773 , ""auto"", ""ar"")"),"يفوز")</f>
        <v>يفوز</v>
      </c>
    </row>
    <row r="3774" ht="15.75" customHeight="1">
      <c r="A3774" s="1" t="s">
        <v>7302</v>
      </c>
      <c r="B3774" s="1" t="s">
        <v>1565</v>
      </c>
      <c r="C3774" s="2" t="s">
        <v>1566</v>
      </c>
      <c r="D3774" s="1" t="str">
        <f>IFERROR(__xludf.DUMMYFUNCTION("GOOGLETRANSLATE(A3774 , ""auto"", ""ar"")"),"رياح")</f>
        <v>رياح</v>
      </c>
    </row>
    <row r="3775" ht="15.75" customHeight="1">
      <c r="A3775" s="1" t="s">
        <v>7302</v>
      </c>
      <c r="B3775" s="1" t="s">
        <v>7303</v>
      </c>
      <c r="C3775" s="2" t="s">
        <v>7304</v>
      </c>
      <c r="D3775" s="1" t="str">
        <f>IFERROR(__xludf.DUMMYFUNCTION("GOOGLETRANSLATE(A3775 , ""auto"", ""ar"")"),"رياح")</f>
        <v>رياح</v>
      </c>
    </row>
    <row r="3776" ht="15.75" customHeight="1">
      <c r="A3776" s="1" t="s">
        <v>7302</v>
      </c>
      <c r="B3776" s="1" t="s">
        <v>7305</v>
      </c>
      <c r="C3776" s="2" t="s">
        <v>7306</v>
      </c>
      <c r="D3776" s="1" t="str">
        <f>IFERROR(__xludf.DUMMYFUNCTION("GOOGLETRANSLATE(A3776 , ""auto"", ""ar"")"),"رياح")</f>
        <v>رياح</v>
      </c>
    </row>
    <row r="3777" ht="15.75" customHeight="1">
      <c r="A3777" s="1" t="s">
        <v>7302</v>
      </c>
      <c r="B3777" s="1" t="s">
        <v>7307</v>
      </c>
      <c r="C3777" s="1"/>
      <c r="D3777" s="1" t="str">
        <f>IFERROR(__xludf.DUMMYFUNCTION("GOOGLETRANSLATE(A3777 , ""auto"", ""ar"")"),"رياح")</f>
        <v>رياح</v>
      </c>
    </row>
    <row r="3778" ht="15.75" customHeight="1">
      <c r="A3778" s="1" t="s">
        <v>7302</v>
      </c>
      <c r="B3778" s="1" t="s">
        <v>7308</v>
      </c>
      <c r="C3778" s="1"/>
      <c r="D3778" s="1" t="str">
        <f>IFERROR(__xludf.DUMMYFUNCTION("GOOGLETRANSLATE(A3778 , ""auto"", ""ar"")"),"رياح")</f>
        <v>رياح</v>
      </c>
    </row>
    <row r="3779" ht="15.75" customHeight="1">
      <c r="A3779" s="1" t="s">
        <v>7309</v>
      </c>
      <c r="B3779" s="1" t="s">
        <v>7310</v>
      </c>
      <c r="C3779" s="2" t="s">
        <v>7311</v>
      </c>
      <c r="D3779" s="1" t="str">
        <f>IFERROR(__xludf.DUMMYFUNCTION("GOOGLETRANSLATE(A3779 , ""auto"", ""ar"")"),"نافذة او شباك")</f>
        <v>نافذة او شباك</v>
      </c>
    </row>
    <row r="3780" ht="15.75" customHeight="1">
      <c r="A3780" s="1" t="s">
        <v>7312</v>
      </c>
      <c r="B3780" s="1" t="s">
        <v>7313</v>
      </c>
      <c r="C3780" s="1"/>
      <c r="D3780" s="1" t="str">
        <f>IFERROR(__xludf.DUMMYFUNCTION("GOOGLETRANSLATE(A3780 , ""auto"", ""ar"")"),"نافذة الشبكة")</f>
        <v>نافذة الشبكة</v>
      </c>
    </row>
    <row r="3781" ht="15.75" customHeight="1">
      <c r="A3781" s="1" t="s">
        <v>7314</v>
      </c>
      <c r="B3781" s="1" t="s">
        <v>7315</v>
      </c>
      <c r="C3781" s="1"/>
      <c r="D3781" s="1" t="str">
        <f>IFERROR(__xludf.DUMMYFUNCTION("GOOGLETRANSLATE(A3781 , ""auto"", ""ar"")"),"جزء نافذة")</f>
        <v>جزء نافذة</v>
      </c>
    </row>
    <row r="3782" ht="15.75" customHeight="1">
      <c r="A3782" s="1" t="s">
        <v>7316</v>
      </c>
      <c r="B3782" s="1" t="s">
        <v>7317</v>
      </c>
      <c r="C3782" s="2" t="s">
        <v>7318</v>
      </c>
      <c r="D3782" s="1" t="str">
        <f>IFERROR(__xludf.DUMMYFUNCTION("GOOGLETRANSLATE(A3782 , ""auto"", ""ar"")"),"جناح")</f>
        <v>جناح</v>
      </c>
    </row>
    <row r="3783" ht="15.75" customHeight="1">
      <c r="A3783" s="1" t="s">
        <v>7319</v>
      </c>
      <c r="B3783" s="1" t="s">
        <v>7320</v>
      </c>
      <c r="C3783" s="2" t="s">
        <v>7321</v>
      </c>
      <c r="D3783" s="1" t="str">
        <f>IFERROR(__xludf.DUMMYFUNCTION("GOOGLETRANSLATE(A3783 , ""auto"", ""ar"")"),"شتاء")</f>
        <v>شتاء</v>
      </c>
    </row>
    <row r="3784" ht="15.75" customHeight="1">
      <c r="A3784" s="1" t="s">
        <v>7319</v>
      </c>
      <c r="B3784" s="1" t="s">
        <v>7322</v>
      </c>
      <c r="C3784" s="2" t="s">
        <v>7323</v>
      </c>
      <c r="D3784" s="1" t="str">
        <f>IFERROR(__xludf.DUMMYFUNCTION("GOOGLETRANSLATE(A3784 , ""auto"", ""ar"")"),"شتاء")</f>
        <v>شتاء</v>
      </c>
    </row>
    <row r="3785" ht="15.75" customHeight="1">
      <c r="A3785" s="1" t="s">
        <v>7319</v>
      </c>
      <c r="B3785" s="1"/>
      <c r="C3785" s="1"/>
      <c r="D3785" s="1" t="str">
        <f>IFERROR(__xludf.DUMMYFUNCTION("GOOGLETRANSLATE(A3785 , ""auto"", ""ar"")"),"شتاء")</f>
        <v>شتاء</v>
      </c>
    </row>
    <row r="3786" ht="15.75" customHeight="1">
      <c r="A3786" s="1" t="s">
        <v>7324</v>
      </c>
      <c r="B3786" s="1" t="s">
        <v>1984</v>
      </c>
      <c r="C3786" s="2" t="s">
        <v>1985</v>
      </c>
      <c r="D3786" s="1" t="str">
        <f>IFERROR(__xludf.DUMMYFUNCTION("GOOGLETRANSLATE(A3786 , ""auto"", ""ar"")"),"يمسح")</f>
        <v>يمسح</v>
      </c>
    </row>
    <row r="3787" ht="15.75" customHeight="1">
      <c r="A3787" s="1" t="s">
        <v>7325</v>
      </c>
      <c r="B3787" s="1" t="s">
        <v>1149</v>
      </c>
      <c r="C3787" s="2" t="s">
        <v>4350</v>
      </c>
      <c r="D3787" s="1" t="str">
        <f>IFERROR(__xludf.DUMMYFUNCTION("GOOGLETRANSLATE(A3787 , ""auto"", ""ar"")"),"الأسلاك")</f>
        <v>الأسلاك</v>
      </c>
    </row>
    <row r="3788" ht="15.75" customHeight="1">
      <c r="A3788" s="1" t="s">
        <v>7325</v>
      </c>
      <c r="B3788" s="1" t="s">
        <v>1149</v>
      </c>
      <c r="C3788" s="2" t="s">
        <v>7326</v>
      </c>
      <c r="D3788" s="1" t="str">
        <f>IFERROR(__xludf.DUMMYFUNCTION("GOOGLETRANSLATE(A3788 , ""auto"", ""ar"")"),"الأسلاك")</f>
        <v>الأسلاك</v>
      </c>
    </row>
    <row r="3789" ht="15.75" customHeight="1">
      <c r="A3789" s="1" t="s">
        <v>7327</v>
      </c>
      <c r="B3789" s="1" t="s">
        <v>7328</v>
      </c>
      <c r="C3789" s="2" t="s">
        <v>7329</v>
      </c>
      <c r="D3789" s="1" t="str">
        <f>IFERROR(__xludf.DUMMYFUNCTION("GOOGLETRANSLATE(A3789 , ""auto"", ""ar"")"),"حكمة")</f>
        <v>حكمة</v>
      </c>
    </row>
    <row r="3790" ht="15.75" customHeight="1">
      <c r="A3790" s="1" t="s">
        <v>7330</v>
      </c>
      <c r="B3790" s="1" t="s">
        <v>7331</v>
      </c>
      <c r="C3790" s="2" t="s">
        <v>7332</v>
      </c>
      <c r="D3790" s="1" t="str">
        <f>IFERROR(__xludf.DUMMYFUNCTION("GOOGLETRANSLATE(A3790 , ""auto"", ""ar"")"),"حكيم")</f>
        <v>حكيم</v>
      </c>
    </row>
    <row r="3791" ht="15.75" customHeight="1">
      <c r="A3791" s="1" t="s">
        <v>7333</v>
      </c>
      <c r="B3791" s="1" t="s">
        <v>7334</v>
      </c>
      <c r="C3791" s="2" t="s">
        <v>7335</v>
      </c>
      <c r="D3791" s="1" t="str">
        <f>IFERROR(__xludf.DUMMYFUNCTION("GOOGLETRANSLATE(A3791 , ""auto"", ""ar"")"),"يتمنى")</f>
        <v>يتمنى</v>
      </c>
    </row>
    <row r="3792" ht="15.75" customHeight="1">
      <c r="A3792" s="1" t="s">
        <v>7333</v>
      </c>
      <c r="B3792" s="1" t="s">
        <v>3636</v>
      </c>
      <c r="C3792" s="2" t="s">
        <v>3637</v>
      </c>
      <c r="D3792" s="1" t="str">
        <f>IFERROR(__xludf.DUMMYFUNCTION("GOOGLETRANSLATE(A3792 , ""auto"", ""ar"")"),"يتمنى")</f>
        <v>يتمنى</v>
      </c>
    </row>
    <row r="3793" ht="15.75" customHeight="1">
      <c r="A3793" s="1" t="s">
        <v>7336</v>
      </c>
      <c r="B3793" s="1" t="s">
        <v>411</v>
      </c>
      <c r="C3793" s="2" t="s">
        <v>412</v>
      </c>
      <c r="D3793" s="1" t="str">
        <f>IFERROR(__xludf.DUMMYFUNCTION("GOOGLETRANSLATE(A3793 , ""auto"", ""ar"")"),"مع")</f>
        <v>مع</v>
      </c>
    </row>
    <row r="3794" ht="15.75" customHeight="1">
      <c r="A3794" s="1" t="s">
        <v>7336</v>
      </c>
      <c r="B3794" s="1" t="s">
        <v>1142</v>
      </c>
      <c r="C3794" s="2" t="s">
        <v>1143</v>
      </c>
      <c r="D3794" s="1" t="str">
        <f>IFERROR(__xludf.DUMMYFUNCTION("GOOGLETRANSLATE(A3794 , ""auto"", ""ar"")"),"مع")</f>
        <v>مع</v>
      </c>
    </row>
    <row r="3795" ht="15.75" customHeight="1">
      <c r="A3795" s="1" t="s">
        <v>7337</v>
      </c>
      <c r="B3795" s="1" t="s">
        <v>7338</v>
      </c>
      <c r="C3795" s="2" t="s">
        <v>7339</v>
      </c>
      <c r="D3795" s="1" t="str">
        <f>IFERROR(__xludf.DUMMYFUNCTION("GOOGLETRANSLATE(A3795 , ""auto"", ""ar"")"),"بدون")</f>
        <v>بدون</v>
      </c>
    </row>
    <row r="3796" ht="15.75" customHeight="1">
      <c r="A3796" s="1" t="s">
        <v>7340</v>
      </c>
      <c r="B3796" s="1" t="s">
        <v>7341</v>
      </c>
      <c r="C3796" s="2" t="s">
        <v>7342</v>
      </c>
      <c r="D3796" s="1" t="str">
        <f>IFERROR(__xludf.DUMMYFUNCTION("GOOGLETRANSLATE(A3796 , ""auto"", ""ar"")"),"ذئب")</f>
        <v>ذئب</v>
      </c>
    </row>
    <row r="3797" ht="15.75" customHeight="1">
      <c r="A3797" s="1" t="s">
        <v>7343</v>
      </c>
      <c r="B3797" s="1" t="s">
        <v>7295</v>
      </c>
      <c r="C3797" s="2" t="s">
        <v>7296</v>
      </c>
      <c r="D3797" s="1" t="str">
        <f>IFERROR(__xludf.DUMMYFUNCTION("GOOGLETRANSLATE(A3797 , ""auto"", ""ar"")"),"امرأة")</f>
        <v>امرأة</v>
      </c>
    </row>
    <row r="3798" ht="15.75" customHeight="1">
      <c r="A3798" s="1" t="s">
        <v>7344</v>
      </c>
      <c r="B3798" s="1" t="s">
        <v>4581</v>
      </c>
      <c r="C3798" s="2" t="s">
        <v>4582</v>
      </c>
      <c r="D3798" s="1" t="str">
        <f>IFERROR(__xludf.DUMMYFUNCTION("GOOGLETRANSLATE(A3798 , ""auto"", ""ar"")"),"يتعجب")</f>
        <v>يتعجب</v>
      </c>
    </row>
    <row r="3799" ht="15.75" customHeight="1">
      <c r="A3799" s="1" t="s">
        <v>7345</v>
      </c>
      <c r="B3799" s="1" t="s">
        <v>4491</v>
      </c>
      <c r="C3799" s="2" t="s">
        <v>3642</v>
      </c>
      <c r="D3799" s="1" t="str">
        <f>IFERROR(__xludf.DUMMYFUNCTION("GOOGLETRANSLATE(A3799 , ""auto"", ""ar"")"),"خشب")</f>
        <v>خشب</v>
      </c>
    </row>
    <row r="3800" ht="15.75" customHeight="1">
      <c r="A3800" s="1" t="s">
        <v>7345</v>
      </c>
      <c r="B3800" s="1" t="s">
        <v>7346</v>
      </c>
      <c r="C3800" s="2" t="s">
        <v>7347</v>
      </c>
      <c r="D3800" s="1" t="str">
        <f>IFERROR(__xludf.DUMMYFUNCTION("GOOGLETRANSLATE(A3800 , ""auto"", ""ar"")"),"خشب")</f>
        <v>خشب</v>
      </c>
    </row>
    <row r="3801" ht="15.75" customHeight="1">
      <c r="A3801" s="1" t="s">
        <v>7345</v>
      </c>
      <c r="B3801" s="1" t="s">
        <v>3036</v>
      </c>
      <c r="C3801" s="2" t="s">
        <v>3037</v>
      </c>
      <c r="D3801" s="1" t="str">
        <f>IFERROR(__xludf.DUMMYFUNCTION("GOOGLETRANSLATE(A3801 , ""auto"", ""ar"")"),"خشب")</f>
        <v>خشب</v>
      </c>
    </row>
    <row r="3802" ht="15.75" customHeight="1">
      <c r="A3802" s="1" t="s">
        <v>7345</v>
      </c>
      <c r="B3802" s="1" t="s">
        <v>2877</v>
      </c>
      <c r="C3802" s="2" t="s">
        <v>2878</v>
      </c>
      <c r="D3802" s="1" t="str">
        <f>IFERROR(__xludf.DUMMYFUNCTION("GOOGLETRANSLATE(A3802 , ""auto"", ""ar"")"),"خشب")</f>
        <v>خشب</v>
      </c>
    </row>
    <row r="3803" ht="15.75" customHeight="1">
      <c r="A3803" s="1" t="s">
        <v>7348</v>
      </c>
      <c r="B3803" s="1" t="s">
        <v>7349</v>
      </c>
      <c r="C3803" s="1"/>
      <c r="D3803" s="1" t="str">
        <f>IFERROR(__xludf.DUMMYFUNCTION("GOOGLETRANSLATE(A3803 , ""auto"", ""ar"")"),"موقد حرق الاخشاب")</f>
        <v>موقد حرق الاخشاب</v>
      </c>
    </row>
    <row r="3804" ht="15.75" customHeight="1">
      <c r="A3804" s="1" t="s">
        <v>7350</v>
      </c>
      <c r="B3804" s="1" t="s">
        <v>4480</v>
      </c>
      <c r="C3804" s="2" t="s">
        <v>4481</v>
      </c>
      <c r="D3804" s="1" t="str">
        <f>IFERROR(__xludf.DUMMYFUNCTION("GOOGLETRANSLATE(A3804 , ""auto"", ""ar"")"),"خشب الخشب")</f>
        <v>خشب الخشب</v>
      </c>
    </row>
    <row r="3805" ht="15.75" customHeight="1">
      <c r="A3805" s="1" t="s">
        <v>7350</v>
      </c>
      <c r="B3805" s="1" t="s">
        <v>4482</v>
      </c>
      <c r="C3805" s="1"/>
      <c r="D3805" s="1" t="str">
        <f>IFERROR(__xludf.DUMMYFUNCTION("GOOGLETRANSLATE(A3805 , ""auto"", ""ar"")"),"خشب الخشب")</f>
        <v>خشب الخشب</v>
      </c>
    </row>
    <row r="3806" ht="15.75" customHeight="1">
      <c r="A3806" s="1" t="s">
        <v>7351</v>
      </c>
      <c r="B3806" s="1" t="s">
        <v>7352</v>
      </c>
      <c r="C3806" s="1"/>
      <c r="D3806" s="1" t="str">
        <f>IFERROR(__xludf.DUMMYFUNCTION("GOOGLETRANSLATE(A3806 , ""auto"", ""ar"")"),"ملعقة خشبية")</f>
        <v>ملعقة خشبية</v>
      </c>
    </row>
    <row r="3807" ht="15.75" customHeight="1">
      <c r="A3807" s="1" t="s">
        <v>7353</v>
      </c>
      <c r="B3807" s="1" t="s">
        <v>7354</v>
      </c>
      <c r="C3807" s="1"/>
      <c r="D3807" s="1" t="str">
        <f>IFERROR(__xludf.DUMMYFUNCTION("GOOGLETRANSLATE(A3807 , ""auto"", ""ar"")"),"صوف")</f>
        <v>صوف</v>
      </c>
    </row>
    <row r="3808" ht="15.75" customHeight="1">
      <c r="A3808" s="1" t="s">
        <v>7353</v>
      </c>
      <c r="B3808" s="1" t="s">
        <v>7355</v>
      </c>
      <c r="C3808" s="2" t="s">
        <v>7356</v>
      </c>
      <c r="D3808" s="1" t="str">
        <f>IFERROR(__xludf.DUMMYFUNCTION("GOOGLETRANSLATE(A3808 , ""auto"", ""ar"")"),"صوف")</f>
        <v>صوف</v>
      </c>
    </row>
    <row r="3809" ht="15.75" customHeight="1">
      <c r="A3809" s="1" t="s">
        <v>7357</v>
      </c>
      <c r="B3809" s="1" t="s">
        <v>7358</v>
      </c>
      <c r="C3809" s="2" t="s">
        <v>7359</v>
      </c>
      <c r="D3809" s="1" t="str">
        <f>IFERROR(__xludf.DUMMYFUNCTION("GOOGLETRANSLATE(A3809 , ""auto"", ""ar"")"),"طاقية صوف")</f>
        <v>طاقية صوف</v>
      </c>
    </row>
    <row r="3810" ht="15.75" customHeight="1">
      <c r="A3810" s="1" t="s">
        <v>7357</v>
      </c>
      <c r="B3810" s="1" t="s">
        <v>7360</v>
      </c>
      <c r="C3810" s="1"/>
      <c r="D3810" s="1" t="str">
        <f>IFERROR(__xludf.DUMMYFUNCTION("GOOGLETRANSLATE(A3810 , ""auto"", ""ar"")"),"طاقية صوف")</f>
        <v>طاقية صوف</v>
      </c>
    </row>
    <row r="3811" ht="15.75" customHeight="1">
      <c r="A3811" s="1" t="s">
        <v>7357</v>
      </c>
      <c r="B3811" s="1" t="s">
        <v>7361</v>
      </c>
      <c r="C3811" s="2" t="s">
        <v>7362</v>
      </c>
      <c r="D3811" s="1" t="str">
        <f>IFERROR(__xludf.DUMMYFUNCTION("GOOGLETRANSLATE(A3811 , ""auto"", ""ar"")"),"طاقية صوف")</f>
        <v>طاقية صوف</v>
      </c>
    </row>
    <row r="3812" ht="15.75" customHeight="1">
      <c r="A3812" s="1" t="s">
        <v>7363</v>
      </c>
      <c r="B3812" s="1" t="s">
        <v>7364</v>
      </c>
      <c r="C3812" s="2" t="s">
        <v>7365</v>
      </c>
      <c r="D3812" s="1" t="str">
        <f>IFERROR(__xludf.DUMMYFUNCTION("GOOGLETRANSLATE(A3812 , ""auto"", ""ar"")"),"كلمة")</f>
        <v>كلمة</v>
      </c>
    </row>
    <row r="3813" ht="15.75" customHeight="1">
      <c r="A3813" s="1" t="s">
        <v>7363</v>
      </c>
      <c r="B3813" s="1" t="s">
        <v>6443</v>
      </c>
      <c r="C3813" s="2" t="s">
        <v>6444</v>
      </c>
      <c r="D3813" s="1" t="str">
        <f>IFERROR(__xludf.DUMMYFUNCTION("GOOGLETRANSLATE(A3813 , ""auto"", ""ar"")"),"كلمة")</f>
        <v>كلمة</v>
      </c>
    </row>
    <row r="3814" ht="15.75" customHeight="1">
      <c r="A3814" s="1" t="s">
        <v>7363</v>
      </c>
      <c r="B3814" s="1" t="s">
        <v>6445</v>
      </c>
      <c r="C3814" s="2" t="s">
        <v>6446</v>
      </c>
      <c r="D3814" s="1" t="str">
        <f>IFERROR(__xludf.DUMMYFUNCTION("GOOGLETRANSLATE(A3814 , ""auto"", ""ar"")"),"كلمة")</f>
        <v>كلمة</v>
      </c>
    </row>
    <row r="3815" ht="15.75" customHeight="1">
      <c r="A3815" s="1" t="s">
        <v>7366</v>
      </c>
      <c r="B3815" s="1" t="s">
        <v>7367</v>
      </c>
      <c r="C3815" s="2" t="s">
        <v>7368</v>
      </c>
      <c r="D3815" s="1" t="str">
        <f>IFERROR(__xludf.DUMMYFUNCTION("GOOGLETRANSLATE(A3815 , ""auto"", ""ar"")"),"عمل")</f>
        <v>عمل</v>
      </c>
    </row>
    <row r="3816" ht="15.75" customHeight="1">
      <c r="A3816" s="1" t="s">
        <v>7366</v>
      </c>
      <c r="B3816" s="1" t="s">
        <v>2984</v>
      </c>
      <c r="C3816" s="2" t="s">
        <v>2985</v>
      </c>
      <c r="D3816" s="1" t="str">
        <f>IFERROR(__xludf.DUMMYFUNCTION("GOOGLETRANSLATE(A3816 , ""auto"", ""ar"")"),"عمل")</f>
        <v>عمل</v>
      </c>
    </row>
    <row r="3817" ht="15.75" customHeight="1">
      <c r="A3817" s="1" t="s">
        <v>7366</v>
      </c>
      <c r="B3817" s="1" t="s">
        <v>2984</v>
      </c>
      <c r="C3817" s="2" t="s">
        <v>2985</v>
      </c>
      <c r="D3817" s="1" t="str">
        <f>IFERROR(__xludf.DUMMYFUNCTION("GOOGLETRANSLATE(A3817 , ""auto"", ""ar"")"),"عمل")</f>
        <v>عمل</v>
      </c>
    </row>
    <row r="3818" ht="15.75" customHeight="1">
      <c r="A3818" s="1" t="s">
        <v>7366</v>
      </c>
      <c r="B3818" s="1" t="s">
        <v>5162</v>
      </c>
      <c r="C3818" s="2" t="s">
        <v>5163</v>
      </c>
      <c r="D3818" s="1" t="str">
        <f>IFERROR(__xludf.DUMMYFUNCTION("GOOGLETRANSLATE(A3818 , ""auto"", ""ar"")"),"عمل")</f>
        <v>عمل</v>
      </c>
    </row>
    <row r="3819" ht="15.75" customHeight="1">
      <c r="A3819" s="1" t="s">
        <v>7366</v>
      </c>
      <c r="B3819" s="1" t="s">
        <v>7369</v>
      </c>
      <c r="C3819" s="2" t="s">
        <v>7370</v>
      </c>
      <c r="D3819" s="1" t="str">
        <f>IFERROR(__xludf.DUMMYFUNCTION("GOOGLETRANSLATE(A3819 , ""auto"", ""ar"")"),"عمل")</f>
        <v>عمل</v>
      </c>
    </row>
    <row r="3820" ht="15.75" customHeight="1">
      <c r="A3820" s="1" t="s">
        <v>7371</v>
      </c>
      <c r="B3820" s="1" t="s">
        <v>7372</v>
      </c>
      <c r="C3820" s="2" t="s">
        <v>7373</v>
      </c>
      <c r="D3820" s="1" t="str">
        <f>IFERROR(__xludf.DUMMYFUNCTION("GOOGLETRANSLATE(A3820 , ""auto"", ""ar"")"),"العمل معا")</f>
        <v>العمل معا</v>
      </c>
    </row>
    <row r="3821" ht="15.75" customHeight="1">
      <c r="A3821" s="1" t="s">
        <v>7374</v>
      </c>
      <c r="B3821" s="1" t="s">
        <v>7375</v>
      </c>
      <c r="C3821" s="1"/>
      <c r="D3821" s="1" t="str">
        <f>IFERROR(__xludf.DUMMYFUNCTION("GOOGLETRANSLATE(A3821 , ""auto"", ""ar"")"),"العمل دون إعلان الضريبة")</f>
        <v>العمل دون إعلان الضريبة</v>
      </c>
    </row>
    <row r="3822" ht="15.75" customHeight="1">
      <c r="A3822" s="1" t="s">
        <v>7376</v>
      </c>
      <c r="B3822" s="1" t="s">
        <v>5162</v>
      </c>
      <c r="C3822" s="2" t="s">
        <v>5163</v>
      </c>
      <c r="D3822" s="1" t="str">
        <f>IFERROR(__xludf.DUMMYFUNCTION("GOOGLETRANSLATE(A3822 , ""auto"", ""ar"")"),"عامل")</f>
        <v>عامل</v>
      </c>
    </row>
    <row r="3823" ht="15.75" customHeight="1">
      <c r="A3823" s="1" t="s">
        <v>7377</v>
      </c>
      <c r="B3823" s="1" t="s">
        <v>7378</v>
      </c>
      <c r="C3823" s="2" t="s">
        <v>7379</v>
      </c>
      <c r="D3823" s="1" t="str">
        <f>IFERROR(__xludf.DUMMYFUNCTION("GOOGLETRANSLATE(A3823 , ""auto"", ""ar"")"),"عالم")</f>
        <v>عالم</v>
      </c>
    </row>
    <row r="3824" ht="15.75" customHeight="1">
      <c r="A3824" s="1" t="s">
        <v>7377</v>
      </c>
      <c r="B3824" s="1" t="s">
        <v>4300</v>
      </c>
      <c r="C3824" s="1"/>
      <c r="D3824" s="1" t="str">
        <f>IFERROR(__xludf.DUMMYFUNCTION("GOOGLETRANSLATE(A3824 , ""auto"", ""ar"")"),"عالم")</f>
        <v>عالم</v>
      </c>
    </row>
    <row r="3825" ht="15.75" customHeight="1">
      <c r="A3825" s="1" t="s">
        <v>7380</v>
      </c>
      <c r="B3825" s="1" t="s">
        <v>7381</v>
      </c>
      <c r="C3825" s="2" t="s">
        <v>7382</v>
      </c>
      <c r="D3825" s="1" t="str">
        <f>IFERROR(__xludf.DUMMYFUNCTION("GOOGLETRANSLATE(A3825 , ""auto"", ""ar"")"),"دُودَة")</f>
        <v>دُودَة</v>
      </c>
    </row>
    <row r="3826" ht="15.75" customHeight="1">
      <c r="A3826" s="1" t="s">
        <v>7383</v>
      </c>
      <c r="B3826" s="1" t="s">
        <v>36</v>
      </c>
      <c r="C3826" s="2" t="s">
        <v>37</v>
      </c>
      <c r="D3826" s="1" t="str">
        <f>IFERROR(__xludf.DUMMYFUNCTION("GOOGLETRANSLATE(A3826 , ""auto"", ""ar"")"),"مرارة")</f>
        <v>مرارة</v>
      </c>
    </row>
    <row r="3827" ht="15.75" customHeight="1">
      <c r="A3827" s="1" t="s">
        <v>7384</v>
      </c>
      <c r="B3827" s="1" t="s">
        <v>122</v>
      </c>
      <c r="C3827" s="2" t="s">
        <v>65</v>
      </c>
      <c r="D3827" s="1" t="str">
        <f>IFERROR(__xludf.DUMMYFUNCTION("GOOGLETRANSLATE(A3827 , ""auto"", ""ar"")"),"قلق")</f>
        <v>قلق</v>
      </c>
    </row>
    <row r="3828" ht="15.75" customHeight="1">
      <c r="A3828" s="1" t="s">
        <v>7385</v>
      </c>
      <c r="B3828" s="1" t="s">
        <v>7386</v>
      </c>
      <c r="C3828" s="2" t="s">
        <v>7387</v>
      </c>
      <c r="D3828" s="1" t="str">
        <f>IFERROR(__xludf.DUMMYFUNCTION("GOOGLETRANSLATE(A3828 , ""auto"", ""ar"")"),"يقلق")</f>
        <v>يقلق</v>
      </c>
    </row>
    <row r="3829" ht="15.75" customHeight="1">
      <c r="A3829" s="1" t="s">
        <v>7388</v>
      </c>
      <c r="B3829" s="1" t="s">
        <v>7389</v>
      </c>
      <c r="C3829" s="2" t="s">
        <v>7390</v>
      </c>
      <c r="D3829" s="1" t="str">
        <f>IFERROR(__xludf.DUMMYFUNCTION("GOOGLETRANSLATE(A3829 , ""auto"", ""ar"")"),"يعبد")</f>
        <v>يعبد</v>
      </c>
    </row>
    <row r="3830" ht="15.75" customHeight="1">
      <c r="A3830" s="1" t="s">
        <v>7391</v>
      </c>
      <c r="B3830" s="1" t="s">
        <v>7392</v>
      </c>
      <c r="C3830" s="1"/>
      <c r="D3830" s="1" t="str">
        <f>IFERROR(__xludf.DUMMYFUNCTION("GOOGLETRANSLATE(A3830 , ""auto"", ""ar"")"),"العابد")</f>
        <v>العابد</v>
      </c>
    </row>
    <row r="3831" ht="15.75" customHeight="1">
      <c r="A3831" s="1" t="s">
        <v>7393</v>
      </c>
      <c r="B3831" s="1" t="s">
        <v>7010</v>
      </c>
      <c r="C3831" s="2" t="s">
        <v>7011</v>
      </c>
      <c r="D3831" s="1" t="str">
        <f>IFERROR(__xludf.DUMMYFUNCTION("GOOGLETRANSLATE(A3831 , ""auto"", ""ar"")"),"يستحق")</f>
        <v>يستحق</v>
      </c>
    </row>
    <row r="3832" ht="15.75" customHeight="1">
      <c r="A3832" s="1" t="s">
        <v>7394</v>
      </c>
      <c r="B3832" s="1" t="s">
        <v>7395</v>
      </c>
      <c r="C3832" s="2" t="s">
        <v>7396</v>
      </c>
      <c r="D3832" s="1" t="str">
        <f>IFERROR(__xludf.DUMMYFUNCTION("GOOGLETRANSLATE(A3832 , ""auto"", ""ar"")"),"جرح")</f>
        <v>جرح</v>
      </c>
    </row>
    <row r="3833" ht="15.75" customHeight="1">
      <c r="A3833" s="1" t="s">
        <v>7397</v>
      </c>
      <c r="B3833" s="1" t="s">
        <v>3722</v>
      </c>
      <c r="C3833" s="2" t="s">
        <v>3723</v>
      </c>
      <c r="D3833" s="1" t="str">
        <f>IFERROR(__xludf.DUMMYFUNCTION("GOOGLETRANSLATE(A3833 , ""auto"", ""ar"")"),"جريح")</f>
        <v>جريح</v>
      </c>
    </row>
    <row r="3834" ht="15.75" customHeight="1">
      <c r="A3834" s="1" t="s">
        <v>7398</v>
      </c>
      <c r="B3834" s="1" t="s">
        <v>7399</v>
      </c>
      <c r="C3834" s="2" t="s">
        <v>7400</v>
      </c>
      <c r="D3834" s="1" t="str">
        <f>IFERROR(__xludf.DUMMYFUNCTION("GOOGLETRANSLATE(A3834 , ""auto"", ""ar"")"),"طَوّق")</f>
        <v>طَوّق</v>
      </c>
    </row>
    <row r="3835" ht="15.75" customHeight="1">
      <c r="A3835" s="1" t="s">
        <v>7401</v>
      </c>
      <c r="B3835" s="1" t="s">
        <v>7402</v>
      </c>
      <c r="C3835" s="2" t="s">
        <v>7403</v>
      </c>
      <c r="D3835" s="1" t="str">
        <f>IFERROR(__xludf.DUMMYFUNCTION("GOOGLETRANSLATE(A3835 , ""auto"", ""ar"")"),"تجعد")</f>
        <v>تجعد</v>
      </c>
    </row>
    <row r="3836" ht="15.75" customHeight="1">
      <c r="A3836" s="1" t="s">
        <v>7401</v>
      </c>
      <c r="B3836" s="1" t="s">
        <v>7404</v>
      </c>
      <c r="C3836" s="2" t="s">
        <v>7405</v>
      </c>
      <c r="D3836" s="1" t="str">
        <f>IFERROR(__xludf.DUMMYFUNCTION("GOOGLETRANSLATE(A3836 , ""auto"", ""ar"")"),"تجعد")</f>
        <v>تجعد</v>
      </c>
    </row>
    <row r="3837" ht="15.75" customHeight="1">
      <c r="A3837" s="1" t="s">
        <v>7406</v>
      </c>
      <c r="B3837" s="1" t="s">
        <v>7407</v>
      </c>
      <c r="C3837" s="1"/>
      <c r="D3837" s="1" t="str">
        <f>IFERROR(__xludf.DUMMYFUNCTION("GOOGLETRANSLATE(A3837 , ""auto"", ""ar"")"),"رسغ")</f>
        <v>رسغ</v>
      </c>
    </row>
    <row r="3838" ht="15.75" customHeight="1">
      <c r="A3838" s="1" t="s">
        <v>7408</v>
      </c>
      <c r="B3838" s="1" t="s">
        <v>7409</v>
      </c>
      <c r="C3838" s="2" t="s">
        <v>7410</v>
      </c>
      <c r="D3838" s="1" t="str">
        <f>IFERROR(__xludf.DUMMYFUNCTION("GOOGLETRANSLATE(A3838 , ""auto"", ""ar"")"),"يكتب")</f>
        <v>يكتب</v>
      </c>
    </row>
    <row r="3839" ht="15.75" customHeight="1">
      <c r="A3839" s="1" t="s">
        <v>7411</v>
      </c>
      <c r="B3839" s="1" t="s">
        <v>7412</v>
      </c>
      <c r="C3839" s="2" t="s">
        <v>7413</v>
      </c>
      <c r="D3839" s="1" t="str">
        <f>IFERROR(__xludf.DUMMYFUNCTION("GOOGLETRANSLATE(A3839 , ""auto"", ""ar"")"),"كاتب")</f>
        <v>كاتب</v>
      </c>
    </row>
    <row r="3840" ht="15.75" customHeight="1">
      <c r="A3840" s="1" t="s">
        <v>7414</v>
      </c>
      <c r="B3840" s="1" t="s">
        <v>7415</v>
      </c>
      <c r="C3840" s="2" t="s">
        <v>7416</v>
      </c>
      <c r="D3840" s="1" t="str">
        <f>IFERROR(__xludf.DUMMYFUNCTION("GOOGLETRANSLATE(A3840 , ""auto"", ""ar"")"),"مكتوب")</f>
        <v>مكتوب</v>
      </c>
    </row>
    <row r="3841" ht="15.75" customHeight="1">
      <c r="A3841" s="1" t="s">
        <v>466</v>
      </c>
      <c r="B3841" s="1" t="s">
        <v>467</v>
      </c>
      <c r="C3841" s="2" t="s">
        <v>468</v>
      </c>
      <c r="D3841" s="1" t="str">
        <f>IFERROR(__xludf.DUMMYFUNCTION("GOOGLETRANSLATE(A3841 , ""auto"", ""ar"")"),"اسم العائلة")</f>
        <v>اسم العائلة</v>
      </c>
    </row>
    <row r="3842" ht="15.75" customHeight="1">
      <c r="A3842" s="1" t="s">
        <v>43</v>
      </c>
      <c r="B3842" s="1" t="s">
        <v>44</v>
      </c>
      <c r="C3842" s="2" t="s">
        <v>45</v>
      </c>
      <c r="D3842" s="1" t="str">
        <f>IFERROR(__xludf.DUMMYFUNCTION("GOOGLETRANSLATE(A3842 , ""auto"", ""ar"")"),"مقبول")</f>
        <v>مقبول</v>
      </c>
    </row>
    <row r="3843" ht="15.75" customHeight="1">
      <c r="A3843" s="1" t="s">
        <v>469</v>
      </c>
      <c r="B3843" s="1" t="s">
        <v>470</v>
      </c>
      <c r="C3843" s="2" t="s">
        <v>471</v>
      </c>
      <c r="D3843" s="1" t="str">
        <f>IFERROR(__xludf.DUMMYFUNCTION("GOOGLETRANSLATE(A3843 , ""auto"", ""ar"")"),"التصالح")</f>
        <v>التصالح</v>
      </c>
    </row>
    <row r="3844" ht="15.75" customHeight="1">
      <c r="A3844" s="1" t="s">
        <v>472</v>
      </c>
      <c r="B3844" s="1" t="s">
        <v>473</v>
      </c>
      <c r="C3844" s="2" t="s">
        <v>474</v>
      </c>
      <c r="D3844" s="1" t="str">
        <f>IFERROR(__xludf.DUMMYFUNCTION("GOOGLETRANSLATE(A3844 , ""auto"", ""ar"")"),"مغفرة")</f>
        <v>مغفرة</v>
      </c>
    </row>
    <row r="3845" ht="15.75" customHeight="1">
      <c r="A3845" s="1" t="s">
        <v>475</v>
      </c>
      <c r="B3845" s="1" t="s">
        <v>476</v>
      </c>
      <c r="C3845" s="2" t="s">
        <v>477</v>
      </c>
      <c r="D3845" s="1" t="str">
        <f>IFERROR(__xludf.DUMMYFUNCTION("GOOGLETRANSLATE(A3845 , ""auto"", ""ar"")"),"يخبر")</f>
        <v>يخبر</v>
      </c>
    </row>
    <row r="3846" ht="15.75" customHeight="1">
      <c r="A3846" s="1" t="s">
        <v>7417</v>
      </c>
      <c r="B3846" s="1" t="s">
        <v>7418</v>
      </c>
      <c r="C3846" s="2" t="s">
        <v>7419</v>
      </c>
      <c r="D3846" s="1" t="str">
        <f>IFERROR(__xludf.DUMMYFUNCTION("GOOGLETRANSLATE(A3846 , ""auto"", ""ar"")"),"الأشعة السينية")</f>
        <v>الأشعة السينية</v>
      </c>
    </row>
    <row r="3847" ht="15.75" customHeight="1">
      <c r="A3847" s="1" t="s">
        <v>466</v>
      </c>
      <c r="B3847" s="1" t="s">
        <v>467</v>
      </c>
      <c r="C3847" s="2" t="s">
        <v>468</v>
      </c>
      <c r="D3847" s="1" t="str">
        <f>IFERROR(__xludf.DUMMYFUNCTION("GOOGLETRANSLATE(A3847 , ""auto"", ""ar"")"),"اسم العائلة")</f>
        <v>اسم العائلة</v>
      </c>
    </row>
    <row r="3848" ht="15.75" customHeight="1">
      <c r="A3848" s="1" t="s">
        <v>43</v>
      </c>
      <c r="B3848" s="1" t="s">
        <v>44</v>
      </c>
      <c r="C3848" s="2" t="s">
        <v>45</v>
      </c>
      <c r="D3848" s="1" t="str">
        <f>IFERROR(__xludf.DUMMYFUNCTION("GOOGLETRANSLATE(A3848 , ""auto"", ""ar"")"),"مقبول")</f>
        <v>مقبول</v>
      </c>
    </row>
    <row r="3849" ht="15.75" customHeight="1">
      <c r="A3849" s="1" t="s">
        <v>469</v>
      </c>
      <c r="B3849" s="1" t="s">
        <v>470</v>
      </c>
      <c r="C3849" s="2" t="s">
        <v>471</v>
      </c>
      <c r="D3849" s="1" t="str">
        <f>IFERROR(__xludf.DUMMYFUNCTION("GOOGLETRANSLATE(A3849 , ""auto"", ""ar"")"),"التصالح")</f>
        <v>التصالح</v>
      </c>
    </row>
    <row r="3850" ht="15.75" customHeight="1">
      <c r="A3850" s="1" t="s">
        <v>472</v>
      </c>
      <c r="B3850" s="1" t="s">
        <v>473</v>
      </c>
      <c r="C3850" s="2" t="s">
        <v>474</v>
      </c>
      <c r="D3850" s="1" t="str">
        <f>IFERROR(__xludf.DUMMYFUNCTION("GOOGLETRANSLATE(A3850 , ""auto"", ""ar"")"),"مغفرة")</f>
        <v>مغفرة</v>
      </c>
    </row>
    <row r="3851" ht="15.75" customHeight="1">
      <c r="A3851" s="1" t="s">
        <v>475</v>
      </c>
      <c r="B3851" s="1" t="s">
        <v>476</v>
      </c>
      <c r="C3851" s="2" t="s">
        <v>477</v>
      </c>
      <c r="D3851" s="1" t="str">
        <f>IFERROR(__xludf.DUMMYFUNCTION("GOOGLETRANSLATE(A3851 , ""auto"", ""ar"")"),"يخبر")</f>
        <v>يخبر</v>
      </c>
    </row>
    <row r="3852" ht="15.75" customHeight="1">
      <c r="A3852" s="1" t="s">
        <v>7420</v>
      </c>
      <c r="B3852" s="1" t="s">
        <v>7421</v>
      </c>
      <c r="C3852" s="2" t="s">
        <v>7422</v>
      </c>
      <c r="D3852" s="1" t="str">
        <f>IFERROR(__xludf.DUMMYFUNCTION("GOOGLETRANSLATE(A3852 , ""auto"", ""ar"")"),"التثاؤب")</f>
        <v>التثاؤب</v>
      </c>
    </row>
    <row r="3853" ht="15.75" customHeight="1">
      <c r="A3853" s="1" t="s">
        <v>7423</v>
      </c>
      <c r="B3853" s="1" t="s">
        <v>7424</v>
      </c>
      <c r="C3853" s="2" t="s">
        <v>6381</v>
      </c>
      <c r="D3853" s="1" t="str">
        <f>IFERROR(__xludf.DUMMYFUNCTION("GOOGLETRANSLATE(A3853 , ""auto"", ""ar"")"),"سنة")</f>
        <v>سنة</v>
      </c>
    </row>
    <row r="3854" ht="15.75" customHeight="1">
      <c r="A3854" s="1" t="s">
        <v>7423</v>
      </c>
      <c r="B3854" s="1" t="s">
        <v>7425</v>
      </c>
      <c r="C3854" s="2" t="s">
        <v>7426</v>
      </c>
      <c r="D3854" s="1" t="str">
        <f>IFERROR(__xludf.DUMMYFUNCTION("GOOGLETRANSLATE(A3854 , ""auto"", ""ar"")"),"سنة")</f>
        <v>سنة</v>
      </c>
    </row>
    <row r="3855" ht="15.75" customHeight="1">
      <c r="A3855" s="1" t="s">
        <v>7427</v>
      </c>
      <c r="B3855" s="1" t="s">
        <v>504</v>
      </c>
      <c r="C3855" s="2" t="s">
        <v>7428</v>
      </c>
      <c r="D3855" s="1" t="str">
        <f>IFERROR(__xludf.DUMMYFUNCTION("GOOGLETRANSLATE(A3855 , ""auto"", ""ar"")"),"خميرة")</f>
        <v>خميرة</v>
      </c>
    </row>
    <row r="3856" ht="15.75" customHeight="1">
      <c r="A3856" s="1" t="s">
        <v>7429</v>
      </c>
      <c r="B3856" s="1" t="s">
        <v>7430</v>
      </c>
      <c r="C3856" s="2" t="s">
        <v>7431</v>
      </c>
      <c r="D3856" s="1" t="str">
        <f>IFERROR(__xludf.DUMMYFUNCTION("GOOGLETRANSLATE(A3856 , ""auto"", ""ar"")"),"أصفر")</f>
        <v>أصفر</v>
      </c>
    </row>
    <row r="3857" ht="15.75" customHeight="1">
      <c r="A3857" s="1" t="s">
        <v>7432</v>
      </c>
      <c r="B3857" s="1" t="s">
        <v>7433</v>
      </c>
      <c r="C3857" s="2" t="s">
        <v>7434</v>
      </c>
      <c r="D3857" s="1" t="str">
        <f>IFERROR(__xludf.DUMMYFUNCTION("GOOGLETRANSLATE(A3857 , ""auto"", ""ar"")"),"نعم")</f>
        <v>نعم</v>
      </c>
    </row>
    <row r="3858" ht="15.75" customHeight="1">
      <c r="A3858" s="1" t="s">
        <v>7432</v>
      </c>
      <c r="B3858" s="1" t="s">
        <v>7435</v>
      </c>
      <c r="C3858" s="2" t="s">
        <v>7436</v>
      </c>
      <c r="D3858" s="1" t="str">
        <f>IFERROR(__xludf.DUMMYFUNCTION("GOOGLETRANSLATE(A3858 , ""auto"", ""ar"")"),"نعم")</f>
        <v>نعم</v>
      </c>
    </row>
    <row r="3859" ht="15.75" customHeight="1">
      <c r="A3859" s="1" t="s">
        <v>7432</v>
      </c>
      <c r="B3859" s="1" t="s">
        <v>7437</v>
      </c>
      <c r="C3859" s="2" t="s">
        <v>7438</v>
      </c>
      <c r="D3859" s="1" t="str">
        <f>IFERROR(__xludf.DUMMYFUNCTION("GOOGLETRANSLATE(A3859 , ""auto"", ""ar"")"),"نعم")</f>
        <v>نعم</v>
      </c>
    </row>
    <row r="3860" ht="15.75" customHeight="1">
      <c r="A3860" s="1" t="s">
        <v>7439</v>
      </c>
      <c r="B3860" s="1" t="s">
        <v>7440</v>
      </c>
      <c r="C3860" s="2" t="s">
        <v>7441</v>
      </c>
      <c r="D3860" s="1" t="str">
        <f>IFERROR(__xludf.DUMMYFUNCTION("GOOGLETRANSLATE(A3860 , ""auto"", ""ar"")"),"أمس")</f>
        <v>أمس</v>
      </c>
    </row>
    <row r="3861" ht="15.75" customHeight="1">
      <c r="A3861" s="1" t="s">
        <v>7442</v>
      </c>
      <c r="B3861" s="1" t="s">
        <v>7443</v>
      </c>
      <c r="C3861" s="2" t="s">
        <v>7444</v>
      </c>
      <c r="D3861" s="1" t="str">
        <f>IFERROR(__xludf.DUMMYFUNCTION("GOOGLETRANSLATE(A3861 , ""auto"", ""ar"")"),"الزبادي")</f>
        <v>الزبادي</v>
      </c>
    </row>
    <row r="3862" ht="15.75" customHeight="1">
      <c r="A3862" s="1" t="s">
        <v>7442</v>
      </c>
      <c r="B3862" s="1" t="s">
        <v>7445</v>
      </c>
      <c r="C3862" s="1"/>
      <c r="D3862" s="1" t="str">
        <f>IFERROR(__xludf.DUMMYFUNCTION("GOOGLETRANSLATE(A3862 , ""auto"", ""ar"")"),"الزبادي")</f>
        <v>الزبادي</v>
      </c>
    </row>
    <row r="3863" ht="15.75" customHeight="1">
      <c r="A3863" s="1" t="s">
        <v>7446</v>
      </c>
      <c r="B3863" s="1" t="s">
        <v>7447</v>
      </c>
      <c r="C3863" s="2" t="s">
        <v>7448</v>
      </c>
      <c r="D3863" s="1" t="str">
        <f>IFERROR(__xludf.DUMMYFUNCTION("GOOGLETRANSLATE(A3863 , ""auto"", ""ar"")"),"أنت")</f>
        <v>أنت</v>
      </c>
    </row>
    <row r="3864" ht="15.75" customHeight="1">
      <c r="A3864" s="1" t="s">
        <v>7446</v>
      </c>
      <c r="B3864" s="1" t="s">
        <v>7449</v>
      </c>
      <c r="C3864" s="2" t="s">
        <v>7450</v>
      </c>
      <c r="D3864" s="1" t="str">
        <f>IFERROR(__xludf.DUMMYFUNCTION("GOOGLETRANSLATE(A3864 , ""auto"", ""ar"")"),"أنت")</f>
        <v>أنت</v>
      </c>
    </row>
    <row r="3865" ht="15.75" customHeight="1">
      <c r="A3865" s="1" t="s">
        <v>7446</v>
      </c>
      <c r="B3865" s="1" t="s">
        <v>7451</v>
      </c>
      <c r="C3865" s="2" t="s">
        <v>7452</v>
      </c>
      <c r="D3865" s="1" t="str">
        <f>IFERROR(__xludf.DUMMYFUNCTION("GOOGLETRANSLATE(A3865 , ""auto"", ""ar"")"),"أنت")</f>
        <v>أنت</v>
      </c>
    </row>
    <row r="3866" ht="15.75" customHeight="1">
      <c r="A3866" s="1" t="s">
        <v>7446</v>
      </c>
      <c r="B3866" s="1" t="s">
        <v>7453</v>
      </c>
      <c r="C3866" s="2" t="s">
        <v>7454</v>
      </c>
      <c r="D3866" s="1" t="str">
        <f>IFERROR(__xludf.DUMMYFUNCTION("GOOGLETRANSLATE(A3866 , ""auto"", ""ar"")"),"أنت")</f>
        <v>أنت</v>
      </c>
    </row>
    <row r="3867" ht="15.75" customHeight="1">
      <c r="A3867" s="1" t="s">
        <v>7446</v>
      </c>
      <c r="B3867" s="1" t="s">
        <v>7455</v>
      </c>
      <c r="C3867" s="2" t="s">
        <v>7456</v>
      </c>
      <c r="D3867" s="1" t="str">
        <f>IFERROR(__xludf.DUMMYFUNCTION("GOOGLETRANSLATE(A3867 , ""auto"", ""ar"")"),"أنت")</f>
        <v>أنت</v>
      </c>
    </row>
    <row r="3868" ht="15.75" customHeight="1">
      <c r="A3868" s="1" t="s">
        <v>7457</v>
      </c>
      <c r="B3868" s="1" t="s">
        <v>2181</v>
      </c>
      <c r="C3868" s="2" t="s">
        <v>2182</v>
      </c>
      <c r="D3868" s="1" t="str">
        <f>IFERROR(__xludf.DUMMYFUNCTION("GOOGLETRANSLATE(A3868 , ""auto"", ""ar"")"),"على الرحب والسعة")</f>
        <v>على الرحب والسعة</v>
      </c>
    </row>
    <row r="3869" ht="15.75" customHeight="1">
      <c r="A3869" s="1" t="s">
        <v>7457</v>
      </c>
      <c r="B3869" s="1" t="s">
        <v>2183</v>
      </c>
      <c r="C3869" s="2" t="s">
        <v>2184</v>
      </c>
      <c r="D3869" s="1" t="str">
        <f>IFERROR(__xludf.DUMMYFUNCTION("GOOGLETRANSLATE(A3869 , ""auto"", ""ar"")"),"على الرحب والسعة")</f>
        <v>على الرحب والسعة</v>
      </c>
    </row>
    <row r="3870" ht="15.75" customHeight="1">
      <c r="A3870" s="1" t="s">
        <v>7458</v>
      </c>
      <c r="B3870" s="1" t="s">
        <v>4378</v>
      </c>
      <c r="C3870" s="2" t="s">
        <v>4379</v>
      </c>
      <c r="D3870" s="1" t="str">
        <f>IFERROR(__xludf.DUMMYFUNCTION("GOOGLETRANSLATE(A3870 , ""auto"", ""ar"")"),"شاب")</f>
        <v>شاب</v>
      </c>
    </row>
    <row r="3871" ht="15.75" customHeight="1">
      <c r="A3871" s="1" t="s">
        <v>7459</v>
      </c>
      <c r="B3871" s="1" t="s">
        <v>5959</v>
      </c>
      <c r="C3871" s="2" t="s">
        <v>5960</v>
      </c>
      <c r="D3871" s="1" t="str">
        <f>IFERROR(__xludf.DUMMYFUNCTION("GOOGLETRANSLATE(A3871 , ""auto"", ""ar"")"),"اصغر سنا")</f>
        <v>اصغر سنا</v>
      </c>
    </row>
    <row r="3872" ht="15.75" customHeight="1">
      <c r="A3872" s="1" t="s">
        <v>7460</v>
      </c>
      <c r="B3872" s="1" t="s">
        <v>7461</v>
      </c>
      <c r="C3872" s="2" t="s">
        <v>7462</v>
      </c>
      <c r="D3872" s="1" t="str">
        <f>IFERROR(__xludf.DUMMYFUNCTION("GOOGLETRANSLATE(A3872 , ""auto"", ""ar"")"),"لك")</f>
        <v>لك</v>
      </c>
    </row>
    <row r="3873" ht="15.75" customHeight="1">
      <c r="A3873" s="1" t="s">
        <v>7460</v>
      </c>
      <c r="B3873" s="1" t="s">
        <v>7463</v>
      </c>
      <c r="C3873" s="2" t="s">
        <v>7464</v>
      </c>
      <c r="D3873" s="1" t="str">
        <f>IFERROR(__xludf.DUMMYFUNCTION("GOOGLETRANSLATE(A3873 , ""auto"", ""ar"")"),"لك")</f>
        <v>لك</v>
      </c>
    </row>
    <row r="3874" ht="15.75" customHeight="1">
      <c r="A3874" s="1" t="s">
        <v>7460</v>
      </c>
      <c r="B3874" s="1" t="s">
        <v>7465</v>
      </c>
      <c r="C3874" s="1"/>
      <c r="D3874" s="1" t="str">
        <f>IFERROR(__xludf.DUMMYFUNCTION("GOOGLETRANSLATE(A3874 , ""auto"", ""ar"")"),"لك")</f>
        <v>لك</v>
      </c>
    </row>
    <row r="3875" ht="15.75" customHeight="1">
      <c r="A3875" s="1" t="s">
        <v>7460</v>
      </c>
      <c r="B3875" s="1" t="s">
        <v>7466</v>
      </c>
      <c r="C3875" s="2" t="s">
        <v>7467</v>
      </c>
      <c r="D3875" s="1" t="str">
        <f>IFERROR(__xludf.DUMMYFUNCTION("GOOGLETRANSLATE(A3875 , ""auto"", ""ar"")"),"لك")</f>
        <v>لك</v>
      </c>
    </row>
    <row r="3876" ht="15.75" customHeight="1">
      <c r="A3876" s="1" t="s">
        <v>7460</v>
      </c>
      <c r="B3876" s="1" t="s">
        <v>7468</v>
      </c>
      <c r="C3876" s="2" t="s">
        <v>7469</v>
      </c>
      <c r="D3876" s="1" t="str">
        <f>IFERROR(__xludf.DUMMYFUNCTION("GOOGLETRANSLATE(A3876 , ""auto"", ""ar"")"),"لك")</f>
        <v>لك</v>
      </c>
    </row>
    <row r="3877" ht="15.75" customHeight="1">
      <c r="A3877" s="1" t="s">
        <v>7460</v>
      </c>
      <c r="B3877" s="1" t="s">
        <v>7470</v>
      </c>
      <c r="C3877" s="1"/>
      <c r="D3877" s="1" t="str">
        <f>IFERROR(__xludf.DUMMYFUNCTION("GOOGLETRANSLATE(A3877 , ""auto"", ""ar"")"),"لك")</f>
        <v>لك</v>
      </c>
    </row>
    <row r="3878" ht="15.75" customHeight="1">
      <c r="A3878" s="1" t="s">
        <v>7471</v>
      </c>
      <c r="B3878" s="1" t="s">
        <v>7472</v>
      </c>
      <c r="C3878" s="2" t="s">
        <v>7473</v>
      </c>
      <c r="D3878" s="1" t="str">
        <f>IFERROR(__xludf.DUMMYFUNCTION("GOOGLETRANSLATE(A3878 , ""auto"", ""ar"")"),"شباب")</f>
        <v>شباب</v>
      </c>
    </row>
    <row r="3879" ht="15.75" customHeight="1">
      <c r="A3879" s="1" t="s">
        <v>466</v>
      </c>
      <c r="B3879" s="1" t="s">
        <v>467</v>
      </c>
      <c r="C3879" s="2" t="s">
        <v>468</v>
      </c>
      <c r="D3879" s="1" t="str">
        <f>IFERROR(__xludf.DUMMYFUNCTION("GOOGLETRANSLATE(A3879 , ""auto"", ""ar"")"),"اسم العائلة")</f>
        <v>اسم العائلة</v>
      </c>
    </row>
    <row r="3880" ht="15.75" customHeight="1">
      <c r="A3880" s="1" t="s">
        <v>43</v>
      </c>
      <c r="B3880" s="1" t="s">
        <v>44</v>
      </c>
      <c r="C3880" s="2" t="s">
        <v>45</v>
      </c>
      <c r="D3880" s="1" t="str">
        <f>IFERROR(__xludf.DUMMYFUNCTION("GOOGLETRANSLATE(A3880 , ""auto"", ""ar"")"),"مقبول")</f>
        <v>مقبول</v>
      </c>
    </row>
    <row r="3881" ht="15.75" customHeight="1">
      <c r="A3881" s="1" t="s">
        <v>469</v>
      </c>
      <c r="B3881" s="1" t="s">
        <v>470</v>
      </c>
      <c r="C3881" s="2" t="s">
        <v>471</v>
      </c>
      <c r="D3881" s="1" t="str">
        <f>IFERROR(__xludf.DUMMYFUNCTION("GOOGLETRANSLATE(A3881 , ""auto"", ""ar"")"),"التصالح")</f>
        <v>التصالح</v>
      </c>
    </row>
    <row r="3882" ht="15.75" customHeight="1">
      <c r="A3882" s="1" t="s">
        <v>472</v>
      </c>
      <c r="B3882" s="1" t="s">
        <v>473</v>
      </c>
      <c r="C3882" s="2" t="s">
        <v>474</v>
      </c>
      <c r="D3882" s="1" t="str">
        <f>IFERROR(__xludf.DUMMYFUNCTION("GOOGLETRANSLATE(A3882 , ""auto"", ""ar"")"),"مغفرة")</f>
        <v>مغفرة</v>
      </c>
    </row>
    <row r="3883" ht="15.75" customHeight="1">
      <c r="A3883" s="1" t="s">
        <v>475</v>
      </c>
      <c r="B3883" s="1" t="s">
        <v>476</v>
      </c>
      <c r="C3883" s="2" t="s">
        <v>477</v>
      </c>
      <c r="D3883" s="1" t="str">
        <f>IFERROR(__xludf.DUMMYFUNCTION("GOOGLETRANSLATE(A3883 , ""auto"", ""ar"")"),"يخبر")</f>
        <v>يخبر</v>
      </c>
    </row>
    <row r="3884" ht="15.75" customHeight="1">
      <c r="A3884" s="1" t="s">
        <v>7474</v>
      </c>
      <c r="B3884" s="1" t="s">
        <v>3018</v>
      </c>
      <c r="C3884" s="1"/>
      <c r="D3884" s="1" t="str">
        <f>IFERROR(__xludf.DUMMYFUNCTION("GOOGLETRANSLATE(A3884 , ""auto"", ""ar"")"),"بخير")</f>
        <v>بخير</v>
      </c>
    </row>
    <row r="3885" ht="15.75" customHeight="1">
      <c r="A3885" s="1" t="s">
        <v>7475</v>
      </c>
      <c r="B3885" s="1" t="s">
        <v>1745</v>
      </c>
      <c r="C3885" s="2" t="s">
        <v>1746</v>
      </c>
      <c r="D3885" s="1" t="str">
        <f>IFERROR(__xludf.DUMMYFUNCTION("GOOGLETRANSLATE(A3885 , ""auto"", ""ar"")"),"كوسة")</f>
        <v>كوسة</v>
      </c>
    </row>
    <row r="3886" ht="15.75" customHeight="1">
      <c r="A3886" s="1" t="s">
        <v>7475</v>
      </c>
      <c r="B3886" s="1" t="s">
        <v>1747</v>
      </c>
      <c r="C3886" s="2" t="s">
        <v>1748</v>
      </c>
      <c r="D3886" s="1" t="str">
        <f>IFERROR(__xludf.DUMMYFUNCTION("GOOGLETRANSLATE(A3886 , ""auto"", ""ar"")"),"كوسة")</f>
        <v>كوسة</v>
      </c>
    </row>
    <row r="3887" ht="15.75" customHeight="1">
      <c r="A3887" s="1" t="s">
        <v>466</v>
      </c>
      <c r="B3887" s="1" t="s">
        <v>467</v>
      </c>
      <c r="C3887" s="2" t="s">
        <v>468</v>
      </c>
      <c r="D3887" s="1" t="str">
        <f>IFERROR(__xludf.DUMMYFUNCTION("GOOGLETRANSLATE(A3887 , ""auto"", ""ar"")"),"اسم العائلة")</f>
        <v>اسم العائلة</v>
      </c>
    </row>
    <row r="3888" ht="15.75" customHeight="1">
      <c r="A3888" s="1" t="s">
        <v>43</v>
      </c>
      <c r="B3888" s="1" t="s">
        <v>44</v>
      </c>
      <c r="C3888" s="2" t="s">
        <v>45</v>
      </c>
      <c r="D3888" s="1" t="str">
        <f>IFERROR(__xludf.DUMMYFUNCTION("GOOGLETRANSLATE(A3888 , ""auto"", ""ar"")"),"مقبول")</f>
        <v>مقبول</v>
      </c>
    </row>
    <row r="3889" ht="15.75" customHeight="1">
      <c r="A3889" s="1" t="s">
        <v>469</v>
      </c>
      <c r="B3889" s="1" t="s">
        <v>470</v>
      </c>
      <c r="C3889" s="2" t="s">
        <v>471</v>
      </c>
      <c r="D3889" s="1" t="str">
        <f>IFERROR(__xludf.DUMMYFUNCTION("GOOGLETRANSLATE(A3889 , ""auto"", ""ar"")"),"التصالح")</f>
        <v>التصالح</v>
      </c>
    </row>
    <row r="3890" ht="15.75" customHeight="1">
      <c r="A3890" s="1" t="s">
        <v>472</v>
      </c>
      <c r="B3890" s="1" t="s">
        <v>473</v>
      </c>
      <c r="C3890" s="2" t="s">
        <v>474</v>
      </c>
      <c r="D3890" s="1" t="str">
        <f>IFERROR(__xludf.DUMMYFUNCTION("GOOGLETRANSLATE(A3890 , ""auto"", ""ar"")"),"مغفرة")</f>
        <v>مغفرة</v>
      </c>
    </row>
    <row r="3891" ht="15.75" customHeight="1">
      <c r="A3891" s="1" t="s">
        <v>475</v>
      </c>
      <c r="B3891" s="1" t="s">
        <v>476</v>
      </c>
      <c r="C3891" s="2" t="s">
        <v>477</v>
      </c>
      <c r="D3891" s="1" t="str">
        <f>IFERROR(__xludf.DUMMYFUNCTION("GOOGLETRANSLATE(A3891 , ""auto"", ""ar"")"),"يخبر")</f>
        <v>يخبر</v>
      </c>
    </row>
    <row r="3892" ht="15.75" customHeight="1">
      <c r="A3892" s="1" t="s">
        <v>4498</v>
      </c>
      <c r="B3892" s="1" t="s">
        <v>4499</v>
      </c>
      <c r="C3892" s="2" t="s">
        <v>4500</v>
      </c>
      <c r="D3892" s="1" t="str">
        <f>IFERROR(__xludf.DUMMYFUNCTION("GOOGLETRANSLATE(A3892 , ""auto"", ""ar"")"),"آلة")</f>
        <v>آلة</v>
      </c>
    </row>
    <row r="3893" ht="15.75" customHeight="1">
      <c r="A3893" s="1" t="s">
        <v>4501</v>
      </c>
      <c r="B3893" s="1" t="s">
        <v>4502</v>
      </c>
      <c r="C3893" s="2" t="s">
        <v>4503</v>
      </c>
      <c r="D3893" s="1" t="str">
        <f>IFERROR(__xludf.DUMMYFUNCTION("GOOGLETRANSLATE(A3893 , ""auto"", ""ar"")"),"سيدتي")</f>
        <v>سيدتي</v>
      </c>
    </row>
    <row r="3894" ht="15.75" customHeight="1">
      <c r="A3894" s="1" t="s">
        <v>4504</v>
      </c>
      <c r="B3894" s="1" t="s">
        <v>708</v>
      </c>
      <c r="C3894" s="2" t="s">
        <v>709</v>
      </c>
      <c r="D3894" s="1" t="str">
        <f>IFERROR(__xludf.DUMMYFUNCTION("GOOGLETRANSLATE(A3894 , ""auto"", ""ar"")"),"مصنوع من")</f>
        <v>مصنوع من</v>
      </c>
    </row>
    <row r="3895" ht="15.75" customHeight="1">
      <c r="A3895" s="1" t="s">
        <v>4505</v>
      </c>
      <c r="B3895" s="1" t="s">
        <v>1791</v>
      </c>
      <c r="C3895" s="1"/>
      <c r="D3895" s="1" t="str">
        <f>IFERROR(__xludf.DUMMYFUNCTION("GOOGLETRANSLATE(A3895 , ""auto"", ""ar"")"),"جنون")</f>
        <v>جنون</v>
      </c>
    </row>
    <row r="3896" ht="15.75" customHeight="1">
      <c r="A3896" s="1" t="s">
        <v>4506</v>
      </c>
      <c r="B3896" s="1" t="s">
        <v>4507</v>
      </c>
      <c r="C3896" s="2" t="s">
        <v>4508</v>
      </c>
      <c r="D3896" s="1" t="str">
        <f>IFERROR(__xludf.DUMMYFUNCTION("GOOGLETRANSLATE(A3896 , ""auto"", ""ar"")"),"مجلة")</f>
        <v>مجلة</v>
      </c>
    </row>
    <row r="3897" ht="15.75" customHeight="1">
      <c r="A3897" s="1" t="s">
        <v>4509</v>
      </c>
      <c r="B3897" s="1" t="s">
        <v>4510</v>
      </c>
      <c r="C3897" s="2" t="s">
        <v>4511</v>
      </c>
      <c r="D3897" s="1" t="str">
        <f>IFERROR(__xludf.DUMMYFUNCTION("GOOGLETRANSLATE(A3897 , ""auto"", ""ar"")"),"سحر")</f>
        <v>سحر</v>
      </c>
    </row>
    <row r="3898" ht="15.75" customHeight="1">
      <c r="A3898" s="1" t="s">
        <v>4509</v>
      </c>
      <c r="B3898" s="1" t="s">
        <v>4512</v>
      </c>
      <c r="C3898" s="2" t="s">
        <v>4513</v>
      </c>
      <c r="D3898" s="1" t="str">
        <f>IFERROR(__xludf.DUMMYFUNCTION("GOOGLETRANSLATE(A3898 , ""auto"", ""ar"")"),"سحر")</f>
        <v>سحر</v>
      </c>
    </row>
    <row r="3899" ht="15.75" customHeight="1">
      <c r="A3899" s="1" t="s">
        <v>4514</v>
      </c>
      <c r="B3899" s="1" t="s">
        <v>4512</v>
      </c>
      <c r="C3899" s="2" t="s">
        <v>4513</v>
      </c>
      <c r="D3899" s="1" t="str">
        <f>IFERROR(__xludf.DUMMYFUNCTION("GOOGLETRANSLATE(A3899 , ""auto"", ""ar"")"),"سحري")</f>
        <v>سحري</v>
      </c>
    </row>
    <row r="3900" ht="15.75" customHeight="1">
      <c r="A3900" s="1" t="s">
        <v>4515</v>
      </c>
      <c r="B3900" s="1" t="s">
        <v>3761</v>
      </c>
      <c r="C3900" s="2" t="s">
        <v>65</v>
      </c>
      <c r="D3900" s="1" t="str">
        <f>IFERROR(__xludf.DUMMYFUNCTION("GOOGLETRANSLATE(A3900 , ""auto"", ""ar"")"),"رئيسي")</f>
        <v>رئيسي</v>
      </c>
    </row>
    <row r="3901" ht="15.75" customHeight="1">
      <c r="A3901" s="1" t="s">
        <v>4516</v>
      </c>
      <c r="B3901" s="1" t="s">
        <v>4517</v>
      </c>
      <c r="C3901" s="2" t="s">
        <v>4518</v>
      </c>
      <c r="D3901" s="1" t="str">
        <f>IFERROR(__xludf.DUMMYFUNCTION("GOOGLETRANSLATE(A3901 , ""auto"", ""ar"")"),"غالبية")</f>
        <v>غالبية</v>
      </c>
    </row>
    <row r="3902" ht="15.75" customHeight="1">
      <c r="A3902" s="1" t="s">
        <v>4519</v>
      </c>
      <c r="B3902" s="1" t="s">
        <v>1057</v>
      </c>
      <c r="C3902" s="2" t="s">
        <v>1058</v>
      </c>
      <c r="D3902" s="1" t="str">
        <f>IFERROR(__xludf.DUMMYFUNCTION("GOOGLETRANSLATE(A3902 , ""auto"", ""ar"")"),"اجعل (شخص ما) أحمر الخدود")</f>
        <v>اجعل (شخص ما) أحمر الخدود</v>
      </c>
    </row>
    <row r="3903" ht="15.75" customHeight="1">
      <c r="A3903" s="1" t="s">
        <v>4520</v>
      </c>
      <c r="B3903" s="1" t="s">
        <v>4521</v>
      </c>
      <c r="C3903" s="2" t="s">
        <v>4522</v>
      </c>
      <c r="D3903" s="1" t="str">
        <f>IFERROR(__xludf.DUMMYFUNCTION("GOOGLETRANSLATE(A3903 , ""auto"", ""ar"")"),"أخطأ")</f>
        <v>أخطأ</v>
      </c>
    </row>
    <row r="3904" ht="15.75" customHeight="1">
      <c r="A3904" s="1" t="s">
        <v>4523</v>
      </c>
      <c r="B3904" s="1" t="s">
        <v>4521</v>
      </c>
      <c r="C3904" s="2" t="s">
        <v>4522</v>
      </c>
      <c r="D3904" s="1" t="str">
        <f>IFERROR(__xludf.DUMMYFUNCTION("GOOGLETRANSLATE(A3904 , ""auto"", ""ar"")"),"ارتكب خطأ")</f>
        <v>ارتكب خطأ</v>
      </c>
    </row>
    <row r="3905" ht="15.75" customHeight="1">
      <c r="A3905" s="1" t="s">
        <v>4524</v>
      </c>
      <c r="B3905" s="1" t="s">
        <v>3453</v>
      </c>
      <c r="C3905" s="2" t="s">
        <v>3454</v>
      </c>
      <c r="D3905" s="1" t="str">
        <f>IFERROR(__xludf.DUMMYFUNCTION("GOOGLETRANSLATE(A3905 , ""auto"", ""ar"")"),"يسخر من")</f>
        <v>يسخر من</v>
      </c>
    </row>
    <row r="3906" ht="15.75" customHeight="1">
      <c r="A3906" s="1" t="s">
        <v>4524</v>
      </c>
      <c r="B3906" s="1" t="s">
        <v>4525</v>
      </c>
      <c r="C3906" s="1"/>
      <c r="D3906" s="1" t="str">
        <f>IFERROR(__xludf.DUMMYFUNCTION("GOOGLETRANSLATE(A3906 , ""auto"", ""ar"")"),"يسخر من")</f>
        <v>يسخر من</v>
      </c>
    </row>
    <row r="3907" ht="15.75" customHeight="1">
      <c r="A3907" s="1" t="s">
        <v>4526</v>
      </c>
      <c r="B3907" s="1" t="s">
        <v>2127</v>
      </c>
      <c r="C3907" s="2" t="s">
        <v>2128</v>
      </c>
      <c r="D3907" s="1" t="str">
        <f>IFERROR(__xludf.DUMMYFUNCTION("GOOGLETRANSLATE(A3907 , ""auto"", ""ar"")"),"خلق ضجة")</f>
        <v>خلق ضجة</v>
      </c>
    </row>
    <row r="3908" ht="15.75" customHeight="1">
      <c r="A3908" s="1" t="s">
        <v>4527</v>
      </c>
      <c r="B3908" s="1" t="s">
        <v>4528</v>
      </c>
      <c r="C3908" s="2" t="s">
        <v>4529</v>
      </c>
      <c r="D3908" s="1" t="str">
        <f>IFERROR(__xludf.DUMMYFUNCTION("GOOGLETRANSLATE(A3908 , ""auto"", ""ar"")"),"تأكد")</f>
        <v>تأكد</v>
      </c>
    </row>
    <row r="3909" ht="15.75" customHeight="1">
      <c r="A3909" s="1" t="s">
        <v>4530</v>
      </c>
      <c r="B3909" s="1" t="s">
        <v>4531</v>
      </c>
      <c r="C3909" s="2" t="s">
        <v>4532</v>
      </c>
      <c r="D3909" s="1" t="str">
        <f>IFERROR(__xludf.DUMMYFUNCTION("GOOGLETRANSLATE(A3909 , ""auto"", ""ar"")"),"أصنع طريقا")</f>
        <v>أصنع طريقا</v>
      </c>
    </row>
    <row r="3910" ht="15.75" customHeight="1">
      <c r="A3910" s="1" t="s">
        <v>4533</v>
      </c>
      <c r="B3910" s="1" t="s">
        <v>3725</v>
      </c>
      <c r="C3910" s="2" t="s">
        <v>3726</v>
      </c>
      <c r="D3910" s="1" t="str">
        <f>IFERROR(__xludf.DUMMYFUNCTION("GOOGLETRANSLATE(A3910 , ""auto"", ""ar"")"),"رجل")</f>
        <v>رجل</v>
      </c>
    </row>
    <row r="3911" ht="15.75" customHeight="1">
      <c r="A3911" s="1" t="s">
        <v>4533</v>
      </c>
      <c r="B3911" s="1" t="s">
        <v>4534</v>
      </c>
      <c r="C3911" s="2" t="s">
        <v>4535</v>
      </c>
      <c r="D3911" s="1" t="str">
        <f>IFERROR(__xludf.DUMMYFUNCTION("GOOGLETRANSLATE(A3911 , ""auto"", ""ar"")"),"رجل")</f>
        <v>رجل</v>
      </c>
    </row>
    <row r="3912" ht="15.75" customHeight="1">
      <c r="A3912" s="1" t="s">
        <v>4536</v>
      </c>
      <c r="B3912" s="1" t="s">
        <v>4537</v>
      </c>
      <c r="C3912" s="2" t="s">
        <v>4538</v>
      </c>
      <c r="D3912" s="1" t="str">
        <f>IFERROR(__xludf.DUMMYFUNCTION("GOOGLETRANSLATE(A3912 , ""auto"", ""ar"")"),"الرجل الذي يلقي الدعوة للصلاة")</f>
        <v>الرجل الذي يلقي الدعوة للصلاة</v>
      </c>
    </row>
    <row r="3913" ht="15.75" customHeight="1">
      <c r="A3913" s="1" t="s">
        <v>4539</v>
      </c>
      <c r="B3913" s="1" t="s">
        <v>4540</v>
      </c>
      <c r="C3913" s="1"/>
      <c r="D3913" s="1" t="str">
        <f>IFERROR(__xludf.DUMMYFUNCTION("GOOGLETRANSLATE(A3913 , ""auto"", ""ar"")"),"يدير")</f>
        <v>يدير</v>
      </c>
    </row>
    <row r="3914" ht="15.75" customHeight="1">
      <c r="A3914" s="1" t="s">
        <v>4541</v>
      </c>
      <c r="B3914" s="1" t="s">
        <v>4542</v>
      </c>
      <c r="C3914" s="2" t="s">
        <v>4543</v>
      </c>
      <c r="D3914" s="1" t="str">
        <f>IFERROR(__xludf.DUMMYFUNCTION("GOOGLETRANSLATE(A3914 , ""auto"", ""ar"")"),"الماندرين")</f>
        <v>الماندرين</v>
      </c>
    </row>
    <row r="3915" ht="15.75" customHeight="1">
      <c r="A3915" s="1" t="s">
        <v>4544</v>
      </c>
      <c r="B3915" s="1" t="s">
        <v>4545</v>
      </c>
      <c r="C3915" s="2" t="s">
        <v>4546</v>
      </c>
      <c r="D3915" s="1" t="str">
        <f>IFERROR(__xludf.DUMMYFUNCTION("GOOGLETRANSLATE(A3915 , ""auto"", ""ar"")"),"مانجو")</f>
        <v>مانجو</v>
      </c>
    </row>
    <row r="3916" ht="15.75" customHeight="1">
      <c r="A3916" s="1" t="s">
        <v>4547</v>
      </c>
      <c r="B3916" s="1" t="s">
        <v>4548</v>
      </c>
      <c r="C3916" s="2" t="s">
        <v>4549</v>
      </c>
      <c r="D3916" s="1" t="str">
        <f>IFERROR(__xludf.DUMMYFUNCTION("GOOGLETRANSLATE(A3916 , ""auto"", ""ar"")"),"طريقة")</f>
        <v>طريقة</v>
      </c>
    </row>
    <row r="3917" ht="15.75" customHeight="1">
      <c r="A3917" s="1" t="s">
        <v>4550</v>
      </c>
      <c r="B3917" s="1" t="s">
        <v>4551</v>
      </c>
      <c r="C3917" s="1"/>
      <c r="D3917" s="1" t="str">
        <f>IFERROR(__xludf.DUMMYFUNCTION("GOOGLETRANSLATE(A3917 , ""auto"", ""ar"")"),"السماد")</f>
        <v>السماد</v>
      </c>
    </row>
    <row r="3918" ht="15.75" customHeight="1">
      <c r="A3918" s="1" t="s">
        <v>4552</v>
      </c>
      <c r="B3918" s="1" t="s">
        <v>4553</v>
      </c>
      <c r="C3918" s="1"/>
      <c r="D3918" s="1" t="str">
        <f>IFERROR(__xludf.DUMMYFUNCTION("GOOGLETRANSLATE(A3918 , ""auto"", ""ar"")"),"خريطة")</f>
        <v>خريطة</v>
      </c>
    </row>
    <row r="3919" ht="15.75" customHeight="1">
      <c r="A3919" s="1" t="s">
        <v>4554</v>
      </c>
      <c r="B3919" s="1" t="s">
        <v>4555</v>
      </c>
      <c r="C3919" s="1"/>
      <c r="D3919" s="1" t="str">
        <f>IFERROR(__xludf.DUMMYFUNCTION("GOOGLETRANSLATE(A3919 , ""auto"", ""ar"")"),"رخام")</f>
        <v>رخام</v>
      </c>
    </row>
    <row r="3920" ht="15.75" customHeight="1">
      <c r="A3920" s="1" t="s">
        <v>4556</v>
      </c>
      <c r="B3920" s="1" t="s">
        <v>4557</v>
      </c>
      <c r="C3920" s="2" t="s">
        <v>4558</v>
      </c>
      <c r="D3920" s="1" t="str">
        <f>IFERROR(__xludf.DUMMYFUNCTION("GOOGLETRANSLATE(A3920 , ""auto"", ""ar"")"),"يمشي")</f>
        <v>يمشي</v>
      </c>
    </row>
    <row r="3921" ht="15.75" customHeight="1">
      <c r="A3921" s="1" t="s">
        <v>4556</v>
      </c>
      <c r="B3921" s="1" t="s">
        <v>4559</v>
      </c>
      <c r="C3921" s="2" t="s">
        <v>4560</v>
      </c>
      <c r="D3921" s="1" t="str">
        <f>IFERROR(__xludf.DUMMYFUNCTION("GOOGLETRANSLATE(A3921 , ""auto"", ""ar"")"),"يمشي")</f>
        <v>يمشي</v>
      </c>
    </row>
    <row r="3922" ht="15.75" customHeight="1">
      <c r="A3922" s="1" t="s">
        <v>4561</v>
      </c>
      <c r="B3922" s="1" t="s">
        <v>4562</v>
      </c>
      <c r="C3922" s="1"/>
      <c r="D3922" s="1" t="str">
        <f>IFERROR(__xludf.DUMMYFUNCTION("GOOGLETRANSLATE(A3922 , ""auto"", ""ar"")"),"كبير")</f>
        <v>كبير</v>
      </c>
    </row>
    <row r="3923" ht="15.75" customHeight="1">
      <c r="A3923" s="1" t="s">
        <v>4563</v>
      </c>
      <c r="B3923" s="1" t="s">
        <v>2261</v>
      </c>
      <c r="C3923" s="2" t="s">
        <v>2262</v>
      </c>
      <c r="D3923" s="1" t="str">
        <f>IFERROR(__xludf.DUMMYFUNCTION("GOOGLETRANSLATE(A3923 , ""auto"", ""ar"")"),"علامة")</f>
        <v>علامة</v>
      </c>
    </row>
    <row r="3924" ht="15.75" customHeight="1">
      <c r="A3924" s="1" t="s">
        <v>4563</v>
      </c>
      <c r="B3924" s="1" t="s">
        <v>3241</v>
      </c>
      <c r="C3924" s="1"/>
      <c r="D3924" s="1" t="str">
        <f>IFERROR(__xludf.DUMMYFUNCTION("GOOGLETRANSLATE(A3924 , ""auto"", ""ar"")"),"علامة")</f>
        <v>علامة</v>
      </c>
    </row>
    <row r="3925" ht="15.75" customHeight="1">
      <c r="A3925" s="1" t="s">
        <v>4564</v>
      </c>
      <c r="B3925" s="1" t="s">
        <v>4565</v>
      </c>
      <c r="C3925" s="2" t="s">
        <v>65</v>
      </c>
      <c r="D3925" s="1" t="str">
        <f>IFERROR(__xludf.DUMMYFUNCTION("GOOGLETRANSLATE(A3925 , ""auto"", ""ar"")"),"علامة")</f>
        <v>علامة</v>
      </c>
    </row>
    <row r="3926" ht="15.75" customHeight="1">
      <c r="A3926" s="1" t="s">
        <v>4566</v>
      </c>
      <c r="B3926" s="1" t="s">
        <v>4567</v>
      </c>
      <c r="C3926" s="2" t="s">
        <v>4568</v>
      </c>
      <c r="D3926" s="1" t="str">
        <f>IFERROR(__xludf.DUMMYFUNCTION("GOOGLETRANSLATE(A3926 , ""auto"", ""ar"")"),"سوق")</f>
        <v>سوق</v>
      </c>
    </row>
    <row r="3927" ht="15.75" customHeight="1">
      <c r="A3927" s="1" t="s">
        <v>4566</v>
      </c>
      <c r="B3927" s="1" t="s">
        <v>4569</v>
      </c>
      <c r="C3927" s="2" t="s">
        <v>4570</v>
      </c>
      <c r="D3927" s="1" t="str">
        <f>IFERROR(__xludf.DUMMYFUNCTION("GOOGLETRANSLATE(A3927 , ""auto"", ""ar"")"),"سوق")</f>
        <v>سوق</v>
      </c>
    </row>
    <row r="3928" ht="15.75" customHeight="1">
      <c r="A3928" s="1" t="s">
        <v>4571</v>
      </c>
      <c r="B3928" s="1" t="s">
        <v>4572</v>
      </c>
      <c r="C3928" s="2" t="s">
        <v>4573</v>
      </c>
      <c r="D3928" s="1" t="str">
        <f>IFERROR(__xludf.DUMMYFUNCTION("GOOGLETRANSLATE(A3928 , ""auto"", ""ar"")"),"مراكش")</f>
        <v>مراكش</v>
      </c>
    </row>
    <row r="3929" ht="15.75" customHeight="1">
      <c r="A3929" s="1" t="s">
        <v>4574</v>
      </c>
      <c r="B3929" s="1" t="s">
        <v>4575</v>
      </c>
      <c r="C3929" s="2" t="s">
        <v>4576</v>
      </c>
      <c r="D3929" s="1" t="str">
        <f>IFERROR(__xludf.DUMMYFUNCTION("GOOGLETRANSLATE(A3929 , ""auto"", ""ar"")"),"زواج")</f>
        <v>زواج</v>
      </c>
    </row>
    <row r="3930" ht="15.75" customHeight="1">
      <c r="A3930" s="1" t="s">
        <v>4577</v>
      </c>
      <c r="B3930" s="1" t="s">
        <v>4578</v>
      </c>
      <c r="C3930" s="2" t="s">
        <v>4579</v>
      </c>
      <c r="D3930" s="1" t="str">
        <f>IFERROR(__xludf.DUMMYFUNCTION("GOOGLETRANSLATE(A3930 , ""auto"", ""ar"")"),"الزواج")</f>
        <v>الزواج</v>
      </c>
    </row>
    <row r="3931" ht="15.75" customHeight="1">
      <c r="A3931" s="1" t="s">
        <v>4580</v>
      </c>
      <c r="B3931" s="1" t="s">
        <v>4581</v>
      </c>
      <c r="C3931" s="2" t="s">
        <v>4582</v>
      </c>
      <c r="D3931" s="1" t="str">
        <f>IFERROR(__xludf.DUMMYFUNCTION("GOOGLETRANSLATE(A3931 , ""auto"", ""ar"")"),"أعجوبة")</f>
        <v>أعجوبة</v>
      </c>
    </row>
    <row r="3932" ht="15.75" customHeight="1">
      <c r="A3932" s="1" t="s">
        <v>4583</v>
      </c>
      <c r="B3932" s="1" t="s">
        <v>1060</v>
      </c>
      <c r="C3932" s="2" t="s">
        <v>4584</v>
      </c>
      <c r="D3932" s="1" t="str">
        <f>IFERROR(__xludf.DUMMYFUNCTION("GOOGLETRANSLATE(A3932 , ""auto"", ""ar"")"),"الماسكارا")</f>
        <v>الماسكارا</v>
      </c>
    </row>
    <row r="3933" ht="15.75" customHeight="1">
      <c r="A3933" s="1" t="s">
        <v>4583</v>
      </c>
      <c r="B3933" s="1" t="s">
        <v>4585</v>
      </c>
      <c r="C3933" s="2" t="s">
        <v>4586</v>
      </c>
      <c r="D3933" s="1" t="str">
        <f>IFERROR(__xludf.DUMMYFUNCTION("GOOGLETRANSLATE(A3933 , ""auto"", ""ar"")"),"الماسكارا")</f>
        <v>الماسكارا</v>
      </c>
    </row>
    <row r="3934" ht="15.75" customHeight="1">
      <c r="A3934" s="1" t="s">
        <v>4587</v>
      </c>
      <c r="B3934" s="1" t="s">
        <v>1075</v>
      </c>
      <c r="C3934" s="1"/>
      <c r="D3934" s="1" t="str">
        <f>IFERROR(__xludf.DUMMYFUNCTION("GOOGLETRANSLATE(A3934 , ""auto"", ""ar"")"),"ميسون")</f>
        <v>ميسون</v>
      </c>
    </row>
    <row r="3935" ht="15.75" customHeight="1">
      <c r="A3935" s="1" t="s">
        <v>4587</v>
      </c>
      <c r="B3935" s="1" t="s">
        <v>1076</v>
      </c>
      <c r="C3935" s="2" t="s">
        <v>1077</v>
      </c>
      <c r="D3935" s="1" t="str">
        <f>IFERROR(__xludf.DUMMYFUNCTION("GOOGLETRANSLATE(A3935 , ""auto"", ""ar"")"),"ميسون")</f>
        <v>ميسون</v>
      </c>
    </row>
    <row r="3936" ht="15.75" customHeight="1">
      <c r="A3936" s="1" t="s">
        <v>4588</v>
      </c>
      <c r="B3936" s="1" t="s">
        <v>4589</v>
      </c>
      <c r="C3936" s="1"/>
      <c r="D3936" s="1" t="str">
        <f>IFERROR(__xludf.DUMMYFUNCTION("GOOGLETRANSLATE(A3936 , ""auto"", ""ar"")"),"مدلك في الحمامات التركية")</f>
        <v>مدلك في الحمامات التركية</v>
      </c>
    </row>
    <row r="3937" ht="15.75" customHeight="1">
      <c r="A3937" s="1" t="s">
        <v>4590</v>
      </c>
      <c r="B3937" s="1" t="s">
        <v>4591</v>
      </c>
      <c r="C3937" s="2" t="s">
        <v>4592</v>
      </c>
      <c r="D3937" s="1" t="str">
        <f>IFERROR(__xludf.DUMMYFUNCTION("GOOGLETRANSLATE(A3937 , ""auto"", ""ar"")"),"مباراة")</f>
        <v>مباراة</v>
      </c>
    </row>
    <row r="3938" ht="15.75" customHeight="1">
      <c r="A3938" s="1" t="s">
        <v>4593</v>
      </c>
      <c r="B3938" s="1" t="s">
        <v>1503</v>
      </c>
      <c r="C3938" s="2" t="s">
        <v>1504</v>
      </c>
      <c r="D3938" s="1" t="str">
        <f>IFERROR(__xludf.DUMMYFUNCTION("GOOGLETRANSLATE(A3938 , ""auto"", ""ar"")"),"مادة")</f>
        <v>مادة</v>
      </c>
    </row>
    <row r="3939" ht="15.75" customHeight="1">
      <c r="A3939" s="1" t="s">
        <v>4594</v>
      </c>
      <c r="B3939" s="1" t="s">
        <v>4595</v>
      </c>
      <c r="C3939" s="1"/>
      <c r="D3939" s="1" t="str">
        <f>IFERROR(__xludf.DUMMYFUNCTION("GOOGLETRANSLATE(A3939 , ""auto"", ""ar"")"),"الرياضيات")</f>
        <v>الرياضيات</v>
      </c>
    </row>
    <row r="3940" ht="15.75" customHeight="1">
      <c r="A3940" s="1" t="s">
        <v>4596</v>
      </c>
      <c r="B3940" s="1" t="s">
        <v>4595</v>
      </c>
      <c r="C3940" s="1"/>
      <c r="D3940" s="1" t="str">
        <f>IFERROR(__xludf.DUMMYFUNCTION("GOOGLETRANSLATE(A3940 , ""auto"", ""ar"")"),"الرياضيات")</f>
        <v>الرياضيات</v>
      </c>
    </row>
    <row r="3941" ht="15.75" customHeight="1">
      <c r="A3941" s="1" t="s">
        <v>4597</v>
      </c>
      <c r="B3941" s="1" t="s">
        <v>4595</v>
      </c>
      <c r="C3941" s="1"/>
      <c r="D3941" s="1" t="str">
        <f>IFERROR(__xludf.DUMMYFUNCTION("GOOGLETRANSLATE(A3941 , ""auto"", ""ar"")"),"رياضيات")</f>
        <v>رياضيات</v>
      </c>
    </row>
    <row r="3942" ht="15.75" customHeight="1">
      <c r="A3942" s="1" t="s">
        <v>4598</v>
      </c>
      <c r="B3942" s="1" t="s">
        <v>4599</v>
      </c>
      <c r="C3942" s="2" t="s">
        <v>4600</v>
      </c>
      <c r="D3942" s="1" t="str">
        <f>IFERROR(__xludf.DUMMYFUNCTION("GOOGLETRANSLATE(A3942 , ""auto"", ""ar"")"),"يمكن")</f>
        <v>يمكن</v>
      </c>
    </row>
    <row r="3943" ht="15.75" customHeight="1">
      <c r="A3943" s="1" t="s">
        <v>4598</v>
      </c>
      <c r="B3943" s="1" t="s">
        <v>4601</v>
      </c>
      <c r="C3943" s="2" t="s">
        <v>4602</v>
      </c>
      <c r="D3943" s="1" t="str">
        <f>IFERROR(__xludf.DUMMYFUNCTION("GOOGLETRANSLATE(A3943 , ""auto"", ""ar"")"),"يمكن")</f>
        <v>يمكن</v>
      </c>
    </row>
    <row r="3944" ht="15.75" customHeight="1">
      <c r="A3944" s="1" t="s">
        <v>4603</v>
      </c>
      <c r="B3944" s="1" t="s">
        <v>4604</v>
      </c>
      <c r="C3944" s="2" t="s">
        <v>4605</v>
      </c>
      <c r="D3944" s="1" t="str">
        <f>IFERROR(__xludf.DUMMYFUNCTION("GOOGLETRANSLATE(A3944 , ""auto"", ""ar"")"),"ربما")</f>
        <v>ربما</v>
      </c>
    </row>
    <row r="3945" ht="15.75" customHeight="1">
      <c r="A3945" s="1" t="s">
        <v>4603</v>
      </c>
      <c r="B3945" s="1" t="s">
        <v>4606</v>
      </c>
      <c r="C3945" s="2" t="s">
        <v>4607</v>
      </c>
      <c r="D3945" s="1" t="str">
        <f>IFERROR(__xludf.DUMMYFUNCTION("GOOGLETRANSLATE(A3945 , ""auto"", ""ar"")"),"ربما")</f>
        <v>ربما</v>
      </c>
    </row>
    <row r="3946" ht="15.75" customHeight="1">
      <c r="A3946" s="1" t="s">
        <v>4603</v>
      </c>
      <c r="B3946" s="1" t="s">
        <v>4608</v>
      </c>
      <c r="C3946" s="1"/>
      <c r="D3946" s="1" t="str">
        <f>IFERROR(__xludf.DUMMYFUNCTION("GOOGLETRANSLATE(A3946 , ""auto"", ""ar"")"),"ربما")</f>
        <v>ربما</v>
      </c>
    </row>
    <row r="3947" ht="15.75" customHeight="1">
      <c r="A3947" s="1" t="s">
        <v>4603</v>
      </c>
      <c r="B3947" s="1" t="s">
        <v>582</v>
      </c>
      <c r="C3947" s="2" t="s">
        <v>583</v>
      </c>
      <c r="D3947" s="1" t="str">
        <f>IFERROR(__xludf.DUMMYFUNCTION("GOOGLETRANSLATE(A3947 , ""auto"", ""ar"")"),"ربما")</f>
        <v>ربما</v>
      </c>
    </row>
    <row r="3948" ht="15.75" customHeight="1">
      <c r="A3948" s="1" t="s">
        <v>4609</v>
      </c>
      <c r="B3948" s="1" t="s">
        <v>4610</v>
      </c>
      <c r="C3948" s="2" t="s">
        <v>4611</v>
      </c>
      <c r="D3948" s="1" t="str">
        <f>IFERROR(__xludf.DUMMYFUNCTION("GOOGLETRANSLATE(A3948 , ""auto"", ""ar"")"),"ماكدونالدز")</f>
        <v>ماكدونالدز</v>
      </c>
    </row>
    <row r="3949" ht="15.75" customHeight="1">
      <c r="A3949" s="1" t="s">
        <v>4612</v>
      </c>
      <c r="B3949" s="1" t="s">
        <v>3730</v>
      </c>
      <c r="C3949" s="2" t="s">
        <v>3731</v>
      </c>
      <c r="D3949" s="1" t="str">
        <f>IFERROR(__xludf.DUMMYFUNCTION("GOOGLETRANSLATE(A3949 , ""auto"", ""ar"")"),"أنا")</f>
        <v>أنا</v>
      </c>
    </row>
    <row r="3950" ht="15.75" customHeight="1">
      <c r="A3950" s="1" t="s">
        <v>4612</v>
      </c>
      <c r="B3950" s="1" t="s">
        <v>4613</v>
      </c>
      <c r="C3950" s="1"/>
      <c r="D3950" s="1" t="str">
        <f>IFERROR(__xludf.DUMMYFUNCTION("GOOGLETRANSLATE(A3950 , ""auto"", ""ar"")"),"أنا")</f>
        <v>أنا</v>
      </c>
    </row>
    <row r="3951" ht="15.75" customHeight="1">
      <c r="A3951" s="1" t="s">
        <v>4614</v>
      </c>
      <c r="B3951" s="1" t="s">
        <v>2106</v>
      </c>
      <c r="C3951" s="2" t="s">
        <v>2107</v>
      </c>
      <c r="D3951" s="1" t="str">
        <f>IFERROR(__xludf.DUMMYFUNCTION("GOOGLETRANSLATE(A3951 , ""auto"", ""ar"")"),"وجبة")</f>
        <v>وجبة</v>
      </c>
    </row>
    <row r="3952" ht="15.75" customHeight="1">
      <c r="A3952" s="1" t="s">
        <v>4615</v>
      </c>
      <c r="B3952" s="1" t="s">
        <v>4616</v>
      </c>
      <c r="C3952" s="2" t="s">
        <v>4617</v>
      </c>
      <c r="D3952" s="1" t="str">
        <f>IFERROR(__xludf.DUMMYFUNCTION("GOOGLETRANSLATE(A3952 , ""auto"", ""ar"")"),"تناول وجبة قبل شروق الشمس خلال رمضان")</f>
        <v>تناول وجبة قبل شروق الشمس خلال رمضان</v>
      </c>
    </row>
    <row r="3953" ht="15.75" customHeight="1">
      <c r="A3953" s="1" t="s">
        <v>4618</v>
      </c>
      <c r="B3953" s="1" t="s">
        <v>4619</v>
      </c>
      <c r="C3953" s="1"/>
      <c r="D3953" s="1" t="str">
        <f>IFERROR(__xludf.DUMMYFUNCTION("GOOGLETRANSLATE(A3953 , ""auto"", ""ar"")"),"معنى")</f>
        <v>معنى</v>
      </c>
    </row>
    <row r="3954" ht="15.75" customHeight="1">
      <c r="A3954" s="1" t="s">
        <v>4620</v>
      </c>
      <c r="B3954" s="1" t="s">
        <v>4621</v>
      </c>
      <c r="C3954" s="2" t="s">
        <v>4622</v>
      </c>
      <c r="D3954" s="1" t="str">
        <f>IFERROR(__xludf.DUMMYFUNCTION("GOOGLETRANSLATE(A3954 , ""auto"", ""ar"")"),"يقيس")</f>
        <v>يقيس</v>
      </c>
    </row>
    <row r="3955" ht="15.75" customHeight="1">
      <c r="A3955" s="1" t="s">
        <v>4620</v>
      </c>
      <c r="B3955" s="1" t="s">
        <v>4623</v>
      </c>
      <c r="C3955" s="2" t="s">
        <v>4624</v>
      </c>
      <c r="D3955" s="1" t="str">
        <f>IFERROR(__xludf.DUMMYFUNCTION("GOOGLETRANSLATE(A3955 , ""auto"", ""ar"")"),"يقيس")</f>
        <v>يقيس</v>
      </c>
    </row>
    <row r="3956" ht="15.75" customHeight="1">
      <c r="A3956" s="1" t="s">
        <v>4625</v>
      </c>
      <c r="B3956" s="1" t="s">
        <v>4626</v>
      </c>
      <c r="C3956" s="2" t="s">
        <v>4627</v>
      </c>
      <c r="D3956" s="1" t="str">
        <f>IFERROR(__xludf.DUMMYFUNCTION("GOOGLETRANSLATE(A3956 , ""auto"", ""ar"")"),"قياس")</f>
        <v>قياس</v>
      </c>
    </row>
    <row r="3957" ht="15.75" customHeight="1">
      <c r="A3957" s="1" t="s">
        <v>4625</v>
      </c>
      <c r="B3957" s="1" t="s">
        <v>4628</v>
      </c>
      <c r="C3957" s="2" t="s">
        <v>4629</v>
      </c>
      <c r="D3957" s="1" t="str">
        <f>IFERROR(__xludf.DUMMYFUNCTION("GOOGLETRANSLATE(A3957 , ""auto"", ""ar"")"),"قياس")</f>
        <v>قياس</v>
      </c>
    </row>
    <row r="3958" ht="15.75" customHeight="1">
      <c r="A3958" s="1" t="s">
        <v>4630</v>
      </c>
      <c r="B3958" s="1" t="s">
        <v>2792</v>
      </c>
      <c r="C3958" s="2" t="s">
        <v>2793</v>
      </c>
      <c r="D3958" s="1" t="str">
        <f>IFERROR(__xludf.DUMMYFUNCTION("GOOGLETRANSLATE(A3958 , ""auto"", ""ar"")"),"لحمة")</f>
        <v>لحمة</v>
      </c>
    </row>
    <row r="3959" ht="15.75" customHeight="1">
      <c r="A3959" s="1" t="s">
        <v>4631</v>
      </c>
      <c r="B3959" s="1" t="s">
        <v>4632</v>
      </c>
      <c r="C3959" s="2" t="s">
        <v>4633</v>
      </c>
      <c r="D3959" s="1" t="str">
        <f>IFERROR(__xludf.DUMMYFUNCTION("GOOGLETRANSLATE(A3959 , ""auto"", ""ar"")"),"ميكانيكي")</f>
        <v>ميكانيكي</v>
      </c>
    </row>
    <row r="3960" ht="15.75" customHeight="1">
      <c r="A3960" s="1" t="s">
        <v>4631</v>
      </c>
      <c r="B3960" s="1" t="s">
        <v>4634</v>
      </c>
      <c r="C3960" s="1"/>
      <c r="D3960" s="1" t="str">
        <f>IFERROR(__xludf.DUMMYFUNCTION("GOOGLETRANSLATE(A3960 , ""auto"", ""ar"")"),"ميكانيكي")</f>
        <v>ميكانيكي</v>
      </c>
    </row>
    <row r="3961" ht="15.75" customHeight="1">
      <c r="A3961" s="1" t="s">
        <v>4635</v>
      </c>
      <c r="B3961" s="1" t="s">
        <v>2518</v>
      </c>
      <c r="C3961" s="1"/>
      <c r="D3961" s="1" t="str">
        <f>IFERROR(__xludf.DUMMYFUNCTION("GOOGLETRANSLATE(A3961 , ""auto"", ""ar"")"),"الحفار الميكانيكي")</f>
        <v>الحفار الميكانيكي</v>
      </c>
    </row>
    <row r="3962" ht="15.75" customHeight="1">
      <c r="A3962" s="1" t="s">
        <v>4636</v>
      </c>
      <c r="B3962" s="1" t="s">
        <v>4637</v>
      </c>
      <c r="C3962" s="2" t="s">
        <v>4638</v>
      </c>
      <c r="D3962" s="1" t="str">
        <f>IFERROR(__xludf.DUMMYFUNCTION("GOOGLETRANSLATE(A3962 , ""auto"", ""ar"")"),"الدواء")</f>
        <v>الدواء</v>
      </c>
    </row>
    <row r="3963" ht="15.75" customHeight="1">
      <c r="A3963" s="1" t="s">
        <v>4639</v>
      </c>
      <c r="B3963" s="1" t="s">
        <v>460</v>
      </c>
      <c r="C3963" s="2" t="s">
        <v>461</v>
      </c>
      <c r="D3963" s="1" t="str">
        <f>IFERROR(__xludf.DUMMYFUNCTION("GOOGLETRANSLATE(A3963 , ""auto"", ""ar"")"),"واسطة")</f>
        <v>واسطة</v>
      </c>
    </row>
    <row r="3964" ht="15.75" customHeight="1">
      <c r="A3964" s="1" t="s">
        <v>4640</v>
      </c>
      <c r="B3964" s="1" t="s">
        <v>4641</v>
      </c>
      <c r="C3964" s="2" t="s">
        <v>4642</v>
      </c>
      <c r="D3964" s="1" t="str">
        <f>IFERROR(__xludf.DUMMYFUNCTION("GOOGLETRANSLATE(A3964 , ""auto"", ""ar"")"),"يقابل")</f>
        <v>يقابل</v>
      </c>
    </row>
    <row r="3965" ht="15.75" customHeight="1">
      <c r="A3965" s="1" t="s">
        <v>4643</v>
      </c>
      <c r="B3965" s="1" t="s">
        <v>4644</v>
      </c>
      <c r="C3965" s="2" t="s">
        <v>4645</v>
      </c>
      <c r="D3965" s="1" t="str">
        <f>IFERROR(__xludf.DUMMYFUNCTION("GOOGLETRANSLATE(A3965 , ""auto"", ""ar"")"),"مقابلة")</f>
        <v>مقابلة</v>
      </c>
    </row>
    <row r="3966" ht="15.75" customHeight="1">
      <c r="A3966" s="1" t="s">
        <v>4646</v>
      </c>
      <c r="B3966" s="1" t="s">
        <v>4647</v>
      </c>
      <c r="C3966" s="1"/>
      <c r="D3966" s="1" t="str">
        <f>IFERROR(__xludf.DUMMYFUNCTION("GOOGLETRANSLATE(A3966 , ""auto"", ""ar"")"),"شمام")</f>
        <v>شمام</v>
      </c>
    </row>
    <row r="3967" ht="15.75" customHeight="1">
      <c r="A3967" s="1" t="s">
        <v>4646</v>
      </c>
      <c r="B3967" s="1" t="s">
        <v>4648</v>
      </c>
      <c r="C3967" s="1"/>
      <c r="D3967" s="1" t="str">
        <f>IFERROR(__xludf.DUMMYFUNCTION("GOOGLETRANSLATE(A3967 , ""auto"", ""ar"")"),"شمام")</f>
        <v>شمام</v>
      </c>
    </row>
    <row r="3968" ht="15.75" customHeight="1">
      <c r="A3968" s="1" t="s">
        <v>4649</v>
      </c>
      <c r="B3968" s="1" t="s">
        <v>1978</v>
      </c>
      <c r="C3968" s="2" t="s">
        <v>1979</v>
      </c>
      <c r="D3968" s="1" t="str">
        <f>IFERROR(__xludf.DUMMYFUNCTION("GOOGLETRANSLATE(A3968 , ""auto"", ""ar"")"),"إنصهار")</f>
        <v>إنصهار</v>
      </c>
    </row>
    <row r="3969" ht="15.75" customHeight="1">
      <c r="A3969" s="1" t="s">
        <v>4649</v>
      </c>
      <c r="B3969" s="1" t="s">
        <v>1978</v>
      </c>
      <c r="C3969" s="2" t="s">
        <v>1979</v>
      </c>
      <c r="D3969" s="1" t="str">
        <f>IFERROR(__xludf.DUMMYFUNCTION("GOOGLETRANSLATE(A3969 , ""auto"", ""ar"")"),"إنصهار")</f>
        <v>إنصهار</v>
      </c>
    </row>
    <row r="3970" ht="15.75" customHeight="1">
      <c r="A3970" s="1" t="s">
        <v>4650</v>
      </c>
      <c r="B3970" s="1" t="s">
        <v>4651</v>
      </c>
      <c r="C3970" s="2" t="s">
        <v>4652</v>
      </c>
      <c r="D3970" s="1" t="str">
        <f>IFERROR(__xludf.DUMMYFUNCTION("GOOGLETRANSLATE(A3970 , ""auto"", ""ar"")"),"ذاب")</f>
        <v>ذاب</v>
      </c>
    </row>
    <row r="3971" ht="15.75" customHeight="1">
      <c r="A3971" s="1" t="s">
        <v>4653</v>
      </c>
      <c r="B3971" s="1" t="s">
        <v>4654</v>
      </c>
      <c r="C3971" s="2" t="s">
        <v>4655</v>
      </c>
      <c r="D3971" s="1" t="str">
        <f>IFERROR(__xludf.DUMMYFUNCTION("GOOGLETRANSLATE(A3971 , ""auto"", ""ar"")"),"ذاكرة")</f>
        <v>ذاكرة</v>
      </c>
    </row>
    <row r="3972" ht="15.75" customHeight="1">
      <c r="A3972" s="1" t="s">
        <v>4656</v>
      </c>
      <c r="B3972" s="1" t="s">
        <v>4657</v>
      </c>
      <c r="C3972" s="2" t="s">
        <v>4658</v>
      </c>
      <c r="D3972" s="1" t="str">
        <f>IFERROR(__xludf.DUMMYFUNCTION("GOOGLETRANSLATE(A3972 , ""auto"", ""ar"")"),"عقلية")</f>
        <v>عقلية</v>
      </c>
    </row>
    <row r="3973" ht="15.75" customHeight="1">
      <c r="A3973" s="1" t="s">
        <v>4659</v>
      </c>
      <c r="B3973" s="1" t="s">
        <v>4660</v>
      </c>
      <c r="C3973" s="2" t="s">
        <v>4661</v>
      </c>
      <c r="D3973" s="1" t="str">
        <f>IFERROR(__xludf.DUMMYFUNCTION("GOOGLETRANSLATE(A3973 , ""auto"", ""ar"")"),"قائمة طعام")</f>
        <v>قائمة طعام</v>
      </c>
    </row>
    <row r="3974" ht="15.75" customHeight="1">
      <c r="A3974" s="1" t="s">
        <v>4662</v>
      </c>
      <c r="B3974" s="1" t="s">
        <v>4663</v>
      </c>
      <c r="C3974" s="2" t="s">
        <v>4664</v>
      </c>
      <c r="D3974" s="1" t="str">
        <f>IFERROR(__xludf.DUMMYFUNCTION("GOOGLETRANSLATE(A3974 , ""auto"", ""ar"")"),"رحيم")</f>
        <v>رحيم</v>
      </c>
    </row>
    <row r="3975" ht="15.75" customHeight="1">
      <c r="A3975" s="1" t="s">
        <v>4665</v>
      </c>
      <c r="B3975" s="1" t="s">
        <v>4666</v>
      </c>
      <c r="C3975" s="2" t="s">
        <v>4667</v>
      </c>
      <c r="D3975" s="1" t="str">
        <f>IFERROR(__xludf.DUMMYFUNCTION("GOOGLETRANSLATE(A3975 , ""auto"", ""ar"")"),"رسالة")</f>
        <v>رسالة</v>
      </c>
    </row>
    <row r="3976" ht="15.75" customHeight="1">
      <c r="A3976" s="1" t="s">
        <v>4668</v>
      </c>
      <c r="B3976" s="1" t="s">
        <v>4669</v>
      </c>
      <c r="C3976" s="2" t="s">
        <v>4670</v>
      </c>
      <c r="D3976" s="1" t="str">
        <f>IFERROR(__xludf.DUMMYFUNCTION("GOOGLETRANSLATE(A3976 , ""auto"", ""ar"")"),"المسيح")</f>
        <v>المسيح</v>
      </c>
    </row>
    <row r="3977" ht="15.75" customHeight="1">
      <c r="A3977" s="1" t="s">
        <v>4671</v>
      </c>
      <c r="B3977" s="1" t="s">
        <v>748</v>
      </c>
      <c r="C3977" s="2" t="s">
        <v>749</v>
      </c>
      <c r="D3977" s="1" t="str">
        <f>IFERROR(__xludf.DUMMYFUNCTION("GOOGLETRANSLATE(A3977 , ""auto"", ""ar"")"),"فوضوي")</f>
        <v>فوضوي</v>
      </c>
    </row>
    <row r="3978" ht="15.75" customHeight="1">
      <c r="A3978" s="1" t="s">
        <v>4672</v>
      </c>
      <c r="B3978" s="1" t="s">
        <v>4673</v>
      </c>
      <c r="C3978" s="1"/>
      <c r="D3978" s="1" t="str">
        <f>IFERROR(__xludf.DUMMYFUNCTION("GOOGLETRANSLATE(A3978 , ""auto"", ""ar"")"),"معدن")</f>
        <v>معدن</v>
      </c>
    </row>
    <row r="3979" ht="15.75" customHeight="1">
      <c r="A3979" s="1" t="s">
        <v>4674</v>
      </c>
      <c r="B3979" s="1" t="s">
        <v>4675</v>
      </c>
      <c r="C3979" s="2" t="s">
        <v>4676</v>
      </c>
      <c r="D3979" s="1" t="str">
        <f>IFERROR(__xludf.DUMMYFUNCTION("GOOGLETRANSLATE(A3979 , ""auto"", ""ar"")"),"الأرصاد الجوية")</f>
        <v>الأرصاد الجوية</v>
      </c>
    </row>
    <row r="3980" ht="15.75" customHeight="1">
      <c r="A3980" s="1" t="s">
        <v>4677</v>
      </c>
      <c r="B3980" s="1" t="s">
        <v>4678</v>
      </c>
      <c r="C3980" s="2" t="s">
        <v>4679</v>
      </c>
      <c r="D3980" s="1" t="str">
        <f>IFERROR(__xludf.DUMMYFUNCTION("GOOGLETRANSLATE(A3980 , ""auto"", ""ar"")"),"متر")</f>
        <v>متر</v>
      </c>
    </row>
    <row r="3981" ht="15.75" customHeight="1">
      <c r="A3981" s="1" t="s">
        <v>4677</v>
      </c>
      <c r="B3981" s="1" t="s">
        <v>186</v>
      </c>
      <c r="C3981" s="2" t="s">
        <v>4680</v>
      </c>
      <c r="D3981" s="1" t="str">
        <f>IFERROR(__xludf.DUMMYFUNCTION("GOOGLETRANSLATE(A3981 , ""auto"", ""ar"")"),"متر")</f>
        <v>متر</v>
      </c>
    </row>
    <row r="3982" ht="15.75" customHeight="1">
      <c r="A3982" s="1" t="s">
        <v>4681</v>
      </c>
      <c r="B3982" s="1" t="s">
        <v>4682</v>
      </c>
      <c r="C3982" s="1"/>
      <c r="D3982" s="1" t="str">
        <f>IFERROR(__xludf.DUMMYFUNCTION("GOOGLETRANSLATE(A3982 , ""auto"", ""ar"")"),"طريقة")</f>
        <v>طريقة</v>
      </c>
    </row>
    <row r="3983" ht="15.75" customHeight="1">
      <c r="A3983" s="1" t="s">
        <v>4683</v>
      </c>
      <c r="B3983" s="1" t="s">
        <v>4684</v>
      </c>
      <c r="C3983" s="2" t="s">
        <v>4685</v>
      </c>
      <c r="D3983" s="1" t="str">
        <f>IFERROR(__xludf.DUMMYFUNCTION("GOOGLETRANSLATE(A3983 , ""auto"", ""ar"")"),"متر")</f>
        <v>متر</v>
      </c>
    </row>
    <row r="3984" ht="15.75" customHeight="1">
      <c r="A3984" s="1" t="s">
        <v>4683</v>
      </c>
      <c r="B3984" s="1" t="s">
        <v>4686</v>
      </c>
      <c r="C3984" s="1"/>
      <c r="D3984" s="1" t="str">
        <f>IFERROR(__xludf.DUMMYFUNCTION("GOOGLETRANSLATE(A3984 , ""auto"", ""ar"")"),"متر")</f>
        <v>متر</v>
      </c>
    </row>
    <row r="3985" ht="15.75" customHeight="1">
      <c r="A3985" s="1" t="s">
        <v>4687</v>
      </c>
      <c r="B3985" s="1" t="s">
        <v>4688</v>
      </c>
      <c r="C3985" s="2" t="s">
        <v>4689</v>
      </c>
      <c r="D3985" s="1" t="str">
        <f>IFERROR(__xludf.DUMMYFUNCTION("GOOGLETRANSLATE(A3985 , ""auto"", ""ar"")"),"ميكروفون")</f>
        <v>ميكروفون</v>
      </c>
    </row>
    <row r="3986" ht="15.75" customHeight="1">
      <c r="A3986" s="1" t="s">
        <v>4690</v>
      </c>
      <c r="B3986" s="1" t="s">
        <v>3054</v>
      </c>
      <c r="C3986" s="2" t="s">
        <v>3055</v>
      </c>
      <c r="D3986" s="1" t="str">
        <f>IFERROR(__xludf.DUMMYFUNCTION("GOOGLETRANSLATE(A3986 , ""auto"", ""ar"")"),"ميكروب")</f>
        <v>ميكروب</v>
      </c>
    </row>
    <row r="3987" ht="15.75" customHeight="1">
      <c r="A3987" s="1" t="s">
        <v>4691</v>
      </c>
      <c r="B3987" s="1" t="s">
        <v>4688</v>
      </c>
      <c r="C3987" s="1"/>
      <c r="D3987" s="1" t="str">
        <f>IFERROR(__xludf.DUMMYFUNCTION("GOOGLETRANSLATE(A3987 , ""auto"", ""ar"")"),"ميكروفون")</f>
        <v>ميكروفون</v>
      </c>
    </row>
    <row r="3988" ht="15.75" customHeight="1">
      <c r="A3988" s="1" t="s">
        <v>4692</v>
      </c>
      <c r="B3988" s="1" t="s">
        <v>4693</v>
      </c>
      <c r="C3988" s="2" t="s">
        <v>4694</v>
      </c>
      <c r="D3988" s="1" t="str">
        <f>IFERROR(__xludf.DUMMYFUNCTION("GOOGLETRANSLATE(A3988 , ""auto"", ""ar"")"),"الميكروويف")</f>
        <v>الميكروويف</v>
      </c>
    </row>
    <row r="3989" ht="15.75" customHeight="1">
      <c r="A3989" s="1" t="s">
        <v>4695</v>
      </c>
      <c r="B3989" s="1" t="s">
        <v>4693</v>
      </c>
      <c r="C3989" s="2" t="s">
        <v>4694</v>
      </c>
      <c r="D3989" s="1" t="str">
        <f>IFERROR(__xludf.DUMMYFUNCTION("GOOGLETRANSLATE(A3989 , ""auto"", ""ar"")"),"فرن المايكرويف")</f>
        <v>فرن المايكرويف</v>
      </c>
    </row>
    <row r="3990" ht="15.75" customHeight="1">
      <c r="A3990" s="1" t="s">
        <v>4696</v>
      </c>
      <c r="B3990" s="1" t="s">
        <v>4697</v>
      </c>
      <c r="C3990" s="2" t="s">
        <v>4698</v>
      </c>
      <c r="D3990" s="1" t="str">
        <f>IFERROR(__xludf.DUMMYFUNCTION("GOOGLETRANSLATE(A3990 , ""auto"", ""ar"")"),"واحد")</f>
        <v>واحد</v>
      </c>
    </row>
    <row r="3991" ht="15.75" customHeight="1">
      <c r="A3991" s="1" t="s">
        <v>4699</v>
      </c>
      <c r="B3991" s="1" t="s">
        <v>1302</v>
      </c>
      <c r="C3991" s="1"/>
      <c r="D3991" s="1" t="str">
        <f>IFERROR(__xludf.DUMMYFUNCTION("GOOGLETRANSLATE(A3991 , ""auto"", ""ar"")"),"وسط")</f>
        <v>وسط</v>
      </c>
    </row>
    <row r="3992" ht="15.75" customHeight="1">
      <c r="A3992" s="1" t="s">
        <v>4699</v>
      </c>
      <c r="B3992" s="1" t="s">
        <v>1303</v>
      </c>
      <c r="C3992" s="2" t="s">
        <v>1304</v>
      </c>
      <c r="D3992" s="1" t="str">
        <f>IFERROR(__xludf.DUMMYFUNCTION("GOOGLETRANSLATE(A3992 , ""auto"", ""ar"")"),"وسط")</f>
        <v>وسط</v>
      </c>
    </row>
    <row r="3993" ht="15.75" customHeight="1">
      <c r="A3993" s="1" t="s">
        <v>4700</v>
      </c>
      <c r="B3993" s="1" t="s">
        <v>4701</v>
      </c>
      <c r="C3993" s="1"/>
      <c r="D3993" s="1" t="str">
        <f>IFERROR(__xludf.DUMMYFUNCTION("GOOGLETRANSLATE(A3993 , ""auto"", ""ar"")"),"الطفل الأوسط")</f>
        <v>الطفل الأوسط</v>
      </c>
    </row>
    <row r="3994" ht="15.75" customHeight="1">
      <c r="A3994" s="1" t="s">
        <v>4702</v>
      </c>
      <c r="B3994" s="1" t="s">
        <v>3145</v>
      </c>
      <c r="C3994" s="1"/>
      <c r="D3994" s="1" t="str">
        <f>IFERROR(__xludf.DUMMYFUNCTION("GOOGLETRANSLATE(A3994 , ""auto"", ""ar"")"),"ميدج")</f>
        <v>ميدج</v>
      </c>
    </row>
    <row r="3995" ht="15.75" customHeight="1">
      <c r="A3995" s="1" t="s">
        <v>4703</v>
      </c>
      <c r="B3995" s="1" t="s">
        <v>4704</v>
      </c>
      <c r="C3995" s="1"/>
      <c r="D3995" s="1" t="str">
        <f>IFERROR(__xludf.DUMMYFUNCTION("GOOGLETRANSLATE(A3995 , ""auto"", ""ar"")"),"منتصف الليل")</f>
        <v>منتصف الليل</v>
      </c>
    </row>
    <row r="3996" ht="15.75" customHeight="1">
      <c r="A3996" s="1" t="s">
        <v>4705</v>
      </c>
      <c r="B3996" s="1" t="s">
        <v>4706</v>
      </c>
      <c r="C3996" s="2" t="s">
        <v>4707</v>
      </c>
      <c r="D3996" s="1" t="str">
        <f>IFERROR(__xludf.DUMMYFUNCTION("GOOGLETRANSLATE(A3996 , ""auto"", ""ar"")"),"قابلة")</f>
        <v>قابلة</v>
      </c>
    </row>
    <row r="3997" ht="15.75" customHeight="1">
      <c r="A3997" s="1" t="s">
        <v>4708</v>
      </c>
      <c r="B3997" s="1" t="s">
        <v>3660</v>
      </c>
      <c r="C3997" s="2" t="s">
        <v>4709</v>
      </c>
      <c r="D3997" s="1" t="str">
        <f>IFERROR(__xludf.DUMMYFUNCTION("GOOGLETRANSLATE(A3997 , ""auto"", ""ar"")"),"لبن")</f>
        <v>لبن</v>
      </c>
    </row>
    <row r="3998" ht="15.75" customHeight="1">
      <c r="A3998" s="1" t="s">
        <v>4710</v>
      </c>
      <c r="B3998" s="1" t="s">
        <v>4711</v>
      </c>
      <c r="C3998" s="1"/>
      <c r="D3998" s="1" t="str">
        <f>IFERROR(__xludf.DUMMYFUNCTION("GOOGLETRANSLATE(A3998 , ""auto"", ""ar"")"),"مطحنة")</f>
        <v>مطحنة</v>
      </c>
    </row>
    <row r="3999" ht="15.75" customHeight="1">
      <c r="A3999" s="1" t="s">
        <v>4712</v>
      </c>
      <c r="B3999" s="1" t="s">
        <v>4713</v>
      </c>
      <c r="C3999" s="2" t="s">
        <v>4714</v>
      </c>
      <c r="D3999" s="1" t="str">
        <f>IFERROR(__xludf.DUMMYFUNCTION("GOOGLETRANSLATE(A3999 , ""auto"", ""ar"")"),"مليون")</f>
        <v>مليون</v>
      </c>
    </row>
    <row r="4000" ht="15.75" customHeight="1">
      <c r="A4000" s="1" t="s">
        <v>4715</v>
      </c>
      <c r="B4000" s="1" t="s">
        <v>3318</v>
      </c>
      <c r="C4000" s="2" t="s">
        <v>3319</v>
      </c>
      <c r="D4000" s="1" t="str">
        <f>IFERROR(__xludf.DUMMYFUNCTION("GOOGLETRANSLATE(A4000 , ""auto"", ""ar"")"),"اللحم المفروم")</f>
        <v>اللحم المفروم</v>
      </c>
    </row>
    <row r="4001" ht="15.75" customHeight="1">
      <c r="A4001" s="1" t="s">
        <v>4716</v>
      </c>
      <c r="B4001" s="1" t="s">
        <v>4717</v>
      </c>
      <c r="C4001" s="2" t="s">
        <v>4718</v>
      </c>
      <c r="D4001" s="1" t="str">
        <f>IFERROR(__xludf.DUMMYFUNCTION("GOOGLETRANSLATE(A4001 , ""auto"", ""ar"")"),"عقل")</f>
        <v>عقل</v>
      </c>
    </row>
    <row r="4002" ht="15.75" customHeight="1">
      <c r="A4002" s="1" t="s">
        <v>4716</v>
      </c>
      <c r="B4002" s="1" t="s">
        <v>3446</v>
      </c>
      <c r="C4002" s="2" t="s">
        <v>3447</v>
      </c>
      <c r="D4002" s="1" t="str">
        <f>IFERROR(__xludf.DUMMYFUNCTION("GOOGLETRANSLATE(A4002 , ""auto"", ""ar"")"),"عقل")</f>
        <v>عقل</v>
      </c>
    </row>
    <row r="4003" ht="15.75" customHeight="1">
      <c r="A4003" s="1" t="s">
        <v>4719</v>
      </c>
      <c r="B4003" s="1" t="s">
        <v>4720</v>
      </c>
      <c r="C4003" s="2" t="s">
        <v>4721</v>
      </c>
      <c r="D4003" s="1" t="str">
        <f>IFERROR(__xludf.DUMMYFUNCTION("GOOGLETRANSLATE(A4003 , ""auto"", ""ar"")"),"وزير")</f>
        <v>وزير</v>
      </c>
    </row>
    <row r="4004" ht="15.75" customHeight="1">
      <c r="A4004" s="1" t="s">
        <v>4722</v>
      </c>
      <c r="B4004" s="1" t="s">
        <v>4723</v>
      </c>
      <c r="C4004" s="2" t="s">
        <v>4724</v>
      </c>
      <c r="D4004" s="1" t="str">
        <f>IFERROR(__xludf.DUMMYFUNCTION("GOOGLETRANSLATE(A4004 , ""auto"", ""ar"")"),"مثل")</f>
        <v>مثل</v>
      </c>
    </row>
    <row r="4005" ht="15.75" customHeight="1">
      <c r="A4005" s="1" t="s">
        <v>4725</v>
      </c>
      <c r="B4005" s="1" t="s">
        <v>4726</v>
      </c>
      <c r="C4005" s="2" t="s">
        <v>4727</v>
      </c>
      <c r="D4005" s="1" t="str">
        <f>IFERROR(__xludf.DUMMYFUNCTION("GOOGLETRANSLATE(A4005 , ""auto"", ""ar"")"),"ناقص")</f>
        <v>ناقص</v>
      </c>
    </row>
    <row r="4006" ht="15.75" customHeight="1">
      <c r="A4006" s="1" t="s">
        <v>4728</v>
      </c>
      <c r="B4006" s="1" t="s">
        <v>4729</v>
      </c>
      <c r="C4006" s="2" t="s">
        <v>4730</v>
      </c>
      <c r="D4006" s="1" t="str">
        <f>IFERROR(__xludf.DUMMYFUNCTION("GOOGLETRANSLATE(A4006 , ""auto"", ""ar"")"),"دقيقة")</f>
        <v>دقيقة</v>
      </c>
    </row>
    <row r="4007" ht="15.75" customHeight="1">
      <c r="A4007" s="1" t="s">
        <v>4731</v>
      </c>
      <c r="B4007" s="1" t="s">
        <v>4732</v>
      </c>
      <c r="C4007" s="2" t="s">
        <v>4733</v>
      </c>
      <c r="D4007" s="1" t="str">
        <f>IFERROR(__xludf.DUMMYFUNCTION("GOOGLETRANSLATE(A4007 , ""auto"", ""ar"")"),"معجزة")</f>
        <v>معجزة</v>
      </c>
    </row>
    <row r="4008" ht="15.75" customHeight="1">
      <c r="A4008" s="1" t="s">
        <v>4731</v>
      </c>
      <c r="B4008" s="1" t="s">
        <v>4734</v>
      </c>
      <c r="C4008" s="1"/>
      <c r="D4008" s="1" t="str">
        <f>IFERROR(__xludf.DUMMYFUNCTION("GOOGLETRANSLATE(A4008 , ""auto"", ""ar"")"),"معجزة")</f>
        <v>معجزة</v>
      </c>
    </row>
    <row r="4009" ht="15.75" customHeight="1">
      <c r="A4009" s="1" t="s">
        <v>4735</v>
      </c>
      <c r="B4009" s="1" t="s">
        <v>4736</v>
      </c>
      <c r="C4009" s="2" t="s">
        <v>4737</v>
      </c>
      <c r="D4009" s="1" t="str">
        <f>IFERROR(__xludf.DUMMYFUNCTION("GOOGLETRANSLATE(A4009 , ""auto"", ""ar"")"),"مرآة")</f>
        <v>مرآة</v>
      </c>
    </row>
    <row r="4010" ht="15.75" customHeight="1">
      <c r="A4010" s="1" t="s">
        <v>4738</v>
      </c>
      <c r="B4010" s="1" t="s">
        <v>4739</v>
      </c>
      <c r="C4010" s="2" t="s">
        <v>65</v>
      </c>
      <c r="D4010" s="1" t="str">
        <f>IFERROR(__xludf.DUMMYFUNCTION("GOOGLETRANSLATE(A4010 , ""auto"", ""ar"")"),"بخيل")</f>
        <v>بخيل</v>
      </c>
    </row>
    <row r="4011" ht="15.75" customHeight="1">
      <c r="A4011" s="1" t="s">
        <v>4740</v>
      </c>
      <c r="B4011" s="1" t="s">
        <v>4741</v>
      </c>
      <c r="C4011" s="2" t="s">
        <v>4742</v>
      </c>
      <c r="D4011" s="1" t="str">
        <f>IFERROR(__xludf.DUMMYFUNCTION("GOOGLETRANSLATE(A4011 , ""auto"", ""ar"")"),"يفتقد")</f>
        <v>يفتقد</v>
      </c>
    </row>
    <row r="4012" ht="15.75" customHeight="1">
      <c r="A4012" s="1" t="s">
        <v>4743</v>
      </c>
      <c r="B4012" s="1" t="s">
        <v>2460</v>
      </c>
      <c r="C4012" s="1"/>
      <c r="D4012" s="1" t="str">
        <f>IFERROR(__xludf.DUMMYFUNCTION("GOOGLETRANSLATE(A4012 , ""auto"", ""ar"")"),"خطأ")</f>
        <v>خطأ</v>
      </c>
    </row>
    <row r="4013" ht="15.75" customHeight="1">
      <c r="A4013" s="1" t="s">
        <v>4743</v>
      </c>
      <c r="B4013" s="1" t="s">
        <v>2461</v>
      </c>
      <c r="C4013" s="1"/>
      <c r="D4013" s="1" t="str">
        <f>IFERROR(__xludf.DUMMYFUNCTION("GOOGLETRANSLATE(A4013 , ""auto"", ""ar"")"),"خطأ")</f>
        <v>خطأ</v>
      </c>
    </row>
    <row r="4014" ht="15.75" customHeight="1">
      <c r="A4014" s="1" t="s">
        <v>4743</v>
      </c>
      <c r="B4014" s="1" t="s">
        <v>2462</v>
      </c>
      <c r="C4014" s="1"/>
      <c r="D4014" s="1" t="str">
        <f>IFERROR(__xludf.DUMMYFUNCTION("GOOGLETRANSLATE(A4014 , ""auto"", ""ar"")"),"خطأ")</f>
        <v>خطأ</v>
      </c>
    </row>
    <row r="4015" ht="15.75" customHeight="1">
      <c r="A4015" s="1" t="s">
        <v>4744</v>
      </c>
      <c r="B4015" s="1" t="s">
        <v>4745</v>
      </c>
      <c r="C4015" s="2" t="s">
        <v>4746</v>
      </c>
      <c r="D4015" s="1" t="str">
        <f>IFERROR(__xludf.DUMMYFUNCTION("GOOGLETRANSLATE(A4015 , ""auto"", ""ar"")"),"مزج")</f>
        <v>مزج</v>
      </c>
    </row>
    <row r="4016" ht="15.75" customHeight="1">
      <c r="A4016" s="1" t="s">
        <v>4744</v>
      </c>
      <c r="B4016" s="1" t="s">
        <v>3508</v>
      </c>
      <c r="C4016" s="2" t="s">
        <v>3509</v>
      </c>
      <c r="D4016" s="1" t="str">
        <f>IFERROR(__xludf.DUMMYFUNCTION("GOOGLETRANSLATE(A4016 , ""auto"", ""ar"")"),"مزج")</f>
        <v>مزج</v>
      </c>
    </row>
    <row r="4017" ht="15.75" customHeight="1">
      <c r="A4017" s="1" t="s">
        <v>4747</v>
      </c>
      <c r="B4017" s="1" t="s">
        <v>4748</v>
      </c>
      <c r="C4017" s="2" t="s">
        <v>4749</v>
      </c>
      <c r="D4017" s="1" t="str">
        <f>IFERROR(__xludf.DUMMYFUNCTION("GOOGLETRANSLATE(A4017 , ""auto"", ""ar"")"),"مختلط")</f>
        <v>مختلط</v>
      </c>
    </row>
    <row r="4018" ht="15.75" customHeight="1">
      <c r="A4018" s="1" t="s">
        <v>4750</v>
      </c>
      <c r="B4018" s="1" t="s">
        <v>4751</v>
      </c>
      <c r="C4018" s="2" t="s">
        <v>4752</v>
      </c>
      <c r="D4018" s="1" t="str">
        <f>IFERROR(__xludf.DUMMYFUNCTION("GOOGLETRANSLATE(A4018 , ""auto"", ""ar"")"),"خليط")</f>
        <v>خليط</v>
      </c>
    </row>
    <row r="4019" ht="15.75" customHeight="1">
      <c r="A4019" s="1" t="s">
        <v>4753</v>
      </c>
      <c r="B4019" s="1" t="s">
        <v>1292</v>
      </c>
      <c r="C4019" s="2" t="s">
        <v>1293</v>
      </c>
      <c r="D4019" s="1" t="str">
        <f>IFERROR(__xludf.DUMMYFUNCTION("GOOGLETRANSLATE(A4019 , ""auto"", ""ar"")"),"تليفون محمول")</f>
        <v>تليفون محمول</v>
      </c>
    </row>
    <row r="4020" ht="15.75" customHeight="1">
      <c r="A4020" s="1" t="s">
        <v>4753</v>
      </c>
      <c r="B4020" s="1" t="s">
        <v>1294</v>
      </c>
      <c r="C4020" s="2" t="s">
        <v>1295</v>
      </c>
      <c r="D4020" s="1" t="str">
        <f>IFERROR(__xludf.DUMMYFUNCTION("GOOGLETRANSLATE(A4020 , ""auto"", ""ar"")"),"تليفون محمول")</f>
        <v>تليفون محمول</v>
      </c>
    </row>
    <row r="4021" ht="15.75" customHeight="1">
      <c r="A4021" s="1" t="s">
        <v>4754</v>
      </c>
      <c r="B4021" s="1" t="s">
        <v>4755</v>
      </c>
      <c r="C4021" s="2" t="s">
        <v>4756</v>
      </c>
      <c r="D4021" s="1" t="str">
        <f>IFERROR(__xludf.DUMMYFUNCTION("GOOGLETRANSLATE(A4021 , ""auto"", ""ar"")"),"حديث")</f>
        <v>حديث</v>
      </c>
    </row>
    <row r="4022" ht="15.75" customHeight="1">
      <c r="A4022" s="1" t="s">
        <v>4754</v>
      </c>
      <c r="B4022" s="1" t="s">
        <v>4757</v>
      </c>
      <c r="C4022" s="2" t="s">
        <v>65</v>
      </c>
      <c r="D4022" s="1" t="str">
        <f>IFERROR(__xludf.DUMMYFUNCTION("GOOGLETRANSLATE(A4022 , ""auto"", ""ar"")"),"حديث")</f>
        <v>حديث</v>
      </c>
    </row>
    <row r="4023" ht="15.75" customHeight="1">
      <c r="A4023" s="1" t="s">
        <v>4758</v>
      </c>
      <c r="B4023" s="1" t="s">
        <v>1456</v>
      </c>
      <c r="C4023" s="2" t="s">
        <v>1457</v>
      </c>
      <c r="D4023" s="1" t="str">
        <f>IFERROR(__xludf.DUMMYFUNCTION("GOOGLETRANSLATE(A4023 , ""auto"", ""ar"")"),"العربية المعيارية الحديثة")</f>
        <v>العربية المعيارية الحديثة</v>
      </c>
    </row>
    <row r="4024" ht="15.75" customHeight="1">
      <c r="A4024" s="1" t="s">
        <v>4759</v>
      </c>
      <c r="B4024" s="1" t="s">
        <v>4760</v>
      </c>
      <c r="C4024" s="2" t="s">
        <v>65</v>
      </c>
      <c r="D4024" s="1" t="str">
        <f>IFERROR(__xludf.DUMMYFUNCTION("GOOGLETRANSLATE(A4024 , ""auto"", ""ar"")"),"محتشم")</f>
        <v>محتشم</v>
      </c>
    </row>
    <row r="4025" ht="15.75" customHeight="1">
      <c r="A4025" s="1" t="s">
        <v>4761</v>
      </c>
      <c r="B4025" s="1" t="s">
        <v>1162</v>
      </c>
      <c r="C4025" s="2" t="s">
        <v>4762</v>
      </c>
      <c r="D4025" s="1" t="str">
        <f>IFERROR(__xludf.DUMMYFUNCTION("GOOGLETRANSLATE(A4025 , ""auto"", ""ar"")"),"قالب")</f>
        <v>قالب</v>
      </c>
    </row>
    <row r="4026" ht="15.75" customHeight="1">
      <c r="A4026" s="1" t="s">
        <v>4763</v>
      </c>
      <c r="B4026" s="1" t="s">
        <v>4764</v>
      </c>
      <c r="C4026" s="1"/>
      <c r="D4026" s="1" t="str">
        <f>IFERROR(__xludf.DUMMYFUNCTION("GOOGLETRANSLATE(A4026 , ""auto"", ""ar"")"),"أم")</f>
        <v>أم</v>
      </c>
    </row>
    <row r="4027" ht="15.75" customHeight="1">
      <c r="A4027" s="1" t="s">
        <v>4763</v>
      </c>
      <c r="B4027" s="1" t="s">
        <v>4765</v>
      </c>
      <c r="C4027" s="1"/>
      <c r="D4027" s="1" t="str">
        <f>IFERROR(__xludf.DUMMYFUNCTION("GOOGLETRANSLATE(A4027 , ""auto"", ""ar"")"),"أم")</f>
        <v>أم</v>
      </c>
    </row>
    <row r="4028" ht="15.75" customHeight="1">
      <c r="A4028" s="1" t="s">
        <v>4766</v>
      </c>
      <c r="B4028" s="1" t="s">
        <v>4767</v>
      </c>
      <c r="C4028" s="1"/>
      <c r="D4028" s="1" t="str">
        <f>IFERROR(__xludf.DUMMYFUNCTION("GOOGLETRANSLATE(A4028 , ""auto"", ""ar"")"),"الاثنين")</f>
        <v>الاثنين</v>
      </c>
    </row>
    <row r="4029" ht="15.75" customHeight="1">
      <c r="A4029" s="1" t="s">
        <v>4768</v>
      </c>
      <c r="B4029" s="1" t="s">
        <v>4769</v>
      </c>
      <c r="C4029" s="2" t="s">
        <v>4770</v>
      </c>
      <c r="D4029" s="1" t="str">
        <f>IFERROR(__xludf.DUMMYFUNCTION("GOOGLETRANSLATE(A4029 , ""auto"", ""ar"")"),"مال")</f>
        <v>مال</v>
      </c>
    </row>
    <row r="4030" ht="15.75" customHeight="1">
      <c r="A4030" s="1" t="s">
        <v>4771</v>
      </c>
      <c r="B4030" s="1" t="s">
        <v>4772</v>
      </c>
      <c r="C4030" s="2" t="s">
        <v>4773</v>
      </c>
      <c r="D4030" s="1" t="str">
        <f>IFERROR(__xludf.DUMMYFUNCTION("GOOGLETRANSLATE(A4030 , ""auto"", ""ar"")"),"قرد")</f>
        <v>قرد</v>
      </c>
    </row>
    <row r="4031" ht="15.75" customHeight="1">
      <c r="A4031" s="1" t="s">
        <v>4774</v>
      </c>
      <c r="B4031" s="1" t="s">
        <v>4775</v>
      </c>
      <c r="C4031" s="2" t="s">
        <v>4776</v>
      </c>
      <c r="D4031" s="1" t="str">
        <f>IFERROR(__xludf.DUMMYFUNCTION("GOOGLETRANSLATE(A4031 , ""auto"", ""ar"")"),"شهر")</f>
        <v>شهر</v>
      </c>
    </row>
    <row r="4032" ht="15.75" customHeight="1">
      <c r="A4032" s="1" t="s">
        <v>4777</v>
      </c>
      <c r="B4032" s="1" t="s">
        <v>4778</v>
      </c>
      <c r="C4032" s="2" t="s">
        <v>4779</v>
      </c>
      <c r="D4032" s="1" t="str">
        <f>IFERROR(__xludf.DUMMYFUNCTION("GOOGLETRANSLATE(A4032 , ""auto"", ""ar"")"),"شهريا")</f>
        <v>شهريا</v>
      </c>
    </row>
    <row r="4033" ht="15.75" customHeight="1">
      <c r="A4033" s="1" t="s">
        <v>4780</v>
      </c>
      <c r="B4033" s="1" t="s">
        <v>4781</v>
      </c>
      <c r="C4033" s="1"/>
      <c r="D4033" s="1" t="str">
        <f>IFERROR(__xludf.DUMMYFUNCTION("GOOGLETRANSLATE(A4033 , ""auto"", ""ar"")"),"مزاج")</f>
        <v>مزاج</v>
      </c>
    </row>
    <row r="4034" ht="15.75" customHeight="1">
      <c r="A4034" s="1" t="s">
        <v>4782</v>
      </c>
      <c r="B4034" s="1" t="s">
        <v>4783</v>
      </c>
      <c r="C4034" s="2" t="s">
        <v>4784</v>
      </c>
      <c r="D4034" s="1" t="str">
        <f>IFERROR(__xludf.DUMMYFUNCTION("GOOGLETRANSLATE(A4034 , ""auto"", ""ar"")"),"قمر")</f>
        <v>قمر</v>
      </c>
    </row>
    <row r="4035" ht="15.75" customHeight="1">
      <c r="A4035" s="1" t="s">
        <v>4782</v>
      </c>
      <c r="B4035" s="1" t="s">
        <v>4785</v>
      </c>
      <c r="C4035" s="1"/>
      <c r="D4035" s="1" t="str">
        <f>IFERROR(__xludf.DUMMYFUNCTION("GOOGLETRANSLATE(A4035 , ""auto"", ""ar"")"),"قمر")</f>
        <v>قمر</v>
      </c>
    </row>
    <row r="4036" ht="15.75" customHeight="1">
      <c r="A4036" s="1" t="s">
        <v>4786</v>
      </c>
      <c r="B4036" s="1" t="s">
        <v>4787</v>
      </c>
      <c r="C4036" s="1"/>
      <c r="D4036" s="1" t="str">
        <f>IFERROR(__xludf.DUMMYFUNCTION("GOOGLETRANSLATE(A4036 , ""auto"", ""ar"")"),"أكثر")</f>
        <v>أكثر</v>
      </c>
    </row>
    <row r="4037" ht="15.75" customHeight="1">
      <c r="A4037" s="1" t="s">
        <v>4786</v>
      </c>
      <c r="B4037" s="1" t="s">
        <v>79</v>
      </c>
      <c r="C4037" s="2" t="s">
        <v>80</v>
      </c>
      <c r="D4037" s="1" t="str">
        <f>IFERROR(__xludf.DUMMYFUNCTION("GOOGLETRANSLATE(A4037 , ""auto"", ""ar"")"),"أكثر")</f>
        <v>أكثر</v>
      </c>
    </row>
    <row r="4038" ht="15.75" customHeight="1">
      <c r="A4038" s="1" t="s">
        <v>4788</v>
      </c>
      <c r="B4038" s="1" t="s">
        <v>4789</v>
      </c>
      <c r="C4038" s="2" t="s">
        <v>4790</v>
      </c>
      <c r="D4038" s="1" t="str">
        <f>IFERROR(__xludf.DUMMYFUNCTION("GOOGLETRANSLATE(A4038 , ""auto"", ""ar"")"),"أغلى")</f>
        <v>أغلى</v>
      </c>
    </row>
    <row r="4039" ht="15.75" customHeight="1">
      <c r="A4039" s="1" t="s">
        <v>4791</v>
      </c>
      <c r="B4039" s="1" t="s">
        <v>4792</v>
      </c>
      <c r="C4039" s="2" t="s">
        <v>4793</v>
      </c>
      <c r="D4039" s="1" t="str">
        <f>IFERROR(__xludf.DUMMYFUNCTION("GOOGLETRANSLATE(A4039 , ""auto"", ""ar"")"),"صباح")</f>
        <v>صباح</v>
      </c>
    </row>
    <row r="4040" ht="15.75" customHeight="1">
      <c r="A4040" s="1" t="s">
        <v>4794</v>
      </c>
      <c r="B4040" s="1" t="s">
        <v>4795</v>
      </c>
      <c r="C4040" s="2" t="s">
        <v>4796</v>
      </c>
      <c r="D4040" s="1" t="str">
        <f>IFERROR(__xludf.DUMMYFUNCTION("GOOGLETRANSLATE(A4040 , ""auto"", ""ar"")"),"حفل الصباح")</f>
        <v>حفل الصباح</v>
      </c>
    </row>
    <row r="4041" ht="15.75" customHeight="1">
      <c r="A4041" s="1" t="s">
        <v>4797</v>
      </c>
      <c r="B4041" s="1" t="s">
        <v>4798</v>
      </c>
      <c r="C4041" s="2" t="s">
        <v>4799</v>
      </c>
      <c r="D4041" s="1" t="str">
        <f>IFERROR(__xludf.DUMMYFUNCTION("GOOGLETRANSLATE(A4041 , ""auto"", ""ar"")"),"المغربية")</f>
        <v>المغربية</v>
      </c>
    </row>
    <row r="4042" ht="15.75" customHeight="1">
      <c r="A4042" s="1" t="s">
        <v>4800</v>
      </c>
      <c r="B4042" s="1" t="s">
        <v>4801</v>
      </c>
      <c r="C4042" s="2" t="s">
        <v>4802</v>
      </c>
      <c r="D4042" s="1" t="str">
        <f>IFERROR(__xludf.DUMMYFUNCTION("GOOGLETRANSLATE(A4042 , ""auto"", ""ar"")"),"المغربية العربية")</f>
        <v>المغربية العربية</v>
      </c>
    </row>
    <row r="4043" ht="15.75" customHeight="1">
      <c r="A4043" s="1" t="s">
        <v>4803</v>
      </c>
      <c r="B4043" s="1" t="s">
        <v>4804</v>
      </c>
      <c r="C4043" s="2" t="s">
        <v>4805</v>
      </c>
      <c r="D4043" s="1" t="str">
        <f>IFERROR(__xludf.DUMMYFUNCTION("GOOGLETRANSLATE(A4043 , ""auto"", ""ar"")"),"المغرب")</f>
        <v>المغرب</v>
      </c>
    </row>
    <row r="4044" ht="15.75" customHeight="1">
      <c r="A4044" s="1" t="s">
        <v>4806</v>
      </c>
      <c r="B4044" s="1" t="s">
        <v>4807</v>
      </c>
      <c r="C4044" s="2" t="s">
        <v>4808</v>
      </c>
      <c r="D4044" s="1" t="str">
        <f>IFERROR(__xludf.DUMMYFUNCTION("GOOGLETRANSLATE(A4044 , ""auto"", ""ar"")"),"مسجد")</f>
        <v>مسجد</v>
      </c>
    </row>
    <row r="4045" ht="15.75" customHeight="1">
      <c r="A4045" s="1" t="s">
        <v>4809</v>
      </c>
      <c r="B4045" s="1" t="s">
        <v>4810</v>
      </c>
      <c r="C4045" s="2" t="s">
        <v>4811</v>
      </c>
      <c r="D4045" s="1" t="str">
        <f>IFERROR(__xludf.DUMMYFUNCTION("GOOGLETRANSLATE(A4045 , ""auto"", ""ar"")"),"البعوض")</f>
        <v>البعوض</v>
      </c>
    </row>
    <row r="4046" ht="15.75" customHeight="1">
      <c r="A4046" s="1" t="s">
        <v>4812</v>
      </c>
      <c r="B4046" s="1" t="s">
        <v>4813</v>
      </c>
      <c r="C4046" s="2" t="s">
        <v>4814</v>
      </c>
      <c r="D4046" s="1" t="str">
        <f>IFERROR(__xludf.DUMMYFUNCTION("GOOGLETRANSLATE(A4046 , ""auto"", ""ar"")"),"الأم")</f>
        <v>الأم</v>
      </c>
    </row>
    <row r="4047" ht="15.75" customHeight="1">
      <c r="A4047" s="1" t="s">
        <v>4812</v>
      </c>
      <c r="B4047" s="1" t="s">
        <v>4815</v>
      </c>
      <c r="C4047" s="2" t="s">
        <v>4816</v>
      </c>
      <c r="D4047" s="1" t="str">
        <f>IFERROR(__xludf.DUMMYFUNCTION("GOOGLETRANSLATE(A4047 , ""auto"", ""ar"")"),"الأم")</f>
        <v>الأم</v>
      </c>
    </row>
    <row r="4048" ht="15.75" customHeight="1">
      <c r="A4048" s="1" t="s">
        <v>4812</v>
      </c>
      <c r="B4048" s="1" t="s">
        <v>4817</v>
      </c>
      <c r="C4048" s="1"/>
      <c r="D4048" s="1" t="str">
        <f>IFERROR(__xludf.DUMMYFUNCTION("GOOGLETRANSLATE(A4048 , ""auto"", ""ar"")"),"الأم")</f>
        <v>الأم</v>
      </c>
    </row>
    <row r="4049" ht="15.75" customHeight="1">
      <c r="A4049" s="1" t="s">
        <v>4818</v>
      </c>
      <c r="B4049" s="1" t="s">
        <v>4819</v>
      </c>
      <c r="C4049" s="1"/>
      <c r="D4049" s="1" t="str">
        <f>IFERROR(__xludf.DUMMYFUNCTION("GOOGLETRANSLATE(A4049 , ""auto"", ""ar"")"),"حماة "" أم الزوج أو أم الزوجة")</f>
        <v>حماة " أم الزوج أو أم الزوجة</v>
      </c>
    </row>
    <row r="4050" ht="15.75" customHeight="1">
      <c r="A4050" s="1" t="s">
        <v>4818</v>
      </c>
      <c r="B4050" s="1" t="s">
        <v>4820</v>
      </c>
      <c r="C4050" s="2" t="s">
        <v>4821</v>
      </c>
      <c r="D4050" s="1" t="str">
        <f>IFERROR(__xludf.DUMMYFUNCTION("GOOGLETRANSLATE(A4050 , ""auto"", ""ar"")"),"حماة "" أم الزوج أو أم الزوجة")</f>
        <v>حماة " أم الزوج أو أم الزوجة</v>
      </c>
    </row>
    <row r="4051" ht="15.75" customHeight="1">
      <c r="A4051" s="1" t="s">
        <v>4822</v>
      </c>
      <c r="B4051" s="1" t="s">
        <v>4823</v>
      </c>
      <c r="C4051" s="2" t="s">
        <v>4824</v>
      </c>
      <c r="D4051" s="1" t="str">
        <f>IFERROR(__xludf.DUMMYFUNCTION("GOOGLETRANSLATE(A4051 , ""auto"", ""ar"")"),"دراجات نارية")</f>
        <v>دراجات نارية</v>
      </c>
    </row>
    <row r="4052" ht="15.75" customHeight="1">
      <c r="A4052" s="1" t="s">
        <v>4825</v>
      </c>
      <c r="B4052" s="1" t="s">
        <v>1162</v>
      </c>
      <c r="C4052" s="2" t="s">
        <v>4762</v>
      </c>
      <c r="D4052" s="1" t="str">
        <f>IFERROR(__xludf.DUMMYFUNCTION("GOOGLETRANSLATE(A4052 , ""auto"", ""ar"")"),"قالب")</f>
        <v>قالب</v>
      </c>
    </row>
    <row r="4053" ht="15.75" customHeight="1">
      <c r="A4053" s="1" t="s">
        <v>4826</v>
      </c>
      <c r="B4053" s="1" t="s">
        <v>4827</v>
      </c>
      <c r="C4053" s="2" t="s">
        <v>4828</v>
      </c>
      <c r="D4053" s="1" t="str">
        <f>IFERROR(__xludf.DUMMYFUNCTION("GOOGLETRANSLATE(A4053 , ""auto"", ""ar"")"),"جبل")</f>
        <v>جبل</v>
      </c>
    </row>
    <row r="4054" ht="15.75" customHeight="1">
      <c r="A4054" s="1" t="s">
        <v>4829</v>
      </c>
      <c r="B4054" s="1" t="s">
        <v>4830</v>
      </c>
      <c r="C4054" s="2" t="s">
        <v>4831</v>
      </c>
      <c r="D4054" s="1" t="str">
        <f>IFERROR(__xludf.DUMMYFUNCTION("GOOGLETRANSLATE(A4054 , ""auto"", ""ar"")"),"الفأر")</f>
        <v>الفأر</v>
      </c>
    </row>
    <row r="4055" ht="15.75" customHeight="1">
      <c r="A4055" s="1" t="s">
        <v>4832</v>
      </c>
      <c r="B4055" s="1" t="s">
        <v>4833</v>
      </c>
      <c r="C4055" s="2" t="s">
        <v>4834</v>
      </c>
      <c r="D4055" s="1" t="str">
        <f>IFERROR(__xludf.DUMMYFUNCTION("GOOGLETRANSLATE(A4055 , ""auto"", ""ar"")"),"شارب")</f>
        <v>شارب</v>
      </c>
    </row>
    <row r="4056" ht="15.75" customHeight="1">
      <c r="A4056" s="1" t="s">
        <v>4835</v>
      </c>
      <c r="B4056" s="1" t="s">
        <v>4836</v>
      </c>
      <c r="C4056" s="2" t="s">
        <v>4837</v>
      </c>
      <c r="D4056" s="1" t="str">
        <f>IFERROR(__xludf.DUMMYFUNCTION("GOOGLETRANSLATE(A4056 , ""auto"", ""ar"")"),"فم")</f>
        <v>فم</v>
      </c>
    </row>
    <row r="4057" ht="15.75" customHeight="1">
      <c r="A4057" s="1" t="s">
        <v>4838</v>
      </c>
      <c r="B4057" s="1" t="s">
        <v>4839</v>
      </c>
      <c r="C4057" s="2" t="s">
        <v>4840</v>
      </c>
      <c r="D4057" s="1" t="str">
        <f>IFERROR(__xludf.DUMMYFUNCTION("GOOGLETRANSLATE(A4057 , ""auto"", ""ar"")"),"يتحرك")</f>
        <v>يتحرك</v>
      </c>
    </row>
    <row r="4058" ht="15.75" customHeight="1">
      <c r="A4058" s="1" t="s">
        <v>4838</v>
      </c>
      <c r="B4058" s="1" t="s">
        <v>4841</v>
      </c>
      <c r="C4058" s="2" t="s">
        <v>4842</v>
      </c>
      <c r="D4058" s="1" t="str">
        <f>IFERROR(__xludf.DUMMYFUNCTION("GOOGLETRANSLATE(A4058 , ""auto"", ""ar"")"),"يتحرك")</f>
        <v>يتحرك</v>
      </c>
    </row>
    <row r="4059" ht="15.75" customHeight="1">
      <c r="A4059" s="1" t="s">
        <v>4838</v>
      </c>
      <c r="B4059" s="1" t="s">
        <v>4843</v>
      </c>
      <c r="C4059" s="2" t="s">
        <v>4844</v>
      </c>
      <c r="D4059" s="1" t="str">
        <f>IFERROR(__xludf.DUMMYFUNCTION("GOOGLETRANSLATE(A4059 , ""auto"", ""ar"")"),"يتحرك")</f>
        <v>يتحرك</v>
      </c>
    </row>
    <row r="4060" ht="15.75" customHeight="1">
      <c r="A4060" s="1" t="s">
        <v>4838</v>
      </c>
      <c r="B4060" s="1" t="s">
        <v>4845</v>
      </c>
      <c r="C4060" s="2" t="s">
        <v>4846</v>
      </c>
      <c r="D4060" s="1" t="str">
        <f>IFERROR(__xludf.DUMMYFUNCTION("GOOGLETRANSLATE(A4060 , ""auto"", ""ar"")"),"يتحرك")</f>
        <v>يتحرك</v>
      </c>
    </row>
    <row r="4061" ht="15.75" customHeight="1">
      <c r="A4061" s="1" t="s">
        <v>4847</v>
      </c>
      <c r="B4061" s="1" t="s">
        <v>4848</v>
      </c>
      <c r="C4061" s="2" t="s">
        <v>4849</v>
      </c>
      <c r="D4061" s="1" t="str">
        <f>IFERROR(__xludf.DUMMYFUNCTION("GOOGLETRANSLATE(A4061 , ""auto"", ""ar"")"),"تحرك المنزل")</f>
        <v>تحرك المنزل</v>
      </c>
    </row>
    <row r="4062" ht="15.75" customHeight="1">
      <c r="A4062" s="1" t="s">
        <v>4850</v>
      </c>
      <c r="B4062" s="1" t="s">
        <v>2711</v>
      </c>
      <c r="C4062" s="2" t="s">
        <v>2712</v>
      </c>
      <c r="D4062" s="1" t="str">
        <f>IFERROR(__xludf.DUMMYFUNCTION("GOOGLETRANSLATE(A4062 , ""auto"", ""ar"")"),"فيلم")</f>
        <v>فيلم</v>
      </c>
    </row>
    <row r="4063" ht="15.75" customHeight="1">
      <c r="A4063" s="1" t="s">
        <v>4851</v>
      </c>
      <c r="B4063" s="1" t="s">
        <v>4852</v>
      </c>
      <c r="C4063" s="1"/>
      <c r="D4063" s="1" t="str">
        <f>IFERROR(__xludf.DUMMYFUNCTION("GOOGLETRANSLATE(A4063 , ""auto"", ""ar"")"),"السيد")</f>
        <v>السيد</v>
      </c>
    </row>
    <row r="4064" ht="15.75" customHeight="1">
      <c r="A4064" s="1" t="s">
        <v>4853</v>
      </c>
      <c r="B4064" s="1" t="s">
        <v>4854</v>
      </c>
      <c r="C4064" s="1"/>
      <c r="D4064" s="1" t="str">
        <f>IFERROR(__xludf.DUMMYFUNCTION("GOOGLETRANSLATE(A4064 , ""auto"", ""ar"")"),"السّيدة")</f>
        <v>السّيدة</v>
      </c>
    </row>
    <row r="4065" ht="15.75" customHeight="1">
      <c r="A4065" s="1" t="s">
        <v>4855</v>
      </c>
      <c r="B4065" s="1" t="s">
        <v>4856</v>
      </c>
      <c r="C4065" s="2" t="s">
        <v>4857</v>
      </c>
      <c r="D4065" s="1" t="str">
        <f>IFERROR(__xludf.DUMMYFUNCTION("GOOGLETRANSLATE(A4065 , ""auto"", ""ar"")"),"طين")</f>
        <v>طين</v>
      </c>
    </row>
    <row r="4066" ht="15.75" customHeight="1">
      <c r="A4066" s="1" t="s">
        <v>4858</v>
      </c>
      <c r="B4066" s="1" t="s">
        <v>4859</v>
      </c>
      <c r="C4066" s="2" t="s">
        <v>4860</v>
      </c>
      <c r="D4066" s="1" t="str">
        <f>IFERROR(__xludf.DUMMYFUNCTION("GOOGLETRANSLATE(A4066 , ""auto"", ""ar"")"),"موحلة")</f>
        <v>موحلة</v>
      </c>
    </row>
    <row r="4067" ht="15.75" customHeight="1">
      <c r="A4067" s="1" t="s">
        <v>4861</v>
      </c>
      <c r="B4067" s="1" t="s">
        <v>1851</v>
      </c>
      <c r="C4067" s="2" t="s">
        <v>1852</v>
      </c>
      <c r="D4067" s="1" t="str">
        <f>IFERROR(__xludf.DUMMYFUNCTION("GOOGLETRANSLATE(A4067 , ""auto"", ""ar"")"),"قدح")</f>
        <v>قدح</v>
      </c>
    </row>
    <row r="4068" ht="15.75" customHeight="1">
      <c r="A4068" s="1" t="s">
        <v>4861</v>
      </c>
      <c r="B4068" s="1" t="s">
        <v>549</v>
      </c>
      <c r="C4068" s="2" t="s">
        <v>550</v>
      </c>
      <c r="D4068" s="1" t="str">
        <f>IFERROR(__xludf.DUMMYFUNCTION("GOOGLETRANSLATE(A4068 , ""auto"", ""ar"")"),"قدح")</f>
        <v>قدح</v>
      </c>
    </row>
    <row r="4069" ht="15.75" customHeight="1">
      <c r="A4069" s="1" t="s">
        <v>4861</v>
      </c>
      <c r="B4069" s="1" t="s">
        <v>4028</v>
      </c>
      <c r="C4069" s="2" t="s">
        <v>4029</v>
      </c>
      <c r="D4069" s="1" t="str">
        <f>IFERROR(__xludf.DUMMYFUNCTION("GOOGLETRANSLATE(A4069 , ""auto"", ""ar"")"),"قدح")</f>
        <v>قدح</v>
      </c>
    </row>
    <row r="4070" ht="15.75" customHeight="1">
      <c r="A4070" s="1" t="s">
        <v>4862</v>
      </c>
      <c r="B4070" s="1" t="s">
        <v>4863</v>
      </c>
      <c r="C4070" s="2" t="s">
        <v>4864</v>
      </c>
      <c r="D4070" s="1" t="str">
        <f>IFERROR(__xludf.DUMMYFUNCTION("GOOGLETRANSLATE(A4070 , ""auto"", ""ar"")"),"بغل")</f>
        <v>بغل</v>
      </c>
    </row>
    <row r="4071" ht="15.75" customHeight="1">
      <c r="A4071" s="1" t="s">
        <v>4865</v>
      </c>
      <c r="B4071" s="1" t="s">
        <v>4764</v>
      </c>
      <c r="C4071" s="1"/>
      <c r="D4071" s="1" t="str">
        <f>IFERROR(__xludf.DUMMYFUNCTION("GOOGLETRANSLATE(A4071 , ""auto"", ""ar"")"),"ماما")</f>
        <v>ماما</v>
      </c>
    </row>
    <row r="4072" ht="15.75" customHeight="1">
      <c r="A4072" s="1" t="s">
        <v>4865</v>
      </c>
      <c r="B4072" s="1" t="s">
        <v>4765</v>
      </c>
      <c r="C4072" s="1"/>
      <c r="D4072" s="1" t="str">
        <f>IFERROR(__xludf.DUMMYFUNCTION("GOOGLETRANSLATE(A4072 , ""auto"", ""ar"")"),"ماما")</f>
        <v>ماما</v>
      </c>
    </row>
    <row r="4073" ht="15.75" customHeight="1">
      <c r="A4073" s="1" t="s">
        <v>4866</v>
      </c>
      <c r="B4073" s="1" t="s">
        <v>4867</v>
      </c>
      <c r="C4073" s="2" t="s">
        <v>4868</v>
      </c>
      <c r="D4073" s="1" t="str">
        <f>IFERROR(__xludf.DUMMYFUNCTION("GOOGLETRANSLATE(A4073 , ""auto"", ""ar"")"),"متحف")</f>
        <v>متحف</v>
      </c>
    </row>
    <row r="4074" ht="15.75" customHeight="1">
      <c r="A4074" s="1" t="s">
        <v>4869</v>
      </c>
      <c r="B4074" s="1" t="s">
        <v>4870</v>
      </c>
      <c r="C4074" s="2" t="s">
        <v>4871</v>
      </c>
      <c r="D4074" s="1" t="str">
        <f>IFERROR(__xludf.DUMMYFUNCTION("GOOGLETRANSLATE(A4074 , ""auto"", ""ar"")"),"فطر")</f>
        <v>فطر</v>
      </c>
    </row>
    <row r="4075" ht="15.75" customHeight="1">
      <c r="A4075" s="1" t="s">
        <v>4869</v>
      </c>
      <c r="B4075" s="1" t="s">
        <v>4872</v>
      </c>
      <c r="C4075" s="2" t="s">
        <v>4873</v>
      </c>
      <c r="D4075" s="1" t="str">
        <f>IFERROR(__xludf.DUMMYFUNCTION("GOOGLETRANSLATE(A4075 , ""auto"", ""ar"")"),"فطر")</f>
        <v>فطر</v>
      </c>
    </row>
    <row r="4076" ht="15.75" customHeight="1">
      <c r="A4076" s="1" t="s">
        <v>4874</v>
      </c>
      <c r="B4076" s="1" t="s">
        <v>4875</v>
      </c>
      <c r="C4076" s="2" t="s">
        <v>4876</v>
      </c>
      <c r="D4076" s="1" t="str">
        <f>IFERROR(__xludf.DUMMYFUNCTION("GOOGLETRANSLATE(A4076 , ""auto"", ""ar"")"),"موسيقى")</f>
        <v>موسيقى</v>
      </c>
    </row>
    <row r="4077" ht="15.75" customHeight="1">
      <c r="A4077" s="1" t="s">
        <v>4877</v>
      </c>
      <c r="B4077" s="1" t="s">
        <v>4878</v>
      </c>
      <c r="C4077" s="1"/>
      <c r="D4077" s="1" t="str">
        <f>IFERROR(__xludf.DUMMYFUNCTION("GOOGLETRANSLATE(A4077 , ""auto"", ""ar"")"),"مجموعة الموسيقى")</f>
        <v>مجموعة الموسيقى</v>
      </c>
    </row>
    <row r="4078" ht="15.75" customHeight="1">
      <c r="A4078" s="1" t="s">
        <v>4877</v>
      </c>
      <c r="B4078" s="1" t="s">
        <v>4879</v>
      </c>
      <c r="C4078" s="1"/>
      <c r="D4078" s="1" t="str">
        <f>IFERROR(__xludf.DUMMYFUNCTION("GOOGLETRANSLATE(A4078 , ""auto"", ""ar"")"),"مجموعة الموسيقى")</f>
        <v>مجموعة الموسيقى</v>
      </c>
    </row>
    <row r="4079" ht="15.75" customHeight="1">
      <c r="A4079" s="1" t="s">
        <v>4880</v>
      </c>
      <c r="B4079" s="1" t="s">
        <v>4881</v>
      </c>
      <c r="C4079" s="2" t="s">
        <v>4882</v>
      </c>
      <c r="D4079" s="1" t="str">
        <f>IFERROR(__xludf.DUMMYFUNCTION("GOOGLETRANSLATE(A4079 , ""auto"", ""ar"")"),"موسيقي او عازف")</f>
        <v>موسيقي او عازف</v>
      </c>
    </row>
    <row r="4080" ht="15.75" customHeight="1">
      <c r="A4080" s="1" t="s">
        <v>4880</v>
      </c>
      <c r="B4080" s="1" t="s">
        <v>4883</v>
      </c>
      <c r="C4080" s="1"/>
      <c r="D4080" s="1" t="str">
        <f>IFERROR(__xludf.DUMMYFUNCTION("GOOGLETRANSLATE(A4080 , ""auto"", ""ar"")"),"موسيقي او عازف")</f>
        <v>موسيقي او عازف</v>
      </c>
    </row>
    <row r="4081" ht="15.75" customHeight="1">
      <c r="A4081" s="1" t="s">
        <v>4884</v>
      </c>
      <c r="B4081" s="1" t="s">
        <v>4885</v>
      </c>
      <c r="C4081" s="2" t="s">
        <v>4886</v>
      </c>
      <c r="D4081" s="1" t="str">
        <f>IFERROR(__xludf.DUMMYFUNCTION("GOOGLETRANSLATE(A4081 , ""auto"", ""ar"")"),"مسلم")</f>
        <v>مسلم</v>
      </c>
    </row>
    <row r="4082" ht="15.75" customHeight="1">
      <c r="A4082" s="1" t="s">
        <v>4887</v>
      </c>
      <c r="B4082" s="1" t="s">
        <v>3472</v>
      </c>
      <c r="C4082" s="2" t="s">
        <v>3473</v>
      </c>
      <c r="D4082" s="1" t="str">
        <f>IFERROR(__xludf.DUMMYFUNCTION("GOOGLETRANSLATE(A4082 , ""auto"", ""ar"")"),"يجب")</f>
        <v>يجب</v>
      </c>
    </row>
    <row r="4083" ht="15.75" customHeight="1">
      <c r="A4083" s="1" t="s">
        <v>4888</v>
      </c>
      <c r="B4083" s="1" t="s">
        <v>4889</v>
      </c>
      <c r="C4083" s="1"/>
      <c r="D4083" s="1" t="str">
        <f>IFERROR(__xludf.DUMMYFUNCTION("GOOGLETRANSLATE(A4083 , ""auto"", ""ar"")"),"خردل")</f>
        <v>خردل</v>
      </c>
    </row>
    <row r="4084" ht="15.75" customHeight="1">
      <c r="A4084" s="1" t="s">
        <v>4890</v>
      </c>
      <c r="B4084" s="1" t="s">
        <v>4891</v>
      </c>
      <c r="C4084" s="2" t="s">
        <v>4892</v>
      </c>
      <c r="D4084" s="1" t="str">
        <f>IFERROR(__xludf.DUMMYFUNCTION("GOOGLETRANSLATE(A4084 , ""auto"", ""ar"")"),"لي")</f>
        <v>لي</v>
      </c>
    </row>
    <row r="4085" ht="15.75" customHeight="1">
      <c r="A4085" s="1" t="s">
        <v>4890</v>
      </c>
      <c r="B4085" s="1" t="s">
        <v>4893</v>
      </c>
      <c r="C4085" s="2" t="s">
        <v>4894</v>
      </c>
      <c r="D4085" s="1" t="str">
        <f>IFERROR(__xludf.DUMMYFUNCTION("GOOGLETRANSLATE(A4085 , ""auto"", ""ar"")"),"لي")</f>
        <v>لي</v>
      </c>
    </row>
    <row r="4086" ht="15.75" customHeight="1">
      <c r="A4086" s="1" t="s">
        <v>4890</v>
      </c>
      <c r="B4086" s="1" t="s">
        <v>4895</v>
      </c>
      <c r="C4086" s="2" t="s">
        <v>4896</v>
      </c>
      <c r="D4086" s="1" t="str">
        <f>IFERROR(__xludf.DUMMYFUNCTION("GOOGLETRANSLATE(A4086 , ""auto"", ""ar"")"),"لي")</f>
        <v>لي</v>
      </c>
    </row>
    <row r="4087" ht="15.75" customHeight="1">
      <c r="A4087" s="1" t="s">
        <v>4890</v>
      </c>
      <c r="B4087" s="1" t="s">
        <v>4897</v>
      </c>
      <c r="C4087" s="1"/>
      <c r="D4087" s="1" t="str">
        <f>IFERROR(__xludf.DUMMYFUNCTION("GOOGLETRANSLATE(A4087 , ""auto"", ""ar"")"),"لي")</f>
        <v>لي</v>
      </c>
    </row>
    <row r="4088" ht="15.75" customHeight="1">
      <c r="A4088" s="1" t="s">
        <v>4898</v>
      </c>
      <c r="B4088" s="1" t="s">
        <v>4899</v>
      </c>
      <c r="C4088" s="2" t="s">
        <v>4900</v>
      </c>
      <c r="D4088" s="1" t="str">
        <f>IFERROR(__xludf.DUMMYFUNCTION("GOOGLETRANSLATE(A4088 , ""auto"", ""ar"")"),"نفسي")</f>
        <v>نفسي</v>
      </c>
    </row>
    <row r="4089" ht="15.75" customHeight="1">
      <c r="A4089" s="1" t="s">
        <v>466</v>
      </c>
      <c r="B4089" s="1" t="s">
        <v>467</v>
      </c>
      <c r="C4089" s="2" t="s">
        <v>468</v>
      </c>
      <c r="D4089" s="1" t="str">
        <f>IFERROR(__xludf.DUMMYFUNCTION("GOOGLETRANSLATE(A4089 , ""auto"", ""ar"")"),"اسم العائلة")</f>
        <v>اسم العائلة</v>
      </c>
    </row>
    <row r="4090" ht="15.75" customHeight="1">
      <c r="A4090" s="1" t="s">
        <v>43</v>
      </c>
      <c r="B4090" s="1" t="s">
        <v>44</v>
      </c>
      <c r="C4090" s="2" t="s">
        <v>45</v>
      </c>
      <c r="D4090" s="1" t="str">
        <f>IFERROR(__xludf.DUMMYFUNCTION("GOOGLETRANSLATE(A4090 , ""auto"", ""ar"")"),"مقبول")</f>
        <v>مقبول</v>
      </c>
    </row>
    <row r="4091" ht="15.75" customHeight="1">
      <c r="A4091" s="1" t="s">
        <v>469</v>
      </c>
      <c r="B4091" s="1" t="s">
        <v>470</v>
      </c>
      <c r="C4091" s="2" t="s">
        <v>471</v>
      </c>
      <c r="D4091" s="1" t="str">
        <f>IFERROR(__xludf.DUMMYFUNCTION("GOOGLETRANSLATE(A4091 , ""auto"", ""ar"")"),"التصالح")</f>
        <v>التصالح</v>
      </c>
    </row>
    <row r="4092" ht="15.75" customHeight="1">
      <c r="A4092" s="1" t="s">
        <v>472</v>
      </c>
      <c r="B4092" s="1" t="s">
        <v>473</v>
      </c>
      <c r="C4092" s="2" t="s">
        <v>474</v>
      </c>
      <c r="D4092" s="1" t="str">
        <f>IFERROR(__xludf.DUMMYFUNCTION("GOOGLETRANSLATE(A4092 , ""auto"", ""ar"")"),"مغفرة")</f>
        <v>مغفرة</v>
      </c>
    </row>
    <row r="4093" ht="15.75" customHeight="1">
      <c r="A4093" s="1" t="s">
        <v>475</v>
      </c>
      <c r="B4093" s="1" t="s">
        <v>476</v>
      </c>
      <c r="C4093" s="2" t="s">
        <v>477</v>
      </c>
      <c r="D4093" s="1" t="str">
        <f>IFERROR(__xludf.DUMMYFUNCTION("GOOGLETRANSLATE(A4093 , ""auto"", ""ar"")"),"يخبر")</f>
        <v>يخبر</v>
      </c>
    </row>
    <row r="4094" ht="15.75" customHeight="1">
      <c r="A4094" s="1" t="s">
        <v>4901</v>
      </c>
      <c r="B4094" s="1" t="s">
        <v>2736</v>
      </c>
      <c r="C4094" s="2" t="s">
        <v>2737</v>
      </c>
      <c r="D4094" s="1" t="str">
        <f>IFERROR(__xludf.DUMMYFUNCTION("GOOGLETRANSLATE(A4094 , ""auto"", ""ar"")"),"مسمار")</f>
        <v>مسمار</v>
      </c>
    </row>
    <row r="4095" ht="15.75" customHeight="1">
      <c r="A4095" s="1" t="s">
        <v>4901</v>
      </c>
      <c r="B4095" s="1" t="s">
        <v>4902</v>
      </c>
      <c r="C4095" s="2" t="s">
        <v>4903</v>
      </c>
      <c r="D4095" s="1" t="str">
        <f>IFERROR(__xludf.DUMMYFUNCTION("GOOGLETRANSLATE(A4095 , ""auto"", ""ar"")"),"مسمار")</f>
        <v>مسمار</v>
      </c>
    </row>
    <row r="4096" ht="15.75" customHeight="1">
      <c r="A4096" s="1" t="s">
        <v>4901</v>
      </c>
      <c r="B4096" s="1" t="s">
        <v>4904</v>
      </c>
      <c r="C4096" s="2" t="s">
        <v>4905</v>
      </c>
      <c r="D4096" s="1" t="str">
        <f>IFERROR(__xludf.DUMMYFUNCTION("GOOGLETRANSLATE(A4096 , ""auto"", ""ar"")"),"مسمار")</f>
        <v>مسمار</v>
      </c>
    </row>
    <row r="4097" ht="15.75" customHeight="1">
      <c r="A4097" s="1" t="s">
        <v>4906</v>
      </c>
      <c r="B4097" s="1" t="s">
        <v>597</v>
      </c>
      <c r="C4097" s="2" t="s">
        <v>598</v>
      </c>
      <c r="D4097" s="1" t="str">
        <f>IFERROR(__xludf.DUMMYFUNCTION("GOOGLETRANSLATE(A4097 , ""auto"", ""ar"")"),"اسم")</f>
        <v>اسم</v>
      </c>
    </row>
    <row r="4098" ht="15.75" customHeight="1">
      <c r="A4098" s="1" t="s">
        <v>4906</v>
      </c>
      <c r="B4098" s="1" t="s">
        <v>4907</v>
      </c>
      <c r="C4098" s="1"/>
      <c r="D4098" s="1" t="str">
        <f>IFERROR(__xludf.DUMMYFUNCTION("GOOGLETRANSLATE(A4098 , ""auto"", ""ar"")"),"اسم")</f>
        <v>اسم</v>
      </c>
    </row>
    <row r="4099" ht="15.75" customHeight="1">
      <c r="A4099" s="1" t="s">
        <v>4906</v>
      </c>
      <c r="B4099" s="1" t="s">
        <v>4908</v>
      </c>
      <c r="C4099" s="2" t="s">
        <v>4909</v>
      </c>
      <c r="D4099" s="1" t="str">
        <f>IFERROR(__xludf.DUMMYFUNCTION("GOOGLETRANSLATE(A4099 , ""auto"", ""ar"")"),"اسم")</f>
        <v>اسم</v>
      </c>
    </row>
    <row r="4100" ht="15.75" customHeight="1">
      <c r="A4100" s="1" t="s">
        <v>4910</v>
      </c>
      <c r="B4100" s="1" t="s">
        <v>4911</v>
      </c>
      <c r="C4100" s="1"/>
      <c r="D4100" s="1" t="str">
        <f>IFERROR(__xludf.DUMMYFUNCTION("GOOGLETRANSLATE(A4100 , ""auto"", ""ar"")"),"منديل")</f>
        <v>منديل</v>
      </c>
    </row>
    <row r="4101" ht="15.75" customHeight="1">
      <c r="A4101" s="1" t="s">
        <v>4912</v>
      </c>
      <c r="B4101" s="1" t="s">
        <v>4913</v>
      </c>
      <c r="C4101" s="2" t="s">
        <v>65</v>
      </c>
      <c r="D4101" s="1" t="str">
        <f>IFERROR(__xludf.DUMMYFUNCTION("GOOGLETRANSLATE(A4101 , ""auto"", ""ar"")"),"ضيق")</f>
        <v>ضيق</v>
      </c>
    </row>
    <row r="4102" ht="15.75" customHeight="1">
      <c r="A4102" s="1" t="s">
        <v>4912</v>
      </c>
      <c r="B4102" s="1" t="s">
        <v>4914</v>
      </c>
      <c r="C4102" s="2" t="s">
        <v>4915</v>
      </c>
      <c r="D4102" s="1" t="str">
        <f>IFERROR(__xludf.DUMMYFUNCTION("GOOGLETRANSLATE(A4102 , ""auto"", ""ar"")"),"ضيق")</f>
        <v>ضيق</v>
      </c>
    </row>
    <row r="4103" ht="15.75" customHeight="1">
      <c r="A4103" s="1" t="s">
        <v>4916</v>
      </c>
      <c r="B4103" s="1" t="s">
        <v>4917</v>
      </c>
      <c r="C4103" s="2" t="s">
        <v>4918</v>
      </c>
      <c r="D4103" s="1" t="str">
        <f>IFERROR(__xludf.DUMMYFUNCTION("GOOGLETRANSLATE(A4103 , ""auto"", ""ar"")"),"النشيد الوطني")</f>
        <v>النشيد الوطني</v>
      </c>
    </row>
    <row r="4104" ht="15.75" customHeight="1">
      <c r="A4104" s="1" t="s">
        <v>4919</v>
      </c>
      <c r="B4104" s="1" t="s">
        <v>4920</v>
      </c>
      <c r="C4104" s="2" t="s">
        <v>4921</v>
      </c>
      <c r="D4104" s="1" t="str">
        <f>IFERROR(__xludf.DUMMYFUNCTION("GOOGLETRANSLATE(A4104 , ""auto"", ""ar"")"),"طبيعي")</f>
        <v>طبيعي</v>
      </c>
    </row>
    <row r="4105" ht="15.75" customHeight="1">
      <c r="A4105" s="1" t="s">
        <v>4922</v>
      </c>
      <c r="B4105" s="1" t="s">
        <v>4923</v>
      </c>
      <c r="C4105" s="2" t="s">
        <v>4924</v>
      </c>
      <c r="D4105" s="1" t="str">
        <f>IFERROR(__xludf.DUMMYFUNCTION("GOOGLETRANSLATE(A4105 , ""auto"", ""ar"")"),"طبيعة")</f>
        <v>طبيعة</v>
      </c>
    </row>
    <row r="4106" ht="15.75" customHeight="1">
      <c r="A4106" s="1" t="s">
        <v>4925</v>
      </c>
      <c r="B4106" s="1" t="s">
        <v>4926</v>
      </c>
      <c r="C4106" s="1"/>
      <c r="D4106" s="1" t="str">
        <f>IFERROR(__xludf.DUMMYFUNCTION("GOOGLETRANSLATE(A4106 , ""auto"", ""ar"")"),"الرغبة")</f>
        <v>الرغبة</v>
      </c>
    </row>
    <row r="4107" ht="15.75" customHeight="1">
      <c r="A4107" s="1" t="s">
        <v>4925</v>
      </c>
      <c r="B4107" s="1" t="s">
        <v>4927</v>
      </c>
      <c r="C4107" s="2" t="s">
        <v>4928</v>
      </c>
      <c r="D4107" s="1" t="str">
        <f>IFERROR(__xludf.DUMMYFUNCTION("GOOGLETRANSLATE(A4107 , ""auto"", ""ar"")"),"الرغبة")</f>
        <v>الرغبة</v>
      </c>
    </row>
    <row r="4108" ht="15.75" customHeight="1">
      <c r="A4108" s="1" t="s">
        <v>4929</v>
      </c>
      <c r="B4108" s="1" t="s">
        <v>4930</v>
      </c>
      <c r="C4108" s="2" t="s">
        <v>4931</v>
      </c>
      <c r="D4108" s="1" t="str">
        <f>IFERROR(__xludf.DUMMYFUNCTION("GOOGLETRANSLATE(A4108 , ""auto"", ""ar"")"),"شقي")</f>
        <v>شقي</v>
      </c>
    </row>
    <row r="4109" ht="15.75" customHeight="1">
      <c r="A4109" s="1" t="s">
        <v>4929</v>
      </c>
      <c r="B4109" s="1" t="s">
        <v>4932</v>
      </c>
      <c r="C4109" s="2" t="s">
        <v>4933</v>
      </c>
      <c r="D4109" s="1" t="str">
        <f>IFERROR(__xludf.DUMMYFUNCTION("GOOGLETRANSLATE(A4109 , ""auto"", ""ar"")"),"شقي")</f>
        <v>شقي</v>
      </c>
    </row>
    <row r="4110" ht="15.75" customHeight="1">
      <c r="A4110" s="1" t="s">
        <v>4934</v>
      </c>
      <c r="B4110" s="1" t="s">
        <v>4935</v>
      </c>
      <c r="C4110" s="1"/>
      <c r="D4110" s="1" t="str">
        <f>IFERROR(__xludf.DUMMYFUNCTION("GOOGLETRANSLATE(A4110 , ""auto"", ""ar"")"),"سرة البطن")</f>
        <v>سرة البطن</v>
      </c>
    </row>
    <row r="4111" ht="15.75" customHeight="1">
      <c r="A4111" s="1" t="s">
        <v>4936</v>
      </c>
      <c r="B4111" s="1" t="s">
        <v>4937</v>
      </c>
      <c r="C4111" s="2" t="s">
        <v>4938</v>
      </c>
      <c r="D4111" s="1" t="str">
        <f>IFERROR(__xludf.DUMMYFUNCTION("GOOGLETRANSLATE(A4111 , ""auto"", ""ar"")"),"الأزرق الداكن")</f>
        <v>الأزرق الداكن</v>
      </c>
    </row>
    <row r="4112" ht="15.75" customHeight="1">
      <c r="A4112" s="1" t="s">
        <v>4939</v>
      </c>
      <c r="B4112" s="1" t="s">
        <v>1494</v>
      </c>
      <c r="C4112" s="2" t="s">
        <v>1495</v>
      </c>
      <c r="D4112" s="1" t="str">
        <f>IFERROR(__xludf.DUMMYFUNCTION("GOOGLETRANSLATE(A4112 , ""auto"", ""ar"")"),"قريب")</f>
        <v>قريب</v>
      </c>
    </row>
    <row r="4113" ht="15.75" customHeight="1">
      <c r="A4113" s="1" t="s">
        <v>4939</v>
      </c>
      <c r="B4113" s="1" t="s">
        <v>328</v>
      </c>
      <c r="C4113" s="2" t="s">
        <v>329</v>
      </c>
      <c r="D4113" s="1" t="str">
        <f>IFERROR(__xludf.DUMMYFUNCTION("GOOGLETRANSLATE(A4113 , ""auto"", ""ar"")"),"قريب")</f>
        <v>قريب</v>
      </c>
    </row>
    <row r="4114" ht="15.75" customHeight="1">
      <c r="A4114" s="1" t="s">
        <v>4940</v>
      </c>
      <c r="B4114" s="1" t="s">
        <v>328</v>
      </c>
      <c r="C4114" s="2" t="s">
        <v>329</v>
      </c>
      <c r="D4114" s="1" t="str">
        <f>IFERROR(__xludf.DUMMYFUNCTION("GOOGLETRANSLATE(A4114 , ""auto"", ""ar"")"),"تقريبا")</f>
        <v>تقريبا</v>
      </c>
    </row>
    <row r="4115" ht="15.75" customHeight="1">
      <c r="A4115" s="1" t="s">
        <v>4941</v>
      </c>
      <c r="B4115" s="1" t="s">
        <v>4942</v>
      </c>
      <c r="C4115" s="2" t="s">
        <v>4943</v>
      </c>
      <c r="D4115" s="1" t="str">
        <f>IFERROR(__xludf.DUMMYFUNCTION("GOOGLETRANSLATE(A4115 , ""auto"", ""ar"")"),"ضروري")</f>
        <v>ضروري</v>
      </c>
    </row>
    <row r="4116" ht="15.75" customHeight="1">
      <c r="A4116" s="1" t="s">
        <v>4944</v>
      </c>
      <c r="B4116" s="1" t="s">
        <v>4945</v>
      </c>
      <c r="C4116" s="2" t="s">
        <v>4946</v>
      </c>
      <c r="D4116" s="1" t="str">
        <f>IFERROR(__xludf.DUMMYFUNCTION("GOOGLETRANSLATE(A4116 , ""auto"", ""ar"")"),"رقبة")</f>
        <v>رقبة</v>
      </c>
    </row>
    <row r="4117" ht="15.75" customHeight="1">
      <c r="A4117" s="1" t="s">
        <v>4944</v>
      </c>
      <c r="B4117" s="1" t="s">
        <v>4947</v>
      </c>
      <c r="C4117" s="1"/>
      <c r="D4117" s="1" t="str">
        <f>IFERROR(__xludf.DUMMYFUNCTION("GOOGLETRANSLATE(A4117 , ""auto"", ""ar"")"),"رقبة")</f>
        <v>رقبة</v>
      </c>
    </row>
    <row r="4118" ht="15.75" customHeight="1">
      <c r="A4118" s="1" t="s">
        <v>4948</v>
      </c>
      <c r="B4118" s="1" t="s">
        <v>4949</v>
      </c>
      <c r="C4118" s="2" t="s">
        <v>4950</v>
      </c>
      <c r="D4118" s="1" t="str">
        <f>IFERROR(__xludf.DUMMYFUNCTION("GOOGLETRANSLATE(A4118 , ""auto"", ""ar"")"),"قلادة")</f>
        <v>قلادة</v>
      </c>
    </row>
    <row r="4119" ht="15.75" customHeight="1">
      <c r="A4119" s="1" t="s">
        <v>4951</v>
      </c>
      <c r="B4119" s="1" t="s">
        <v>4952</v>
      </c>
      <c r="C4119" s="2" t="s">
        <v>4953</v>
      </c>
      <c r="D4119" s="1" t="str">
        <f>IFERROR(__xludf.DUMMYFUNCTION("GOOGLETRANSLATE(A4119 , ""auto"", ""ar"")"),"ربطة عنق")</f>
        <v>ربطة عنق</v>
      </c>
    </row>
    <row r="4120" ht="15.75" customHeight="1">
      <c r="A4120" s="1" t="s">
        <v>4954</v>
      </c>
      <c r="B4120" s="1" t="s">
        <v>4955</v>
      </c>
      <c r="C4120" s="2" t="s">
        <v>4956</v>
      </c>
      <c r="D4120" s="1" t="str">
        <f>IFERROR(__xludf.DUMMYFUNCTION("GOOGLETRANSLATE(A4120 , ""auto"", ""ar"")"),"يحتاج")</f>
        <v>يحتاج</v>
      </c>
    </row>
    <row r="4121" ht="15.75" customHeight="1">
      <c r="A4121" s="1" t="s">
        <v>4954</v>
      </c>
      <c r="B4121" s="1" t="s">
        <v>4155</v>
      </c>
      <c r="C4121" s="2" t="s">
        <v>4156</v>
      </c>
      <c r="D4121" s="1" t="str">
        <f>IFERROR(__xludf.DUMMYFUNCTION("GOOGLETRANSLATE(A4121 , ""auto"", ""ar"")"),"يحتاج")</f>
        <v>يحتاج</v>
      </c>
    </row>
    <row r="4122" ht="15.75" customHeight="1">
      <c r="A4122" s="1" t="s">
        <v>4957</v>
      </c>
      <c r="B4122" s="1" t="s">
        <v>4155</v>
      </c>
      <c r="C4122" s="2" t="s">
        <v>4156</v>
      </c>
      <c r="D4122" s="1" t="str">
        <f>IFERROR(__xludf.DUMMYFUNCTION("GOOGLETRANSLATE(A4122 , ""auto"", ""ar"")"),"ضروري")</f>
        <v>ضروري</v>
      </c>
    </row>
    <row r="4123" ht="15.75" customHeight="1">
      <c r="A4123" s="1" t="s">
        <v>4958</v>
      </c>
      <c r="B4123" s="1" t="s">
        <v>4959</v>
      </c>
      <c r="C4123" s="2" t="s">
        <v>4960</v>
      </c>
      <c r="D4123" s="1" t="str">
        <f>IFERROR(__xludf.DUMMYFUNCTION("GOOGLETRANSLATE(A4123 , ""auto"", ""ar"")"),"إبرة")</f>
        <v>إبرة</v>
      </c>
    </row>
    <row r="4124" ht="15.75" customHeight="1">
      <c r="A4124" s="1" t="s">
        <v>4958</v>
      </c>
      <c r="B4124" s="1" t="s">
        <v>4959</v>
      </c>
      <c r="C4124" s="1"/>
      <c r="D4124" s="1" t="str">
        <f>IFERROR(__xludf.DUMMYFUNCTION("GOOGLETRANSLATE(A4124 , ""auto"", ""ar"")"),"إبرة")</f>
        <v>إبرة</v>
      </c>
    </row>
    <row r="4125" ht="15.75" customHeight="1">
      <c r="A4125" s="1" t="s">
        <v>4961</v>
      </c>
      <c r="B4125" s="1" t="s">
        <v>4962</v>
      </c>
      <c r="C4125" s="2" t="s">
        <v>4963</v>
      </c>
      <c r="D4125" s="1" t="str">
        <f>IFERROR(__xludf.DUMMYFUNCTION("GOOGLETRANSLATE(A4125 , ""auto"", ""ar"")"),"جار")</f>
        <v>جار</v>
      </c>
    </row>
    <row r="4126" ht="15.75" customHeight="1">
      <c r="A4126" s="1" t="s">
        <v>4964</v>
      </c>
      <c r="B4126" s="1" t="s">
        <v>4965</v>
      </c>
      <c r="C4126" s="1"/>
      <c r="D4126" s="1" t="str">
        <f>IFERROR(__xludf.DUMMYFUNCTION("GOOGLETRANSLATE(A4126 , ""auto"", ""ar"")"),"حيّ")</f>
        <v>حيّ</v>
      </c>
    </row>
    <row r="4127" ht="15.75" customHeight="1">
      <c r="A4127" s="1" t="s">
        <v>4966</v>
      </c>
      <c r="B4127" s="1" t="s">
        <v>4962</v>
      </c>
      <c r="C4127" s="2" t="s">
        <v>4963</v>
      </c>
      <c r="D4127" s="1" t="str">
        <f>IFERROR(__xludf.DUMMYFUNCTION("GOOGLETRANSLATE(A4127 , ""auto"", ""ar"")"),"جار")</f>
        <v>جار</v>
      </c>
    </row>
    <row r="4128" ht="15.75" customHeight="1">
      <c r="A4128" s="1" t="s">
        <v>4967</v>
      </c>
      <c r="B4128" s="1" t="s">
        <v>4965</v>
      </c>
      <c r="C4128" s="1"/>
      <c r="D4128" s="1" t="str">
        <f>IFERROR(__xludf.DUMMYFUNCTION("GOOGLETRANSLATE(A4128 , ""auto"", ""ar"")"),"حيّ")</f>
        <v>حيّ</v>
      </c>
    </row>
    <row r="4129" ht="15.75" customHeight="1">
      <c r="A4129" s="1" t="s">
        <v>4968</v>
      </c>
      <c r="B4129" s="1" t="s">
        <v>4969</v>
      </c>
      <c r="C4129" s="2" t="s">
        <v>4970</v>
      </c>
      <c r="D4129" s="1" t="str">
        <f>IFERROR(__xludf.DUMMYFUNCTION("GOOGLETRANSLATE(A4129 , ""auto"", ""ar"")"),"لا هذا ولا ذاك …")</f>
        <v>لا هذا ولا ذاك …</v>
      </c>
    </row>
    <row r="4130" ht="15.75" customHeight="1">
      <c r="A4130" s="1" t="s">
        <v>4971</v>
      </c>
      <c r="B4130" s="1" t="s">
        <v>493</v>
      </c>
      <c r="C4130" s="1"/>
      <c r="D4130" s="1" t="str">
        <f>IFERROR(__xludf.DUMMYFUNCTION("GOOGLETRANSLATE(A4130 , ""auto"", ""ar"")"),"ابن الأخ")</f>
        <v>ابن الأخ</v>
      </c>
    </row>
    <row r="4131" ht="15.75" customHeight="1">
      <c r="A4131" s="1" t="s">
        <v>4971</v>
      </c>
      <c r="B4131" s="1" t="s">
        <v>493</v>
      </c>
      <c r="C4131" s="1"/>
      <c r="D4131" s="1" t="str">
        <f>IFERROR(__xludf.DUMMYFUNCTION("GOOGLETRANSLATE(A4131 , ""auto"", ""ar"")"),"ابن الأخ")</f>
        <v>ابن الأخ</v>
      </c>
    </row>
    <row r="4132" ht="15.75" customHeight="1">
      <c r="A4132" s="1" t="s">
        <v>4972</v>
      </c>
      <c r="B4132" s="1" t="s">
        <v>4973</v>
      </c>
      <c r="C4132" s="1"/>
      <c r="D4132" s="1" t="str">
        <f>IFERROR(__xludf.DUMMYFUNCTION("GOOGLETRANSLATE(A4132 , ""auto"", ""ar"")"),"أبناء وبنات")</f>
        <v>أبناء وبنات</v>
      </c>
    </row>
    <row r="4133" ht="15.75" customHeight="1">
      <c r="A4133" s="1" t="s">
        <v>4972</v>
      </c>
      <c r="B4133" s="1" t="s">
        <v>4974</v>
      </c>
      <c r="C4133" s="1"/>
      <c r="D4133" s="1" t="str">
        <f>IFERROR(__xludf.DUMMYFUNCTION("GOOGLETRANSLATE(A4133 , ""auto"", ""ar"")"),"أبناء وبنات")</f>
        <v>أبناء وبنات</v>
      </c>
    </row>
    <row r="4134" ht="15.75" customHeight="1">
      <c r="A4134" s="1" t="s">
        <v>4975</v>
      </c>
      <c r="B4134" s="1" t="s">
        <v>2211</v>
      </c>
      <c r="C4134" s="2" t="s">
        <v>4976</v>
      </c>
      <c r="D4134" s="1" t="str">
        <f>IFERROR(__xludf.DUMMYFUNCTION("GOOGLETRANSLATE(A4134 , ""auto"", ""ar"")"),"شبكة")</f>
        <v>شبكة</v>
      </c>
    </row>
    <row r="4135" ht="15.75" customHeight="1">
      <c r="A4135" s="1" t="s">
        <v>4977</v>
      </c>
      <c r="B4135" s="1" t="s">
        <v>4978</v>
      </c>
      <c r="C4135" s="1"/>
      <c r="D4135" s="1" t="str">
        <f>IFERROR(__xludf.DUMMYFUNCTION("GOOGLETRANSLATE(A4135 , ""auto"", ""ar"")"),"شبكة")</f>
        <v>شبكة</v>
      </c>
    </row>
    <row r="4136" ht="15.75" customHeight="1">
      <c r="A4136" s="1" t="s">
        <v>4979</v>
      </c>
      <c r="B4136" s="1" t="s">
        <v>4980</v>
      </c>
      <c r="C4136" s="2" t="s">
        <v>4981</v>
      </c>
      <c r="D4136" s="1" t="str">
        <f>IFERROR(__xludf.DUMMYFUNCTION("GOOGLETRANSLATE(A4136 , ""auto"", ""ar"")"),"أبداً")</f>
        <v>أبداً</v>
      </c>
    </row>
    <row r="4137" ht="15.75" customHeight="1">
      <c r="A4137" s="1" t="s">
        <v>4982</v>
      </c>
      <c r="B4137" s="1" t="s">
        <v>4983</v>
      </c>
      <c r="C4137" s="2" t="s">
        <v>4984</v>
      </c>
      <c r="D4137" s="1" t="str">
        <f>IFERROR(__xludf.DUMMYFUNCTION("GOOGLETRANSLATE(A4137 , ""auto"", ""ar"")"),"جديد")</f>
        <v>جديد</v>
      </c>
    </row>
    <row r="4138" ht="15.75" customHeight="1">
      <c r="A4138" s="1" t="s">
        <v>4985</v>
      </c>
      <c r="B4138" s="1" t="s">
        <v>4986</v>
      </c>
      <c r="C4138" s="1"/>
      <c r="D4138" s="1" t="str">
        <f>IFERROR(__xludf.DUMMYFUNCTION("GOOGLETRANSLATE(A4138 , ""auto"", ""ar"")"),"السنة الجديدة")</f>
        <v>السنة الجديدة</v>
      </c>
    </row>
    <row r="4139" ht="15.75" customHeight="1">
      <c r="A4139" s="1" t="s">
        <v>4985</v>
      </c>
      <c r="B4139" s="1" t="s">
        <v>4987</v>
      </c>
      <c r="C4139" s="1"/>
      <c r="D4139" s="1" t="str">
        <f>IFERROR(__xludf.DUMMYFUNCTION("GOOGLETRANSLATE(A4139 , ""auto"", ""ar"")"),"السنة الجديدة")</f>
        <v>السنة الجديدة</v>
      </c>
    </row>
    <row r="4140" ht="15.75" customHeight="1">
      <c r="A4140" s="1" t="s">
        <v>4988</v>
      </c>
      <c r="B4140" s="1" t="s">
        <v>4989</v>
      </c>
      <c r="C4140" s="2" t="s">
        <v>4990</v>
      </c>
      <c r="D4140" s="1" t="str">
        <f>IFERROR(__xludf.DUMMYFUNCTION("GOOGLETRANSLATE(A4140 , ""auto"", ""ar"")"),"حفلة طفل حديثي الولادة")</f>
        <v>حفلة طفل حديثي الولادة</v>
      </c>
    </row>
    <row r="4141" ht="15.75" customHeight="1">
      <c r="A4141" s="1" t="s">
        <v>4991</v>
      </c>
      <c r="B4141" s="1" t="s">
        <v>4992</v>
      </c>
      <c r="C4141" s="2" t="s">
        <v>4993</v>
      </c>
      <c r="D4141" s="1" t="str">
        <f>IFERROR(__xludf.DUMMYFUNCTION("GOOGLETRANSLATE(A4141 , ""auto"", ""ar"")"),"أخبار")</f>
        <v>أخبار</v>
      </c>
    </row>
    <row r="4142" ht="15.75" customHeight="1">
      <c r="A4142" s="1" t="s">
        <v>4991</v>
      </c>
      <c r="B4142" s="1" t="s">
        <v>4994</v>
      </c>
      <c r="C4142" s="2" t="s">
        <v>4995</v>
      </c>
      <c r="D4142" s="1" t="str">
        <f>IFERROR(__xludf.DUMMYFUNCTION("GOOGLETRANSLATE(A4142 , ""auto"", ""ar"")"),"أخبار")</f>
        <v>أخبار</v>
      </c>
    </row>
    <row r="4143" ht="15.75" customHeight="1">
      <c r="A4143" s="1" t="s">
        <v>4991</v>
      </c>
      <c r="B4143" s="1" t="s">
        <v>4996</v>
      </c>
      <c r="C4143" s="1"/>
      <c r="D4143" s="1" t="str">
        <f>IFERROR(__xludf.DUMMYFUNCTION("GOOGLETRANSLATE(A4143 , ""auto"", ""ar"")"),"أخبار")</f>
        <v>أخبار</v>
      </c>
    </row>
    <row r="4144" ht="15.75" customHeight="1">
      <c r="A4144" s="1" t="s">
        <v>4991</v>
      </c>
      <c r="B4144" s="1" t="s">
        <v>4997</v>
      </c>
      <c r="C4144" s="1"/>
      <c r="D4144" s="1" t="str">
        <f>IFERROR(__xludf.DUMMYFUNCTION("GOOGLETRANSLATE(A4144 , ""auto"", ""ar"")"),"أخبار")</f>
        <v>أخبار</v>
      </c>
    </row>
    <row r="4145" ht="15.75" customHeight="1">
      <c r="A4145" s="1" t="s">
        <v>4998</v>
      </c>
      <c r="B4145" s="1" t="s">
        <v>4999</v>
      </c>
      <c r="C4145" s="1"/>
      <c r="D4145" s="1" t="str">
        <f>IFERROR(__xludf.DUMMYFUNCTION("GOOGLETRANSLATE(A4145 , ""auto"", ""ar"")"),"جريدة")</f>
        <v>جريدة</v>
      </c>
    </row>
    <row r="4146" ht="15.75" customHeight="1">
      <c r="A4146" s="1" t="s">
        <v>5000</v>
      </c>
      <c r="B4146" s="1" t="s">
        <v>5001</v>
      </c>
      <c r="C4146" s="2" t="s">
        <v>5002</v>
      </c>
      <c r="D4146" s="1" t="str">
        <f>IFERROR(__xludf.DUMMYFUNCTION("GOOGLETRANSLATE(A4146 , ""auto"", ""ar"")"),"التالي")</f>
        <v>التالي</v>
      </c>
    </row>
    <row r="4147" ht="15.75" customHeight="1">
      <c r="A4147" s="1" t="s">
        <v>5000</v>
      </c>
      <c r="B4147" s="1" t="s">
        <v>5003</v>
      </c>
      <c r="C4147" s="2" t="s">
        <v>1585</v>
      </c>
      <c r="D4147" s="1" t="str">
        <f>IFERROR(__xludf.DUMMYFUNCTION("GOOGLETRANSLATE(A4147 , ""auto"", ""ar"")"),"التالي")</f>
        <v>التالي</v>
      </c>
    </row>
    <row r="4148" ht="15.75" customHeight="1">
      <c r="A4148" s="1" t="s">
        <v>5004</v>
      </c>
      <c r="B4148" s="1" t="s">
        <v>5005</v>
      </c>
      <c r="C4148" s="2" t="s">
        <v>5006</v>
      </c>
      <c r="D4148" s="1" t="str">
        <f>IFERROR(__xludf.DUMMYFUNCTION("GOOGLETRANSLATE(A4148 , ""auto"", ""ar"")"),"بجوار")</f>
        <v>بجوار</v>
      </c>
    </row>
    <row r="4149" ht="15.75" customHeight="1">
      <c r="A4149" s="1" t="s">
        <v>5004</v>
      </c>
      <c r="B4149" s="1" t="s">
        <v>5007</v>
      </c>
      <c r="C4149" s="1"/>
      <c r="D4149" s="1" t="str">
        <f>IFERROR(__xludf.DUMMYFUNCTION("GOOGLETRANSLATE(A4149 , ""auto"", ""ar"")"),"بجوار")</f>
        <v>بجوار</v>
      </c>
    </row>
    <row r="4150" ht="15.75" customHeight="1">
      <c r="A4150" s="1" t="s">
        <v>5008</v>
      </c>
      <c r="B4150" s="1" t="s">
        <v>636</v>
      </c>
      <c r="C4150" s="2" t="s">
        <v>637</v>
      </c>
      <c r="D4150" s="1" t="str">
        <f>IFERROR(__xludf.DUMMYFUNCTION("GOOGLETRANSLATE(A4150 , ""auto"", ""ar"")"),"لطيف - جيد")</f>
        <v>لطيف - جيد</v>
      </c>
    </row>
    <row r="4151" ht="15.75" customHeight="1">
      <c r="A4151" s="1" t="s">
        <v>5009</v>
      </c>
      <c r="B4151" s="1" t="s">
        <v>1766</v>
      </c>
      <c r="C4151" s="1"/>
      <c r="D4151" s="1" t="str">
        <f>IFERROR(__xludf.DUMMYFUNCTION("GOOGLETRANSLATE(A4151 , ""auto"", ""ar"")"),"ابنة الأخت")</f>
        <v>ابنة الأخت</v>
      </c>
    </row>
    <row r="4152" ht="15.75" customHeight="1">
      <c r="A4152" s="1" t="s">
        <v>5009</v>
      </c>
      <c r="B4152" s="1" t="s">
        <v>1766</v>
      </c>
      <c r="C4152" s="1"/>
      <c r="D4152" s="1" t="str">
        <f>IFERROR(__xludf.DUMMYFUNCTION("GOOGLETRANSLATE(A4152 , ""auto"", ""ar"")"),"ابنة الأخت")</f>
        <v>ابنة الأخت</v>
      </c>
    </row>
    <row r="4153" ht="15.75" customHeight="1">
      <c r="A4153" s="1" t="s">
        <v>5010</v>
      </c>
      <c r="B4153" s="1" t="s">
        <v>5011</v>
      </c>
      <c r="C4153" s="2" t="s">
        <v>5012</v>
      </c>
      <c r="D4153" s="1" t="str">
        <f>IFERROR(__xludf.DUMMYFUNCTION("GOOGLETRANSLATE(A4153 , ""auto"", ""ar"")"),"ليلة")</f>
        <v>ليلة</v>
      </c>
    </row>
    <row r="4154" ht="15.75" customHeight="1">
      <c r="A4154" s="1" t="s">
        <v>5010</v>
      </c>
      <c r="B4154" s="1" t="s">
        <v>2483</v>
      </c>
      <c r="C4154" s="2" t="s">
        <v>2484</v>
      </c>
      <c r="D4154" s="1" t="str">
        <f>IFERROR(__xludf.DUMMYFUNCTION("GOOGLETRANSLATE(A4154 , ""auto"", ""ar"")"),"ليلة")</f>
        <v>ليلة</v>
      </c>
    </row>
    <row r="4155" ht="15.75" customHeight="1">
      <c r="A4155" s="1" t="s">
        <v>5013</v>
      </c>
      <c r="B4155" s="1" t="s">
        <v>5014</v>
      </c>
      <c r="C4155" s="1"/>
      <c r="D4155" s="1" t="str">
        <f>IFERROR(__xludf.DUMMYFUNCTION("GOOGLETRANSLATE(A4155 , ""auto"", ""ar"")"),"ليلة القوة")</f>
        <v>ليلة القوة</v>
      </c>
    </row>
    <row r="4156" ht="15.75" customHeight="1">
      <c r="A4156" s="1" t="s">
        <v>5015</v>
      </c>
      <c r="B4156" s="1" t="s">
        <v>5016</v>
      </c>
      <c r="C4156" s="1"/>
      <c r="D4156" s="1" t="str">
        <f>IFERROR(__xludf.DUMMYFUNCTION("GOOGLETRANSLATE(A4156 , ""auto"", ""ar"")"),"كابوس")</f>
        <v>كابوس</v>
      </c>
    </row>
    <row r="4157" ht="15.75" customHeight="1">
      <c r="A4157" s="1" t="s">
        <v>5015</v>
      </c>
      <c r="B4157" s="1" t="s">
        <v>2227</v>
      </c>
      <c r="C4157" s="1"/>
      <c r="D4157" s="1" t="str">
        <f>IFERROR(__xludf.DUMMYFUNCTION("GOOGLETRANSLATE(A4157 , ""auto"", ""ar"")"),"كابوس")</f>
        <v>كابوس</v>
      </c>
    </row>
    <row r="4158" ht="15.75" customHeight="1">
      <c r="A4158" s="1" t="s">
        <v>5017</v>
      </c>
      <c r="B4158" s="1" t="s">
        <v>5018</v>
      </c>
      <c r="C4158" s="2" t="s">
        <v>5019</v>
      </c>
      <c r="D4158" s="1" t="str">
        <f>IFERROR(__xludf.DUMMYFUNCTION("GOOGLETRANSLATE(A4158 , ""auto"", ""ar"")"),"تسع")</f>
        <v>تسع</v>
      </c>
    </row>
    <row r="4159" ht="15.75" customHeight="1">
      <c r="A4159" s="1" t="s">
        <v>5017</v>
      </c>
      <c r="B4159" s="1" t="s">
        <v>5020</v>
      </c>
      <c r="C4159" s="2" t="s">
        <v>5021</v>
      </c>
      <c r="D4159" s="1" t="str">
        <f>IFERROR(__xludf.DUMMYFUNCTION("GOOGLETRANSLATE(A4159 , ""auto"", ""ar"")"),"تسع")</f>
        <v>تسع</v>
      </c>
    </row>
    <row r="4160" ht="15.75" customHeight="1">
      <c r="A4160" s="1" t="s">
        <v>5022</v>
      </c>
      <c r="B4160" s="1" t="s">
        <v>5023</v>
      </c>
      <c r="C4160" s="2" t="s">
        <v>5024</v>
      </c>
      <c r="D4160" s="1" t="str">
        <f>IFERROR(__xludf.DUMMYFUNCTION("GOOGLETRANSLATE(A4160 , ""auto"", ""ar"")"),"تسعة عشر")</f>
        <v>تسعة عشر</v>
      </c>
    </row>
    <row r="4161" ht="15.75" customHeight="1">
      <c r="A4161" s="1" t="s">
        <v>5025</v>
      </c>
      <c r="B4161" s="1" t="s">
        <v>5026</v>
      </c>
      <c r="C4161" s="2" t="s">
        <v>5027</v>
      </c>
      <c r="D4161" s="1" t="str">
        <f>IFERROR(__xludf.DUMMYFUNCTION("GOOGLETRANSLATE(A4161 , ""auto"", ""ar"")"),"تسعين")</f>
        <v>تسعين</v>
      </c>
    </row>
    <row r="4162" ht="15.75" customHeight="1">
      <c r="A4162" s="1" t="s">
        <v>5028</v>
      </c>
      <c r="B4162" s="1" t="s">
        <v>5029</v>
      </c>
      <c r="C4162" s="2" t="s">
        <v>5030</v>
      </c>
      <c r="D4162" s="1" t="str">
        <f>IFERROR(__xludf.DUMMYFUNCTION("GOOGLETRANSLATE(A4162 , ""auto"", ""ar"")"),"تاسع")</f>
        <v>تاسع</v>
      </c>
    </row>
    <row r="4163" ht="15.75" customHeight="1">
      <c r="A4163" s="1" t="s">
        <v>5031</v>
      </c>
      <c r="B4163" s="1" t="s">
        <v>5032</v>
      </c>
      <c r="C4163" s="2" t="s">
        <v>5033</v>
      </c>
      <c r="D4163" s="1" t="str">
        <f>IFERROR(__xludf.DUMMYFUNCTION("GOOGLETRANSLATE(A4163 , ""auto"", ""ar"")"),"لا")</f>
        <v>لا</v>
      </c>
    </row>
    <row r="4164" ht="15.75" customHeight="1">
      <c r="A4164" s="1" t="s">
        <v>5031</v>
      </c>
      <c r="B4164" s="1" t="s">
        <v>234</v>
      </c>
      <c r="C4164" s="2" t="s">
        <v>235</v>
      </c>
      <c r="D4164" s="1" t="str">
        <f>IFERROR(__xludf.DUMMYFUNCTION("GOOGLETRANSLATE(A4164 , ""auto"", ""ar"")"),"لا")</f>
        <v>لا</v>
      </c>
    </row>
    <row r="4165" ht="15.75" customHeight="1">
      <c r="A4165" s="1" t="s">
        <v>5034</v>
      </c>
      <c r="B4165" s="1" t="s">
        <v>5035</v>
      </c>
      <c r="C4165" s="2" t="s">
        <v>5036</v>
      </c>
      <c r="D4165" s="1" t="str">
        <f>IFERROR(__xludf.DUMMYFUNCTION("GOOGLETRANSLATE(A4165 , ""auto"", ""ar"")"),"لا احد")</f>
        <v>لا احد</v>
      </c>
    </row>
    <row r="4166" ht="15.75" customHeight="1">
      <c r="A4166" s="1" t="s">
        <v>5034</v>
      </c>
      <c r="B4166" s="1" t="s">
        <v>5037</v>
      </c>
      <c r="C4166" s="2" t="s">
        <v>5038</v>
      </c>
      <c r="D4166" s="1" t="str">
        <f>IFERROR(__xludf.DUMMYFUNCTION("GOOGLETRANSLATE(A4166 , ""auto"", ""ar"")"),"لا احد")</f>
        <v>لا احد</v>
      </c>
    </row>
    <row r="4167" ht="15.75" customHeight="1">
      <c r="A4167" s="1" t="s">
        <v>5039</v>
      </c>
      <c r="B4167" s="1" t="s">
        <v>5040</v>
      </c>
      <c r="C4167" s="2" t="s">
        <v>5041</v>
      </c>
      <c r="D4167" s="1" t="str">
        <f>IFERROR(__xludf.DUMMYFUNCTION("GOOGLETRANSLATE(A4167 , ""auto"", ""ar"")"),"ضوضاء")</f>
        <v>ضوضاء</v>
      </c>
    </row>
    <row r="4168" ht="15.75" customHeight="1">
      <c r="A4168" s="1" t="s">
        <v>5039</v>
      </c>
      <c r="B4168" s="1" t="s">
        <v>5042</v>
      </c>
      <c r="C4168" s="1"/>
      <c r="D4168" s="1" t="str">
        <f>IFERROR(__xludf.DUMMYFUNCTION("GOOGLETRANSLATE(A4168 , ""auto"", ""ar"")"),"ضوضاء")</f>
        <v>ضوضاء</v>
      </c>
    </row>
    <row r="4169" ht="15.75" customHeight="1">
      <c r="A4169" s="1" t="s">
        <v>5043</v>
      </c>
      <c r="B4169" s="1" t="s">
        <v>5044</v>
      </c>
      <c r="C4169" s="2" t="s">
        <v>5045</v>
      </c>
      <c r="D4169" s="1" t="str">
        <f>IFERROR(__xludf.DUMMYFUNCTION("GOOGLETRANSLATE(A4169 , ""auto"", ""ar"")"),"المعكرونة")</f>
        <v>المعكرونة</v>
      </c>
    </row>
    <row r="4170" ht="15.75" customHeight="1">
      <c r="A4170" s="1" t="s">
        <v>5046</v>
      </c>
      <c r="B4170" s="1" t="s">
        <v>2183</v>
      </c>
      <c r="C4170" s="2" t="s">
        <v>2184</v>
      </c>
      <c r="D4170" s="1" t="str">
        <f>IFERROR(__xludf.DUMMYFUNCTION("GOOGLETRANSLATE(A4170 , ""auto"", ""ar"")"),"طبيعي")</f>
        <v>طبيعي</v>
      </c>
    </row>
    <row r="4171" ht="15.75" customHeight="1">
      <c r="A4171" s="1" t="s">
        <v>5047</v>
      </c>
      <c r="B4171" s="1" t="s">
        <v>5048</v>
      </c>
      <c r="C4171" s="2" t="s">
        <v>5049</v>
      </c>
      <c r="D4171" s="1" t="str">
        <f>IFERROR(__xludf.DUMMYFUNCTION("GOOGLETRANSLATE(A4171 , ""auto"", ""ar"")"),"شمال")</f>
        <v>شمال</v>
      </c>
    </row>
    <row r="4172" ht="15.75" customHeight="1">
      <c r="A4172" s="1" t="s">
        <v>5050</v>
      </c>
      <c r="B4172" s="1" t="s">
        <v>5051</v>
      </c>
      <c r="C4172" s="2" t="s">
        <v>5052</v>
      </c>
      <c r="D4172" s="1" t="str">
        <f>IFERROR(__xludf.DUMMYFUNCTION("GOOGLETRANSLATE(A4172 , ""auto"", ""ar"")"),"أنف")</f>
        <v>أنف</v>
      </c>
    </row>
    <row r="4173" ht="15.75" customHeight="1">
      <c r="A4173" s="1" t="s">
        <v>5050</v>
      </c>
      <c r="B4173" s="1" t="s">
        <v>5053</v>
      </c>
      <c r="C4173" s="2" t="s">
        <v>5054</v>
      </c>
      <c r="D4173" s="1" t="str">
        <f>IFERROR(__xludf.DUMMYFUNCTION("GOOGLETRANSLATE(A4173 , ""auto"", ""ar"")"),"أنف")</f>
        <v>أنف</v>
      </c>
    </row>
    <row r="4174" ht="15.75" customHeight="1">
      <c r="A4174" s="1" t="s">
        <v>5055</v>
      </c>
      <c r="B4174" s="1" t="s">
        <v>5056</v>
      </c>
      <c r="C4174" s="2" t="s">
        <v>5057</v>
      </c>
      <c r="D4174" s="1" t="str">
        <f>IFERROR(__xludf.DUMMYFUNCTION("GOOGLETRANSLATE(A4174 , ""auto"", ""ar"")"),"لا")</f>
        <v>لا</v>
      </c>
    </row>
    <row r="4175" ht="15.75" customHeight="1">
      <c r="A4175" s="1" t="s">
        <v>5058</v>
      </c>
      <c r="B4175" s="1" t="s">
        <v>5059</v>
      </c>
      <c r="C4175" s="2" t="s">
        <v>5060</v>
      </c>
      <c r="D4175" s="1" t="str">
        <f>IFERROR(__xludf.DUMMYFUNCTION("GOOGLETRANSLATE(A4175 , ""auto"", ""ar"")"),"لا ... أي شيء")</f>
        <v>لا ... أي شيء</v>
      </c>
    </row>
    <row r="4176" ht="15.75" customHeight="1">
      <c r="A4176" s="1" t="s">
        <v>5058</v>
      </c>
      <c r="B4176" s="1" t="s">
        <v>5061</v>
      </c>
      <c r="C4176" s="2" t="s">
        <v>5062</v>
      </c>
      <c r="D4176" s="1" t="str">
        <f>IFERROR(__xludf.DUMMYFUNCTION("GOOGLETRANSLATE(A4176 , ""auto"", ""ar"")"),"لا ... أي شيء")</f>
        <v>لا ... أي شيء</v>
      </c>
    </row>
    <row r="4177" ht="15.75" customHeight="1">
      <c r="A4177" s="1" t="s">
        <v>5063</v>
      </c>
      <c r="B4177" s="1" t="s">
        <v>5064</v>
      </c>
      <c r="C4177" s="2" t="s">
        <v>5065</v>
      </c>
      <c r="D4177" s="1" t="str">
        <f>IFERROR(__xludf.DUMMYFUNCTION("GOOGLETRANSLATE(A4177 , ""auto"", ""ar"")"),"مُطْلَقاً")</f>
        <v>مُطْلَقاً</v>
      </c>
    </row>
    <row r="4178" ht="15.75" customHeight="1">
      <c r="A4178" s="1" t="s">
        <v>5066</v>
      </c>
      <c r="B4178" s="1" t="s">
        <v>5067</v>
      </c>
      <c r="C4178" s="2" t="s">
        <v>5068</v>
      </c>
      <c r="D4178" s="1" t="str">
        <f>IFERROR(__xludf.DUMMYFUNCTION("GOOGLETRANSLATE(A4178 , ""auto"", ""ar"")"),"ليس بعد")</f>
        <v>ليس بعد</v>
      </c>
    </row>
    <row r="4179" ht="15.75" customHeight="1">
      <c r="A4179" s="1" t="s">
        <v>5066</v>
      </c>
      <c r="B4179" s="1" t="s">
        <v>5069</v>
      </c>
      <c r="C4179" s="2" t="s">
        <v>5070</v>
      </c>
      <c r="D4179" s="1" t="str">
        <f>IFERROR(__xludf.DUMMYFUNCTION("GOOGLETRANSLATE(A4179 , ""auto"", ""ar"")"),"ليس بعد")</f>
        <v>ليس بعد</v>
      </c>
    </row>
    <row r="4180" ht="15.75" customHeight="1">
      <c r="A4180" s="1" t="s">
        <v>5066</v>
      </c>
      <c r="B4180" s="1" t="s">
        <v>5071</v>
      </c>
      <c r="C4180" s="1"/>
      <c r="D4180" s="1" t="str">
        <f>IFERROR(__xludf.DUMMYFUNCTION("GOOGLETRANSLATE(A4180 , ""auto"", ""ar"")"),"ليس بعد")</f>
        <v>ليس بعد</v>
      </c>
    </row>
    <row r="4181" ht="15.75" customHeight="1">
      <c r="A4181" s="1" t="s">
        <v>5072</v>
      </c>
      <c r="B4181" s="1" t="s">
        <v>5073</v>
      </c>
      <c r="C4181" s="2" t="s">
        <v>5074</v>
      </c>
      <c r="D4181" s="1" t="str">
        <f>IFERROR(__xludf.DUMMYFUNCTION("GOOGLETRANSLATE(A4181 , ""auto"", ""ar"")"),"كاتب عدل")</f>
        <v>كاتب عدل</v>
      </c>
    </row>
    <row r="4182" ht="15.75" customHeight="1">
      <c r="A4182" s="1" t="s">
        <v>5075</v>
      </c>
      <c r="B4182" s="1" t="s">
        <v>2532</v>
      </c>
      <c r="C4182" s="2" t="s">
        <v>2533</v>
      </c>
      <c r="D4182" s="1" t="str">
        <f>IFERROR(__xludf.DUMMYFUNCTION("GOOGLETRANSLATE(A4182 , ""auto"", ""ar"")"),"دفتر")</f>
        <v>دفتر</v>
      </c>
    </row>
    <row r="4183" ht="15.75" customHeight="1">
      <c r="A4183" s="1" t="s">
        <v>5076</v>
      </c>
      <c r="B4183" s="1" t="s">
        <v>5077</v>
      </c>
      <c r="C4183" s="2" t="s">
        <v>5078</v>
      </c>
      <c r="D4183" s="1" t="str">
        <f>IFERROR(__xludf.DUMMYFUNCTION("GOOGLETRANSLATE(A4183 , ""auto"", ""ar"")"),"لا شئ")</f>
        <v>لا شئ</v>
      </c>
    </row>
    <row r="4184" ht="15.75" customHeight="1">
      <c r="A4184" s="1" t="s">
        <v>5079</v>
      </c>
      <c r="B4184" s="1" t="s">
        <v>5080</v>
      </c>
      <c r="C4184" s="2" t="s">
        <v>5081</v>
      </c>
      <c r="D4184" s="1" t="str">
        <f>IFERROR(__xludf.DUMMYFUNCTION("GOOGLETRANSLATE(A4184 , ""auto"", ""ar"")"),"اسم")</f>
        <v>اسم</v>
      </c>
    </row>
    <row r="4185" ht="15.75" customHeight="1">
      <c r="A4185" s="1" t="s">
        <v>5082</v>
      </c>
      <c r="B4185" s="1" t="s">
        <v>4775</v>
      </c>
      <c r="C4185" s="2" t="s">
        <v>5083</v>
      </c>
      <c r="D4185" s="1" t="str">
        <f>IFERROR(__xludf.DUMMYFUNCTION("GOOGLETRANSLATE(A4185 , ""auto"", ""ar"")"),"شهر نوفمبر")</f>
        <v>شهر نوفمبر</v>
      </c>
    </row>
    <row r="4186" ht="15.75" customHeight="1">
      <c r="A4186" s="1" t="s">
        <v>5082</v>
      </c>
      <c r="B4186" s="1" t="s">
        <v>5084</v>
      </c>
      <c r="C4186" s="1"/>
      <c r="D4186" s="1" t="str">
        <f>IFERROR(__xludf.DUMMYFUNCTION("GOOGLETRANSLATE(A4186 , ""auto"", ""ar"")"),"شهر نوفمبر")</f>
        <v>شهر نوفمبر</v>
      </c>
    </row>
    <row r="4187" ht="15.75" customHeight="1">
      <c r="A4187" s="1" t="s">
        <v>5082</v>
      </c>
      <c r="B4187" s="1" t="s">
        <v>5085</v>
      </c>
      <c r="C4187" s="2" t="s">
        <v>5086</v>
      </c>
      <c r="D4187" s="1" t="str">
        <f>IFERROR(__xludf.DUMMYFUNCTION("GOOGLETRANSLATE(A4187 , ""auto"", ""ar"")"),"شهر نوفمبر")</f>
        <v>شهر نوفمبر</v>
      </c>
    </row>
    <row r="4188" ht="15.75" customHeight="1">
      <c r="A4188" s="1" t="s">
        <v>5087</v>
      </c>
      <c r="B4188" s="1" t="s">
        <v>5088</v>
      </c>
      <c r="C4188" s="2" t="s">
        <v>5089</v>
      </c>
      <c r="D4188" s="1" t="str">
        <f>IFERROR(__xludf.DUMMYFUNCTION("GOOGLETRANSLATE(A4188 , ""auto"", ""ar"")"),"الآن")</f>
        <v>الآن</v>
      </c>
    </row>
    <row r="4189" ht="15.75" customHeight="1">
      <c r="A4189" s="1" t="s">
        <v>5087</v>
      </c>
      <c r="B4189" s="1" t="s">
        <v>5090</v>
      </c>
      <c r="C4189" s="2" t="s">
        <v>5091</v>
      </c>
      <c r="D4189" s="1" t="str">
        <f>IFERROR(__xludf.DUMMYFUNCTION("GOOGLETRANSLATE(A4189 , ""auto"", ""ar"")"),"الآن")</f>
        <v>الآن</v>
      </c>
    </row>
    <row r="4190" ht="15.75" customHeight="1">
      <c r="A4190" s="1" t="s">
        <v>5087</v>
      </c>
      <c r="B4190" s="1" t="s">
        <v>5092</v>
      </c>
      <c r="C4190" s="2" t="s">
        <v>5093</v>
      </c>
      <c r="D4190" s="1" t="str">
        <f>IFERROR(__xludf.DUMMYFUNCTION("GOOGLETRANSLATE(A4190 , ""auto"", ""ar"")"),"الآن")</f>
        <v>الآن</v>
      </c>
    </row>
    <row r="4191" ht="15.75" customHeight="1">
      <c r="A4191" s="1" t="s">
        <v>5094</v>
      </c>
      <c r="B4191" s="1" t="s">
        <v>5095</v>
      </c>
      <c r="C4191" s="2" t="s">
        <v>5096</v>
      </c>
      <c r="D4191" s="1" t="str">
        <f>IFERROR(__xludf.DUMMYFUNCTION("GOOGLETRANSLATE(A4191 , ""auto"", ""ar"")"),"في أي مكان")</f>
        <v>في أي مكان</v>
      </c>
    </row>
    <row r="4192" ht="15.75" customHeight="1">
      <c r="A4192" s="1" t="s">
        <v>5097</v>
      </c>
      <c r="B4192" s="1" t="s">
        <v>5098</v>
      </c>
      <c r="C4192" s="2" t="s">
        <v>5099</v>
      </c>
      <c r="D4192" s="1" t="str">
        <f>IFERROR(__xludf.DUMMYFUNCTION("GOOGLETRANSLATE(A4192 , ""auto"", ""ar"")"),"رقم")</f>
        <v>رقم</v>
      </c>
    </row>
    <row r="4193" ht="15.75" customHeight="1">
      <c r="A4193" s="1" t="s">
        <v>5097</v>
      </c>
      <c r="B4193" s="1" t="s">
        <v>5100</v>
      </c>
      <c r="C4193" s="2" t="s">
        <v>5101</v>
      </c>
      <c r="D4193" s="1" t="str">
        <f>IFERROR(__xludf.DUMMYFUNCTION("GOOGLETRANSLATE(A4193 , ""auto"", ""ar"")"),"رقم")</f>
        <v>رقم</v>
      </c>
    </row>
    <row r="4194" ht="15.75" customHeight="1">
      <c r="A4194" s="1" t="s">
        <v>5102</v>
      </c>
      <c r="B4194" s="1" t="s">
        <v>5103</v>
      </c>
      <c r="C4194" s="2" t="s">
        <v>5104</v>
      </c>
      <c r="D4194" s="1" t="str">
        <f>IFERROR(__xludf.DUMMYFUNCTION("GOOGLETRANSLATE(A4194 , ""auto"", ""ar"")"),"ممرضة")</f>
        <v>ممرضة</v>
      </c>
    </row>
    <row r="4195" ht="15.75" customHeight="1">
      <c r="A4195" s="1" t="s">
        <v>5105</v>
      </c>
      <c r="B4195" s="1" t="s">
        <v>5106</v>
      </c>
      <c r="C4195" s="2" t="s">
        <v>5107</v>
      </c>
      <c r="D4195" s="1" t="str">
        <f>IFERROR(__xludf.DUMMYFUNCTION("GOOGLETRANSLATE(A4195 , ""auto"", ""ar"")"),"بندق")</f>
        <v>بندق</v>
      </c>
    </row>
    <row r="4196" ht="15.75" customHeight="1">
      <c r="A4196" s="1" t="s">
        <v>466</v>
      </c>
      <c r="B4196" s="1" t="s">
        <v>467</v>
      </c>
      <c r="C4196" s="2" t="s">
        <v>468</v>
      </c>
      <c r="D4196" s="1" t="str">
        <f>IFERROR(__xludf.DUMMYFUNCTION("GOOGLETRANSLATE(A4196 , ""auto"", ""ar"")"),"اسم العائلة")</f>
        <v>اسم العائلة</v>
      </c>
    </row>
    <row r="4197" ht="15.75" customHeight="1">
      <c r="A4197" s="1" t="s">
        <v>43</v>
      </c>
      <c r="B4197" s="1" t="s">
        <v>44</v>
      </c>
      <c r="C4197" s="2" t="s">
        <v>45</v>
      </c>
      <c r="D4197" s="1" t="str">
        <f>IFERROR(__xludf.DUMMYFUNCTION("GOOGLETRANSLATE(A4197 , ""auto"", ""ar"")"),"مقبول")</f>
        <v>مقبول</v>
      </c>
    </row>
    <row r="4198" ht="15.75" customHeight="1">
      <c r="A4198" s="1" t="s">
        <v>469</v>
      </c>
      <c r="B4198" s="1" t="s">
        <v>470</v>
      </c>
      <c r="C4198" s="2" t="s">
        <v>471</v>
      </c>
      <c r="D4198" s="1" t="str">
        <f>IFERROR(__xludf.DUMMYFUNCTION("GOOGLETRANSLATE(A4198 , ""auto"", ""ar"")"),"التصالح")</f>
        <v>التصالح</v>
      </c>
    </row>
    <row r="4199" ht="15.75" customHeight="1">
      <c r="A4199" s="1" t="s">
        <v>472</v>
      </c>
      <c r="B4199" s="1" t="s">
        <v>473</v>
      </c>
      <c r="C4199" s="2" t="s">
        <v>474</v>
      </c>
      <c r="D4199" s="1" t="str">
        <f>IFERROR(__xludf.DUMMYFUNCTION("GOOGLETRANSLATE(A4199 , ""auto"", ""ar"")"),"مغفرة")</f>
        <v>مغفرة</v>
      </c>
    </row>
    <row r="4200" ht="15.75" customHeight="1">
      <c r="A4200" s="1" t="s">
        <v>475</v>
      </c>
      <c r="B4200" s="1" t="s">
        <v>476</v>
      </c>
      <c r="C4200" s="2" t="s">
        <v>477</v>
      </c>
      <c r="D4200" s="1" t="str">
        <f>IFERROR(__xludf.DUMMYFUNCTION("GOOGLETRANSLATE(A4200 , ""auto"", ""ar"")"),"يخبر")</f>
        <v>يخبر</v>
      </c>
    </row>
    <row r="4201" ht="15.75" customHeight="1">
      <c r="A4201" s="1" t="s">
        <v>5108</v>
      </c>
      <c r="B4201" s="1" t="s">
        <v>5109</v>
      </c>
      <c r="C4201" s="2" t="s">
        <v>5110</v>
      </c>
      <c r="D4201" s="1" t="str">
        <f>IFERROR(__xludf.DUMMYFUNCTION("GOOGLETRANSLATE(A4201 , ""auto"", ""ar"")"),"يطيع")</f>
        <v>يطيع</v>
      </c>
    </row>
    <row r="4202" ht="15.75" customHeight="1">
      <c r="A4202" s="1" t="s">
        <v>5111</v>
      </c>
      <c r="B4202" s="1" t="s">
        <v>5112</v>
      </c>
      <c r="C4202" s="2" t="s">
        <v>5113</v>
      </c>
      <c r="D4202" s="1" t="str">
        <f>IFERROR(__xludf.DUMMYFUNCTION("GOOGLETRANSLATE(A4202 , ""auto"", ""ar"")"),"محيط")</f>
        <v>محيط</v>
      </c>
    </row>
    <row r="4203" ht="15.75" customHeight="1">
      <c r="A4203" s="1" t="s">
        <v>5114</v>
      </c>
      <c r="B4203" s="1" t="s">
        <v>4775</v>
      </c>
      <c r="C4203" s="2" t="s">
        <v>5115</v>
      </c>
      <c r="D4203" s="1" t="str">
        <f>IFERROR(__xludf.DUMMYFUNCTION("GOOGLETRANSLATE(A4203 , ""auto"", ""ar"")"),"اكتوبر")</f>
        <v>اكتوبر</v>
      </c>
    </row>
    <row r="4204" ht="15.75" customHeight="1">
      <c r="A4204" s="1" t="s">
        <v>5114</v>
      </c>
      <c r="B4204" s="1" t="s">
        <v>5116</v>
      </c>
      <c r="C4204" s="2" t="s">
        <v>5117</v>
      </c>
      <c r="D4204" s="1" t="str">
        <f>IFERROR(__xludf.DUMMYFUNCTION("GOOGLETRANSLATE(A4204 , ""auto"", ""ar"")"),"اكتوبر")</f>
        <v>اكتوبر</v>
      </c>
    </row>
    <row r="4205" ht="15.75" customHeight="1">
      <c r="A4205" s="1" t="s">
        <v>5118</v>
      </c>
      <c r="B4205" s="1" t="s">
        <v>708</v>
      </c>
      <c r="C4205" s="2" t="s">
        <v>709</v>
      </c>
      <c r="D4205" s="1" t="str">
        <f>IFERROR(__xludf.DUMMYFUNCTION("GOOGLETRANSLATE(A4205 , ""auto"", ""ar"")"),"ل")</f>
        <v>ل</v>
      </c>
    </row>
    <row r="4206" ht="15.75" customHeight="1">
      <c r="A4206" s="1" t="s">
        <v>5118</v>
      </c>
      <c r="B4206" s="1" t="s">
        <v>708</v>
      </c>
      <c r="C4206" s="2" t="s">
        <v>709</v>
      </c>
      <c r="D4206" s="1" t="str">
        <f>IFERROR(__xludf.DUMMYFUNCTION("GOOGLETRANSLATE(A4206 , ""auto"", ""ar"")"),"ل")</f>
        <v>ل</v>
      </c>
    </row>
    <row r="4207" ht="15.75" customHeight="1">
      <c r="A4207" s="1" t="s">
        <v>5118</v>
      </c>
      <c r="B4207" s="1" t="s">
        <v>5119</v>
      </c>
      <c r="C4207" s="2" t="s">
        <v>5120</v>
      </c>
      <c r="D4207" s="1" t="str">
        <f>IFERROR(__xludf.DUMMYFUNCTION("GOOGLETRANSLATE(A4207 , ""auto"", ""ar"")"),"ل")</f>
        <v>ل</v>
      </c>
    </row>
    <row r="4208" ht="15.75" customHeight="1">
      <c r="A4208" s="1" t="s">
        <v>5121</v>
      </c>
      <c r="B4208" s="1" t="s">
        <v>5122</v>
      </c>
      <c r="C4208" s="2" t="s">
        <v>5123</v>
      </c>
      <c r="D4208" s="1" t="str">
        <f>IFERROR(__xludf.DUMMYFUNCTION("GOOGLETRANSLATE(A4208 , ""auto"", ""ar"")"),"بالطبع")</f>
        <v>بالطبع</v>
      </c>
    </row>
    <row r="4209" ht="15.75" customHeight="1">
      <c r="A4209" s="1" t="s">
        <v>5121</v>
      </c>
      <c r="B4209" s="1" t="s">
        <v>5124</v>
      </c>
      <c r="C4209" s="2" t="s">
        <v>5125</v>
      </c>
      <c r="D4209" s="1" t="str">
        <f>IFERROR(__xludf.DUMMYFUNCTION("GOOGLETRANSLATE(A4209 , ""auto"", ""ar"")"),"بالطبع")</f>
        <v>بالطبع</v>
      </c>
    </row>
    <row r="4210" ht="15.75" customHeight="1">
      <c r="A4210" s="1" t="s">
        <v>5121</v>
      </c>
      <c r="B4210" s="1" t="s">
        <v>5126</v>
      </c>
      <c r="C4210" s="2" t="s">
        <v>5127</v>
      </c>
      <c r="D4210" s="1" t="str">
        <f>IFERROR(__xludf.DUMMYFUNCTION("GOOGLETRANSLATE(A4210 , ""auto"", ""ar"")"),"بالطبع")</f>
        <v>بالطبع</v>
      </c>
    </row>
    <row r="4211" ht="15.75" customHeight="1">
      <c r="A4211" s="1" t="s">
        <v>5128</v>
      </c>
      <c r="B4211" s="1" t="s">
        <v>5129</v>
      </c>
      <c r="C4211" s="2" t="s">
        <v>5130</v>
      </c>
      <c r="D4211" s="1" t="str">
        <f>IFERROR(__xludf.DUMMYFUNCTION("GOOGLETRANSLATE(A4211 , ""auto"", ""ar"")"),"عن")</f>
        <v>عن</v>
      </c>
    </row>
    <row r="4212" ht="15.75" customHeight="1">
      <c r="A4212" s="1" t="s">
        <v>5131</v>
      </c>
      <c r="B4212" s="1" t="s">
        <v>2019</v>
      </c>
      <c r="C4212" s="2" t="s">
        <v>2020</v>
      </c>
      <c r="D4212" s="1" t="str">
        <f>IFERROR(__xludf.DUMMYFUNCTION("GOOGLETRANSLATE(A4212 , ""auto"", ""ar"")"),"مكتب")</f>
        <v>مكتب</v>
      </c>
    </row>
    <row r="4213" ht="15.75" customHeight="1">
      <c r="A4213" s="1" t="s">
        <v>5131</v>
      </c>
      <c r="B4213" s="1" t="s">
        <v>2021</v>
      </c>
      <c r="C4213" s="2" t="s">
        <v>2022</v>
      </c>
      <c r="D4213" s="1" t="str">
        <f>IFERROR(__xludf.DUMMYFUNCTION("GOOGLETRANSLATE(A4213 , ""auto"", ""ar"")"),"مكتب")</f>
        <v>مكتب</v>
      </c>
    </row>
    <row r="4214" ht="15.75" customHeight="1">
      <c r="A4214" s="1" t="s">
        <v>5132</v>
      </c>
      <c r="B4214" s="1" t="s">
        <v>5133</v>
      </c>
      <c r="C4214" s="2" t="s">
        <v>5134</v>
      </c>
      <c r="D4214" s="1" t="str">
        <f>IFERROR(__xludf.DUMMYFUNCTION("GOOGLETRANSLATE(A4214 , ""auto"", ""ar"")"),"غالباً")</f>
        <v>غالباً</v>
      </c>
    </row>
    <row r="4215" ht="15.75" customHeight="1">
      <c r="A4215" s="1" t="s">
        <v>5132</v>
      </c>
      <c r="B4215" s="1" t="s">
        <v>5135</v>
      </c>
      <c r="C4215" s="1"/>
      <c r="D4215" s="1" t="str">
        <f>IFERROR(__xludf.DUMMYFUNCTION("GOOGLETRANSLATE(A4215 , ""auto"", ""ar"")"),"غالباً")</f>
        <v>غالباً</v>
      </c>
    </row>
    <row r="4216" ht="15.75" customHeight="1">
      <c r="A4216" s="1" t="s">
        <v>5136</v>
      </c>
      <c r="B4216" s="1" t="s">
        <v>5137</v>
      </c>
      <c r="C4216" s="1"/>
      <c r="D4216" s="1" t="str">
        <f>IFERROR(__xludf.DUMMYFUNCTION("GOOGLETRANSLATE(A4216 , ""auto"", ""ar"")"),"يا الهي!")</f>
        <v>يا الهي!</v>
      </c>
    </row>
    <row r="4217" ht="15.75" customHeight="1">
      <c r="A4217" s="1" t="s">
        <v>5136</v>
      </c>
      <c r="B4217" s="1" t="s">
        <v>5138</v>
      </c>
      <c r="C4217" s="1"/>
      <c r="D4217" s="1" t="str">
        <f>IFERROR(__xludf.DUMMYFUNCTION("GOOGLETRANSLATE(A4217 , ""auto"", ""ar"")"),"يا الهي!")</f>
        <v>يا الهي!</v>
      </c>
    </row>
    <row r="4218" ht="15.75" customHeight="1">
      <c r="A4218" s="1" t="s">
        <v>5136</v>
      </c>
      <c r="B4218" s="1" t="s">
        <v>5139</v>
      </c>
      <c r="C4218" s="1"/>
      <c r="D4218" s="1" t="str">
        <f>IFERROR(__xludf.DUMMYFUNCTION("GOOGLETRANSLATE(A4218 , ""auto"", ""ar"")"),"يا الهي!")</f>
        <v>يا الهي!</v>
      </c>
    </row>
    <row r="4219" ht="15.75" customHeight="1">
      <c r="A4219" s="1" t="s">
        <v>5140</v>
      </c>
      <c r="B4219" s="1" t="s">
        <v>5141</v>
      </c>
      <c r="C4219" s="2" t="s">
        <v>5142</v>
      </c>
      <c r="D4219" s="1" t="str">
        <f>IFERROR(__xludf.DUMMYFUNCTION("GOOGLETRANSLATE(A4219 , ""auto"", ""ar"")"),"زيت")</f>
        <v>زيت</v>
      </c>
    </row>
    <row r="4220" ht="15.75" customHeight="1">
      <c r="A4220" s="1" t="s">
        <v>5143</v>
      </c>
      <c r="B4220" s="1" t="s">
        <v>2728</v>
      </c>
      <c r="C4220" s="2" t="s">
        <v>2729</v>
      </c>
      <c r="D4220" s="1" t="str">
        <f>IFERROR(__xludf.DUMMYFUNCTION("GOOGLETRANSLATE(A4220 , ""auto"", ""ar"")"),"نعم")</f>
        <v>نعم</v>
      </c>
    </row>
    <row r="4221" ht="15.75" customHeight="1">
      <c r="A4221" s="1" t="s">
        <v>5143</v>
      </c>
      <c r="B4221" s="1" t="s">
        <v>2730</v>
      </c>
      <c r="C4221" s="2" t="s">
        <v>2731</v>
      </c>
      <c r="D4221" s="1" t="str">
        <f>IFERROR(__xludf.DUMMYFUNCTION("GOOGLETRANSLATE(A4221 , ""auto"", ""ar"")"),"نعم")</f>
        <v>نعم</v>
      </c>
    </row>
    <row r="4222" ht="15.75" customHeight="1">
      <c r="A4222" s="1" t="s">
        <v>5143</v>
      </c>
      <c r="B4222" s="1" t="s">
        <v>5144</v>
      </c>
      <c r="C4222" s="2" t="s">
        <v>2027</v>
      </c>
      <c r="D4222" s="1" t="str">
        <f>IFERROR(__xludf.DUMMYFUNCTION("GOOGLETRANSLATE(A4222 , ""auto"", ""ar"")"),"نعم")</f>
        <v>نعم</v>
      </c>
    </row>
    <row r="4223" ht="15.75" customHeight="1">
      <c r="A4223" s="1" t="s">
        <v>5145</v>
      </c>
      <c r="B4223" s="1" t="s">
        <v>2728</v>
      </c>
      <c r="C4223" s="2" t="s">
        <v>2729</v>
      </c>
      <c r="D4223" s="1" t="str">
        <f>IFERROR(__xludf.DUMMYFUNCTION("GOOGLETRANSLATE(A4223 , ""auto"", ""ar"")"),"تمام")</f>
        <v>تمام</v>
      </c>
    </row>
    <row r="4224" ht="15.75" customHeight="1">
      <c r="A4224" s="1" t="s">
        <v>5145</v>
      </c>
      <c r="B4224" s="1" t="s">
        <v>2730</v>
      </c>
      <c r="C4224" s="2" t="s">
        <v>2731</v>
      </c>
      <c r="D4224" s="1" t="str">
        <f>IFERROR(__xludf.DUMMYFUNCTION("GOOGLETRANSLATE(A4224 , ""auto"", ""ar"")"),"تمام")</f>
        <v>تمام</v>
      </c>
    </row>
    <row r="4225" ht="15.75" customHeight="1">
      <c r="A4225" s="1" t="s">
        <v>5145</v>
      </c>
      <c r="B4225" s="1" t="s">
        <v>5144</v>
      </c>
      <c r="C4225" s="2" t="s">
        <v>2027</v>
      </c>
      <c r="D4225" s="1" t="str">
        <f>IFERROR(__xludf.DUMMYFUNCTION("GOOGLETRANSLATE(A4225 , ""auto"", ""ar"")"),"تمام")</f>
        <v>تمام</v>
      </c>
    </row>
    <row r="4226" ht="15.75" customHeight="1">
      <c r="A4226" s="1" t="s">
        <v>5146</v>
      </c>
      <c r="B4226" s="1" t="s">
        <v>261</v>
      </c>
      <c r="C4226" s="2" t="s">
        <v>262</v>
      </c>
      <c r="D4226" s="1" t="str">
        <f>IFERROR(__xludf.DUMMYFUNCTION("GOOGLETRANSLATE(A4226 , ""auto"", ""ar"")"),"قديم")</f>
        <v>قديم</v>
      </c>
    </row>
    <row r="4227" ht="15.75" customHeight="1">
      <c r="A4227" s="1" t="s">
        <v>5146</v>
      </c>
      <c r="B4227" s="1" t="s">
        <v>755</v>
      </c>
      <c r="C4227" s="2" t="s">
        <v>756</v>
      </c>
      <c r="D4227" s="1" t="str">
        <f>IFERROR(__xludf.DUMMYFUNCTION("GOOGLETRANSLATE(A4227 , ""auto"", ""ar"")"),"قديم")</f>
        <v>قديم</v>
      </c>
    </row>
    <row r="4228" ht="15.75" customHeight="1">
      <c r="A4228" s="1" t="s">
        <v>5146</v>
      </c>
      <c r="B4228" s="1" t="s">
        <v>5147</v>
      </c>
      <c r="C4228" s="2" t="s">
        <v>5148</v>
      </c>
      <c r="D4228" s="1" t="str">
        <f>IFERROR(__xludf.DUMMYFUNCTION("GOOGLETRANSLATE(A4228 , ""auto"", ""ar"")"),"قديم")</f>
        <v>قديم</v>
      </c>
    </row>
    <row r="4229" ht="15.75" customHeight="1">
      <c r="A4229" s="1" t="s">
        <v>5149</v>
      </c>
      <c r="B4229" s="1" t="s">
        <v>5150</v>
      </c>
      <c r="C4229" s="2" t="s">
        <v>5151</v>
      </c>
      <c r="D4229" s="1" t="str">
        <f>IFERROR(__xludf.DUMMYFUNCTION("GOOGLETRANSLATE(A4229 , ""auto"", ""ar"")"),"اكبر سنا")</f>
        <v>اكبر سنا</v>
      </c>
    </row>
    <row r="4230" ht="15.75" customHeight="1">
      <c r="A4230" s="1" t="s">
        <v>5149</v>
      </c>
      <c r="B4230" s="1" t="s">
        <v>758</v>
      </c>
      <c r="C4230" s="2" t="s">
        <v>759</v>
      </c>
      <c r="D4230" s="1" t="str">
        <f>IFERROR(__xludf.DUMMYFUNCTION("GOOGLETRANSLATE(A4230 , ""auto"", ""ar"")"),"اكبر سنا")</f>
        <v>اكبر سنا</v>
      </c>
    </row>
    <row r="4231" ht="15.75" customHeight="1">
      <c r="A4231" s="1" t="s">
        <v>5152</v>
      </c>
      <c r="B4231" s="1" t="s">
        <v>5153</v>
      </c>
      <c r="C4231" s="2" t="s">
        <v>5154</v>
      </c>
      <c r="D4231" s="1" t="str">
        <f>IFERROR(__xludf.DUMMYFUNCTION("GOOGLETRANSLATE(A4231 , ""auto"", ""ar"")"),"زيتون")</f>
        <v>زيتون</v>
      </c>
    </row>
    <row r="4232" ht="15.75" customHeight="1">
      <c r="A4232" s="1" t="s">
        <v>5155</v>
      </c>
      <c r="B4232" s="1" t="s">
        <v>5141</v>
      </c>
      <c r="C4232" s="1"/>
      <c r="D4232" s="1" t="str">
        <f>IFERROR(__xludf.DUMMYFUNCTION("GOOGLETRANSLATE(A4232 , ""auto"", ""ar"")"),"زيت الزيتون")</f>
        <v>زيت الزيتون</v>
      </c>
    </row>
    <row r="4233" ht="15.75" customHeight="1">
      <c r="A4233" s="1" t="s">
        <v>5155</v>
      </c>
      <c r="B4233" s="1" t="s">
        <v>5141</v>
      </c>
      <c r="C4233" s="2" t="s">
        <v>5156</v>
      </c>
      <c r="D4233" s="1" t="str">
        <f>IFERROR(__xludf.DUMMYFUNCTION("GOOGLETRANSLATE(A4233 , ""auto"", ""ar"")"),"زيت الزيتون")</f>
        <v>زيت الزيتون</v>
      </c>
    </row>
    <row r="4234" ht="15.75" customHeight="1">
      <c r="A4234" s="1" t="s">
        <v>5157</v>
      </c>
      <c r="B4234" s="1" t="s">
        <v>5158</v>
      </c>
      <c r="C4234" s="2" t="s">
        <v>5159</v>
      </c>
      <c r="D4234" s="1" t="str">
        <f>IFERROR(__xludf.DUMMYFUNCTION("GOOGLETRANSLATE(A4234 , ""auto"", ""ar"")"),"على")</f>
        <v>على</v>
      </c>
    </row>
    <row r="4235" ht="15.75" customHeight="1">
      <c r="A4235" s="1" t="s">
        <v>5157</v>
      </c>
      <c r="B4235" s="1" t="s">
        <v>409</v>
      </c>
      <c r="C4235" s="2" t="s">
        <v>3770</v>
      </c>
      <c r="D4235" s="1" t="str">
        <f>IFERROR(__xludf.DUMMYFUNCTION("GOOGLETRANSLATE(A4235 , ""auto"", ""ar"")"),"على")</f>
        <v>على</v>
      </c>
    </row>
    <row r="4236" ht="15.75" customHeight="1">
      <c r="A4236" s="1" t="s">
        <v>5157</v>
      </c>
      <c r="B4236" s="1" t="s">
        <v>5160</v>
      </c>
      <c r="C4236" s="2" t="s">
        <v>5161</v>
      </c>
      <c r="D4236" s="1" t="str">
        <f>IFERROR(__xludf.DUMMYFUNCTION("GOOGLETRANSLATE(A4236 , ""auto"", ""ar"")"),"على")</f>
        <v>على</v>
      </c>
    </row>
    <row r="4237" ht="15.75" customHeight="1">
      <c r="A4237" s="1" t="s">
        <v>5157</v>
      </c>
      <c r="B4237" s="1" t="s">
        <v>5162</v>
      </c>
      <c r="C4237" s="2" t="s">
        <v>5163</v>
      </c>
      <c r="D4237" s="1" t="str">
        <f>IFERROR(__xludf.DUMMYFUNCTION("GOOGLETRANSLATE(A4237 , ""auto"", ""ar"")"),"على")</f>
        <v>على</v>
      </c>
    </row>
    <row r="4238" ht="15.75" customHeight="1">
      <c r="A4238" s="1" t="s">
        <v>5164</v>
      </c>
      <c r="B4238" s="1" t="s">
        <v>5165</v>
      </c>
      <c r="C4238" s="1"/>
      <c r="D4238" s="1" t="str">
        <f>IFERROR(__xludf.DUMMYFUNCTION("GOOGLETRANSLATE(A4238 , ""auto"", ""ar"")"),"في كل أربع")</f>
        <v>في كل أربع</v>
      </c>
    </row>
    <row r="4239" ht="15.75" customHeight="1">
      <c r="A4239" s="1" t="s">
        <v>5166</v>
      </c>
      <c r="B4239" s="1" t="s">
        <v>5167</v>
      </c>
      <c r="C4239" s="1"/>
      <c r="D4239" s="1" t="str">
        <f>IFERROR(__xludf.DUMMYFUNCTION("GOOGLETRANSLATE(A4239 , ""auto"", ""ar"")"),"سيرا على الاقدام")</f>
        <v>سيرا على الاقدام</v>
      </c>
    </row>
    <row r="4240" ht="15.75" customHeight="1">
      <c r="A4240" s="1" t="s">
        <v>5168</v>
      </c>
      <c r="B4240" s="1" t="s">
        <v>2785</v>
      </c>
      <c r="C4240" s="1"/>
      <c r="D4240" s="1" t="str">
        <f>IFERROR(__xludf.DUMMYFUNCTION("GOOGLETRANSLATE(A4240 , ""auto"", ""ar"")"),"على النقطة")</f>
        <v>على النقطة</v>
      </c>
    </row>
    <row r="4241" ht="15.75" customHeight="1">
      <c r="A4241" s="1" t="s">
        <v>5168</v>
      </c>
      <c r="B4241" s="1" t="s">
        <v>5169</v>
      </c>
      <c r="C4241" s="1"/>
      <c r="D4241" s="1" t="str">
        <f>IFERROR(__xludf.DUMMYFUNCTION("GOOGLETRANSLATE(A4241 , ""auto"", ""ar"")"),"على النقطة")</f>
        <v>على النقطة</v>
      </c>
    </row>
    <row r="4242" ht="15.75" customHeight="1">
      <c r="A4242" s="1" t="s">
        <v>5168</v>
      </c>
      <c r="B4242" s="1" t="s">
        <v>5170</v>
      </c>
      <c r="C4242" s="2" t="s">
        <v>5171</v>
      </c>
      <c r="D4242" s="1" t="str">
        <f>IFERROR(__xludf.DUMMYFUNCTION("GOOGLETRANSLATE(A4242 , ""auto"", ""ar"")"),"على النقطة")</f>
        <v>على النقطة</v>
      </c>
    </row>
    <row r="4243" ht="15.75" customHeight="1">
      <c r="A4243" s="1" t="s">
        <v>5172</v>
      </c>
      <c r="B4243" s="1" t="s">
        <v>5158</v>
      </c>
      <c r="C4243" s="2" t="s">
        <v>5159</v>
      </c>
      <c r="D4243" s="1" t="str">
        <f>IFERROR(__xludf.DUMMYFUNCTION("GOOGLETRANSLATE(A4243 , ""auto"", ""ar"")"),"في قمة ال")</f>
        <v>في قمة ال</v>
      </c>
    </row>
    <row r="4244" ht="15.75" customHeight="1">
      <c r="A4244" s="1" t="s">
        <v>5173</v>
      </c>
      <c r="B4244" s="1" t="s">
        <v>5174</v>
      </c>
      <c r="C4244" s="2" t="s">
        <v>5175</v>
      </c>
      <c r="D4244" s="1" t="str">
        <f>IFERROR(__xludf.DUMMYFUNCTION("GOOGLETRANSLATE(A4244 , ""auto"", ""ar"")"),"واحد")</f>
        <v>واحد</v>
      </c>
    </row>
    <row r="4245" ht="15.75" customHeight="1">
      <c r="A4245" s="1" t="s">
        <v>5176</v>
      </c>
      <c r="B4245" s="1" t="s">
        <v>2287</v>
      </c>
      <c r="C4245" s="1"/>
      <c r="D4245" s="1" t="str">
        <f>IFERROR(__xludf.DUMMYFUNCTION("GOOGLETRANSLATE(A4245 , ""auto"", ""ar"")"),"واحد اخر")</f>
        <v>واحد اخر</v>
      </c>
    </row>
    <row r="4246" ht="15.75" customHeight="1">
      <c r="A4246" s="1" t="s">
        <v>5177</v>
      </c>
      <c r="B4246" s="1" t="s">
        <v>3481</v>
      </c>
      <c r="C4246" s="1"/>
      <c r="D4246" s="1" t="str">
        <f>IFERROR(__xludf.DUMMYFUNCTION("GOOGLETRANSLATE(A4246 , ""auto"", ""ar"")"),"نفسه - ذاته")</f>
        <v>نفسه - ذاته</v>
      </c>
    </row>
    <row r="4247" ht="15.75" customHeight="1">
      <c r="A4247" s="1" t="s">
        <v>5178</v>
      </c>
      <c r="B4247" s="1" t="s">
        <v>5179</v>
      </c>
      <c r="C4247" s="2" t="s">
        <v>5180</v>
      </c>
      <c r="D4247" s="1" t="str">
        <f>IFERROR(__xludf.DUMMYFUNCTION("GOOGLETRANSLATE(A4247 , ""auto"", ""ar"")"),"بصلة")</f>
        <v>بصلة</v>
      </c>
    </row>
    <row r="4248" ht="15.75" customHeight="1">
      <c r="A4248" s="1" t="s">
        <v>5181</v>
      </c>
      <c r="B4248" s="1" t="s">
        <v>4055</v>
      </c>
      <c r="C4248" s="2" t="s">
        <v>4056</v>
      </c>
      <c r="D4248" s="1" t="str">
        <f>IFERROR(__xludf.DUMMYFUNCTION("GOOGLETRANSLATE(A4248 , ""auto"", ""ar"")"),"فقط")</f>
        <v>فقط</v>
      </c>
    </row>
    <row r="4249" ht="15.75" customHeight="1">
      <c r="A4249" s="1" t="s">
        <v>5182</v>
      </c>
      <c r="B4249" s="1" t="s">
        <v>5183</v>
      </c>
      <c r="C4249" s="2" t="s">
        <v>5184</v>
      </c>
      <c r="D4249" s="1" t="str">
        <f>IFERROR(__xludf.DUMMYFUNCTION("GOOGLETRANSLATE(A4249 , ""auto"", ""ar"")"),"يفتح")</f>
        <v>يفتح</v>
      </c>
    </row>
    <row r="4250" ht="15.75" customHeight="1">
      <c r="A4250" s="1" t="s">
        <v>5182</v>
      </c>
      <c r="B4250" s="1" t="s">
        <v>5185</v>
      </c>
      <c r="C4250" s="2" t="s">
        <v>5186</v>
      </c>
      <c r="D4250" s="1" t="str">
        <f>IFERROR(__xludf.DUMMYFUNCTION("GOOGLETRANSLATE(A4250 , ""auto"", ""ar"")"),"يفتح")</f>
        <v>يفتح</v>
      </c>
    </row>
    <row r="4251" ht="15.75" customHeight="1">
      <c r="A4251" s="1" t="s">
        <v>5182</v>
      </c>
      <c r="B4251" s="1" t="s">
        <v>5187</v>
      </c>
      <c r="C4251" s="2" t="s">
        <v>5188</v>
      </c>
      <c r="D4251" s="1" t="str">
        <f>IFERROR(__xludf.DUMMYFUNCTION("GOOGLETRANSLATE(A4251 , ""auto"", ""ar"")"),"يفتح")</f>
        <v>يفتح</v>
      </c>
    </row>
    <row r="4252" ht="15.75" customHeight="1">
      <c r="A4252" s="1" t="s">
        <v>5182</v>
      </c>
      <c r="B4252" s="1" t="s">
        <v>5189</v>
      </c>
      <c r="C4252" s="2" t="s">
        <v>5190</v>
      </c>
      <c r="D4252" s="1" t="str">
        <f>IFERROR(__xludf.DUMMYFUNCTION("GOOGLETRANSLATE(A4252 , ""auto"", ""ar"")"),"يفتح")</f>
        <v>يفتح</v>
      </c>
    </row>
    <row r="4253" ht="15.75" customHeight="1">
      <c r="A4253" s="1" t="s">
        <v>5182</v>
      </c>
      <c r="B4253" s="1" t="s">
        <v>4311</v>
      </c>
      <c r="C4253" s="2" t="s">
        <v>4312</v>
      </c>
      <c r="D4253" s="1" t="str">
        <f>IFERROR(__xludf.DUMMYFUNCTION("GOOGLETRANSLATE(A4253 , ""auto"", ""ar"")"),"يفتح")</f>
        <v>يفتح</v>
      </c>
    </row>
    <row r="4254" ht="15.75" customHeight="1">
      <c r="A4254" s="1" t="s">
        <v>5191</v>
      </c>
      <c r="B4254" s="1" t="s">
        <v>5192</v>
      </c>
      <c r="C4254" s="2" t="s">
        <v>5193</v>
      </c>
      <c r="D4254" s="1" t="str">
        <f>IFERROR(__xludf.DUMMYFUNCTION("GOOGLETRANSLATE(A4254 , ""auto"", ""ar"")"),"عملية")</f>
        <v>عملية</v>
      </c>
    </row>
    <row r="4255" ht="15.75" customHeight="1">
      <c r="A4255" s="1" t="s">
        <v>5194</v>
      </c>
      <c r="B4255" s="1" t="s">
        <v>5195</v>
      </c>
      <c r="C4255" s="2" t="s">
        <v>5196</v>
      </c>
      <c r="D4255" s="1" t="str">
        <f>IFERROR(__xludf.DUMMYFUNCTION("GOOGLETRANSLATE(A4255 , ""auto"", ""ar"")"),"رأي")</f>
        <v>رأي</v>
      </c>
    </row>
    <row r="4256" ht="15.75" customHeight="1">
      <c r="A4256" s="1" t="s">
        <v>5194</v>
      </c>
      <c r="B4256" s="1" t="s">
        <v>5197</v>
      </c>
      <c r="C4256" s="1"/>
      <c r="D4256" s="1" t="str">
        <f>IFERROR(__xludf.DUMMYFUNCTION("GOOGLETRANSLATE(A4256 , ""auto"", ""ar"")"),"رأي")</f>
        <v>رأي</v>
      </c>
    </row>
    <row r="4257" ht="15.75" customHeight="1">
      <c r="A4257" s="1" t="s">
        <v>5198</v>
      </c>
      <c r="B4257" s="1" t="s">
        <v>5199</v>
      </c>
      <c r="C4257" s="2" t="s">
        <v>5200</v>
      </c>
      <c r="D4257" s="1" t="str">
        <f>IFERROR(__xludf.DUMMYFUNCTION("GOOGLETRANSLATE(A4257 , ""auto"", ""ar"")"),"فرصة")</f>
        <v>فرصة</v>
      </c>
    </row>
    <row r="4258" ht="15.75" customHeight="1">
      <c r="A4258" s="1" t="s">
        <v>5198</v>
      </c>
      <c r="B4258" s="1" t="s">
        <v>5201</v>
      </c>
      <c r="C4258" s="2" t="s">
        <v>5202</v>
      </c>
      <c r="D4258" s="1" t="str">
        <f>IFERROR(__xludf.DUMMYFUNCTION("GOOGLETRANSLATE(A4258 , ""auto"", ""ar"")"),"فرصة")</f>
        <v>فرصة</v>
      </c>
    </row>
    <row r="4259" ht="15.75" customHeight="1">
      <c r="A4259" s="1" t="s">
        <v>5203</v>
      </c>
      <c r="B4259" s="1" t="s">
        <v>5204</v>
      </c>
      <c r="C4259" s="1"/>
      <c r="D4259" s="1" t="str">
        <f>IFERROR(__xludf.DUMMYFUNCTION("GOOGLETRANSLATE(A4259 , ""auto"", ""ar"")"),"عكس")</f>
        <v>عكس</v>
      </c>
    </row>
    <row r="4260" ht="15.75" customHeight="1">
      <c r="A4260" s="1" t="s">
        <v>5205</v>
      </c>
      <c r="B4260" s="1" t="s">
        <v>5206</v>
      </c>
      <c r="C4260" s="2" t="s">
        <v>5207</v>
      </c>
      <c r="D4260" s="1" t="str">
        <f>IFERROR(__xludf.DUMMYFUNCTION("GOOGLETRANSLATE(A4260 , ""auto"", ""ar"")"),"أو")</f>
        <v>أو</v>
      </c>
    </row>
    <row r="4261" ht="15.75" customHeight="1">
      <c r="A4261" s="1" t="s">
        <v>5208</v>
      </c>
      <c r="B4261" s="1" t="s">
        <v>5209</v>
      </c>
      <c r="C4261" s="2" t="s">
        <v>5210</v>
      </c>
      <c r="D4261" s="1" t="str">
        <f>IFERROR(__xludf.DUMMYFUNCTION("GOOGLETRANSLATE(A4261 , ""auto"", ""ar"")"),"البرتقالي")</f>
        <v>البرتقالي</v>
      </c>
    </row>
    <row r="4262" ht="15.75" customHeight="1">
      <c r="A4262" s="1" t="s">
        <v>5208</v>
      </c>
      <c r="B4262" s="1" t="s">
        <v>5211</v>
      </c>
      <c r="C4262" s="2" t="s">
        <v>5212</v>
      </c>
      <c r="D4262" s="1" t="str">
        <f>IFERROR(__xludf.DUMMYFUNCTION("GOOGLETRANSLATE(A4262 , ""auto"", ""ar"")"),"البرتقالي")</f>
        <v>البرتقالي</v>
      </c>
    </row>
    <row r="4263" ht="15.75" customHeight="1">
      <c r="A4263" s="1" t="s">
        <v>5208</v>
      </c>
      <c r="B4263" s="1" t="s">
        <v>5213</v>
      </c>
      <c r="C4263" s="1"/>
      <c r="D4263" s="1" t="str">
        <f>IFERROR(__xludf.DUMMYFUNCTION("GOOGLETRANSLATE(A4263 , ""auto"", ""ar"")"),"البرتقالي")</f>
        <v>البرتقالي</v>
      </c>
    </row>
    <row r="4264" ht="15.75" customHeight="1">
      <c r="A4264" s="1" t="s">
        <v>5214</v>
      </c>
      <c r="B4264" s="1" t="s">
        <v>4474</v>
      </c>
      <c r="C4264" s="2" t="s">
        <v>4475</v>
      </c>
      <c r="D4264" s="1" t="str">
        <f>IFERROR(__xludf.DUMMYFUNCTION("GOOGLETRANSLATE(A4264 , ""auto"", ""ar"")"),"مياه الزهرة البرتقالية")</f>
        <v>مياه الزهرة البرتقالية</v>
      </c>
    </row>
    <row r="4265" ht="15.75" customHeight="1">
      <c r="A4265" s="1" t="s">
        <v>5215</v>
      </c>
      <c r="B4265" s="1" t="s">
        <v>1682</v>
      </c>
      <c r="C4265" s="1"/>
      <c r="D4265" s="1" t="str">
        <f>IFERROR(__xludf.DUMMYFUNCTION("GOOGLETRANSLATE(A4265 , ""auto"", ""ar"")"),"طلب")</f>
        <v>طلب</v>
      </c>
    </row>
    <row r="4266" ht="15.75" customHeight="1">
      <c r="A4266" s="1" t="s">
        <v>5215</v>
      </c>
      <c r="B4266" s="1" t="s">
        <v>394</v>
      </c>
      <c r="C4266" s="2" t="s">
        <v>395</v>
      </c>
      <c r="D4266" s="1" t="str">
        <f>IFERROR(__xludf.DUMMYFUNCTION("GOOGLETRANSLATE(A4266 , ""auto"", ""ar"")"),"طلب")</f>
        <v>طلب</v>
      </c>
    </row>
    <row r="4267" ht="15.75" customHeight="1">
      <c r="A4267" s="1" t="s">
        <v>5215</v>
      </c>
      <c r="B4267" s="1" t="s">
        <v>5216</v>
      </c>
      <c r="C4267" s="1"/>
      <c r="D4267" s="1" t="str">
        <f>IFERROR(__xludf.DUMMYFUNCTION("GOOGLETRANSLATE(A4267 , ""auto"", ""ar"")"),"طلب")</f>
        <v>طلب</v>
      </c>
    </row>
    <row r="4268" ht="15.75" customHeight="1">
      <c r="A4268" s="1" t="s">
        <v>5215</v>
      </c>
      <c r="B4268" s="1" t="s">
        <v>5217</v>
      </c>
      <c r="C4268" s="1"/>
      <c r="D4268" s="1" t="str">
        <f>IFERROR(__xludf.DUMMYFUNCTION("GOOGLETRANSLATE(A4268 , ""auto"", ""ar"")"),"طلب")</f>
        <v>طلب</v>
      </c>
    </row>
    <row r="4269" ht="15.75" customHeight="1">
      <c r="A4269" s="1" t="s">
        <v>5215</v>
      </c>
      <c r="B4269" s="1" t="s">
        <v>5218</v>
      </c>
      <c r="C4269" s="2" t="s">
        <v>5219</v>
      </c>
      <c r="D4269" s="1" t="str">
        <f>IFERROR(__xludf.DUMMYFUNCTION("GOOGLETRANSLATE(A4269 , ""auto"", ""ar"")"),"طلب")</f>
        <v>طلب</v>
      </c>
    </row>
    <row r="4270" ht="15.75" customHeight="1">
      <c r="A4270" s="1" t="s">
        <v>5220</v>
      </c>
      <c r="B4270" s="1" t="s">
        <v>5221</v>
      </c>
      <c r="C4270" s="2" t="s">
        <v>5222</v>
      </c>
      <c r="D4270" s="1" t="str">
        <f>IFERROR(__xludf.DUMMYFUNCTION("GOOGLETRANSLATE(A4270 , ""auto"", ""ar"")"),"تنظم")</f>
        <v>تنظم</v>
      </c>
    </row>
    <row r="4271" ht="15.75" customHeight="1">
      <c r="A4271" s="1" t="s">
        <v>5223</v>
      </c>
      <c r="B4271" s="1" t="s">
        <v>5224</v>
      </c>
      <c r="C4271" s="2" t="s">
        <v>5225</v>
      </c>
      <c r="D4271" s="1" t="str">
        <f>IFERROR(__xludf.DUMMYFUNCTION("GOOGLETRANSLATE(A4271 , ""auto"", ""ar"")"),"منظم")</f>
        <v>منظم</v>
      </c>
    </row>
    <row r="4272" ht="15.75" customHeight="1">
      <c r="A4272" s="1" t="s">
        <v>5226</v>
      </c>
      <c r="B4272" s="1" t="s">
        <v>5227</v>
      </c>
      <c r="C4272" s="2" t="s">
        <v>5228</v>
      </c>
      <c r="D4272" s="1" t="str">
        <f>IFERROR(__xludf.DUMMYFUNCTION("GOOGLETRANSLATE(A4272 , ""auto"", ""ar"")"),"اوريغان")</f>
        <v>اوريغان</v>
      </c>
    </row>
    <row r="4273" ht="15.75" customHeight="1">
      <c r="A4273" s="1" t="s">
        <v>5229</v>
      </c>
      <c r="B4273" s="1" t="s">
        <v>5230</v>
      </c>
      <c r="C4273" s="2" t="s">
        <v>5231</v>
      </c>
      <c r="D4273" s="1" t="str">
        <f>IFERROR(__xludf.DUMMYFUNCTION("GOOGLETRANSLATE(A4273 , ""auto"", ""ar"")"),"أصل")</f>
        <v>أصل</v>
      </c>
    </row>
    <row r="4274" ht="15.75" customHeight="1">
      <c r="A4274" s="1" t="s">
        <v>5232</v>
      </c>
      <c r="B4274" s="1" t="s">
        <v>5233</v>
      </c>
      <c r="C4274" s="1"/>
      <c r="D4274" s="1" t="str">
        <f>IFERROR(__xludf.DUMMYFUNCTION("GOOGLETRANSLATE(A4274 , ""auto"", ""ar"")"),"دار الأيتام")</f>
        <v>دار الأيتام</v>
      </c>
    </row>
    <row r="4275" ht="15.75" customHeight="1">
      <c r="A4275" s="1" t="s">
        <v>5234</v>
      </c>
      <c r="B4275" s="1" t="s">
        <v>5235</v>
      </c>
      <c r="C4275" s="2" t="s">
        <v>5236</v>
      </c>
      <c r="D4275" s="1" t="str">
        <f>IFERROR(__xludf.DUMMYFUNCTION("GOOGLETRANSLATE(A4275 , ""auto"", ""ar"")"),"آخر")</f>
        <v>آخر</v>
      </c>
    </row>
    <row r="4276" ht="15.75" customHeight="1">
      <c r="A4276" s="1" t="s">
        <v>5234</v>
      </c>
      <c r="B4276" s="1" t="s">
        <v>5235</v>
      </c>
      <c r="C4276" s="2" t="s">
        <v>5236</v>
      </c>
      <c r="D4276" s="1" t="str">
        <f>IFERROR(__xludf.DUMMYFUNCTION("GOOGLETRANSLATE(A4276 , ""auto"", ""ar"")"),"آخر")</f>
        <v>آخر</v>
      </c>
    </row>
    <row r="4277" ht="15.75" customHeight="1">
      <c r="A4277" s="1" t="s">
        <v>5237</v>
      </c>
      <c r="B4277" s="1" t="s">
        <v>5238</v>
      </c>
      <c r="C4277" s="2" t="s">
        <v>5239</v>
      </c>
      <c r="D4277" s="1" t="str">
        <f>IFERROR(__xludf.DUMMYFUNCTION("GOOGLETRANSLATE(A4277 , ""auto"", ""ar"")"),"ملكنا")</f>
        <v>ملكنا</v>
      </c>
    </row>
    <row r="4278" ht="15.75" customHeight="1">
      <c r="A4278" s="1" t="s">
        <v>5237</v>
      </c>
      <c r="B4278" s="1" t="s">
        <v>5240</v>
      </c>
      <c r="C4278" s="2" t="s">
        <v>5241</v>
      </c>
      <c r="D4278" s="1" t="str">
        <f>IFERROR(__xludf.DUMMYFUNCTION("GOOGLETRANSLATE(A4278 , ""auto"", ""ar"")"),"ملكنا")</f>
        <v>ملكنا</v>
      </c>
    </row>
    <row r="4279" ht="15.75" customHeight="1">
      <c r="A4279" s="1" t="s">
        <v>5237</v>
      </c>
      <c r="B4279" s="1" t="s">
        <v>5242</v>
      </c>
      <c r="C4279" s="2" t="s">
        <v>5241</v>
      </c>
      <c r="D4279" s="1" t="str">
        <f>IFERROR(__xludf.DUMMYFUNCTION("GOOGLETRANSLATE(A4279 , ""auto"", ""ar"")"),"ملكنا")</f>
        <v>ملكنا</v>
      </c>
    </row>
    <row r="4280" ht="15.75" customHeight="1">
      <c r="A4280" s="1" t="s">
        <v>5243</v>
      </c>
      <c r="B4280" s="1" t="s">
        <v>23</v>
      </c>
      <c r="C4280" s="2" t="s">
        <v>24</v>
      </c>
      <c r="D4280" s="1" t="str">
        <f>IFERROR(__xludf.DUMMYFUNCTION("GOOGLETRANSLATE(A4280 , ""auto"", ""ar"")"),"الخارج")</f>
        <v>الخارج</v>
      </c>
    </row>
    <row r="4281" ht="15.75" customHeight="1">
      <c r="A4281" s="1" t="s">
        <v>5243</v>
      </c>
      <c r="B4281" s="1" t="s">
        <v>5244</v>
      </c>
      <c r="C4281" s="2" t="s">
        <v>5245</v>
      </c>
      <c r="D4281" s="1" t="str">
        <f>IFERROR(__xludf.DUMMYFUNCTION("GOOGLETRANSLATE(A4281 , ""auto"", ""ar"")"),"الخارج")</f>
        <v>الخارج</v>
      </c>
    </row>
    <row r="4282" ht="15.75" customHeight="1">
      <c r="A4282" s="1" t="s">
        <v>5243</v>
      </c>
      <c r="B4282" s="1" t="s">
        <v>21</v>
      </c>
      <c r="C4282" s="2" t="s">
        <v>22</v>
      </c>
      <c r="D4282" s="1" t="str">
        <f>IFERROR(__xludf.DUMMYFUNCTION("GOOGLETRANSLATE(A4282 , ""auto"", ""ar"")"),"الخارج")</f>
        <v>الخارج</v>
      </c>
    </row>
    <row r="4283" ht="15.75" customHeight="1">
      <c r="A4283" s="1" t="s">
        <v>5246</v>
      </c>
      <c r="B4283" s="1" t="s">
        <v>5247</v>
      </c>
      <c r="C4283" s="2" t="s">
        <v>5248</v>
      </c>
      <c r="D4283" s="1" t="str">
        <f>IFERROR(__xludf.DUMMYFUNCTION("GOOGLETRANSLATE(A4283 , ""auto"", ""ar"")"),"فرن")</f>
        <v>فرن</v>
      </c>
    </row>
    <row r="4284" ht="15.75" customHeight="1">
      <c r="A4284" s="1" t="s">
        <v>5249</v>
      </c>
      <c r="B4284" s="1" t="s">
        <v>15</v>
      </c>
      <c r="C4284" s="2" t="s">
        <v>16</v>
      </c>
      <c r="D4284" s="1" t="str">
        <f>IFERROR(__xludf.DUMMYFUNCTION("GOOGLETRANSLATE(A4284 , ""auto"", ""ar"")"),"زيادة")</f>
        <v>زيادة</v>
      </c>
    </row>
    <row r="4285" ht="15.75" customHeight="1">
      <c r="A4285" s="1" t="s">
        <v>5250</v>
      </c>
      <c r="B4285" s="1" t="s">
        <v>5251</v>
      </c>
      <c r="C4285" s="2" t="s">
        <v>5252</v>
      </c>
      <c r="D4285" s="1" t="str">
        <f>IFERROR(__xludf.DUMMYFUNCTION("GOOGLETRANSLATE(A4285 , ""auto"", ""ar"")"),"الفائض")</f>
        <v>الفائض</v>
      </c>
    </row>
    <row r="4286" ht="15.75" customHeight="1">
      <c r="A4286" s="1" t="s">
        <v>5253</v>
      </c>
      <c r="B4286" s="1" t="s">
        <v>5254</v>
      </c>
      <c r="C4286" s="2" t="s">
        <v>5255</v>
      </c>
      <c r="D4286" s="1" t="str">
        <f>IFERROR(__xludf.DUMMYFUNCTION("GOOGLETRANSLATE(A4286 , ""auto"", ""ar"")"),"بُومَة")</f>
        <v>بُومَة</v>
      </c>
    </row>
    <row r="4287" ht="15.75" customHeight="1">
      <c r="A4287" s="1" t="s">
        <v>5256</v>
      </c>
      <c r="B4287" s="1" t="s">
        <v>5257</v>
      </c>
      <c r="C4287" s="2" t="s">
        <v>5258</v>
      </c>
      <c r="D4287" s="1" t="str">
        <f>IFERROR(__xludf.DUMMYFUNCTION("GOOGLETRANSLATE(A4287 , ""auto"", ""ar"")"),"ملك")</f>
        <v>ملك</v>
      </c>
    </row>
    <row r="4288" ht="15.75" customHeight="1">
      <c r="A4288" s="1" t="s">
        <v>5259</v>
      </c>
      <c r="B4288" s="1" t="s">
        <v>1163</v>
      </c>
      <c r="C4288" s="2" t="s">
        <v>5260</v>
      </c>
      <c r="D4288" s="1" t="str">
        <f>IFERROR(__xludf.DUMMYFUNCTION("GOOGLETRANSLATE(A4288 , ""auto"", ""ar"")"),"مالك")</f>
        <v>مالك</v>
      </c>
    </row>
    <row r="4289" ht="15.75" customHeight="1">
      <c r="A4289" s="1" t="s">
        <v>5259</v>
      </c>
      <c r="B4289" s="1" t="s">
        <v>5261</v>
      </c>
      <c r="C4289" s="2" t="s">
        <v>5262</v>
      </c>
      <c r="D4289" s="1" t="str">
        <f>IFERROR(__xludf.DUMMYFUNCTION("GOOGLETRANSLATE(A4289 , ""auto"", ""ar"")"),"مالك")</f>
        <v>مالك</v>
      </c>
    </row>
    <row r="4290" ht="15.75" customHeight="1">
      <c r="A4290" s="1" t="s">
        <v>466</v>
      </c>
      <c r="B4290" s="1" t="s">
        <v>467</v>
      </c>
      <c r="C4290" s="2" t="s">
        <v>468</v>
      </c>
      <c r="D4290" s="1" t="str">
        <f>IFERROR(__xludf.DUMMYFUNCTION("GOOGLETRANSLATE(A4290 , ""auto"", ""ar"")"),"اسم العائلة")</f>
        <v>اسم العائلة</v>
      </c>
    </row>
    <row r="4291" ht="15.75" customHeight="1">
      <c r="A4291" s="1" t="s">
        <v>43</v>
      </c>
      <c r="B4291" s="1" t="s">
        <v>44</v>
      </c>
      <c r="C4291" s="2" t="s">
        <v>45</v>
      </c>
      <c r="D4291" s="1" t="str">
        <f>IFERROR(__xludf.DUMMYFUNCTION("GOOGLETRANSLATE(A4291 , ""auto"", ""ar"")"),"مقبول")</f>
        <v>مقبول</v>
      </c>
    </row>
    <row r="4292" ht="15.75" customHeight="1">
      <c r="A4292" s="1" t="s">
        <v>469</v>
      </c>
      <c r="B4292" s="1" t="s">
        <v>470</v>
      </c>
      <c r="C4292" s="2" t="s">
        <v>471</v>
      </c>
      <c r="D4292" s="1" t="str">
        <f>IFERROR(__xludf.DUMMYFUNCTION("GOOGLETRANSLATE(A4292 , ""auto"", ""ar"")"),"التصالح")</f>
        <v>التصالح</v>
      </c>
    </row>
    <row r="4293" ht="15.75" customHeight="1">
      <c r="A4293" s="1" t="s">
        <v>472</v>
      </c>
      <c r="B4293" s="1" t="s">
        <v>473</v>
      </c>
      <c r="C4293" s="2" t="s">
        <v>474</v>
      </c>
      <c r="D4293" s="1" t="str">
        <f>IFERROR(__xludf.DUMMYFUNCTION("GOOGLETRANSLATE(A4293 , ""auto"", ""ar"")"),"مغفرة")</f>
        <v>مغفرة</v>
      </c>
    </row>
    <row r="4294" ht="15.75" customHeight="1">
      <c r="A4294" s="1" t="s">
        <v>475</v>
      </c>
      <c r="B4294" s="1" t="s">
        <v>476</v>
      </c>
      <c r="C4294" s="2" t="s">
        <v>477</v>
      </c>
      <c r="D4294" s="1" t="str">
        <f>IFERROR(__xludf.DUMMYFUNCTION("GOOGLETRANSLATE(A4294 , ""auto"", ""ar"")"),"يخبر")</f>
        <v>يخبر</v>
      </c>
    </row>
    <row r="4295" ht="15.75" customHeight="1">
      <c r="A4295" s="1" t="s">
        <v>5263</v>
      </c>
      <c r="B4295" s="1" t="s">
        <v>5264</v>
      </c>
      <c r="C4295" s="2" t="s">
        <v>5265</v>
      </c>
      <c r="D4295" s="1" t="str">
        <f>IFERROR(__xludf.DUMMYFUNCTION("GOOGLETRANSLATE(A4295 , ""auto"", ""ar"")"),"رزمة")</f>
        <v>رزمة</v>
      </c>
    </row>
    <row r="4296" ht="15.75" customHeight="1">
      <c r="A4296" s="1" t="s">
        <v>5266</v>
      </c>
      <c r="B4296" s="1" t="s">
        <v>4400</v>
      </c>
      <c r="C4296" s="2" t="s">
        <v>4401</v>
      </c>
      <c r="D4296" s="1" t="str">
        <f>IFERROR(__xludf.DUMMYFUNCTION("GOOGLETRANSLATE(A4296 , ""auto"", ""ar"")"),"قفل")</f>
        <v>قفل</v>
      </c>
    </row>
    <row r="4297" ht="15.75" customHeight="1">
      <c r="A4297" s="1" t="s">
        <v>5267</v>
      </c>
      <c r="B4297" s="1" t="s">
        <v>5268</v>
      </c>
      <c r="C4297" s="2" t="s">
        <v>5269</v>
      </c>
      <c r="D4297" s="1" t="str">
        <f>IFERROR(__xludf.DUMMYFUNCTION("GOOGLETRANSLATE(A4297 , ""auto"", ""ar"")"),"صفحة")</f>
        <v>صفحة</v>
      </c>
    </row>
    <row r="4298" ht="15.75" customHeight="1">
      <c r="A4298" s="1" t="s">
        <v>5270</v>
      </c>
      <c r="B4298" s="1" t="s">
        <v>5271</v>
      </c>
      <c r="C4298" s="1"/>
      <c r="D4298" s="1" t="str">
        <f>IFERROR(__xludf.DUMMYFUNCTION("GOOGLETRANSLATE(A4298 , ""auto"", ""ar"")"),"ألم")</f>
        <v>ألم</v>
      </c>
    </row>
    <row r="4299" ht="15.75" customHeight="1">
      <c r="A4299" s="1" t="s">
        <v>5272</v>
      </c>
      <c r="B4299" s="1" t="s">
        <v>5273</v>
      </c>
      <c r="C4299" s="2" t="s">
        <v>5274</v>
      </c>
      <c r="D4299" s="1" t="str">
        <f>IFERROR(__xludf.DUMMYFUNCTION("GOOGLETRANSLATE(A4299 , ""auto"", ""ar"")"),"طلاء")</f>
        <v>طلاء</v>
      </c>
    </row>
    <row r="4300" ht="15.75" customHeight="1">
      <c r="A4300" s="1" t="s">
        <v>5272</v>
      </c>
      <c r="B4300" s="1" t="s">
        <v>5275</v>
      </c>
      <c r="C4300" s="2" t="s">
        <v>5276</v>
      </c>
      <c r="D4300" s="1" t="str">
        <f>IFERROR(__xludf.DUMMYFUNCTION("GOOGLETRANSLATE(A4300 , ""auto"", ""ar"")"),"طلاء")</f>
        <v>طلاء</v>
      </c>
    </row>
    <row r="4301" ht="15.75" customHeight="1">
      <c r="A4301" s="1" t="s">
        <v>5272</v>
      </c>
      <c r="B4301" s="1" t="s">
        <v>2214</v>
      </c>
      <c r="C4301" s="2" t="s">
        <v>2215</v>
      </c>
      <c r="D4301" s="1" t="str">
        <f>IFERROR(__xludf.DUMMYFUNCTION("GOOGLETRANSLATE(A4301 , ""auto"", ""ar"")"),"طلاء")</f>
        <v>طلاء</v>
      </c>
    </row>
    <row r="4302" ht="15.75" customHeight="1">
      <c r="A4302" s="1" t="s">
        <v>5277</v>
      </c>
      <c r="B4302" s="1" t="s">
        <v>5278</v>
      </c>
      <c r="C4302" s="1"/>
      <c r="D4302" s="1" t="str">
        <f>IFERROR(__xludf.DUMMYFUNCTION("GOOGLETRANSLATE(A4302 , ""auto"", ""ar"")"),"دهان")</f>
        <v>دهان</v>
      </c>
    </row>
    <row r="4303" ht="15.75" customHeight="1">
      <c r="A4303" s="1" t="s">
        <v>5277</v>
      </c>
      <c r="B4303" s="1" t="s">
        <v>5279</v>
      </c>
      <c r="C4303" s="2" t="s">
        <v>5280</v>
      </c>
      <c r="D4303" s="1" t="str">
        <f>IFERROR(__xludf.DUMMYFUNCTION("GOOGLETRANSLATE(A4303 , ""auto"", ""ar"")"),"دهان")</f>
        <v>دهان</v>
      </c>
    </row>
    <row r="4304" ht="15.75" customHeight="1">
      <c r="A4304" s="1" t="s">
        <v>5281</v>
      </c>
      <c r="B4304" s="1" t="s">
        <v>1263</v>
      </c>
      <c r="C4304" s="2" t="s">
        <v>1264</v>
      </c>
      <c r="D4304" s="1" t="str">
        <f>IFERROR(__xludf.DUMMYFUNCTION("GOOGLETRANSLATE(A4304 , ""auto"", ""ar"")"),"قصر")</f>
        <v>قصر</v>
      </c>
    </row>
    <row r="4305" ht="15.75" customHeight="1">
      <c r="A4305" s="1" t="s">
        <v>5282</v>
      </c>
      <c r="B4305" s="1" t="s">
        <v>5283</v>
      </c>
      <c r="C4305" s="2" t="s">
        <v>5284</v>
      </c>
      <c r="D4305" s="1" t="str">
        <f>IFERROR(__xludf.DUMMYFUNCTION("GOOGLETRANSLATE(A4305 , ""auto"", ""ar"")"),"شجرة النخيل")</f>
        <v>شجرة النخيل</v>
      </c>
    </row>
    <row r="4306" ht="15.75" customHeight="1">
      <c r="A4306" s="1" t="s">
        <v>5285</v>
      </c>
      <c r="B4306" s="1" t="s">
        <v>5286</v>
      </c>
      <c r="C4306" s="1"/>
      <c r="D4306" s="1" t="str">
        <f>IFERROR(__xludf.DUMMYFUNCTION("GOOGLETRANSLATE(A4306 , ""auto"", ""ar"")"),"فطيرة")</f>
        <v>فطيرة</v>
      </c>
    </row>
    <row r="4307" ht="15.75" customHeight="1">
      <c r="A4307" s="1" t="s">
        <v>5285</v>
      </c>
      <c r="B4307" s="1" t="s">
        <v>5287</v>
      </c>
      <c r="C4307" s="1"/>
      <c r="D4307" s="1" t="str">
        <f>IFERROR(__xludf.DUMMYFUNCTION("GOOGLETRANSLATE(A4307 , ""auto"", ""ar"")"),"فطيرة")</f>
        <v>فطيرة</v>
      </c>
    </row>
    <row r="4308" ht="15.75" customHeight="1">
      <c r="A4308" s="1" t="s">
        <v>5288</v>
      </c>
      <c r="B4308" s="1" t="s">
        <v>3989</v>
      </c>
      <c r="C4308" s="2" t="s">
        <v>5289</v>
      </c>
      <c r="D4308" s="1" t="str">
        <f>IFERROR(__xludf.DUMMYFUNCTION("GOOGLETRANSLATE(A4308 , ""auto"", ""ar"")"),"بنطال")</f>
        <v>بنطال</v>
      </c>
    </row>
    <row r="4309" ht="15.75" customHeight="1">
      <c r="A4309" s="1" t="s">
        <v>5290</v>
      </c>
      <c r="B4309" s="1" t="s">
        <v>4224</v>
      </c>
      <c r="C4309" s="2" t="s">
        <v>4225</v>
      </c>
      <c r="D4309" s="1" t="str">
        <f>IFERROR(__xludf.DUMMYFUNCTION("GOOGLETRANSLATE(A4309 , ""auto"", ""ar"")"),"ورق")</f>
        <v>ورق</v>
      </c>
    </row>
    <row r="4310" ht="15.75" customHeight="1">
      <c r="A4310" s="1" t="s">
        <v>5290</v>
      </c>
      <c r="B4310" s="1" t="s">
        <v>5291</v>
      </c>
      <c r="C4310" s="1"/>
      <c r="D4310" s="1" t="str">
        <f>IFERROR(__xludf.DUMMYFUNCTION("GOOGLETRANSLATE(A4310 , ""auto"", ""ar"")"),"ورق")</f>
        <v>ورق</v>
      </c>
    </row>
    <row r="4311" ht="15.75" customHeight="1">
      <c r="A4311" s="1" t="s">
        <v>5290</v>
      </c>
      <c r="B4311" s="1" t="s">
        <v>5291</v>
      </c>
      <c r="C4311" s="1"/>
      <c r="D4311" s="1" t="str">
        <f>IFERROR(__xludf.DUMMYFUNCTION("GOOGLETRANSLATE(A4311 , ""auto"", ""ar"")"),"ورق")</f>
        <v>ورق</v>
      </c>
    </row>
    <row r="4312" ht="15.75" customHeight="1">
      <c r="A4312" s="1" t="s">
        <v>5290</v>
      </c>
      <c r="B4312" s="1" t="s">
        <v>5292</v>
      </c>
      <c r="C4312" s="1"/>
      <c r="D4312" s="1" t="str">
        <f>IFERROR(__xludf.DUMMYFUNCTION("GOOGLETRANSLATE(A4312 , ""auto"", ""ar"")"),"ورق")</f>
        <v>ورق</v>
      </c>
    </row>
    <row r="4313" ht="15.75" customHeight="1">
      <c r="A4313" s="1" t="s">
        <v>5293</v>
      </c>
      <c r="B4313" s="1" t="s">
        <v>5294</v>
      </c>
      <c r="C4313" s="2" t="s">
        <v>5295</v>
      </c>
      <c r="D4313" s="1" t="str">
        <f>IFERROR(__xludf.DUMMYFUNCTION("GOOGLETRANSLATE(A4313 , ""auto"", ""ar"")"),"فلفل أحمر")</f>
        <v>فلفل أحمر</v>
      </c>
    </row>
    <row r="4314" ht="15.75" customHeight="1">
      <c r="A4314" s="1" t="s">
        <v>5296</v>
      </c>
      <c r="B4314" s="1" t="s">
        <v>2514</v>
      </c>
      <c r="C4314" s="2" t="s">
        <v>2515</v>
      </c>
      <c r="D4314" s="1" t="str">
        <f>IFERROR(__xludf.DUMMYFUNCTION("GOOGLETRANSLATE(A4314 , ""auto"", ""ar"")"),"موعظة")</f>
        <v>موعظة</v>
      </c>
    </row>
    <row r="4315" ht="15.75" customHeight="1">
      <c r="A4315" s="1" t="s">
        <v>5297</v>
      </c>
      <c r="B4315" s="1" t="s">
        <v>5298</v>
      </c>
      <c r="C4315" s="1"/>
      <c r="D4315" s="1" t="str">
        <f>IFERROR(__xludf.DUMMYFUNCTION("GOOGLETRANSLATE(A4315 , ""auto"", ""ar"")"),"مشلول")</f>
        <v>مشلول</v>
      </c>
    </row>
    <row r="4316" ht="15.75" customHeight="1">
      <c r="A4316" s="1" t="s">
        <v>5299</v>
      </c>
      <c r="B4316" s="1" t="s">
        <v>3676</v>
      </c>
      <c r="C4316" s="2" t="s">
        <v>3677</v>
      </c>
      <c r="D4316" s="1" t="str">
        <f>IFERROR(__xludf.DUMMYFUNCTION("GOOGLETRANSLATE(A4316 , ""auto"", ""ar"")"),"عفو؟")</f>
        <v>عفو؟</v>
      </c>
    </row>
    <row r="4317" ht="15.75" customHeight="1">
      <c r="A4317" s="1" t="s">
        <v>5300</v>
      </c>
      <c r="B4317" s="1" t="s">
        <v>5301</v>
      </c>
      <c r="C4317" s="2" t="s">
        <v>5302</v>
      </c>
      <c r="D4317" s="1" t="str">
        <f>IFERROR(__xludf.DUMMYFUNCTION("GOOGLETRANSLATE(A4317 , ""auto"", ""ar"")"),"الأبوين")</f>
        <v>الأبوين</v>
      </c>
    </row>
    <row r="4318" ht="15.75" customHeight="1">
      <c r="A4318" s="1" t="s">
        <v>5303</v>
      </c>
      <c r="B4318" s="1" t="s">
        <v>5304</v>
      </c>
      <c r="C4318" s="1"/>
      <c r="D4318" s="1" t="str">
        <f>IFERROR(__xludf.DUMMYFUNCTION("GOOGLETRANSLATE(A4318 , ""auto"", ""ar"")"),"حديقة")</f>
        <v>حديقة</v>
      </c>
    </row>
    <row r="4319" ht="15.75" customHeight="1">
      <c r="A4319" s="1" t="s">
        <v>5303</v>
      </c>
      <c r="B4319" s="1" t="s">
        <v>3016</v>
      </c>
      <c r="C4319" s="2" t="s">
        <v>3017</v>
      </c>
      <c r="D4319" s="1" t="str">
        <f>IFERROR(__xludf.DUMMYFUNCTION("GOOGLETRANSLATE(A4319 , ""auto"", ""ar"")"),"حديقة")</f>
        <v>حديقة</v>
      </c>
    </row>
    <row r="4320" ht="15.75" customHeight="1">
      <c r="A4320" s="1" t="s">
        <v>5303</v>
      </c>
      <c r="B4320" s="1" t="s">
        <v>5305</v>
      </c>
      <c r="C4320" s="2" t="s">
        <v>5306</v>
      </c>
      <c r="D4320" s="1" t="str">
        <f>IFERROR(__xludf.DUMMYFUNCTION("GOOGLETRANSLATE(A4320 , ""auto"", ""ar"")"),"حديقة")</f>
        <v>حديقة</v>
      </c>
    </row>
    <row r="4321" ht="15.75" customHeight="1">
      <c r="A4321" s="1" t="s">
        <v>5307</v>
      </c>
      <c r="B4321" s="1" t="s">
        <v>5308</v>
      </c>
      <c r="C4321" s="2" t="s">
        <v>5309</v>
      </c>
      <c r="D4321" s="1" t="str">
        <f>IFERROR(__xludf.DUMMYFUNCTION("GOOGLETRANSLATE(A4321 , ""auto"", ""ar"")"),"بَقدونس")</f>
        <v>بَقدونس</v>
      </c>
    </row>
    <row r="4322" ht="15.75" customHeight="1">
      <c r="A4322" s="1" t="s">
        <v>5310</v>
      </c>
      <c r="B4322" s="1" t="s">
        <v>5311</v>
      </c>
      <c r="C4322" s="2" t="s">
        <v>5312</v>
      </c>
      <c r="D4322" s="1" t="str">
        <f>IFERROR(__xludf.DUMMYFUNCTION("GOOGLETRANSLATE(A4322 , ""auto"", ""ar"")"),"جزء")</f>
        <v>جزء</v>
      </c>
    </row>
    <row r="4323" ht="15.75" customHeight="1">
      <c r="A4323" s="1" t="s">
        <v>5313</v>
      </c>
      <c r="B4323" s="1" t="s">
        <v>5314</v>
      </c>
      <c r="C4323" s="2" t="s">
        <v>5315</v>
      </c>
      <c r="D4323" s="1" t="str">
        <f>IFERROR(__xludf.DUMMYFUNCTION("GOOGLETRANSLATE(A4323 , ""auto"", ""ar"")"),"يشارك")</f>
        <v>يشارك</v>
      </c>
    </row>
    <row r="4324" ht="15.75" customHeight="1">
      <c r="A4324" s="1" t="s">
        <v>5316</v>
      </c>
      <c r="B4324" s="1" t="s">
        <v>5317</v>
      </c>
      <c r="C4324" s="2" t="s">
        <v>5318</v>
      </c>
      <c r="D4324" s="1" t="str">
        <f>IFERROR(__xludf.DUMMYFUNCTION("GOOGLETRANSLATE(A4324 , ""auto"", ""ar"")"),"مشاركة")</f>
        <v>مشاركة</v>
      </c>
    </row>
    <row r="4325" ht="15.75" customHeight="1">
      <c r="A4325" s="1" t="s">
        <v>5319</v>
      </c>
      <c r="B4325" s="1" t="s">
        <v>5320</v>
      </c>
      <c r="C4325" s="2" t="s">
        <v>5321</v>
      </c>
      <c r="D4325" s="1" t="str">
        <f>IFERROR(__xludf.DUMMYFUNCTION("GOOGLETRANSLATE(A4325 , ""auto"", ""ar"")"),"شريك")</f>
        <v>شريك</v>
      </c>
    </row>
    <row r="4326" ht="15.75" customHeight="1">
      <c r="A4326" s="1" t="s">
        <v>5322</v>
      </c>
      <c r="B4326" s="1" t="s">
        <v>5323</v>
      </c>
      <c r="C4326" s="2" t="s">
        <v>5324</v>
      </c>
      <c r="D4326" s="1" t="str">
        <f>IFERROR(__xludf.DUMMYFUNCTION("GOOGLETRANSLATE(A4326 , ""auto"", ""ar"")"),"حزب")</f>
        <v>حزب</v>
      </c>
    </row>
    <row r="4327" ht="15.75" customHeight="1">
      <c r="A4327" s="1" t="s">
        <v>5322</v>
      </c>
      <c r="B4327" s="1" t="s">
        <v>4989</v>
      </c>
      <c r="C4327" s="2" t="s">
        <v>4990</v>
      </c>
      <c r="D4327" s="1" t="str">
        <f>IFERROR(__xludf.DUMMYFUNCTION("GOOGLETRANSLATE(A4327 , ""auto"", ""ar"")"),"حزب")</f>
        <v>حزب</v>
      </c>
    </row>
    <row r="4328" ht="15.75" customHeight="1">
      <c r="A4328" s="1" t="s">
        <v>5322</v>
      </c>
      <c r="B4328" s="1" t="s">
        <v>4986</v>
      </c>
      <c r="C4328" s="1"/>
      <c r="D4328" s="1" t="str">
        <f>IFERROR(__xludf.DUMMYFUNCTION("GOOGLETRANSLATE(A4328 , ""auto"", ""ar"")"),"حزب")</f>
        <v>حزب</v>
      </c>
    </row>
    <row r="4329" ht="15.75" customHeight="1">
      <c r="A4329" s="1" t="s">
        <v>5322</v>
      </c>
      <c r="B4329" s="1" t="s">
        <v>5325</v>
      </c>
      <c r="C4329" s="2" t="s">
        <v>5326</v>
      </c>
      <c r="D4329" s="1" t="str">
        <f>IFERROR(__xludf.DUMMYFUNCTION("GOOGLETRANSLATE(A4329 , ""auto"", ""ar"")"),"حزب")</f>
        <v>حزب</v>
      </c>
    </row>
    <row r="4330" ht="15.75" customHeight="1">
      <c r="A4330" s="1" t="s">
        <v>5327</v>
      </c>
      <c r="B4330" s="1" t="s">
        <v>5328</v>
      </c>
      <c r="C4330" s="2" t="s">
        <v>5329</v>
      </c>
      <c r="D4330" s="1" t="str">
        <f>IFERROR(__xludf.DUMMYFUNCTION("GOOGLETRANSLATE(A4330 , ""auto"", ""ar"")"),"يمر")</f>
        <v>يمر</v>
      </c>
    </row>
    <row r="4331" ht="15.75" customHeight="1">
      <c r="A4331" s="1" t="s">
        <v>5327</v>
      </c>
      <c r="B4331" s="1" t="s">
        <v>5330</v>
      </c>
      <c r="C4331" s="2" t="s">
        <v>5331</v>
      </c>
      <c r="D4331" s="1" t="str">
        <f>IFERROR(__xludf.DUMMYFUNCTION("GOOGLETRANSLATE(A4331 , ""auto"", ""ar"")"),"يمر")</f>
        <v>يمر</v>
      </c>
    </row>
    <row r="4332" ht="15.75" customHeight="1">
      <c r="A4332" s="1" t="s">
        <v>5327</v>
      </c>
      <c r="B4332" s="1" t="s">
        <v>5332</v>
      </c>
      <c r="C4332" s="2" t="s">
        <v>5333</v>
      </c>
      <c r="D4332" s="1" t="str">
        <f>IFERROR(__xludf.DUMMYFUNCTION("GOOGLETRANSLATE(A4332 , ""auto"", ""ar"")"),"يمر")</f>
        <v>يمر</v>
      </c>
    </row>
    <row r="4333" ht="15.75" customHeight="1">
      <c r="A4333" s="1" t="s">
        <v>5334</v>
      </c>
      <c r="B4333" s="1" t="s">
        <v>2052</v>
      </c>
      <c r="C4333" s="2" t="s">
        <v>2053</v>
      </c>
      <c r="D4333" s="1" t="str">
        <f>IFERROR(__xludf.DUMMYFUNCTION("GOOGLETRANSLATE(A4333 , ""auto"", ""ar"")"),"ابتعد عن الطريق")</f>
        <v>ابتعد عن الطريق</v>
      </c>
    </row>
    <row r="4334" ht="15.75" customHeight="1">
      <c r="A4334" s="1" t="s">
        <v>5335</v>
      </c>
      <c r="B4334" s="1" t="s">
        <v>2443</v>
      </c>
      <c r="C4334" s="2" t="s">
        <v>65</v>
      </c>
      <c r="D4334" s="1" t="str">
        <f>IFERROR(__xludf.DUMMYFUNCTION("GOOGLETRANSLATE(A4334 , ""auto"", ""ar"")"),"شغوف")</f>
        <v>شغوف</v>
      </c>
    </row>
    <row r="4335" ht="15.75" customHeight="1">
      <c r="A4335" s="1" t="s">
        <v>5336</v>
      </c>
      <c r="B4335" s="1" t="s">
        <v>5337</v>
      </c>
      <c r="C4335" s="2" t="s">
        <v>5338</v>
      </c>
      <c r="D4335" s="1" t="str">
        <f>IFERROR(__xludf.DUMMYFUNCTION("GOOGLETRANSLATE(A4335 , ""auto"", ""ar"")"),"جواز سفر")</f>
        <v>جواز سفر</v>
      </c>
    </row>
    <row r="4336" ht="15.75" customHeight="1">
      <c r="A4336" s="1" t="s">
        <v>5339</v>
      </c>
      <c r="B4336" s="1" t="s">
        <v>1484</v>
      </c>
      <c r="C4336" s="2" t="s">
        <v>1485</v>
      </c>
      <c r="D4336" s="1" t="str">
        <f>IFERROR(__xludf.DUMMYFUNCTION("GOOGLETRANSLATE(A4336 , ""auto"", ""ar"")"),"ماضي")</f>
        <v>ماضي</v>
      </c>
    </row>
    <row r="4337" ht="15.75" customHeight="1">
      <c r="A4337" s="1" t="s">
        <v>5340</v>
      </c>
      <c r="B4337" s="1" t="s">
        <v>5341</v>
      </c>
      <c r="C4337" s="1"/>
      <c r="D4337" s="1" t="str">
        <f>IFERROR(__xludf.DUMMYFUNCTION("GOOGLETRANSLATE(A4337 , ""auto"", ""ar"")"),"معكرونة")</f>
        <v>معكرونة</v>
      </c>
    </row>
    <row r="4338" ht="15.75" customHeight="1">
      <c r="A4338" s="1" t="s">
        <v>5342</v>
      </c>
      <c r="B4338" s="1" t="s">
        <v>5343</v>
      </c>
      <c r="C4338" s="2" t="s">
        <v>5344</v>
      </c>
      <c r="D4338" s="1" t="str">
        <f>IFERROR(__xludf.DUMMYFUNCTION("GOOGLETRANSLATE(A4338 , ""auto"", ""ar"")"),"لوح")</f>
        <v>لوح</v>
      </c>
    </row>
    <row r="4339" ht="15.75" customHeight="1">
      <c r="A4339" s="1" t="s">
        <v>5345</v>
      </c>
      <c r="B4339" s="1" t="s">
        <v>5346</v>
      </c>
      <c r="C4339" s="2" t="s">
        <v>5347</v>
      </c>
      <c r="D4339" s="1" t="str">
        <f>IFERROR(__xludf.DUMMYFUNCTION("GOOGLETRANSLATE(A4339 , ""auto"", ""ar"")"),"القس")</f>
        <v>القس</v>
      </c>
    </row>
    <row r="4340" ht="15.75" customHeight="1">
      <c r="A4340" s="1" t="s">
        <v>5348</v>
      </c>
      <c r="B4340" s="1" t="s">
        <v>5349</v>
      </c>
      <c r="C4340" s="1"/>
      <c r="D4340" s="1" t="str">
        <f>IFERROR(__xludf.DUMMYFUNCTION("GOOGLETRANSLATE(A4340 , ""auto"", ""ar"")"),"المراعي")</f>
        <v>المراعي</v>
      </c>
    </row>
    <row r="4341" ht="15.75" customHeight="1">
      <c r="A4341" s="1" t="s">
        <v>5348</v>
      </c>
      <c r="B4341" s="1" t="s">
        <v>5350</v>
      </c>
      <c r="C4341" s="1"/>
      <c r="D4341" s="1" t="str">
        <f>IFERROR(__xludf.DUMMYFUNCTION("GOOGLETRANSLATE(A4341 , ""auto"", ""ar"")"),"المراعي")</f>
        <v>المراعي</v>
      </c>
    </row>
    <row r="4342" ht="15.75" customHeight="1">
      <c r="A4342" s="1" t="s">
        <v>5351</v>
      </c>
      <c r="B4342" s="1" t="s">
        <v>5352</v>
      </c>
      <c r="C4342" s="1"/>
      <c r="D4342" s="1" t="str">
        <f>IFERROR(__xludf.DUMMYFUNCTION("GOOGLETRANSLATE(A4342 , ""auto"", ""ar"")"),"رقعة")</f>
        <v>رقعة</v>
      </c>
    </row>
    <row r="4343" ht="15.75" customHeight="1">
      <c r="A4343" s="1" t="s">
        <v>5353</v>
      </c>
      <c r="B4343" s="1" t="s">
        <v>5354</v>
      </c>
      <c r="C4343" s="2" t="s">
        <v>5355</v>
      </c>
      <c r="D4343" s="1" t="str">
        <f>IFERROR(__xludf.DUMMYFUNCTION("GOOGLETRANSLATE(A4343 , ""auto"", ""ar"")"),"الصبر")</f>
        <v>الصبر</v>
      </c>
    </row>
    <row r="4344" ht="15.75" customHeight="1">
      <c r="A4344" s="1" t="s">
        <v>5356</v>
      </c>
      <c r="B4344" s="1" t="s">
        <v>5357</v>
      </c>
      <c r="C4344" s="2" t="s">
        <v>5358</v>
      </c>
      <c r="D4344" s="1" t="str">
        <f>IFERROR(__xludf.DUMMYFUNCTION("GOOGLETRANSLATE(A4344 , ""auto"", ""ar"")"),"مريض")</f>
        <v>مريض</v>
      </c>
    </row>
    <row r="4345" ht="15.75" customHeight="1">
      <c r="A4345" s="1" t="s">
        <v>5356</v>
      </c>
      <c r="B4345" s="1" t="s">
        <v>5354</v>
      </c>
      <c r="C4345" s="2" t="s">
        <v>5355</v>
      </c>
      <c r="D4345" s="1" t="str">
        <f>IFERROR(__xludf.DUMMYFUNCTION("GOOGLETRANSLATE(A4345 , ""auto"", ""ar"")"),"مريض")</f>
        <v>مريض</v>
      </c>
    </row>
    <row r="4346" ht="15.75" customHeight="1">
      <c r="A4346" s="1" t="s">
        <v>5359</v>
      </c>
      <c r="B4346" s="1" t="s">
        <v>5360</v>
      </c>
      <c r="C4346" s="2" t="s">
        <v>5361</v>
      </c>
      <c r="D4346" s="1" t="str">
        <f>IFERROR(__xludf.DUMMYFUNCTION("GOOGLETRANSLATE(A4346 , ""auto"", ""ar"")"),"يدفع")</f>
        <v>يدفع</v>
      </c>
    </row>
    <row r="4347" ht="15.75" customHeight="1">
      <c r="A4347" s="1" t="s">
        <v>5362</v>
      </c>
      <c r="B4347" s="1" t="s">
        <v>5363</v>
      </c>
      <c r="C4347" s="2" t="s">
        <v>5364</v>
      </c>
      <c r="D4347" s="1" t="str">
        <f>IFERROR(__xludf.DUMMYFUNCTION("GOOGLETRANSLATE(A4347 , ""auto"", ""ar"")"),"دفع متجر الهاتف")</f>
        <v>دفع متجر الهاتف</v>
      </c>
    </row>
    <row r="4348" ht="15.75" customHeight="1">
      <c r="A4348" s="1" t="s">
        <v>5365</v>
      </c>
      <c r="B4348" s="1" t="s">
        <v>5366</v>
      </c>
      <c r="C4348" s="2" t="s">
        <v>5367</v>
      </c>
      <c r="D4348" s="1" t="str">
        <f>IFERROR(__xludf.DUMMYFUNCTION("GOOGLETRANSLATE(A4348 , ""auto"", ""ar"")"),"دُبٌّ")</f>
        <v>دُبٌّ</v>
      </c>
    </row>
    <row r="4349" ht="15.75" customHeight="1">
      <c r="A4349" s="1" t="s">
        <v>5368</v>
      </c>
      <c r="B4349" s="1" t="s">
        <v>5369</v>
      </c>
      <c r="C4349" s="2" t="s">
        <v>5370</v>
      </c>
      <c r="D4349" s="1" t="str">
        <f>IFERROR(__xludf.DUMMYFUNCTION("GOOGLETRANSLATE(A4349 , ""auto"", ""ar"")"),"خَوخ")</f>
        <v>خَوخ</v>
      </c>
    </row>
    <row r="4350" ht="15.75" customHeight="1">
      <c r="A4350" s="1" t="s">
        <v>5371</v>
      </c>
      <c r="B4350" s="1" t="s">
        <v>5372</v>
      </c>
      <c r="C4350" s="2" t="s">
        <v>5373</v>
      </c>
      <c r="D4350" s="1" t="str">
        <f>IFERROR(__xludf.DUMMYFUNCTION("GOOGLETRANSLATE(A4350 , ""auto"", ""ar"")"),"الفول السوداني")</f>
        <v>الفول السوداني</v>
      </c>
    </row>
    <row r="4351" ht="15.75" customHeight="1">
      <c r="A4351" s="1" t="s">
        <v>5374</v>
      </c>
      <c r="B4351" s="1" t="s">
        <v>5375</v>
      </c>
      <c r="C4351" s="2" t="s">
        <v>5376</v>
      </c>
      <c r="D4351" s="1" t="str">
        <f>IFERROR(__xludf.DUMMYFUNCTION("GOOGLETRANSLATE(A4351 , ""auto"", ""ar"")"),"كُمَّثرَى")</f>
        <v>كُمَّثرَى</v>
      </c>
    </row>
    <row r="4352" ht="15.75" customHeight="1">
      <c r="A4352" s="1" t="s">
        <v>5377</v>
      </c>
      <c r="B4352" s="1" t="s">
        <v>5378</v>
      </c>
      <c r="C4352" s="1"/>
      <c r="D4352" s="1" t="str">
        <f>IFERROR(__xludf.DUMMYFUNCTION("GOOGLETRANSLATE(A4352 , ""auto"", ""ar"")"),"الفلاح")</f>
        <v>الفلاح</v>
      </c>
    </row>
    <row r="4353" ht="15.75" customHeight="1">
      <c r="A4353" s="1" t="s">
        <v>2785</v>
      </c>
      <c r="B4353" s="1" t="s">
        <v>5379</v>
      </c>
      <c r="C4353" s="2" t="s">
        <v>5380</v>
      </c>
      <c r="D4353" s="1" t="str">
        <f>IFERROR(__xludf.DUMMYFUNCTION("GOOGLETRANSLATE(A4353 , ""auto"", ""ar"")"),"قشر")</f>
        <v>قشر</v>
      </c>
    </row>
    <row r="4354" ht="15.75" customHeight="1">
      <c r="A4354" s="1" t="s">
        <v>5381</v>
      </c>
      <c r="B4354" s="1" t="s">
        <v>5382</v>
      </c>
      <c r="C4354" s="2" t="s">
        <v>5383</v>
      </c>
      <c r="D4354" s="1" t="str">
        <f>IFERROR(__xludf.DUMMYFUNCTION("GOOGLETRANSLATE(A4354 , ""auto"", ""ar"")"),"قلم")</f>
        <v>قلم</v>
      </c>
    </row>
    <row r="4355" ht="15.75" customHeight="1">
      <c r="A4355" s="1" t="s">
        <v>5384</v>
      </c>
      <c r="B4355" s="1" t="s">
        <v>5385</v>
      </c>
      <c r="C4355" s="1"/>
      <c r="D4355" s="1" t="str">
        <f>IFERROR(__xludf.DUMMYFUNCTION("GOOGLETRANSLATE(A4355 , ""auto"", ""ar"")"),"قلم")</f>
        <v>قلم</v>
      </c>
    </row>
    <row r="4356" ht="15.75" customHeight="1">
      <c r="A4356" s="1" t="s">
        <v>5386</v>
      </c>
      <c r="B4356" s="1" t="s">
        <v>5387</v>
      </c>
      <c r="C4356" s="1"/>
      <c r="D4356" s="1" t="str">
        <f>IFERROR(__xludf.DUMMYFUNCTION("GOOGLETRANSLATE(A4356 , ""auto"", ""ar"")"),"البطريق")</f>
        <v>البطريق</v>
      </c>
    </row>
    <row r="4357" ht="15.75" customHeight="1">
      <c r="A4357" s="1" t="s">
        <v>5388</v>
      </c>
      <c r="B4357" s="1" t="s">
        <v>5389</v>
      </c>
      <c r="C4357" s="2" t="s">
        <v>5390</v>
      </c>
      <c r="D4357" s="1" t="str">
        <f>IFERROR(__xludf.DUMMYFUNCTION("GOOGLETRANSLATE(A4357 , ""auto"", ""ar"")"),"مَعاش")</f>
        <v>مَعاش</v>
      </c>
    </row>
    <row r="4358" ht="15.75" customHeight="1">
      <c r="A4358" s="1" t="s">
        <v>5391</v>
      </c>
      <c r="B4358" s="1" t="s">
        <v>5392</v>
      </c>
      <c r="C4358" s="2" t="s">
        <v>5393</v>
      </c>
      <c r="D4358" s="1" t="str">
        <f>IFERROR(__xludf.DUMMYFUNCTION("GOOGLETRANSLATE(A4358 , ""auto"", ""ar"")"),"الناس")</f>
        <v>الناس</v>
      </c>
    </row>
    <row r="4359" ht="15.75" customHeight="1">
      <c r="A4359" s="1" t="s">
        <v>5394</v>
      </c>
      <c r="B4359" s="1" t="s">
        <v>5395</v>
      </c>
      <c r="C4359" s="1"/>
      <c r="D4359" s="1" t="str">
        <f>IFERROR(__xludf.DUMMYFUNCTION("GOOGLETRANSLATE(A4359 , ""auto"", ""ar"")"),"شعب الله")</f>
        <v>شعب الله</v>
      </c>
    </row>
    <row r="4360" ht="15.75" customHeight="1">
      <c r="A4360" s="1" t="s">
        <v>5396</v>
      </c>
      <c r="B4360" s="1" t="s">
        <v>5397</v>
      </c>
      <c r="C4360" s="1"/>
      <c r="D4360" s="1" t="str">
        <f>IFERROR(__xludf.DUMMYFUNCTION("GOOGLETRANSLATE(A4360 , ""auto"", ""ar"")"),"الفلفل")</f>
        <v>الفلفل</v>
      </c>
    </row>
    <row r="4361" ht="15.75" customHeight="1">
      <c r="A4361" s="1" t="s">
        <v>5396</v>
      </c>
      <c r="B4361" s="1" t="s">
        <v>1386</v>
      </c>
      <c r="C4361" s="2" t="s">
        <v>5398</v>
      </c>
      <c r="D4361" s="1" t="str">
        <f>IFERROR(__xludf.DUMMYFUNCTION("GOOGLETRANSLATE(A4361 , ""auto"", ""ar"")"),"الفلفل")</f>
        <v>الفلفل</v>
      </c>
    </row>
    <row r="4362" ht="15.75" customHeight="1">
      <c r="A4362" s="1" t="s">
        <v>5396</v>
      </c>
      <c r="B4362" s="1" t="s">
        <v>1386</v>
      </c>
      <c r="C4362" s="2" t="s">
        <v>5399</v>
      </c>
      <c r="D4362" s="1" t="str">
        <f>IFERROR(__xludf.DUMMYFUNCTION("GOOGLETRANSLATE(A4362 , ""auto"", ""ar"")"),"الفلفل")</f>
        <v>الفلفل</v>
      </c>
    </row>
    <row r="4363" ht="15.75" customHeight="1">
      <c r="A4363" s="1" t="s">
        <v>5400</v>
      </c>
      <c r="B4363" s="1" t="s">
        <v>409</v>
      </c>
      <c r="C4363" s="2" t="s">
        <v>3770</v>
      </c>
      <c r="D4363" s="1" t="str">
        <f>IFERROR(__xludf.DUMMYFUNCTION("GOOGLETRANSLATE(A4363 , ""auto"", ""ar"")"),"لكل")</f>
        <v>لكل</v>
      </c>
    </row>
    <row r="4364" ht="15.75" customHeight="1">
      <c r="A4364" s="1" t="s">
        <v>5401</v>
      </c>
      <c r="B4364" s="1" t="s">
        <v>200</v>
      </c>
      <c r="C4364" s="2" t="s">
        <v>1626</v>
      </c>
      <c r="D4364" s="1" t="str">
        <f>IFERROR(__xludf.DUMMYFUNCTION("GOOGLETRANSLATE(A4364 , ""auto"", ""ar"")"),"ممتاز")</f>
        <v>ممتاز</v>
      </c>
    </row>
    <row r="4365" ht="15.75" customHeight="1">
      <c r="A4365" s="1" t="s">
        <v>5402</v>
      </c>
      <c r="B4365" s="1" t="s">
        <v>5403</v>
      </c>
      <c r="C4365" s="2" t="s">
        <v>5404</v>
      </c>
      <c r="D4365" s="1" t="str">
        <f>IFERROR(__xludf.DUMMYFUNCTION("GOOGLETRANSLATE(A4365 , ""auto"", ""ar"")"),"عطر")</f>
        <v>عطر</v>
      </c>
    </row>
    <row r="4366" ht="15.75" customHeight="1">
      <c r="A4366" s="1" t="s">
        <v>5405</v>
      </c>
      <c r="B4366" s="1" t="s">
        <v>5406</v>
      </c>
      <c r="C4366" s="1"/>
      <c r="D4366" s="1" t="str">
        <f>IFERROR(__xludf.DUMMYFUNCTION("GOOGLETRANSLATE(A4366 , ""auto"", ""ar"")"),"فترة")</f>
        <v>فترة</v>
      </c>
    </row>
    <row r="4367" ht="15.75" customHeight="1">
      <c r="A4367" s="1" t="s">
        <v>5405</v>
      </c>
      <c r="B4367" s="1" t="s">
        <v>831</v>
      </c>
      <c r="C4367" s="2" t="s">
        <v>832</v>
      </c>
      <c r="D4367" s="1" t="str">
        <f>IFERROR(__xludf.DUMMYFUNCTION("GOOGLETRANSLATE(A4367 , ""auto"", ""ar"")"),"فترة")</f>
        <v>فترة</v>
      </c>
    </row>
    <row r="4368" ht="15.75" customHeight="1">
      <c r="A4368" s="1" t="s">
        <v>5405</v>
      </c>
      <c r="B4368" s="1" t="s">
        <v>5407</v>
      </c>
      <c r="C4368" s="2" t="s">
        <v>5408</v>
      </c>
      <c r="D4368" s="1" t="str">
        <f>IFERROR(__xludf.DUMMYFUNCTION("GOOGLETRANSLATE(A4368 , ""auto"", ""ar"")"),"فترة")</f>
        <v>فترة</v>
      </c>
    </row>
    <row r="4369" ht="15.75" customHeight="1">
      <c r="A4369" s="1" t="s">
        <v>5405</v>
      </c>
      <c r="B4369" s="1" t="s">
        <v>5409</v>
      </c>
      <c r="C4369" s="1"/>
      <c r="D4369" s="1" t="str">
        <f>IFERROR(__xludf.DUMMYFUNCTION("GOOGLETRANSLATE(A4369 , ""auto"", ""ar"")"),"فترة")</f>
        <v>فترة</v>
      </c>
    </row>
    <row r="4370" ht="15.75" customHeight="1">
      <c r="A4370" s="1" t="s">
        <v>5410</v>
      </c>
      <c r="B4370" s="1" t="s">
        <v>5411</v>
      </c>
      <c r="C4370" s="2" t="s">
        <v>5412</v>
      </c>
      <c r="D4370" s="1" t="str">
        <f>IFERROR(__xludf.DUMMYFUNCTION("GOOGLETRANSLATE(A4370 , ""auto"", ""ar"")"),"مباح")</f>
        <v>مباح</v>
      </c>
    </row>
    <row r="4371" ht="15.75" customHeight="1">
      <c r="A4371" s="1" t="s">
        <v>5413</v>
      </c>
      <c r="B4371" s="1" t="s">
        <v>5414</v>
      </c>
      <c r="C4371" s="2" t="s">
        <v>5415</v>
      </c>
      <c r="D4371" s="1" t="str">
        <f>IFERROR(__xludf.DUMMYFUNCTION("GOOGLETRANSLATE(A4371 , ""auto"", ""ar"")"),"شخص")</f>
        <v>شخص</v>
      </c>
    </row>
    <row r="4372" ht="15.75" customHeight="1">
      <c r="A4372" s="1" t="s">
        <v>5413</v>
      </c>
      <c r="B4372" s="1" t="s">
        <v>4534</v>
      </c>
      <c r="C4372" s="2" t="s">
        <v>4535</v>
      </c>
      <c r="D4372" s="1" t="str">
        <f>IFERROR(__xludf.DUMMYFUNCTION("GOOGLETRANSLATE(A4372 , ""auto"", ""ar"")"),"شخص")</f>
        <v>شخص</v>
      </c>
    </row>
    <row r="4373" ht="15.75" customHeight="1">
      <c r="A4373" s="1" t="s">
        <v>5416</v>
      </c>
      <c r="B4373" s="1" t="s">
        <v>3784</v>
      </c>
      <c r="C4373" s="2" t="s">
        <v>3785</v>
      </c>
      <c r="D4373" s="1" t="str">
        <f>IFERROR(__xludf.DUMMYFUNCTION("GOOGLETRANSLATE(A4373 , ""auto"", ""ar"")"),"الشخص المسؤول")</f>
        <v>الشخص المسؤول</v>
      </c>
    </row>
    <row r="4374" ht="15.75" customHeight="1">
      <c r="A4374" s="1" t="s">
        <v>5417</v>
      </c>
      <c r="B4374" s="1" t="s">
        <v>5261</v>
      </c>
      <c r="C4374" s="2" t="s">
        <v>5262</v>
      </c>
      <c r="D4374" s="1" t="str">
        <f>IFERROR(__xludf.DUMMYFUNCTION("GOOGLETRANSLATE(A4374 , ""auto"", ""ar"")"),"شخص قابل للتطبيق")</f>
        <v>شخص قابل للتطبيق</v>
      </c>
    </row>
    <row r="4375" ht="15.75" customHeight="1">
      <c r="A4375" s="1" t="s">
        <v>5418</v>
      </c>
      <c r="B4375" s="1" t="s">
        <v>5419</v>
      </c>
      <c r="C4375" s="2" t="s">
        <v>5420</v>
      </c>
      <c r="D4375" s="1" t="str">
        <f>IFERROR(__xludf.DUMMYFUNCTION("GOOGLETRANSLATE(A4375 , ""auto"", ""ar"")"),"شخصية")</f>
        <v>شخصية</v>
      </c>
    </row>
    <row r="4376" ht="15.75" customHeight="1">
      <c r="A4376" s="1" t="s">
        <v>5421</v>
      </c>
      <c r="B4376" s="1" t="s">
        <v>5422</v>
      </c>
      <c r="C4376" s="2" t="s">
        <v>5423</v>
      </c>
      <c r="D4376" s="1" t="str">
        <f>IFERROR(__xludf.DUMMYFUNCTION("GOOGLETRANSLATE(A4376 , ""auto"", ""ar"")"),"شخصيا")</f>
        <v>شخصيا</v>
      </c>
    </row>
    <row r="4377" ht="15.75" customHeight="1">
      <c r="A4377" s="1" t="s">
        <v>5424</v>
      </c>
      <c r="B4377" s="1" t="s">
        <v>5425</v>
      </c>
      <c r="C4377" s="1"/>
      <c r="D4377" s="1" t="str">
        <f>IFERROR(__xludf.DUMMYFUNCTION("GOOGLETRANSLATE(A4377 , ""auto"", ""ar"")"),"عرق")</f>
        <v>عرق</v>
      </c>
    </row>
    <row r="4378" ht="15.75" customHeight="1">
      <c r="A4378" s="1" t="s">
        <v>5426</v>
      </c>
      <c r="B4378" s="1" t="s">
        <v>5427</v>
      </c>
      <c r="C4378" s="2" t="s">
        <v>5428</v>
      </c>
      <c r="D4378" s="1" t="str">
        <f>IFERROR(__xludf.DUMMYFUNCTION("GOOGLETRANSLATE(A4378 , ""auto"", ""ar"")"),"عرق")</f>
        <v>عرق</v>
      </c>
    </row>
    <row r="4379" ht="15.75" customHeight="1">
      <c r="A4379" s="1" t="s">
        <v>5426</v>
      </c>
      <c r="B4379" s="1" t="s">
        <v>5429</v>
      </c>
      <c r="C4379" s="2" t="s">
        <v>5430</v>
      </c>
      <c r="D4379" s="1" t="str">
        <f>IFERROR(__xludf.DUMMYFUNCTION("GOOGLETRANSLATE(A4379 , ""auto"", ""ar"")"),"عرق")</f>
        <v>عرق</v>
      </c>
    </row>
    <row r="4380" ht="15.75" customHeight="1">
      <c r="A4380" s="1" t="s">
        <v>5431</v>
      </c>
      <c r="B4380" s="1" t="s">
        <v>5432</v>
      </c>
      <c r="C4380" s="2" t="s">
        <v>2265</v>
      </c>
      <c r="D4380" s="1" t="str">
        <f>IFERROR(__xludf.DUMMYFUNCTION("GOOGLETRANSLATE(A4380 , ""auto"", ""ar"")"),"صيدلاني")</f>
        <v>صيدلاني</v>
      </c>
    </row>
    <row r="4381" ht="15.75" customHeight="1">
      <c r="A4381" s="1" t="s">
        <v>5433</v>
      </c>
      <c r="B4381" s="1" t="s">
        <v>2264</v>
      </c>
      <c r="C4381" s="2" t="s">
        <v>2265</v>
      </c>
      <c r="D4381" s="1" t="str">
        <f>IFERROR(__xludf.DUMMYFUNCTION("GOOGLETRANSLATE(A4381 , ""auto"", ""ar"")"),"مقابل")</f>
        <v>مقابل</v>
      </c>
    </row>
    <row r="4382" ht="15.75" customHeight="1">
      <c r="A4382" s="1" t="s">
        <v>5434</v>
      </c>
      <c r="B4382" s="1" t="s">
        <v>1168</v>
      </c>
      <c r="C4382" s="2" t="s">
        <v>1169</v>
      </c>
      <c r="D4382" s="1" t="str">
        <f>IFERROR(__xludf.DUMMYFUNCTION("GOOGLETRANSLATE(A4382 , ""auto"", ""ar"")"),"هاتف")</f>
        <v>هاتف</v>
      </c>
    </row>
    <row r="4383" ht="15.75" customHeight="1">
      <c r="A4383" s="1" t="s">
        <v>5434</v>
      </c>
      <c r="B4383" s="1" t="s">
        <v>1170</v>
      </c>
      <c r="C4383" s="2" t="s">
        <v>1171</v>
      </c>
      <c r="D4383" s="1" t="str">
        <f>IFERROR(__xludf.DUMMYFUNCTION("GOOGLETRANSLATE(A4383 , ""auto"", ""ar"")"),"هاتف")</f>
        <v>هاتف</v>
      </c>
    </row>
    <row r="4384" ht="15.75" customHeight="1">
      <c r="A4384" s="1" t="s">
        <v>5434</v>
      </c>
      <c r="B4384" s="1" t="s">
        <v>1172</v>
      </c>
      <c r="C4384" s="2" t="s">
        <v>1173</v>
      </c>
      <c r="D4384" s="1" t="str">
        <f>IFERROR(__xludf.DUMMYFUNCTION("GOOGLETRANSLATE(A4384 , ""auto"", ""ar"")"),"هاتف")</f>
        <v>هاتف</v>
      </c>
    </row>
    <row r="4385" ht="15.75" customHeight="1">
      <c r="A4385" s="1" t="s">
        <v>5435</v>
      </c>
      <c r="B4385" s="1" t="s">
        <v>3757</v>
      </c>
      <c r="C4385" s="2" t="s">
        <v>3758</v>
      </c>
      <c r="D4385" s="1" t="str">
        <f>IFERROR(__xludf.DUMMYFUNCTION("GOOGLETRANSLATE(A4385 , ""auto"", ""ar"")"),"صورة")</f>
        <v>صورة</v>
      </c>
    </row>
    <row r="4386" ht="15.75" customHeight="1">
      <c r="A4386" s="1" t="s">
        <v>5436</v>
      </c>
      <c r="B4386" s="1" t="s">
        <v>3757</v>
      </c>
      <c r="C4386" s="2" t="s">
        <v>3758</v>
      </c>
      <c r="D4386" s="1" t="str">
        <f>IFERROR(__xludf.DUMMYFUNCTION("GOOGLETRANSLATE(A4386 , ""auto"", ""ar"")"),"تصوير")</f>
        <v>تصوير</v>
      </c>
    </row>
    <row r="4387" ht="15.75" customHeight="1">
      <c r="A4387" s="1" t="s">
        <v>5437</v>
      </c>
      <c r="B4387" s="1" t="s">
        <v>3757</v>
      </c>
      <c r="C4387" s="2" t="s">
        <v>3758</v>
      </c>
      <c r="D4387" s="1" t="str">
        <f>IFERROR(__xludf.DUMMYFUNCTION("GOOGLETRANSLATE(A4387 , ""auto"", ""ar"")"),"صورة")</f>
        <v>صورة</v>
      </c>
    </row>
    <row r="4388" ht="15.75" customHeight="1">
      <c r="A4388" s="1" t="s">
        <v>5438</v>
      </c>
      <c r="B4388" s="1" t="s">
        <v>5439</v>
      </c>
      <c r="C4388" s="2" t="s">
        <v>5440</v>
      </c>
      <c r="D4388" s="1" t="str">
        <f>IFERROR(__xludf.DUMMYFUNCTION("GOOGLETRANSLATE(A4388 , ""auto"", ""ar"")"),"قطعة")</f>
        <v>قطعة</v>
      </c>
    </row>
    <row r="4389" ht="15.75" customHeight="1">
      <c r="A4389" s="1" t="s">
        <v>5441</v>
      </c>
      <c r="B4389" s="1" t="s">
        <v>5442</v>
      </c>
      <c r="C4389" s="2" t="s">
        <v>5443</v>
      </c>
      <c r="D4389" s="1" t="str">
        <f>IFERROR(__xludf.DUMMYFUNCTION("GOOGLETRANSLATE(A4389 , ""auto"", ""ar"")"),"خنزير")</f>
        <v>خنزير</v>
      </c>
    </row>
    <row r="4390" ht="15.75" customHeight="1">
      <c r="A4390" s="1" t="s">
        <v>5444</v>
      </c>
      <c r="B4390" s="1" t="s">
        <v>5445</v>
      </c>
      <c r="C4390" s="2" t="s">
        <v>5446</v>
      </c>
      <c r="D4390" s="1" t="str">
        <f>IFERROR(__xludf.DUMMYFUNCTION("GOOGLETRANSLATE(A4390 , ""auto"", ""ar"")"),"حمامة")</f>
        <v>حمامة</v>
      </c>
    </row>
    <row r="4391" ht="15.75" customHeight="1">
      <c r="A4391" s="1" t="s">
        <v>5447</v>
      </c>
      <c r="B4391" s="1" t="s">
        <v>4352</v>
      </c>
      <c r="C4391" s="2" t="s">
        <v>4353</v>
      </c>
      <c r="D4391" s="1" t="str">
        <f>IFERROR(__xludf.DUMMYFUNCTION("GOOGLETRANSLATE(A4391 , ""auto"", ""ar"")"),"يجمع")</f>
        <v>يجمع</v>
      </c>
    </row>
    <row r="4392" ht="15.75" customHeight="1">
      <c r="A4392" s="1" t="s">
        <v>5448</v>
      </c>
      <c r="B4392" s="1" t="s">
        <v>1231</v>
      </c>
      <c r="C4392" s="1"/>
      <c r="D4392" s="1" t="str">
        <f>IFERROR(__xludf.DUMMYFUNCTION("GOOGLETRANSLATE(A4392 , ""auto"", ""ar"")"),"حبة")</f>
        <v>حبة</v>
      </c>
    </row>
    <row r="4393" ht="15.75" customHeight="1">
      <c r="A4393" s="1" t="s">
        <v>5448</v>
      </c>
      <c r="B4393" s="1" t="s">
        <v>5449</v>
      </c>
      <c r="C4393" s="2" t="s">
        <v>5450</v>
      </c>
      <c r="D4393" s="1" t="str">
        <f>IFERROR(__xludf.DUMMYFUNCTION("GOOGLETRANSLATE(A4393 , ""auto"", ""ar"")"),"حبة")</f>
        <v>حبة</v>
      </c>
    </row>
    <row r="4394" ht="15.75" customHeight="1">
      <c r="A4394" s="1" t="s">
        <v>5448</v>
      </c>
      <c r="B4394" s="1" t="s">
        <v>5449</v>
      </c>
      <c r="C4394" s="2" t="s">
        <v>5450</v>
      </c>
      <c r="D4394" s="1" t="str">
        <f>IFERROR(__xludf.DUMMYFUNCTION("GOOGLETRANSLATE(A4394 , ""auto"", ""ar"")"),"حبة")</f>
        <v>حبة</v>
      </c>
    </row>
    <row r="4395" ht="15.75" customHeight="1">
      <c r="A4395" s="1" t="s">
        <v>5451</v>
      </c>
      <c r="B4395" s="1" t="s">
        <v>5452</v>
      </c>
      <c r="C4395" s="1"/>
      <c r="D4395" s="1" t="str">
        <f>IFERROR(__xludf.DUMMYFUNCTION("GOOGLETRANSLATE(A4395 , ""auto"", ""ar"")"),"وسادة")</f>
        <v>وسادة</v>
      </c>
    </row>
    <row r="4396" ht="15.75" customHeight="1">
      <c r="A4396" s="1" t="s">
        <v>5451</v>
      </c>
      <c r="B4396" s="1" t="s">
        <v>1880</v>
      </c>
      <c r="C4396" s="2" t="s">
        <v>1881</v>
      </c>
      <c r="D4396" s="1" t="str">
        <f>IFERROR(__xludf.DUMMYFUNCTION("GOOGLETRANSLATE(A4396 , ""auto"", ""ar"")"),"وسادة")</f>
        <v>وسادة</v>
      </c>
    </row>
    <row r="4397" ht="15.75" customHeight="1">
      <c r="A4397" s="1" t="s">
        <v>5453</v>
      </c>
      <c r="B4397" s="1" t="s">
        <v>5454</v>
      </c>
      <c r="C4397" s="2" t="s">
        <v>5455</v>
      </c>
      <c r="D4397" s="1" t="str">
        <f>IFERROR(__xludf.DUMMYFUNCTION("GOOGLETRANSLATE(A4397 , ""auto"", ""ar"")"),"أناناس")</f>
        <v>أناناس</v>
      </c>
    </row>
    <row r="4398" ht="15.75" customHeight="1">
      <c r="A4398" s="1" t="s">
        <v>5456</v>
      </c>
      <c r="B4398" s="1" t="s">
        <v>5457</v>
      </c>
      <c r="C4398" s="2" t="s">
        <v>5458</v>
      </c>
      <c r="D4398" s="1" t="str">
        <f>IFERROR(__xludf.DUMMYFUNCTION("GOOGLETRANSLATE(A4398 , ""auto"", ""ar"")"),"لون القرنفل")</f>
        <v>لون القرنفل</v>
      </c>
    </row>
    <row r="4399" ht="15.75" customHeight="1">
      <c r="A4399" s="1" t="s">
        <v>5456</v>
      </c>
      <c r="B4399" s="1" t="s">
        <v>5459</v>
      </c>
      <c r="C4399" s="2" t="s">
        <v>5460</v>
      </c>
      <c r="D4399" s="1" t="str">
        <f>IFERROR(__xludf.DUMMYFUNCTION("GOOGLETRANSLATE(A4399 , ""auto"", ""ar"")"),"لون القرنفل")</f>
        <v>لون القرنفل</v>
      </c>
    </row>
    <row r="4400" ht="15.75" customHeight="1">
      <c r="A4400" s="1" t="s">
        <v>5456</v>
      </c>
      <c r="B4400" s="1" t="s">
        <v>5461</v>
      </c>
      <c r="C4400" s="1"/>
      <c r="D4400" s="1" t="str">
        <f>IFERROR(__xludf.DUMMYFUNCTION("GOOGLETRANSLATE(A4400 , ""auto"", ""ar"")"),"لون القرنفل")</f>
        <v>لون القرنفل</v>
      </c>
    </row>
    <row r="4401" ht="15.75" customHeight="1">
      <c r="A4401" s="1" t="s">
        <v>5462</v>
      </c>
      <c r="B4401" s="1" t="s">
        <v>5463</v>
      </c>
      <c r="C4401" s="1"/>
      <c r="D4401" s="1" t="str">
        <f>IFERROR(__xludf.DUMMYFUNCTION("GOOGLETRANSLATE(A4401 , ""auto"", ""ar"")"),"يضخ")</f>
        <v>يضخ</v>
      </c>
    </row>
    <row r="4402" ht="15.75" customHeight="1">
      <c r="A4402" s="1" t="s">
        <v>5462</v>
      </c>
      <c r="B4402" s="1" t="s">
        <v>5464</v>
      </c>
      <c r="C4402" s="1"/>
      <c r="D4402" s="1" t="str">
        <f>IFERROR(__xludf.DUMMYFUNCTION("GOOGLETRANSLATE(A4402 , ""auto"", ""ar"")"),"يضخ")</f>
        <v>يضخ</v>
      </c>
    </row>
    <row r="4403" ht="15.75" customHeight="1">
      <c r="A4403" s="1" t="s">
        <v>5462</v>
      </c>
      <c r="B4403" s="1" t="s">
        <v>3644</v>
      </c>
      <c r="C4403" s="1"/>
      <c r="D4403" s="1" t="str">
        <f>IFERROR(__xludf.DUMMYFUNCTION("GOOGLETRANSLATE(A4403 , ""auto"", ""ar"")"),"يضخ")</f>
        <v>يضخ</v>
      </c>
    </row>
    <row r="4404" ht="15.75" customHeight="1">
      <c r="A4404" s="1" t="s">
        <v>5465</v>
      </c>
      <c r="B4404" s="1" t="s">
        <v>4028</v>
      </c>
      <c r="C4404" s="2" t="s">
        <v>4029</v>
      </c>
      <c r="D4404" s="1" t="str">
        <f>IFERROR(__xludf.DUMMYFUNCTION("GOOGLETRANSLATE(A4404 , ""auto"", ""ar"")"),"جرة")</f>
        <v>جرة</v>
      </c>
    </row>
    <row r="4405" ht="15.75" customHeight="1">
      <c r="A4405" s="1" t="s">
        <v>7476</v>
      </c>
      <c r="B4405" s="1" t="s">
        <v>5689</v>
      </c>
      <c r="C4405" s="2" t="s">
        <v>5690</v>
      </c>
      <c r="D4405" s="1" t="str">
        <f>IFERROR(__xludf.DUMMYFUNCTION("GOOGLETRANSLATE(A4405 , ""auto"", ""ar"")"),"شفقة")</f>
        <v>شفقة</v>
      </c>
    </row>
    <row r="4406" ht="15.75" customHeight="1">
      <c r="A4406" s="1" t="s">
        <v>7477</v>
      </c>
      <c r="B4406" s="1" t="s">
        <v>7478</v>
      </c>
      <c r="C4406" s="2" t="s">
        <v>7479</v>
      </c>
      <c r="D4406" s="1" t="str">
        <f>IFERROR(__xludf.DUMMYFUNCTION("GOOGLETRANSLATE(A4406 , ""auto"", ""ar"")"),"بيتزا")</f>
        <v>بيتزا</v>
      </c>
    </row>
    <row r="4407" ht="15.75" customHeight="1">
      <c r="A4407" s="1" t="s">
        <v>7480</v>
      </c>
      <c r="B4407" s="1" t="s">
        <v>346</v>
      </c>
      <c r="C4407" s="2" t="s">
        <v>347</v>
      </c>
      <c r="D4407" s="1" t="str">
        <f>IFERROR(__xludf.DUMMYFUNCTION("GOOGLETRANSLATE(A4407 , ""auto"", ""ar"")"),"مكان")</f>
        <v>مكان</v>
      </c>
    </row>
    <row r="4408" ht="15.75" customHeight="1">
      <c r="A4408" s="1" t="s">
        <v>7480</v>
      </c>
      <c r="B4408" s="1" t="s">
        <v>5305</v>
      </c>
      <c r="C4408" s="2" t="s">
        <v>5306</v>
      </c>
      <c r="D4408" s="1" t="str">
        <f>IFERROR(__xludf.DUMMYFUNCTION("GOOGLETRANSLATE(A4408 , ""auto"", ""ar"")"),"مكان")</f>
        <v>مكان</v>
      </c>
    </row>
    <row r="4409" ht="15.75" customHeight="1">
      <c r="A4409" s="1" t="s">
        <v>7481</v>
      </c>
      <c r="B4409" s="1" t="s">
        <v>7482</v>
      </c>
      <c r="C4409" s="2" t="s">
        <v>7483</v>
      </c>
      <c r="D4409" s="1" t="str">
        <f>IFERROR(__xludf.DUMMYFUNCTION("GOOGLETRANSLATE(A4409 , ""auto"", ""ar"")"),"وضعت")</f>
        <v>وضعت</v>
      </c>
    </row>
    <row r="4410" ht="15.75" customHeight="1">
      <c r="A4410" s="1" t="s">
        <v>7484</v>
      </c>
      <c r="B4410" s="1" t="s">
        <v>7485</v>
      </c>
      <c r="C4410" s="2" t="s">
        <v>7486</v>
      </c>
      <c r="D4410" s="1" t="str">
        <f>IFERROR(__xludf.DUMMYFUNCTION("GOOGLETRANSLATE(A4410 , ""auto"", ""ar"")"),"وباء")</f>
        <v>وباء</v>
      </c>
    </row>
    <row r="4411" ht="15.75" customHeight="1">
      <c r="A4411" s="1" t="s">
        <v>7487</v>
      </c>
      <c r="B4411" s="1" t="s">
        <v>7488</v>
      </c>
      <c r="C4411" s="1"/>
      <c r="D4411" s="1" t="str">
        <f>IFERROR(__xludf.DUMMYFUNCTION("GOOGLETRANSLATE(A4411 , ""auto"", ""ar"")"),"دقيق أبيض عادي")</f>
        <v>دقيق أبيض عادي</v>
      </c>
    </row>
    <row r="4412" ht="15.75" customHeight="1">
      <c r="A4412" s="1" t="s">
        <v>7489</v>
      </c>
      <c r="B4412" s="1" t="s">
        <v>178</v>
      </c>
      <c r="C4412" s="2" t="s">
        <v>179</v>
      </c>
      <c r="D4412" s="1" t="str">
        <f>IFERROR(__xludf.DUMMYFUNCTION("GOOGLETRANSLATE(A4412 , ""auto"", ""ar"")"),"طائرة")</f>
        <v>طائرة</v>
      </c>
    </row>
    <row r="4413" ht="15.75" customHeight="1">
      <c r="A4413" s="1" t="s">
        <v>7490</v>
      </c>
      <c r="B4413" s="1" t="s">
        <v>7491</v>
      </c>
      <c r="C4413" s="2" t="s">
        <v>7492</v>
      </c>
      <c r="D4413" s="1" t="str">
        <f>IFERROR(__xludf.DUMMYFUNCTION("GOOGLETRANSLATE(A4413 , ""auto"", ""ar"")"),"كوكب")</f>
        <v>كوكب</v>
      </c>
    </row>
    <row r="4414" ht="15.75" customHeight="1">
      <c r="A4414" s="1" t="s">
        <v>7493</v>
      </c>
      <c r="B4414" s="1" t="s">
        <v>7494</v>
      </c>
      <c r="C4414" s="1"/>
      <c r="D4414" s="1" t="str">
        <f>IFERROR(__xludf.DUMMYFUNCTION("GOOGLETRANSLATE(A4414 , ""auto"", ""ar"")"),"لوح")</f>
        <v>لوح</v>
      </c>
    </row>
    <row r="4415" ht="15.75" customHeight="1">
      <c r="A4415" s="1" t="s">
        <v>7495</v>
      </c>
      <c r="B4415" s="1" t="s">
        <v>7496</v>
      </c>
      <c r="C4415" s="2" t="s">
        <v>7497</v>
      </c>
      <c r="D4415" s="1" t="str">
        <f>IFERROR(__xludf.DUMMYFUNCTION("GOOGLETRANSLATE(A4415 , ""auto"", ""ar"")"),"نبات")</f>
        <v>نبات</v>
      </c>
    </row>
    <row r="4416" ht="15.75" customHeight="1">
      <c r="A4416" s="1" t="s">
        <v>7495</v>
      </c>
      <c r="B4416" s="1" t="s">
        <v>5606</v>
      </c>
      <c r="C4416" s="1"/>
      <c r="D4416" s="1" t="str">
        <f>IFERROR(__xludf.DUMMYFUNCTION("GOOGLETRANSLATE(A4416 , ""auto"", ""ar"")"),"نبات")</f>
        <v>نبات</v>
      </c>
    </row>
    <row r="4417" ht="15.75" customHeight="1">
      <c r="A4417" s="1" t="s">
        <v>7495</v>
      </c>
      <c r="B4417" s="1" t="s">
        <v>7498</v>
      </c>
      <c r="C4417" s="2" t="s">
        <v>7499</v>
      </c>
      <c r="D4417" s="1" t="str">
        <f>IFERROR(__xludf.DUMMYFUNCTION("GOOGLETRANSLATE(A4417 , ""auto"", ""ar"")"),"نبات")</f>
        <v>نبات</v>
      </c>
    </row>
    <row r="4418" ht="15.75" customHeight="1">
      <c r="A4418" s="1" t="s">
        <v>7495</v>
      </c>
      <c r="B4418" s="1" t="s">
        <v>6065</v>
      </c>
      <c r="C4418" s="2" t="s">
        <v>6066</v>
      </c>
      <c r="D4418" s="1" t="str">
        <f>IFERROR(__xludf.DUMMYFUNCTION("GOOGLETRANSLATE(A4418 , ""auto"", ""ar"")"),"نبات")</f>
        <v>نبات</v>
      </c>
    </row>
    <row r="4419" ht="15.75" customHeight="1">
      <c r="A4419" s="1" t="s">
        <v>7495</v>
      </c>
      <c r="B4419" s="1" t="s">
        <v>7500</v>
      </c>
      <c r="C4419" s="2" t="s">
        <v>7501</v>
      </c>
      <c r="D4419" s="1" t="str">
        <f>IFERROR(__xludf.DUMMYFUNCTION("GOOGLETRANSLATE(A4419 , ""auto"", ""ar"")"),"نبات")</f>
        <v>نبات</v>
      </c>
    </row>
    <row r="4420" ht="15.75" customHeight="1">
      <c r="A4420" s="1" t="s">
        <v>7502</v>
      </c>
      <c r="B4420" s="1" t="s">
        <v>7013</v>
      </c>
      <c r="C4420" s="2" t="s">
        <v>7014</v>
      </c>
      <c r="D4420" s="1" t="str">
        <f>IFERROR(__xludf.DUMMYFUNCTION("GOOGLETRANSLATE(A4420 , ""auto"", ""ar"")"),"يمكن للنبات")</f>
        <v>يمكن للنبات</v>
      </c>
    </row>
    <row r="4421" ht="15.75" customHeight="1">
      <c r="A4421" s="1" t="s">
        <v>7503</v>
      </c>
      <c r="B4421" s="1" t="s">
        <v>1110</v>
      </c>
      <c r="C4421" s="2" t="s">
        <v>5820</v>
      </c>
      <c r="D4421" s="1" t="str">
        <f>IFERROR(__xludf.DUMMYFUNCTION("GOOGLETRANSLATE(A4421 , ""auto"", ""ar"")"),"الترسبات")</f>
        <v>الترسبات</v>
      </c>
    </row>
    <row r="4422" ht="15.75" customHeight="1">
      <c r="A4422" s="1" t="s">
        <v>7504</v>
      </c>
      <c r="B4422" s="1" t="s">
        <v>7505</v>
      </c>
      <c r="C4422" s="2" t="s">
        <v>7506</v>
      </c>
      <c r="D4422" s="1" t="str">
        <f>IFERROR(__xludf.DUMMYFUNCTION("GOOGLETRANSLATE(A4422 , ""auto"", ""ar"")"),"جص")</f>
        <v>جص</v>
      </c>
    </row>
    <row r="4423" ht="15.75" customHeight="1">
      <c r="A4423" s="1" t="s">
        <v>7504</v>
      </c>
      <c r="B4423" s="1" t="s">
        <v>7507</v>
      </c>
      <c r="C4423" s="2" t="s">
        <v>7508</v>
      </c>
      <c r="D4423" s="1" t="str">
        <f>IFERROR(__xludf.DUMMYFUNCTION("GOOGLETRANSLATE(A4423 , ""auto"", ""ar"")"),"جص")</f>
        <v>جص</v>
      </c>
    </row>
    <row r="4424" ht="15.75" customHeight="1">
      <c r="A4424" s="1" t="s">
        <v>7509</v>
      </c>
      <c r="B4424" s="1" t="s">
        <v>7510</v>
      </c>
      <c r="C4424" s="2" t="s">
        <v>7511</v>
      </c>
      <c r="D4424" s="1" t="str">
        <f>IFERROR(__xludf.DUMMYFUNCTION("GOOGLETRANSLATE(A4424 , ""auto"", ""ar"")"),"بلاستيك")</f>
        <v>بلاستيك</v>
      </c>
    </row>
    <row r="4425" ht="15.75" customHeight="1">
      <c r="A4425" s="1" t="s">
        <v>7512</v>
      </c>
      <c r="B4425" s="1" t="s">
        <v>7513</v>
      </c>
      <c r="C4425" s="2" t="s">
        <v>7514</v>
      </c>
      <c r="D4425" s="1" t="str">
        <f>IFERROR(__xludf.DUMMYFUNCTION("GOOGLETRANSLATE(A4425 , ""auto"", ""ar"")"),"طبق")</f>
        <v>طبق</v>
      </c>
    </row>
    <row r="4426" ht="15.75" customHeight="1">
      <c r="A4426" s="1" t="s">
        <v>7515</v>
      </c>
      <c r="B4426" s="1" t="s">
        <v>7516</v>
      </c>
      <c r="C4426" s="2" t="s">
        <v>7517</v>
      </c>
      <c r="D4426" s="1" t="str">
        <f>IFERROR(__xludf.DUMMYFUNCTION("GOOGLETRANSLATE(A4426 , ""auto"", ""ar"")"),"يلعب")</f>
        <v>يلعب</v>
      </c>
    </row>
    <row r="4427" ht="15.75" customHeight="1">
      <c r="A4427" s="1" t="s">
        <v>7515</v>
      </c>
      <c r="B4427" s="1" t="s">
        <v>67</v>
      </c>
      <c r="C4427" s="2" t="s">
        <v>68</v>
      </c>
      <c r="D4427" s="1" t="str">
        <f>IFERROR(__xludf.DUMMYFUNCTION("GOOGLETRANSLATE(A4427 , ""auto"", ""ar"")"),"يلعب")</f>
        <v>يلعب</v>
      </c>
    </row>
    <row r="4428" ht="15.75" customHeight="1">
      <c r="A4428" s="1" t="s">
        <v>7515</v>
      </c>
      <c r="B4428" s="1" t="s">
        <v>7518</v>
      </c>
      <c r="C4428" s="2" t="s">
        <v>7519</v>
      </c>
      <c r="D4428" s="1" t="str">
        <f>IFERROR(__xludf.DUMMYFUNCTION("GOOGLETRANSLATE(A4428 , ""auto"", ""ar"")"),"يلعب")</f>
        <v>يلعب</v>
      </c>
    </row>
    <row r="4429" ht="15.75" customHeight="1">
      <c r="A4429" s="1" t="s">
        <v>7520</v>
      </c>
      <c r="B4429" s="1" t="s">
        <v>997</v>
      </c>
      <c r="C4429" s="1"/>
      <c r="D4429" s="1" t="str">
        <f>IFERROR(__xludf.DUMMYFUNCTION("GOOGLETRANSLATE(A4429 , ""auto"", ""ar"")"),"وقت اللعب")</f>
        <v>وقت اللعب</v>
      </c>
    </row>
    <row r="4430" ht="15.75" customHeight="1">
      <c r="A4430" s="1" t="s">
        <v>7521</v>
      </c>
      <c r="B4430" s="1" t="s">
        <v>7522</v>
      </c>
      <c r="C4430" s="2" t="s">
        <v>7523</v>
      </c>
      <c r="D4430" s="1" t="str">
        <f>IFERROR(__xludf.DUMMYFUNCTION("GOOGLETRANSLATE(A4430 , ""auto"", ""ar"")"),"لو سمحت")</f>
        <v>لو سمحت</v>
      </c>
    </row>
    <row r="4431" ht="15.75" customHeight="1">
      <c r="A4431" s="1" t="s">
        <v>7521</v>
      </c>
      <c r="B4431" s="1" t="s">
        <v>7524</v>
      </c>
      <c r="C4431" s="1"/>
      <c r="D4431" s="1" t="str">
        <f>IFERROR(__xludf.DUMMYFUNCTION("GOOGLETRANSLATE(A4431 , ""auto"", ""ar"")"),"لو سمحت")</f>
        <v>لو سمحت</v>
      </c>
    </row>
    <row r="4432" ht="15.75" customHeight="1">
      <c r="A4432" s="1" t="s">
        <v>7521</v>
      </c>
      <c r="B4432" s="1" t="s">
        <v>4334</v>
      </c>
      <c r="C4432" s="2" t="s">
        <v>4335</v>
      </c>
      <c r="D4432" s="1" t="str">
        <f>IFERROR(__xludf.DUMMYFUNCTION("GOOGLETRANSLATE(A4432 , ""auto"", ""ar"")"),"لو سمحت")</f>
        <v>لو سمحت</v>
      </c>
    </row>
    <row r="4433" ht="15.75" customHeight="1">
      <c r="A4433" s="1" t="s">
        <v>7525</v>
      </c>
      <c r="B4433" s="1" t="s">
        <v>7526</v>
      </c>
      <c r="C4433" s="2" t="s">
        <v>7527</v>
      </c>
      <c r="D4433" s="1" t="str">
        <f>IFERROR(__xludf.DUMMYFUNCTION("GOOGLETRANSLATE(A4433 , ""auto"", ""ar"")"),"ممتن لمقابلتك")</f>
        <v>ممتن لمقابلتك</v>
      </c>
    </row>
    <row r="4434" ht="15.75" customHeight="1">
      <c r="A4434" s="1" t="s">
        <v>7528</v>
      </c>
      <c r="B4434" s="1" t="s">
        <v>7529</v>
      </c>
      <c r="C4434" s="1"/>
      <c r="D4434" s="1" t="str">
        <f>IFERROR(__xludf.DUMMYFUNCTION("GOOGLETRANSLATE(A4434 , ""auto"", ""ar"")"),"بلوغول")</f>
        <v>بلوغول</v>
      </c>
    </row>
    <row r="4435" ht="15.75" customHeight="1">
      <c r="A4435" s="1" t="s">
        <v>7528</v>
      </c>
      <c r="B4435" s="1" t="s">
        <v>2208</v>
      </c>
      <c r="C4435" s="2" t="s">
        <v>2209</v>
      </c>
      <c r="D4435" s="1" t="str">
        <f>IFERROR(__xludf.DUMMYFUNCTION("GOOGLETRANSLATE(A4435 , ""auto"", ""ar"")"),"بلوغول")</f>
        <v>بلوغول</v>
      </c>
    </row>
    <row r="4436" ht="15.75" customHeight="1">
      <c r="A4436" s="1" t="s">
        <v>7530</v>
      </c>
      <c r="B4436" s="1" t="s">
        <v>7531</v>
      </c>
      <c r="C4436" s="2" t="s">
        <v>7532</v>
      </c>
      <c r="D4436" s="1" t="str">
        <f>IFERROR(__xludf.DUMMYFUNCTION("GOOGLETRANSLATE(A4436 , ""auto"", ""ar"")"),"وظيفة محترمة")</f>
        <v>وظيفة محترمة</v>
      </c>
    </row>
    <row r="4437" ht="15.75" customHeight="1">
      <c r="A4437" s="1" t="s">
        <v>7533</v>
      </c>
      <c r="B4437" s="1" t="s">
        <v>7534</v>
      </c>
      <c r="C4437" s="2" t="s">
        <v>7535</v>
      </c>
      <c r="D4437" s="1" t="str">
        <f>IFERROR(__xludf.DUMMYFUNCTION("GOOGLETRANSLATE(A4437 , ""auto"", ""ar"")"),"سباك")</f>
        <v>سباك</v>
      </c>
    </row>
    <row r="4438" ht="15.75" customHeight="1">
      <c r="A4438" s="1" t="s">
        <v>7536</v>
      </c>
      <c r="B4438" s="1" t="s">
        <v>7537</v>
      </c>
      <c r="C4438" s="2" t="s">
        <v>7538</v>
      </c>
      <c r="D4438" s="1" t="str">
        <f>IFERROR(__xludf.DUMMYFUNCTION("GOOGLETRANSLATE(A4438 , ""auto"", ""ar"")"),"الغطاس")</f>
        <v>الغطاس</v>
      </c>
    </row>
    <row r="4439" ht="15.75" customHeight="1">
      <c r="A4439" s="1" t="s">
        <v>7539</v>
      </c>
      <c r="B4439" s="1" t="s">
        <v>7540</v>
      </c>
      <c r="C4439" s="1"/>
      <c r="D4439" s="1" t="str">
        <f>IFERROR(__xludf.DUMMYFUNCTION("GOOGLETRANSLATE(A4439 , ""auto"", ""ar"")"),"زائد")</f>
        <v>زائد</v>
      </c>
    </row>
    <row r="4440" ht="15.75" customHeight="1">
      <c r="A4440" s="1" t="s">
        <v>7541</v>
      </c>
      <c r="B4440" s="1" t="s">
        <v>7542</v>
      </c>
      <c r="C4440" s="2" t="s">
        <v>7543</v>
      </c>
      <c r="D4440" s="1" t="str">
        <f>IFERROR(__xludf.DUMMYFUNCTION("GOOGLETRANSLATE(A4440 , ""auto"", ""ar"")"),"جيب")</f>
        <v>جيب</v>
      </c>
    </row>
    <row r="4441" ht="15.75" customHeight="1">
      <c r="A4441" s="1" t="s">
        <v>7544</v>
      </c>
      <c r="B4441" s="1" t="s">
        <v>7545</v>
      </c>
      <c r="C4441" s="2" t="s">
        <v>7546</v>
      </c>
      <c r="D4441" s="1" t="str">
        <f>IFERROR(__xludf.DUMMYFUNCTION("GOOGLETRANSLATE(A4441 , ""auto"", ""ar"")"),"قصيدة")</f>
        <v>قصيدة</v>
      </c>
    </row>
    <row r="4442" ht="15.75" customHeight="1">
      <c r="A4442" s="1" t="s">
        <v>7547</v>
      </c>
      <c r="B4442" s="1" t="s">
        <v>7548</v>
      </c>
      <c r="C4442" s="2" t="s">
        <v>7549</v>
      </c>
      <c r="D4442" s="1" t="str">
        <f>IFERROR(__xludf.DUMMYFUNCTION("GOOGLETRANSLATE(A4442 , ""auto"", ""ar"")"),"شاعر")</f>
        <v>شاعر</v>
      </c>
    </row>
    <row r="4443" ht="15.75" customHeight="1">
      <c r="A4443" s="1" t="s">
        <v>7550</v>
      </c>
      <c r="B4443" s="1" t="s">
        <v>7551</v>
      </c>
      <c r="C4443" s="2" t="s">
        <v>7552</v>
      </c>
      <c r="D4443" s="1" t="str">
        <f>IFERROR(__xludf.DUMMYFUNCTION("GOOGLETRANSLATE(A4443 , ""auto"", ""ar"")"),"شِعر")</f>
        <v>شِعر</v>
      </c>
    </row>
    <row r="4444" ht="15.75" customHeight="1">
      <c r="A4444" s="1" t="s">
        <v>7553</v>
      </c>
      <c r="B4444" s="1" t="s">
        <v>7554</v>
      </c>
      <c r="C4444" s="2" t="s">
        <v>7555</v>
      </c>
      <c r="D4444" s="1" t="str">
        <f>IFERROR(__xludf.DUMMYFUNCTION("GOOGLETRANSLATE(A4444 , ""auto"", ""ar"")"),"سم")</f>
        <v>سم</v>
      </c>
    </row>
    <row r="4445" ht="15.75" customHeight="1">
      <c r="A4445" s="1" t="s">
        <v>7556</v>
      </c>
      <c r="B4445" s="1" t="s">
        <v>7557</v>
      </c>
      <c r="C4445" s="1"/>
      <c r="D4445" s="1" t="str">
        <f>IFERROR(__xludf.DUMMYFUNCTION("GOOGLETRANSLATE(A4445 , ""auto"", ""ar"")"),"لا")</f>
        <v>لا</v>
      </c>
    </row>
    <row r="4446" ht="15.75" customHeight="1">
      <c r="A4446" s="1" t="s">
        <v>7556</v>
      </c>
      <c r="B4446" s="1" t="s">
        <v>7558</v>
      </c>
      <c r="C4446" s="1"/>
      <c r="D4446" s="1" t="str">
        <f>IFERROR(__xludf.DUMMYFUNCTION("GOOGLETRANSLATE(A4446 , ""auto"", ""ar"")"),"لا")</f>
        <v>لا</v>
      </c>
    </row>
    <row r="4447" ht="15.75" customHeight="1">
      <c r="A4447" s="1" t="s">
        <v>7559</v>
      </c>
      <c r="B4447" s="1" t="s">
        <v>7560</v>
      </c>
      <c r="C4447" s="2" t="s">
        <v>7561</v>
      </c>
      <c r="D4447" s="1" t="str">
        <f>IFERROR(__xludf.DUMMYFUNCTION("GOOGLETRANSLATE(A4447 , ""auto"", ""ar"")"),"شرطة")</f>
        <v>شرطة</v>
      </c>
    </row>
    <row r="4448" ht="15.75" customHeight="1">
      <c r="A4448" s="1" t="s">
        <v>7562</v>
      </c>
      <c r="B4448" s="1" t="s">
        <v>7563</v>
      </c>
      <c r="C4448" s="2" t="s">
        <v>7564</v>
      </c>
      <c r="D4448" s="1" t="str">
        <f>IFERROR(__xludf.DUMMYFUNCTION("GOOGLETRANSLATE(A4448 , ""auto"", ""ar"")"),"ضابط شرطة")</f>
        <v>ضابط شرطة</v>
      </c>
    </row>
    <row r="4449" ht="15.75" customHeight="1">
      <c r="A4449" s="1" t="s">
        <v>7565</v>
      </c>
      <c r="B4449" s="1" t="s">
        <v>7566</v>
      </c>
      <c r="C4449" s="2" t="s">
        <v>7567</v>
      </c>
      <c r="D4449" s="1" t="str">
        <f>IFERROR(__xludf.DUMMYFUNCTION("GOOGLETRANSLATE(A4449 , ""auto"", ""ar"")"),"قسم الامن")</f>
        <v>قسم الامن</v>
      </c>
    </row>
    <row r="4450" ht="15.75" customHeight="1">
      <c r="A4450" s="1" t="s">
        <v>7568</v>
      </c>
      <c r="B4450" s="1" t="s">
        <v>7563</v>
      </c>
      <c r="C4450" s="1"/>
      <c r="D4450" s="1" t="str">
        <f>IFERROR(__xludf.DUMMYFUNCTION("GOOGLETRANSLATE(A4450 , ""auto"", ""ar"")"),"الشرطي")</f>
        <v>الشرطي</v>
      </c>
    </row>
    <row r="4451" ht="15.75" customHeight="1">
      <c r="A4451" s="1" t="s">
        <v>7569</v>
      </c>
      <c r="B4451" s="1" t="s">
        <v>7570</v>
      </c>
      <c r="C4451" s="2" t="s">
        <v>65</v>
      </c>
      <c r="D4451" s="1" t="str">
        <f>IFERROR(__xludf.DUMMYFUNCTION("GOOGLETRANSLATE(A4451 , ""auto"", ""ar"")"),"مؤدب")</f>
        <v>مؤدب</v>
      </c>
    </row>
    <row r="4452" ht="15.75" customHeight="1">
      <c r="A4452" s="1" t="s">
        <v>7569</v>
      </c>
      <c r="B4452" s="1" t="s">
        <v>7571</v>
      </c>
      <c r="C4452" s="2" t="s">
        <v>65</v>
      </c>
      <c r="D4452" s="1" t="str">
        <f>IFERROR(__xludf.DUMMYFUNCTION("GOOGLETRANSLATE(A4452 , ""auto"", ""ar"")"),"مؤدب")</f>
        <v>مؤدب</v>
      </c>
    </row>
    <row r="4453" ht="15.75" customHeight="1">
      <c r="A4453" s="1" t="s">
        <v>7572</v>
      </c>
      <c r="B4453" s="1" t="s">
        <v>7573</v>
      </c>
      <c r="C4453" s="1"/>
      <c r="D4453" s="1" t="str">
        <f>IFERROR(__xludf.DUMMYFUNCTION("GOOGLETRANSLATE(A4453 , ""auto"", ""ar"")"),"الادب")</f>
        <v>الادب</v>
      </c>
    </row>
    <row r="4454" ht="15.75" customHeight="1">
      <c r="A4454" s="1" t="s">
        <v>7572</v>
      </c>
      <c r="B4454" s="1" t="s">
        <v>7574</v>
      </c>
      <c r="C4454" s="1"/>
      <c r="D4454" s="1" t="str">
        <f>IFERROR(__xludf.DUMMYFUNCTION("GOOGLETRANSLATE(A4454 , ""auto"", ""ar"")"),"الادب")</f>
        <v>الادب</v>
      </c>
    </row>
    <row r="4455" ht="15.75" customHeight="1">
      <c r="A4455" s="1" t="s">
        <v>7575</v>
      </c>
      <c r="B4455" s="1" t="s">
        <v>7576</v>
      </c>
      <c r="C4455" s="2" t="s">
        <v>7577</v>
      </c>
      <c r="D4455" s="1" t="str">
        <f>IFERROR(__xludf.DUMMYFUNCTION("GOOGLETRANSLATE(A4455 , ""auto"", ""ar"")"),"حزب سياسي")</f>
        <v>حزب سياسي</v>
      </c>
    </row>
    <row r="4456" ht="15.75" customHeight="1">
      <c r="A4456" s="1" t="s">
        <v>7578</v>
      </c>
      <c r="B4456" s="1" t="s">
        <v>7579</v>
      </c>
      <c r="C4456" s="2" t="s">
        <v>7580</v>
      </c>
      <c r="D4456" s="1" t="str">
        <f>IFERROR(__xludf.DUMMYFUNCTION("GOOGLETRANSLATE(A4456 , ""auto"", ""ar"")"),"سياسة")</f>
        <v>سياسة</v>
      </c>
    </row>
    <row r="4457" ht="15.75" customHeight="1">
      <c r="A4457" s="1" t="s">
        <v>7581</v>
      </c>
      <c r="B4457" s="1" t="s">
        <v>7582</v>
      </c>
      <c r="C4457" s="2" t="s">
        <v>7583</v>
      </c>
      <c r="D4457" s="1" t="str">
        <f>IFERROR(__xludf.DUMMYFUNCTION("GOOGLETRANSLATE(A4457 , ""auto"", ""ar"")"),"تلوث")</f>
        <v>تلوث</v>
      </c>
    </row>
    <row r="4458" ht="15.75" customHeight="1">
      <c r="A4458" s="1" t="s">
        <v>7584</v>
      </c>
      <c r="B4458" s="1" t="s">
        <v>7585</v>
      </c>
      <c r="C4458" s="2" t="s">
        <v>7586</v>
      </c>
      <c r="D4458" s="1" t="str">
        <f>IFERROR(__xludf.DUMMYFUNCTION("GOOGLETRANSLATE(A4458 , ""auto"", ""ar"")"),"تلوث")</f>
        <v>تلوث</v>
      </c>
    </row>
    <row r="4459" ht="15.75" customHeight="1">
      <c r="A4459" s="1" t="s">
        <v>7587</v>
      </c>
      <c r="B4459" s="1" t="s">
        <v>7588</v>
      </c>
      <c r="C4459" s="2" t="s">
        <v>7589</v>
      </c>
      <c r="D4459" s="1" t="str">
        <f>IFERROR(__xludf.DUMMYFUNCTION("GOOGLETRANSLATE(A4459 , ""auto"", ""ar"")"),"رمان")</f>
        <v>رمان</v>
      </c>
    </row>
    <row r="4460" ht="15.75" customHeight="1">
      <c r="A4460" s="1" t="s">
        <v>7590</v>
      </c>
      <c r="B4460" s="1" t="s">
        <v>7591</v>
      </c>
      <c r="C4460" s="2" t="s">
        <v>7592</v>
      </c>
      <c r="D4460" s="1" t="str">
        <f>IFERROR(__xludf.DUMMYFUNCTION("GOOGLETRANSLATE(A4460 , ""auto"", ""ar"")"),"فقير")</f>
        <v>فقير</v>
      </c>
    </row>
    <row r="4461" ht="15.75" customHeight="1">
      <c r="A4461" s="1" t="s">
        <v>7590</v>
      </c>
      <c r="B4461" s="1" t="s">
        <v>7593</v>
      </c>
      <c r="C4461" s="2" t="s">
        <v>7594</v>
      </c>
      <c r="D4461" s="1" t="str">
        <f>IFERROR(__xludf.DUMMYFUNCTION("GOOGLETRANSLATE(A4461 , ""auto"", ""ar"")"),"فقير")</f>
        <v>فقير</v>
      </c>
    </row>
    <row r="4462" ht="15.75" customHeight="1">
      <c r="A4462" s="1" t="s">
        <v>7595</v>
      </c>
      <c r="B4462" s="1" t="s">
        <v>7596</v>
      </c>
      <c r="C4462" s="2" t="s">
        <v>7597</v>
      </c>
      <c r="D4462" s="1" t="str">
        <f>IFERROR(__xludf.DUMMYFUNCTION("GOOGLETRANSLATE(A4462 , ""auto"", ""ar"")"),"الفشار")</f>
        <v>الفشار</v>
      </c>
    </row>
    <row r="4463" ht="15.75" customHeight="1">
      <c r="A4463" s="1" t="s">
        <v>7598</v>
      </c>
      <c r="B4463" s="1" t="s">
        <v>7599</v>
      </c>
      <c r="C4463" s="2" t="s">
        <v>7600</v>
      </c>
      <c r="D4463" s="1" t="str">
        <f>IFERROR(__xludf.DUMMYFUNCTION("GOOGLETRANSLATE(A4463 , ""auto"", ""ar"")"),"شائع")</f>
        <v>شائع</v>
      </c>
    </row>
    <row r="4464" ht="15.75" customHeight="1">
      <c r="A4464" s="1" t="s">
        <v>7601</v>
      </c>
      <c r="B4464" s="1" t="s">
        <v>7602</v>
      </c>
      <c r="C4464" s="2" t="s">
        <v>7603</v>
      </c>
      <c r="D4464" s="1" t="str">
        <f>IFERROR(__xludf.DUMMYFUNCTION("GOOGLETRANSLATE(A4464 , ""auto"", ""ar"")"),"ميناء")</f>
        <v>ميناء</v>
      </c>
    </row>
    <row r="4465" ht="15.75" customHeight="1">
      <c r="A4465" s="1" t="s">
        <v>7604</v>
      </c>
      <c r="B4465" s="1" t="s">
        <v>7605</v>
      </c>
      <c r="C4465" s="2" t="s">
        <v>7606</v>
      </c>
      <c r="D4465" s="1" t="str">
        <f>IFERROR(__xludf.DUMMYFUNCTION("GOOGLETRANSLATE(A4465 , ""auto"", ""ar"")"),"أَثَار")</f>
        <v>أَثَار</v>
      </c>
    </row>
    <row r="4466" ht="15.75" customHeight="1">
      <c r="A4466" s="1" t="s">
        <v>7607</v>
      </c>
      <c r="B4466" s="1" t="s">
        <v>7608</v>
      </c>
      <c r="C4466" s="2" t="s">
        <v>4605</v>
      </c>
      <c r="D4466" s="1" t="str">
        <f>IFERROR(__xludf.DUMMYFUNCTION("GOOGLETRANSLATE(A4466 , ""auto"", ""ar"")"),"ممكن")</f>
        <v>ممكن</v>
      </c>
    </row>
    <row r="4467" ht="15.75" customHeight="1">
      <c r="A4467" s="1" t="s">
        <v>7607</v>
      </c>
      <c r="B4467" s="1" t="s">
        <v>7609</v>
      </c>
      <c r="C4467" s="1"/>
      <c r="D4467" s="1" t="str">
        <f>IFERROR(__xludf.DUMMYFUNCTION("GOOGLETRANSLATE(A4467 , ""auto"", ""ar"")"),"ممكن")</f>
        <v>ممكن</v>
      </c>
    </row>
    <row r="4468" ht="15.75" customHeight="1">
      <c r="A4468" s="1" t="s">
        <v>7610</v>
      </c>
      <c r="B4468" s="1" t="s">
        <v>7611</v>
      </c>
      <c r="C4468" s="2" t="s">
        <v>7612</v>
      </c>
      <c r="D4468" s="1" t="str">
        <f>IFERROR(__xludf.DUMMYFUNCTION("GOOGLETRANSLATE(A4468 , ""auto"", ""ar"")"),"مكتب البريد")</f>
        <v>مكتب البريد</v>
      </c>
    </row>
    <row r="4469" ht="15.75" customHeight="1">
      <c r="A4469" s="1" t="s">
        <v>7613</v>
      </c>
      <c r="B4469" s="1" t="s">
        <v>7614</v>
      </c>
      <c r="C4469" s="2" t="s">
        <v>7615</v>
      </c>
      <c r="D4469" s="1" t="str">
        <f>IFERROR(__xludf.DUMMYFUNCTION("GOOGLETRANSLATE(A4469 , ""auto"", ""ar"")"),"ساعي البريد")</f>
        <v>ساعي البريد</v>
      </c>
    </row>
    <row r="4470" ht="15.75" customHeight="1">
      <c r="A4470" s="1" t="s">
        <v>7613</v>
      </c>
      <c r="B4470" s="1" t="s">
        <v>7616</v>
      </c>
      <c r="C4470" s="2" t="s">
        <v>7617</v>
      </c>
      <c r="D4470" s="1" t="str">
        <f>IFERROR(__xludf.DUMMYFUNCTION("GOOGLETRANSLATE(A4470 , ""auto"", ""ar"")"),"ساعي البريد")</f>
        <v>ساعي البريد</v>
      </c>
    </row>
    <row r="4471" ht="15.75" customHeight="1">
      <c r="A4471" s="1" t="s">
        <v>7618</v>
      </c>
      <c r="B4471" s="1" t="s">
        <v>7619</v>
      </c>
      <c r="C4471" s="2" t="s">
        <v>7620</v>
      </c>
      <c r="D4471" s="1" t="str">
        <f>IFERROR(__xludf.DUMMYFUNCTION("GOOGLETRANSLATE(A4471 , ""auto"", ""ar"")"),"البطاطس")</f>
        <v>البطاطس</v>
      </c>
    </row>
    <row r="4472" ht="15.75" customHeight="1">
      <c r="A4472" s="1" t="s">
        <v>7621</v>
      </c>
      <c r="B4472" s="1" t="s">
        <v>7622</v>
      </c>
      <c r="C4472" s="2" t="s">
        <v>7623</v>
      </c>
      <c r="D4472" s="1" t="str">
        <f>IFERROR(__xludf.DUMMYFUNCTION("GOOGLETRANSLATE(A4472 , ""auto"", ""ar"")"),"ل")</f>
        <v>ل</v>
      </c>
    </row>
    <row r="4473" ht="15.75" customHeight="1">
      <c r="A4473" s="1" t="s">
        <v>7621</v>
      </c>
      <c r="B4473" s="1" t="s">
        <v>2404</v>
      </c>
      <c r="C4473" s="2" t="s">
        <v>2405</v>
      </c>
      <c r="D4473" s="1" t="str">
        <f>IFERROR(__xludf.DUMMYFUNCTION("GOOGLETRANSLATE(A4473 , ""auto"", ""ar"")"),"ل")</f>
        <v>ل</v>
      </c>
    </row>
    <row r="4474" ht="15.75" customHeight="1">
      <c r="A4474" s="1" t="s">
        <v>7624</v>
      </c>
      <c r="B4474" s="1" t="s">
        <v>2867</v>
      </c>
      <c r="C4474" s="2" t="s">
        <v>2868</v>
      </c>
      <c r="D4474" s="1" t="str">
        <f>IFERROR(__xludf.DUMMYFUNCTION("GOOGLETRANSLATE(A4474 , ""auto"", ""ar"")"),"قوة")</f>
        <v>قوة</v>
      </c>
    </row>
    <row r="4475" ht="15.75" customHeight="1">
      <c r="A4475" s="1" t="s">
        <v>7625</v>
      </c>
      <c r="B4475" s="1" t="s">
        <v>7626</v>
      </c>
      <c r="C4475" s="2" t="s">
        <v>65</v>
      </c>
      <c r="D4475" s="1" t="str">
        <f>IFERROR(__xludf.DUMMYFUNCTION("GOOGLETRANSLATE(A4475 , ""auto"", ""ar"")"),"قوي")</f>
        <v>قوي</v>
      </c>
    </row>
    <row r="4476" ht="15.75" customHeight="1">
      <c r="A4476" s="1" t="s">
        <v>7627</v>
      </c>
      <c r="B4476" s="1" t="s">
        <v>7628</v>
      </c>
      <c r="C4476" s="2" t="s">
        <v>7629</v>
      </c>
      <c r="D4476" s="1" t="str">
        <f>IFERROR(__xludf.DUMMYFUNCTION("GOOGLETRANSLATE(A4476 , ""auto"", ""ar"")"),"الحمد لله")</f>
        <v>الحمد لله</v>
      </c>
    </row>
    <row r="4477" ht="15.75" customHeight="1">
      <c r="A4477" s="1" t="s">
        <v>7627</v>
      </c>
      <c r="B4477" s="1" t="s">
        <v>7630</v>
      </c>
      <c r="C4477" s="1"/>
      <c r="D4477" s="1" t="str">
        <f>IFERROR(__xludf.DUMMYFUNCTION("GOOGLETRANSLATE(A4477 , ""auto"", ""ar"")"),"الحمد لله")</f>
        <v>الحمد لله</v>
      </c>
    </row>
    <row r="4478" ht="15.75" customHeight="1">
      <c r="A4478" s="1" t="s">
        <v>7631</v>
      </c>
      <c r="B4478" s="1" t="s">
        <v>7632</v>
      </c>
      <c r="C4478" s="2" t="s">
        <v>7633</v>
      </c>
      <c r="D4478" s="1" t="str">
        <f>IFERROR(__xludf.DUMMYFUNCTION("GOOGLETRANSLATE(A4478 , ""auto"", ""ar"")"),"يصلي")</f>
        <v>يصلي</v>
      </c>
    </row>
    <row r="4479" ht="15.75" customHeight="1">
      <c r="A4479" s="1" t="s">
        <v>7631</v>
      </c>
      <c r="B4479" s="1" t="s">
        <v>394</v>
      </c>
      <c r="C4479" s="2" t="s">
        <v>7634</v>
      </c>
      <c r="D4479" s="1" t="str">
        <f>IFERROR(__xludf.DUMMYFUNCTION("GOOGLETRANSLATE(A4479 , ""auto"", ""ar"")"),"يصلي")</f>
        <v>يصلي</v>
      </c>
    </row>
    <row r="4480" ht="15.75" customHeight="1">
      <c r="A4480" s="1" t="s">
        <v>7631</v>
      </c>
      <c r="B4480" s="1" t="s">
        <v>7635</v>
      </c>
      <c r="C4480" s="2" t="s">
        <v>7636</v>
      </c>
      <c r="D4480" s="1" t="str">
        <f>IFERROR(__xludf.DUMMYFUNCTION("GOOGLETRANSLATE(A4480 , ""auto"", ""ar"")"),"يصلي")</f>
        <v>يصلي</v>
      </c>
    </row>
    <row r="4481" ht="15.75" customHeight="1">
      <c r="A4481" s="1" t="s">
        <v>7637</v>
      </c>
      <c r="B4481" s="1" t="s">
        <v>7638</v>
      </c>
      <c r="C4481" s="2" t="s">
        <v>7639</v>
      </c>
      <c r="D4481" s="1" t="str">
        <f>IFERROR(__xludf.DUMMYFUNCTION("GOOGLETRANSLATE(A4481 , ""auto"", ""ar"")"),"دعاء")</f>
        <v>دعاء</v>
      </c>
    </row>
    <row r="4482" ht="15.75" customHeight="1">
      <c r="A4482" s="1" t="s">
        <v>7637</v>
      </c>
      <c r="B4482" s="1" t="s">
        <v>7640</v>
      </c>
      <c r="C4482" s="1"/>
      <c r="D4482" s="1" t="str">
        <f>IFERROR(__xludf.DUMMYFUNCTION("GOOGLETRANSLATE(A4482 , ""auto"", ""ar"")"),"دعاء")</f>
        <v>دعاء</v>
      </c>
    </row>
    <row r="4483" ht="15.75" customHeight="1">
      <c r="A4483" s="1" t="s">
        <v>7637</v>
      </c>
      <c r="B4483" s="1" t="s">
        <v>7641</v>
      </c>
      <c r="C4483" s="2" t="s">
        <v>7642</v>
      </c>
      <c r="D4483" s="1" t="str">
        <f>IFERROR(__xludf.DUMMYFUNCTION("GOOGLETRANSLATE(A4483 , ""auto"", ""ar"")"),"دعاء")</f>
        <v>دعاء</v>
      </c>
    </row>
    <row r="4484" ht="15.75" customHeight="1">
      <c r="A4484" s="1" t="s">
        <v>7643</v>
      </c>
      <c r="B4484" s="1" t="s">
        <v>7644</v>
      </c>
      <c r="C4484" s="2" t="s">
        <v>7645</v>
      </c>
      <c r="D4484" s="1" t="str">
        <f>IFERROR(__xludf.DUMMYFUNCTION("GOOGLETRANSLATE(A4484 , ""auto"", ""ar"")"),"ثمين")</f>
        <v>ثمين</v>
      </c>
    </row>
    <row r="4485" ht="15.75" customHeight="1">
      <c r="A4485" s="1" t="s">
        <v>7646</v>
      </c>
      <c r="B4485" s="1" t="s">
        <v>3997</v>
      </c>
      <c r="C4485" s="1"/>
      <c r="D4485" s="1" t="str">
        <f>IFERROR(__xludf.DUMMYFUNCTION("GOOGLETRANSLATE(A4485 , ""auto"", ""ar"")"),"حجر ثمين")</f>
        <v>حجر ثمين</v>
      </c>
    </row>
    <row r="4486" ht="15.75" customHeight="1">
      <c r="A4486" s="1" t="s">
        <v>7647</v>
      </c>
      <c r="B4486" s="1" t="s">
        <v>7648</v>
      </c>
      <c r="C4486" s="2" t="s">
        <v>2506</v>
      </c>
      <c r="D4486" s="1" t="str">
        <f>IFERROR(__xludf.DUMMYFUNCTION("GOOGLETRANSLATE(A4486 , ""auto"", ""ar"")"),"بدقة")</f>
        <v>بدقة</v>
      </c>
    </row>
    <row r="4487" ht="15.75" customHeight="1">
      <c r="A4487" s="1" t="s">
        <v>7649</v>
      </c>
      <c r="B4487" s="1" t="s">
        <v>7650</v>
      </c>
      <c r="C4487" s="2" t="s">
        <v>7651</v>
      </c>
      <c r="D4487" s="1" t="str">
        <f>IFERROR(__xludf.DUMMYFUNCTION("GOOGLETRANSLATE(A4487 , ""auto"", ""ar"")"),"يفضل")</f>
        <v>يفضل</v>
      </c>
    </row>
    <row r="4488" ht="15.75" customHeight="1">
      <c r="A4488" s="1" t="s">
        <v>7652</v>
      </c>
      <c r="B4488" s="1" t="s">
        <v>7653</v>
      </c>
      <c r="C4488" s="2" t="s">
        <v>7654</v>
      </c>
      <c r="D4488" s="1" t="str">
        <f>IFERROR(__xludf.DUMMYFUNCTION("GOOGLETRANSLATE(A4488 , ""auto"", ""ar"")"),"حامل")</f>
        <v>حامل</v>
      </c>
    </row>
    <row r="4489" ht="15.75" customHeight="1">
      <c r="A4489" s="1" t="s">
        <v>7652</v>
      </c>
      <c r="B4489" s="1" t="s">
        <v>7655</v>
      </c>
      <c r="C4489" s="1"/>
      <c r="D4489" s="1" t="str">
        <f>IFERROR(__xludf.DUMMYFUNCTION("GOOGLETRANSLATE(A4489 , ""auto"", ""ar"")"),"حامل")</f>
        <v>حامل</v>
      </c>
    </row>
    <row r="4490" ht="15.75" customHeight="1">
      <c r="A4490" s="1" t="s">
        <v>7656</v>
      </c>
      <c r="B4490" s="1" t="s">
        <v>4216</v>
      </c>
      <c r="C4490" s="2" t="s">
        <v>7657</v>
      </c>
      <c r="D4490" s="1" t="str">
        <f>IFERROR(__xludf.DUMMYFUNCTION("GOOGLETRANSLATE(A4490 , ""auto"", ""ar"")"),"يحضر")</f>
        <v>يحضر</v>
      </c>
    </row>
    <row r="4491" ht="15.75" customHeight="1">
      <c r="A4491" s="1" t="s">
        <v>7656</v>
      </c>
      <c r="B4491" s="1" t="s">
        <v>1464</v>
      </c>
      <c r="C4491" s="2" t="s">
        <v>1465</v>
      </c>
      <c r="D4491" s="1" t="str">
        <f>IFERROR(__xludf.DUMMYFUNCTION("GOOGLETRANSLATE(A4491 , ""auto"", ""ar"")"),"يحضر")</f>
        <v>يحضر</v>
      </c>
    </row>
    <row r="4492" ht="15.75" customHeight="1">
      <c r="A4492" s="1" t="s">
        <v>7656</v>
      </c>
      <c r="B4492" s="1" t="s">
        <v>2153</v>
      </c>
      <c r="C4492" s="1"/>
      <c r="D4492" s="1" t="str">
        <f>IFERROR(__xludf.DUMMYFUNCTION("GOOGLETRANSLATE(A4492 , ""auto"", ""ar"")"),"يحضر")</f>
        <v>يحضر</v>
      </c>
    </row>
    <row r="4493" ht="15.75" customHeight="1">
      <c r="A4493" s="1" t="s">
        <v>7656</v>
      </c>
      <c r="B4493" s="1" t="s">
        <v>2154</v>
      </c>
      <c r="C4493" s="1"/>
      <c r="D4493" s="1" t="str">
        <f>IFERROR(__xludf.DUMMYFUNCTION("GOOGLETRANSLATE(A4493 , ""auto"", ""ar"")"),"يحضر")</f>
        <v>يحضر</v>
      </c>
    </row>
    <row r="4494" ht="15.75" customHeight="1">
      <c r="A4494" s="1" t="s">
        <v>7658</v>
      </c>
      <c r="B4494" s="1" t="s">
        <v>3106</v>
      </c>
      <c r="C4494" s="2" t="s">
        <v>3107</v>
      </c>
      <c r="D4494" s="1" t="str">
        <f>IFERROR(__xludf.DUMMYFUNCTION("GOOGLETRANSLATE(A4494 , ""auto"", ""ar"")"),"حاضر")</f>
        <v>حاضر</v>
      </c>
    </row>
    <row r="4495" ht="15.75" customHeight="1">
      <c r="A4495" s="1" t="s">
        <v>7659</v>
      </c>
      <c r="B4495" s="1" t="s">
        <v>7660</v>
      </c>
      <c r="C4495" s="2" t="s">
        <v>7661</v>
      </c>
      <c r="D4495" s="1" t="str">
        <f>IFERROR(__xludf.DUMMYFUNCTION("GOOGLETRANSLATE(A4495 , ""auto"", ""ar"")"),"ليمون المحفوظ")</f>
        <v>ليمون المحفوظ</v>
      </c>
    </row>
    <row r="4496" ht="15.75" customHeight="1">
      <c r="A4496" s="1" t="s">
        <v>7662</v>
      </c>
      <c r="B4496" s="1" t="s">
        <v>834</v>
      </c>
      <c r="C4496" s="2" t="s">
        <v>7663</v>
      </c>
      <c r="D4496" s="1" t="str">
        <f>IFERROR(__xludf.DUMMYFUNCTION("GOOGLETRANSLATE(A4496 , ""auto"", ""ar"")"),"ضغط")</f>
        <v>ضغط</v>
      </c>
    </row>
    <row r="4497" ht="15.75" customHeight="1">
      <c r="A4497" s="1" t="s">
        <v>7664</v>
      </c>
      <c r="B4497" s="1" t="s">
        <v>7665</v>
      </c>
      <c r="C4497" s="2" t="s">
        <v>7666</v>
      </c>
      <c r="D4497" s="1" t="str">
        <f>IFERROR(__xludf.DUMMYFUNCTION("GOOGLETRANSLATE(A4497 , ""auto"", ""ar"")"),"طنجرة الضغط")</f>
        <v>طنجرة الضغط</v>
      </c>
    </row>
    <row r="4498" ht="15.75" customHeight="1">
      <c r="A4498" s="1" t="s">
        <v>7664</v>
      </c>
      <c r="B4498" s="1" t="s">
        <v>7665</v>
      </c>
      <c r="C4498" s="2" t="s">
        <v>7667</v>
      </c>
      <c r="D4498" s="1" t="str">
        <f>IFERROR(__xludf.DUMMYFUNCTION("GOOGLETRANSLATE(A4498 , ""auto"", ""ar"")"),"طنجرة الضغط")</f>
        <v>طنجرة الضغط</v>
      </c>
    </row>
    <row r="4499" ht="15.75" customHeight="1">
      <c r="A4499" s="1" t="s">
        <v>7668</v>
      </c>
      <c r="B4499" s="1" t="s">
        <v>636</v>
      </c>
      <c r="C4499" s="2" t="s">
        <v>637</v>
      </c>
      <c r="D4499" s="1" t="str">
        <f>IFERROR(__xludf.DUMMYFUNCTION("GOOGLETRANSLATE(A4499 , ""auto"", ""ar"")"),"جميل")</f>
        <v>جميل</v>
      </c>
    </row>
    <row r="4500" ht="15.75" customHeight="1">
      <c r="A4500" s="1" t="s">
        <v>7669</v>
      </c>
      <c r="B4500" s="1" t="s">
        <v>7670</v>
      </c>
      <c r="C4500" s="2" t="s">
        <v>6224</v>
      </c>
      <c r="D4500" s="1" t="str">
        <f>IFERROR(__xludf.DUMMYFUNCTION("GOOGLETRANSLATE(A4500 , ""auto"", ""ar"")"),"يمنع")</f>
        <v>يمنع</v>
      </c>
    </row>
    <row r="4501" ht="15.75" customHeight="1">
      <c r="A4501" s="1" t="s">
        <v>7669</v>
      </c>
      <c r="B4501" s="1" t="s">
        <v>363</v>
      </c>
      <c r="C4501" s="2" t="s">
        <v>364</v>
      </c>
      <c r="D4501" s="1" t="str">
        <f>IFERROR(__xludf.DUMMYFUNCTION("GOOGLETRANSLATE(A4501 , ""auto"", ""ar"")"),"يمنع")</f>
        <v>يمنع</v>
      </c>
    </row>
    <row r="4502" ht="15.75" customHeight="1">
      <c r="A4502" s="1" t="s">
        <v>7669</v>
      </c>
      <c r="B4502" s="1" t="s">
        <v>6225</v>
      </c>
      <c r="C4502" s="2" t="s">
        <v>65</v>
      </c>
      <c r="D4502" s="1" t="str">
        <f>IFERROR(__xludf.DUMMYFUNCTION("GOOGLETRANSLATE(A4502 , ""auto"", ""ar"")"),"يمنع")</f>
        <v>يمنع</v>
      </c>
    </row>
    <row r="4503" ht="15.75" customHeight="1">
      <c r="A4503" s="1" t="s">
        <v>7671</v>
      </c>
      <c r="B4503" s="1" t="s">
        <v>7672</v>
      </c>
      <c r="C4503" s="2" t="s">
        <v>7673</v>
      </c>
      <c r="D4503" s="1" t="str">
        <f>IFERROR(__xludf.DUMMYFUNCTION("GOOGLETRANSLATE(A4503 , ""auto"", ""ar"")"),"سعر")</f>
        <v>سعر</v>
      </c>
    </row>
    <row r="4504" ht="15.75" customHeight="1">
      <c r="A4504" s="1" t="s">
        <v>7674</v>
      </c>
      <c r="B4504" s="1" t="s">
        <v>5346</v>
      </c>
      <c r="C4504" s="2" t="s">
        <v>5347</v>
      </c>
      <c r="D4504" s="1" t="str">
        <f>IFERROR(__xludf.DUMMYFUNCTION("GOOGLETRANSLATE(A4504 , ""auto"", ""ar"")"),"كاهن")</f>
        <v>كاهن</v>
      </c>
    </row>
    <row r="4505" ht="15.75" customHeight="1">
      <c r="A4505" s="1" t="s">
        <v>7675</v>
      </c>
      <c r="B4505" s="1" t="s">
        <v>7676</v>
      </c>
      <c r="C4505" s="2" t="s">
        <v>7677</v>
      </c>
      <c r="D4505" s="1" t="str">
        <f>IFERROR(__xludf.DUMMYFUNCTION("GOOGLETRANSLATE(A4505 , ""auto"", ""ar"")"),"أمير")</f>
        <v>أمير</v>
      </c>
    </row>
    <row r="4506" ht="15.75" customHeight="1">
      <c r="A4506" s="1" t="s">
        <v>7678</v>
      </c>
      <c r="B4506" s="1" t="s">
        <v>7679</v>
      </c>
      <c r="C4506" s="2" t="s">
        <v>7680</v>
      </c>
      <c r="D4506" s="1" t="str">
        <f>IFERROR(__xludf.DUMMYFUNCTION("GOOGLETRANSLATE(A4506 , ""auto"", ""ar"")"),"أميرة")</f>
        <v>أميرة</v>
      </c>
    </row>
    <row r="4507" ht="15.75" customHeight="1">
      <c r="A4507" s="1" t="s">
        <v>7681</v>
      </c>
      <c r="B4507" s="1" t="s">
        <v>7682</v>
      </c>
      <c r="C4507" s="2" t="s">
        <v>364</v>
      </c>
      <c r="D4507" s="1" t="str">
        <f>IFERROR(__xludf.DUMMYFUNCTION("GOOGLETRANSLATE(A4507 , ""auto"", ""ar"")"),"سجن")</f>
        <v>سجن</v>
      </c>
    </row>
    <row r="4508" ht="15.75" customHeight="1">
      <c r="A4508" s="1" t="s">
        <v>7683</v>
      </c>
      <c r="B4508" s="1" t="s">
        <v>7684</v>
      </c>
      <c r="C4508" s="2" t="s">
        <v>7685</v>
      </c>
      <c r="D4508" s="1" t="str">
        <f>IFERROR(__xludf.DUMMYFUNCTION("GOOGLETRANSLATE(A4508 , ""auto"", ""ar"")"),"أسير")</f>
        <v>أسير</v>
      </c>
    </row>
    <row r="4509" ht="15.75" customHeight="1">
      <c r="A4509" s="1" t="s">
        <v>7686</v>
      </c>
      <c r="B4509" s="1" t="s">
        <v>3472</v>
      </c>
      <c r="C4509" s="2" t="s">
        <v>3473</v>
      </c>
      <c r="D4509" s="1" t="str">
        <f>IFERROR(__xludf.DUMMYFUNCTION("GOOGLETRANSLATE(A4509 , ""auto"", ""ar"")"),"خاص")</f>
        <v>خاص</v>
      </c>
    </row>
    <row r="4510" ht="15.75" customHeight="1">
      <c r="A4510" s="1" t="s">
        <v>7687</v>
      </c>
      <c r="B4510" s="1" t="s">
        <v>7688</v>
      </c>
      <c r="C4510" s="2" t="s">
        <v>7689</v>
      </c>
      <c r="D4510" s="1" t="str">
        <f>IFERROR(__xludf.DUMMYFUNCTION("GOOGLETRANSLATE(A4510 , ""auto"", ""ar"")"),"مشكلة")</f>
        <v>مشكلة</v>
      </c>
    </row>
    <row r="4511" ht="15.75" customHeight="1">
      <c r="A4511" s="1" t="s">
        <v>7687</v>
      </c>
      <c r="B4511" s="1" t="s">
        <v>2704</v>
      </c>
      <c r="C4511" s="1"/>
      <c r="D4511" s="1" t="str">
        <f>IFERROR(__xludf.DUMMYFUNCTION("GOOGLETRANSLATE(A4511 , ""auto"", ""ar"")"),"مشكلة")</f>
        <v>مشكلة</v>
      </c>
    </row>
    <row r="4512" ht="15.75" customHeight="1">
      <c r="A4512" s="1" t="s">
        <v>7690</v>
      </c>
      <c r="B4512" s="1" t="s">
        <v>7691</v>
      </c>
      <c r="C4512" s="2" t="s">
        <v>7692</v>
      </c>
      <c r="D4512" s="1" t="str">
        <f>IFERROR(__xludf.DUMMYFUNCTION("GOOGLETRANSLATE(A4512 , ""auto"", ""ar"")"),"منتج")</f>
        <v>منتج</v>
      </c>
    </row>
    <row r="4513" ht="15.75" customHeight="1">
      <c r="A4513" s="1" t="s">
        <v>7690</v>
      </c>
      <c r="B4513" s="1" t="s">
        <v>7693</v>
      </c>
      <c r="C4513" s="2" t="s">
        <v>7694</v>
      </c>
      <c r="D4513" s="1" t="str">
        <f>IFERROR(__xludf.DUMMYFUNCTION("GOOGLETRANSLATE(A4513 , ""auto"", ""ar"")"),"منتج")</f>
        <v>منتج</v>
      </c>
    </row>
    <row r="4514" ht="15.75" customHeight="1">
      <c r="A4514" s="1" t="s">
        <v>7695</v>
      </c>
      <c r="B4514" s="1" t="s">
        <v>7696</v>
      </c>
      <c r="C4514" s="2" t="s">
        <v>7697</v>
      </c>
      <c r="D4514" s="1" t="str">
        <f>IFERROR(__xludf.DUMMYFUNCTION("GOOGLETRANSLATE(A4514 , ""auto"", ""ar"")"),"مهنة")</f>
        <v>مهنة</v>
      </c>
    </row>
    <row r="4515" ht="15.75" customHeight="1">
      <c r="A4515" s="1" t="s">
        <v>7698</v>
      </c>
      <c r="B4515" s="1" t="s">
        <v>7699</v>
      </c>
      <c r="C4515" s="2" t="s">
        <v>7700</v>
      </c>
      <c r="D4515" s="1" t="str">
        <f>IFERROR(__xludf.DUMMYFUNCTION("GOOGLETRANSLATE(A4515 , ""auto"", ""ar"")"),"برنامج")</f>
        <v>برنامج</v>
      </c>
    </row>
    <row r="4516" ht="15.75" customHeight="1">
      <c r="A4516" s="1" t="s">
        <v>7701</v>
      </c>
      <c r="B4516" s="1" t="s">
        <v>7702</v>
      </c>
      <c r="C4516" s="2" t="s">
        <v>7703</v>
      </c>
      <c r="D4516" s="1" t="str">
        <f>IFERROR(__xludf.DUMMYFUNCTION("GOOGLETRANSLATE(A4516 , ""auto"", ""ar"")"),"مشروع")</f>
        <v>مشروع</v>
      </c>
    </row>
    <row r="4517" ht="15.75" customHeight="1">
      <c r="A4517" s="1" t="s">
        <v>7704</v>
      </c>
      <c r="B4517" s="1" t="s">
        <v>7705</v>
      </c>
      <c r="C4517" s="2" t="s">
        <v>7706</v>
      </c>
      <c r="D4517" s="1" t="str">
        <f>IFERROR(__xludf.DUMMYFUNCTION("GOOGLETRANSLATE(A4517 , ""auto"", ""ar"")"),"يعد")</f>
        <v>يعد</v>
      </c>
    </row>
    <row r="4518" ht="15.75" customHeight="1">
      <c r="A4518" s="1" t="s">
        <v>7704</v>
      </c>
      <c r="B4518" s="1" t="s">
        <v>7707</v>
      </c>
      <c r="C4518" s="2" t="s">
        <v>7708</v>
      </c>
      <c r="D4518" s="1" t="str">
        <f>IFERROR(__xludf.DUMMYFUNCTION("GOOGLETRANSLATE(A4518 , ""auto"", ""ar"")"),"يعد")</f>
        <v>يعد</v>
      </c>
    </row>
    <row r="4519" ht="15.75" customHeight="1">
      <c r="A4519" s="1" t="s">
        <v>7709</v>
      </c>
      <c r="B4519" s="1" t="s">
        <v>7710</v>
      </c>
      <c r="C4519" s="2" t="s">
        <v>7711</v>
      </c>
      <c r="D4519" s="1" t="str">
        <f>IFERROR(__xludf.DUMMYFUNCTION("GOOGLETRANSLATE(A4519 , ""auto"", ""ar"")"),"نطق")</f>
        <v>نطق</v>
      </c>
    </row>
    <row r="4520" ht="15.75" customHeight="1">
      <c r="A4520" s="1" t="s">
        <v>7712</v>
      </c>
      <c r="B4520" s="1" t="s">
        <v>7713</v>
      </c>
      <c r="C4520" s="2" t="s">
        <v>7714</v>
      </c>
      <c r="D4520" s="1" t="str">
        <f>IFERROR(__xludf.DUMMYFUNCTION("GOOGLETRANSLATE(A4520 , ""auto"", ""ar"")"),"نبي")</f>
        <v>نبي</v>
      </c>
    </row>
    <row r="4521" ht="15.75" customHeight="1">
      <c r="A4521" s="1" t="s">
        <v>7715</v>
      </c>
      <c r="B4521" s="1" t="s">
        <v>7716</v>
      </c>
      <c r="C4521" s="1"/>
      <c r="D4521" s="1" t="str">
        <f>IFERROR(__xludf.DUMMYFUNCTION("GOOGLETRANSLATE(A4521 , ""auto"", ""ar"")"),"البغيض")</f>
        <v>البغيض</v>
      </c>
    </row>
    <row r="4522" ht="15.75" customHeight="1">
      <c r="A4522" s="1" t="s">
        <v>7717</v>
      </c>
      <c r="B4522" s="1" t="s">
        <v>7718</v>
      </c>
      <c r="C4522" s="1"/>
      <c r="D4522" s="1" t="str">
        <f>IFERROR(__xludf.DUMMYFUNCTION("GOOGLETRANSLATE(A4522 , ""auto"", ""ar"")"),"يحمي")</f>
        <v>يحمي</v>
      </c>
    </row>
    <row r="4523" ht="15.75" customHeight="1">
      <c r="A4523" s="1" t="s">
        <v>7719</v>
      </c>
      <c r="B4523" s="1" t="s">
        <v>7720</v>
      </c>
      <c r="C4523" s="2" t="s">
        <v>65</v>
      </c>
      <c r="D4523" s="1" t="str">
        <f>IFERROR(__xludf.DUMMYFUNCTION("GOOGLETRANSLATE(A4523 , ""auto"", ""ar"")"),"محمي")</f>
        <v>محمي</v>
      </c>
    </row>
    <row r="4524" ht="15.75" customHeight="1">
      <c r="A4524" s="1" t="s">
        <v>7721</v>
      </c>
      <c r="B4524" s="1" t="s">
        <v>7722</v>
      </c>
      <c r="C4524" s="1"/>
      <c r="D4524" s="1" t="str">
        <f>IFERROR(__xludf.DUMMYFUNCTION("GOOGLETRANSLATE(A4524 , ""auto"", ""ar"")"),"مقاطعة")</f>
        <v>مقاطعة</v>
      </c>
    </row>
    <row r="4525" ht="15.75" customHeight="1">
      <c r="A4525" s="1" t="s">
        <v>7723</v>
      </c>
      <c r="B4525" s="1" t="s">
        <v>7724</v>
      </c>
      <c r="C4525" s="1"/>
      <c r="D4525" s="1" t="str">
        <f>IFERROR(__xludf.DUMMYFUNCTION("GOOGLETRANSLATE(A4525 , ""auto"", ""ar"")"),"شهره اعلاميه")</f>
        <v>شهره اعلاميه</v>
      </c>
    </row>
    <row r="4526" ht="15.75" customHeight="1">
      <c r="A4526" s="1" t="s">
        <v>7725</v>
      </c>
      <c r="B4526" s="1" t="s">
        <v>7726</v>
      </c>
      <c r="C4526" s="2" t="s">
        <v>7727</v>
      </c>
      <c r="D4526" s="1" t="str">
        <f>IFERROR(__xludf.DUMMYFUNCTION("GOOGLETRANSLATE(A4526 , ""auto"", ""ar"")"),"يحذب")</f>
        <v>يحذب</v>
      </c>
    </row>
    <row r="4527" ht="15.75" customHeight="1">
      <c r="A4527" s="1" t="s">
        <v>7725</v>
      </c>
      <c r="B4527" s="1" t="s">
        <v>3087</v>
      </c>
      <c r="C4527" s="2" t="s">
        <v>3088</v>
      </c>
      <c r="D4527" s="1" t="str">
        <f>IFERROR(__xludf.DUMMYFUNCTION("GOOGLETRANSLATE(A4527 , ""auto"", ""ar"")"),"يحذب")</f>
        <v>يحذب</v>
      </c>
    </row>
    <row r="4528" ht="15.75" customHeight="1">
      <c r="A4528" s="1" t="s">
        <v>7728</v>
      </c>
      <c r="B4528" s="1" t="s">
        <v>400</v>
      </c>
      <c r="C4528" s="2" t="s">
        <v>7729</v>
      </c>
      <c r="D4528" s="1" t="str">
        <f>IFERROR(__xludf.DUMMYFUNCTION("GOOGLETRANSLATE(A4528 , ""auto"", ""ar"")"),"اسحب بنفسها معًا")</f>
        <v>اسحب بنفسها معًا</v>
      </c>
    </row>
    <row r="4529" ht="15.75" customHeight="1">
      <c r="A4529" s="1" t="s">
        <v>7730</v>
      </c>
      <c r="B4529" s="1" t="s">
        <v>3087</v>
      </c>
      <c r="C4529" s="2" t="s">
        <v>3088</v>
      </c>
      <c r="D4529" s="1" t="str">
        <f>IFERROR(__xludf.DUMMYFUNCTION("GOOGLETRANSLATE(A4529 , ""auto"", ""ar"")"),"إسحب للخارج")</f>
        <v>إسحب للخارج</v>
      </c>
    </row>
    <row r="4530" ht="15.75" customHeight="1">
      <c r="A4530" s="1" t="s">
        <v>7731</v>
      </c>
      <c r="B4530" s="1" t="s">
        <v>4047</v>
      </c>
      <c r="C4530" s="2" t="s">
        <v>4048</v>
      </c>
      <c r="D4530" s="1" t="str">
        <f>IFERROR(__xludf.DUMMYFUNCTION("GOOGLETRANSLATE(A4530 , ""auto"", ""ar"")"),"قف بجانب الطريق")</f>
        <v>قف بجانب الطريق</v>
      </c>
    </row>
    <row r="4531" ht="15.75" customHeight="1">
      <c r="A4531" s="1" t="s">
        <v>7732</v>
      </c>
      <c r="B4531" s="1" t="s">
        <v>1745</v>
      </c>
      <c r="C4531" s="2" t="s">
        <v>6134</v>
      </c>
      <c r="D4531" s="1" t="str">
        <f>IFERROR(__xludf.DUMMYFUNCTION("GOOGLETRANSLATE(A4531 , ""auto"", ""ar"")"),"يقطين")</f>
        <v>يقطين</v>
      </c>
    </row>
    <row r="4532" ht="15.75" customHeight="1">
      <c r="A4532" s="1" t="s">
        <v>7733</v>
      </c>
      <c r="B4532" s="1" t="s">
        <v>7734</v>
      </c>
      <c r="C4532" s="2" t="s">
        <v>7735</v>
      </c>
      <c r="D4532" s="1" t="str">
        <f>IFERROR(__xludf.DUMMYFUNCTION("GOOGLETRANSLATE(A4532 , ""auto"", ""ar"")"),"يعاقب")</f>
        <v>يعاقب</v>
      </c>
    </row>
    <row r="4533" ht="15.75" customHeight="1">
      <c r="A4533" s="1" t="s">
        <v>7736</v>
      </c>
      <c r="B4533" s="1" t="s">
        <v>7737</v>
      </c>
      <c r="C4533" s="2" t="s">
        <v>7738</v>
      </c>
      <c r="D4533" s="1" t="str">
        <f>IFERROR(__xludf.DUMMYFUNCTION("GOOGLETRANSLATE(A4533 , ""auto"", ""ar"")"),"عقاب")</f>
        <v>عقاب</v>
      </c>
    </row>
    <row r="4534" ht="15.75" customHeight="1">
      <c r="A4534" s="1" t="s">
        <v>7736</v>
      </c>
      <c r="B4534" s="1" t="s">
        <v>7739</v>
      </c>
      <c r="C4534" s="2" t="s">
        <v>6193</v>
      </c>
      <c r="D4534" s="1" t="str">
        <f>IFERROR(__xludf.DUMMYFUNCTION("GOOGLETRANSLATE(A4534 , ""auto"", ""ar"")"),"عقاب")</f>
        <v>عقاب</v>
      </c>
    </row>
    <row r="4535" ht="15.75" customHeight="1">
      <c r="A4535" s="1" t="s">
        <v>7736</v>
      </c>
      <c r="B4535" s="1" t="s">
        <v>7740</v>
      </c>
      <c r="C4535" s="1"/>
      <c r="D4535" s="1" t="str">
        <f>IFERROR(__xludf.DUMMYFUNCTION("GOOGLETRANSLATE(A4535 , ""auto"", ""ar"")"),"عقاب")</f>
        <v>عقاب</v>
      </c>
    </row>
    <row r="4536" ht="15.75" customHeight="1">
      <c r="A4536" s="1" t="s">
        <v>7741</v>
      </c>
      <c r="B4536" s="1" t="s">
        <v>7742</v>
      </c>
      <c r="C4536" s="2" t="s">
        <v>7743</v>
      </c>
      <c r="D4536" s="1" t="str">
        <f>IFERROR(__xludf.DUMMYFUNCTION("GOOGLETRANSLATE(A4536 , ""auto"", ""ar"")"),"التلميذ")</f>
        <v>التلميذ</v>
      </c>
    </row>
    <row r="4537" ht="15.75" customHeight="1">
      <c r="A4537" s="1" t="s">
        <v>7744</v>
      </c>
      <c r="B4537" s="1" t="s">
        <v>7745</v>
      </c>
      <c r="C4537" s="2" t="s">
        <v>7746</v>
      </c>
      <c r="D4537" s="1" t="str">
        <f>IFERROR(__xludf.DUMMYFUNCTION("GOOGLETRANSLATE(A4537 , ""auto"", ""ar"")"),"جرو")</f>
        <v>جرو</v>
      </c>
    </row>
    <row r="4538" ht="15.75" customHeight="1">
      <c r="A4538" s="1" t="s">
        <v>7747</v>
      </c>
      <c r="B4538" s="1" t="s">
        <v>7748</v>
      </c>
      <c r="C4538" s="2" t="s">
        <v>7749</v>
      </c>
      <c r="D4538" s="1" t="str">
        <f>IFERROR(__xludf.DUMMYFUNCTION("GOOGLETRANSLATE(A4538 , ""auto"", ""ar"")"),"نقي")</f>
        <v>نقي</v>
      </c>
    </row>
    <row r="4539" ht="15.75" customHeight="1">
      <c r="A4539" s="1" t="s">
        <v>7750</v>
      </c>
      <c r="B4539" s="1" t="s">
        <v>7751</v>
      </c>
      <c r="C4539" s="2" t="s">
        <v>7752</v>
      </c>
      <c r="D4539" s="1" t="str">
        <f>IFERROR(__xludf.DUMMYFUNCTION("GOOGLETRANSLATE(A4539 , ""auto"", ""ar"")"),"أرجواني")</f>
        <v>أرجواني</v>
      </c>
    </row>
    <row r="4540" ht="15.75" customHeight="1">
      <c r="A4540" s="1" t="s">
        <v>7750</v>
      </c>
      <c r="B4540" s="1" t="s">
        <v>7753</v>
      </c>
      <c r="C4540" s="2" t="s">
        <v>7754</v>
      </c>
      <c r="D4540" s="1" t="str">
        <f>IFERROR(__xludf.DUMMYFUNCTION("GOOGLETRANSLATE(A4540 , ""auto"", ""ar"")"),"أرجواني")</f>
        <v>أرجواني</v>
      </c>
    </row>
    <row r="4541" ht="15.75" customHeight="1">
      <c r="A4541" s="1" t="s">
        <v>7750</v>
      </c>
      <c r="B4541" s="1" t="s">
        <v>7755</v>
      </c>
      <c r="C4541" s="2" t="s">
        <v>7756</v>
      </c>
      <c r="D4541" s="1" t="str">
        <f>IFERROR(__xludf.DUMMYFUNCTION("GOOGLETRANSLATE(A4541 , ""auto"", ""ar"")"),"أرجواني")</f>
        <v>أرجواني</v>
      </c>
    </row>
    <row r="4542" ht="15.75" customHeight="1">
      <c r="A4542" s="1" t="s">
        <v>7750</v>
      </c>
      <c r="B4542" s="1" t="s">
        <v>7757</v>
      </c>
      <c r="C4542" s="2" t="s">
        <v>7758</v>
      </c>
      <c r="D4542" s="1" t="str">
        <f>IFERROR(__xludf.DUMMYFUNCTION("GOOGLETRANSLATE(A4542 , ""auto"", ""ar"")"),"أرجواني")</f>
        <v>أرجواني</v>
      </c>
    </row>
    <row r="4543" ht="15.75" customHeight="1">
      <c r="A4543" s="1" t="s">
        <v>7759</v>
      </c>
      <c r="B4543" s="1" t="s">
        <v>7760</v>
      </c>
      <c r="C4543" s="2" t="s">
        <v>7761</v>
      </c>
      <c r="D4543" s="1" t="str">
        <f>IFERROR(__xludf.DUMMYFUNCTION("GOOGLETRANSLATE(A4543 , ""auto"", ""ar"")"),"حافِظَة")</f>
        <v>حافِظَة</v>
      </c>
    </row>
    <row r="4544" ht="15.75" customHeight="1">
      <c r="A4544" s="1" t="s">
        <v>7759</v>
      </c>
      <c r="B4544" s="1" t="s">
        <v>495</v>
      </c>
      <c r="C4544" s="2" t="s">
        <v>496</v>
      </c>
      <c r="D4544" s="1" t="str">
        <f>IFERROR(__xludf.DUMMYFUNCTION("GOOGLETRANSLATE(A4544 , ""auto"", ""ar"")"),"حافِظَة")</f>
        <v>حافِظَة</v>
      </c>
    </row>
    <row r="4545" ht="15.75" customHeight="1">
      <c r="A4545" s="1" t="s">
        <v>7762</v>
      </c>
      <c r="B4545" s="1" t="s">
        <v>7763</v>
      </c>
      <c r="C4545" s="2" t="s">
        <v>7764</v>
      </c>
      <c r="D4545" s="1" t="str">
        <f>IFERROR(__xludf.DUMMYFUNCTION("GOOGLETRANSLATE(A4545 , ""auto"", ""ar"")"),"يدفع")</f>
        <v>يدفع</v>
      </c>
    </row>
    <row r="4546" ht="15.75" customHeight="1">
      <c r="A4546" s="1" t="s">
        <v>7765</v>
      </c>
      <c r="B4546" s="1" t="s">
        <v>5305</v>
      </c>
      <c r="C4546" s="2" t="s">
        <v>5306</v>
      </c>
      <c r="D4546" s="1" t="str">
        <f>IFERROR(__xludf.DUMMYFUNCTION("GOOGLETRANSLATE(A4546 , ""auto"", ""ar"")"),"يضع")</f>
        <v>يضع</v>
      </c>
    </row>
    <row r="4547" ht="15.75" customHeight="1">
      <c r="A4547" s="1" t="s">
        <v>7765</v>
      </c>
      <c r="B4547" s="1" t="s">
        <v>7482</v>
      </c>
      <c r="C4547" s="2" t="s">
        <v>7483</v>
      </c>
      <c r="D4547" s="1" t="str">
        <f>IFERROR(__xludf.DUMMYFUNCTION("GOOGLETRANSLATE(A4547 , ""auto"", ""ar"")"),"يضع")</f>
        <v>يضع</v>
      </c>
    </row>
    <row r="4548" ht="15.75" customHeight="1">
      <c r="A4548" s="1" t="s">
        <v>7766</v>
      </c>
      <c r="B4548" s="1" t="s">
        <v>4352</v>
      </c>
      <c r="C4548" s="2" t="s">
        <v>4353</v>
      </c>
      <c r="D4548" s="1" t="str">
        <f>IFERROR(__xludf.DUMMYFUNCTION("GOOGLETRANSLATE(A4548 , ""auto"", ""ar"")"),"ضع بعيدا")</f>
        <v>ضع بعيدا</v>
      </c>
    </row>
    <row r="4549" ht="15.75" customHeight="1">
      <c r="A4549" s="1" t="s">
        <v>7767</v>
      </c>
      <c r="B4549" s="1" t="s">
        <v>5305</v>
      </c>
      <c r="C4549" s="2" t="s">
        <v>5306</v>
      </c>
      <c r="D4549" s="1" t="str">
        <f>IFERROR(__xludf.DUMMYFUNCTION("GOOGLETRANSLATE(A4549 , ""auto"", ""ar"")"),"ضع ارضا")</f>
        <v>ضع ارضا</v>
      </c>
    </row>
    <row r="4550" ht="15.75" customHeight="1">
      <c r="A4550" s="1" t="s">
        <v>7767</v>
      </c>
      <c r="B4550" s="1" t="s">
        <v>7482</v>
      </c>
      <c r="C4550" s="2" t="s">
        <v>7483</v>
      </c>
      <c r="D4550" s="1" t="str">
        <f>IFERROR(__xludf.DUMMYFUNCTION("GOOGLETRANSLATE(A4550 , ""auto"", ""ar"")"),"ضع ارضا")</f>
        <v>ضع ارضا</v>
      </c>
    </row>
    <row r="4551" ht="15.75" customHeight="1">
      <c r="A4551" s="1" t="s">
        <v>7768</v>
      </c>
      <c r="B4551" s="1" t="s">
        <v>3076</v>
      </c>
      <c r="C4551" s="2" t="s">
        <v>3077</v>
      </c>
      <c r="D4551" s="1" t="str">
        <f>IFERROR(__xludf.DUMMYFUNCTION("GOOGLETRANSLATE(A4551 , ""auto"", ""ar"")"),"وضعت على")</f>
        <v>وضعت على</v>
      </c>
    </row>
    <row r="4552" ht="15.75" customHeight="1">
      <c r="A4552" s="1" t="s">
        <v>7768</v>
      </c>
      <c r="B4552" s="1" t="s">
        <v>4315</v>
      </c>
      <c r="C4552" s="2" t="s">
        <v>4316</v>
      </c>
      <c r="D4552" s="1" t="str">
        <f>IFERROR(__xludf.DUMMYFUNCTION("GOOGLETRANSLATE(A4552 , ""auto"", ""ar"")"),"وضعت على")</f>
        <v>وضعت على</v>
      </c>
    </row>
    <row r="4553" ht="15.75" customHeight="1">
      <c r="A4553" s="1" t="s">
        <v>7768</v>
      </c>
      <c r="B4553" s="1" t="s">
        <v>7369</v>
      </c>
      <c r="C4553" s="2" t="s">
        <v>7370</v>
      </c>
      <c r="D4553" s="1" t="str">
        <f>IFERROR(__xludf.DUMMYFUNCTION("GOOGLETRANSLATE(A4553 , ""auto"", ""ar"")"),"وضعت على")</f>
        <v>وضعت على</v>
      </c>
    </row>
    <row r="4554" ht="15.75" customHeight="1">
      <c r="A4554" s="1" t="s">
        <v>7769</v>
      </c>
      <c r="B4554" s="1" t="s">
        <v>7770</v>
      </c>
      <c r="C4554" s="1"/>
      <c r="D4554" s="1" t="str">
        <f>IFERROR(__xludf.DUMMYFUNCTION("GOOGLETRANSLATE(A4554 , ""auto"", ""ar"")"),"وضع على المكياج")</f>
        <v>وضع على المكياج</v>
      </c>
    </row>
    <row r="4555" ht="15.75" customHeight="1">
      <c r="A4555" s="1" t="s">
        <v>7771</v>
      </c>
      <c r="B4555" s="1" t="s">
        <v>7772</v>
      </c>
      <c r="C4555" s="2" t="s">
        <v>7773</v>
      </c>
      <c r="D4555" s="1" t="str">
        <f>IFERROR(__xludf.DUMMYFUNCTION("GOOGLETRANSLATE(A4555 , ""auto"", ""ar"")"),"يزداد وزنه")</f>
        <v>يزداد وزنه</v>
      </c>
    </row>
    <row r="4556" ht="15.75" customHeight="1">
      <c r="A4556" s="1" t="s">
        <v>7774</v>
      </c>
      <c r="B4556" s="1" t="s">
        <v>7775</v>
      </c>
      <c r="C4556" s="2" t="s">
        <v>7776</v>
      </c>
      <c r="D4556" s="1" t="str">
        <f>IFERROR(__xludf.DUMMYFUNCTION("GOOGLETRANSLATE(A4556 , ""auto"", ""ar"")"),"لباس نوم")</f>
        <v>لباس نوم</v>
      </c>
    </row>
    <row r="4557" ht="15.75" customHeight="1">
      <c r="A4557" s="1" t="s">
        <v>466</v>
      </c>
      <c r="B4557" s="1" t="s">
        <v>467</v>
      </c>
      <c r="C4557" s="2" t="s">
        <v>468</v>
      </c>
      <c r="D4557" s="1" t="str">
        <f>IFERROR(__xludf.DUMMYFUNCTION("GOOGLETRANSLATE(A4557 , ""auto"", ""ar"")"),"اسم العائلة")</f>
        <v>اسم العائلة</v>
      </c>
    </row>
    <row r="4558" ht="15.75" customHeight="1">
      <c r="A4558" s="1" t="s">
        <v>43</v>
      </c>
      <c r="B4558" s="1" t="s">
        <v>44</v>
      </c>
      <c r="C4558" s="2" t="s">
        <v>45</v>
      </c>
      <c r="D4558" s="1" t="str">
        <f>IFERROR(__xludf.DUMMYFUNCTION("GOOGLETRANSLATE(A4558 , ""auto"", ""ar"")"),"مقبول")</f>
        <v>مقبول</v>
      </c>
    </row>
    <row r="4559" ht="15.75" customHeight="1">
      <c r="A4559" s="1" t="s">
        <v>469</v>
      </c>
      <c r="B4559" s="1" t="s">
        <v>470</v>
      </c>
      <c r="C4559" s="2" t="s">
        <v>471</v>
      </c>
      <c r="D4559" s="1" t="str">
        <f>IFERROR(__xludf.DUMMYFUNCTION("GOOGLETRANSLATE(A4559 , ""auto"", ""ar"")"),"التصالح")</f>
        <v>التصالح</v>
      </c>
    </row>
    <row r="4560" ht="15.75" customHeight="1">
      <c r="A4560" s="1" t="s">
        <v>472</v>
      </c>
      <c r="B4560" s="1" t="s">
        <v>473</v>
      </c>
      <c r="C4560" s="2" t="s">
        <v>474</v>
      </c>
      <c r="D4560" s="1" t="str">
        <f>IFERROR(__xludf.DUMMYFUNCTION("GOOGLETRANSLATE(A4560 , ""auto"", ""ar"")"),"مغفرة")</f>
        <v>مغفرة</v>
      </c>
    </row>
    <row r="4561" ht="15.75" customHeight="1">
      <c r="A4561" s="1" t="s">
        <v>475</v>
      </c>
      <c r="B4561" s="1" t="s">
        <v>476</v>
      </c>
      <c r="C4561" s="2" t="s">
        <v>477</v>
      </c>
      <c r="D4561" s="1" t="str">
        <f>IFERROR(__xludf.DUMMYFUNCTION("GOOGLETRANSLATE(A4561 , ""auto"", ""ar"")"),"يخبر")</f>
        <v>يخبر</v>
      </c>
    </row>
    <row r="4562" ht="15.75" customHeight="1">
      <c r="A4562" s="1" t="s">
        <v>7777</v>
      </c>
      <c r="B4562" s="1" t="s">
        <v>7778</v>
      </c>
      <c r="C4562" s="1"/>
      <c r="D4562" s="1" t="str">
        <f>IFERROR(__xludf.DUMMYFUNCTION("GOOGLETRANSLATE(A4562 , ""auto"", ""ar"")"),"جودة")</f>
        <v>جودة</v>
      </c>
    </row>
    <row r="4563" ht="15.75" customHeight="1">
      <c r="A4563" s="1" t="s">
        <v>7779</v>
      </c>
      <c r="B4563" s="1" t="s">
        <v>7780</v>
      </c>
      <c r="C4563" s="2" t="s">
        <v>7781</v>
      </c>
      <c r="D4563" s="1" t="str">
        <f>IFERROR(__xludf.DUMMYFUNCTION("GOOGLETRANSLATE(A4563 , ""auto"", ""ar"")"),"قتال")</f>
        <v>قتال</v>
      </c>
    </row>
    <row r="4564" ht="15.75" customHeight="1">
      <c r="A4564" s="1" t="s">
        <v>7779</v>
      </c>
      <c r="B4564" s="1" t="s">
        <v>350</v>
      </c>
      <c r="C4564" s="1"/>
      <c r="D4564" s="1" t="str">
        <f>IFERROR(__xludf.DUMMYFUNCTION("GOOGLETRANSLATE(A4564 , ""auto"", ""ar"")"),"قتال")</f>
        <v>قتال</v>
      </c>
    </row>
    <row r="4565" ht="15.75" customHeight="1">
      <c r="A4565" s="1" t="s">
        <v>7782</v>
      </c>
      <c r="B4565" s="1" t="s">
        <v>2899</v>
      </c>
      <c r="C4565" s="2" t="s">
        <v>2900</v>
      </c>
      <c r="D4565" s="1" t="str">
        <f>IFERROR(__xludf.DUMMYFUNCTION("GOOGLETRANSLATE(A4565 , ""auto"", ""ar"")"),"ربع")</f>
        <v>ربع</v>
      </c>
    </row>
    <row r="4566" ht="15.75" customHeight="1">
      <c r="A4566" s="1" t="s">
        <v>7782</v>
      </c>
      <c r="B4566" s="1" t="s">
        <v>2123</v>
      </c>
      <c r="C4566" s="2" t="s">
        <v>2124</v>
      </c>
      <c r="D4566" s="1" t="str">
        <f>IFERROR(__xludf.DUMMYFUNCTION("GOOGLETRANSLATE(A4566 , ""auto"", ""ar"")"),"ربع")</f>
        <v>ربع</v>
      </c>
    </row>
    <row r="4567" ht="15.75" customHeight="1">
      <c r="A4567" s="1" t="s">
        <v>7782</v>
      </c>
      <c r="B4567" s="1" t="s">
        <v>2125</v>
      </c>
      <c r="C4567" s="1"/>
      <c r="D4567" s="1" t="str">
        <f>IFERROR(__xludf.DUMMYFUNCTION("GOOGLETRANSLATE(A4567 , ""auto"", ""ar"")"),"ربع")</f>
        <v>ربع</v>
      </c>
    </row>
    <row r="4568" ht="15.75" customHeight="1">
      <c r="A4568" s="1" t="s">
        <v>7783</v>
      </c>
      <c r="B4568" s="1" t="s">
        <v>6652</v>
      </c>
      <c r="C4568" s="2" t="s">
        <v>7784</v>
      </c>
      <c r="D4568" s="1" t="str">
        <f>IFERROR(__xludf.DUMMYFUNCTION("GOOGLETRANSLATE(A4568 , ""auto"", ""ar"")"),"إلا ربع")</f>
        <v>إلا ربع</v>
      </c>
    </row>
    <row r="4569" ht="15.75" customHeight="1">
      <c r="A4569" s="1" t="s">
        <v>7785</v>
      </c>
      <c r="B4569" s="1" t="s">
        <v>7786</v>
      </c>
      <c r="C4569" s="2" t="s">
        <v>7787</v>
      </c>
      <c r="D4569" s="1" t="str">
        <f>IFERROR(__xludf.DUMMYFUNCTION("GOOGLETRANSLATE(A4569 , ""auto"", ""ar"")"),"سؤال")</f>
        <v>سؤال</v>
      </c>
    </row>
    <row r="4570" ht="15.75" customHeight="1">
      <c r="A4570" s="1" t="s">
        <v>7788</v>
      </c>
      <c r="B4570" s="1" t="s">
        <v>4352</v>
      </c>
      <c r="C4570" s="2" t="s">
        <v>4353</v>
      </c>
      <c r="D4570" s="1" t="str">
        <f>IFERROR(__xludf.DUMMYFUNCTION("GOOGLETRANSLATE(A4570 , ""auto"", ""ar"")"),"طابور")</f>
        <v>طابور</v>
      </c>
    </row>
    <row r="4571" ht="15.75" customHeight="1">
      <c r="A4571" s="1" t="s">
        <v>7789</v>
      </c>
      <c r="B4571" s="1" t="s">
        <v>4352</v>
      </c>
      <c r="C4571" s="2" t="s">
        <v>4353</v>
      </c>
      <c r="D4571" s="1" t="str">
        <f>IFERROR(__xludf.DUMMYFUNCTION("GOOGLETRANSLATE(A4571 , ""auto"", ""ar"")"),"إنتظم في الطابور")</f>
        <v>إنتظم في الطابور</v>
      </c>
    </row>
    <row r="4572" ht="15.75" customHeight="1">
      <c r="A4572" s="1" t="s">
        <v>7790</v>
      </c>
      <c r="B4572" s="1" t="s">
        <v>2617</v>
      </c>
      <c r="C4572" s="2" t="s">
        <v>65</v>
      </c>
      <c r="D4572" s="1" t="str">
        <f>IFERROR(__xludf.DUMMYFUNCTION("GOOGLETRANSLATE(A4572 , ""auto"", ""ar"")"),"سريع")</f>
        <v>سريع</v>
      </c>
    </row>
    <row r="4573" ht="15.75" customHeight="1">
      <c r="A4573" s="1" t="s">
        <v>7791</v>
      </c>
      <c r="B4573" s="1" t="s">
        <v>2618</v>
      </c>
      <c r="C4573" s="2" t="s">
        <v>2619</v>
      </c>
      <c r="D4573" s="1" t="str">
        <f>IFERROR(__xludf.DUMMYFUNCTION("GOOGLETRANSLATE(A4573 , ""auto"", ""ar"")"),"بسرعة")</f>
        <v>بسرعة</v>
      </c>
    </row>
    <row r="4574" ht="15.75" customHeight="1">
      <c r="A4574" s="1" t="s">
        <v>7791</v>
      </c>
      <c r="B4574" s="1" t="s">
        <v>2620</v>
      </c>
      <c r="C4574" s="2" t="s">
        <v>2621</v>
      </c>
      <c r="D4574" s="1" t="str">
        <f>IFERROR(__xludf.DUMMYFUNCTION("GOOGLETRANSLATE(A4574 , ""auto"", ""ar"")"),"بسرعة")</f>
        <v>بسرعة</v>
      </c>
    </row>
    <row r="4575" ht="15.75" customHeight="1">
      <c r="A4575" s="1" t="s">
        <v>7792</v>
      </c>
      <c r="B4575" s="1" t="s">
        <v>7793</v>
      </c>
      <c r="C4575" s="2" t="s">
        <v>7794</v>
      </c>
      <c r="D4575" s="1" t="str">
        <f>IFERROR(__xludf.DUMMYFUNCTION("GOOGLETRANSLATE(A4575 , ""auto"", ""ar"")"),"سفرجل")</f>
        <v>سفرجل</v>
      </c>
    </row>
    <row r="4576" ht="15.75" customHeight="1">
      <c r="A4576" s="1" t="s">
        <v>466</v>
      </c>
      <c r="B4576" s="1" t="s">
        <v>467</v>
      </c>
      <c r="C4576" s="2" t="s">
        <v>468</v>
      </c>
      <c r="D4576" s="1" t="str">
        <f>IFERROR(__xludf.DUMMYFUNCTION("GOOGLETRANSLATE(A4576 , ""auto"", ""ar"")"),"اسم العائلة")</f>
        <v>اسم العائلة</v>
      </c>
    </row>
    <row r="4577" ht="15.75" customHeight="1">
      <c r="A4577" s="1" t="s">
        <v>43</v>
      </c>
      <c r="B4577" s="1" t="s">
        <v>44</v>
      </c>
      <c r="C4577" s="2" t="s">
        <v>45</v>
      </c>
      <c r="D4577" s="1" t="str">
        <f>IFERROR(__xludf.DUMMYFUNCTION("GOOGLETRANSLATE(A4577 , ""auto"", ""ar"")"),"مقبول")</f>
        <v>مقبول</v>
      </c>
    </row>
    <row r="4578" ht="15.75" customHeight="1">
      <c r="A4578" s="1" t="s">
        <v>469</v>
      </c>
      <c r="B4578" s="1" t="s">
        <v>470</v>
      </c>
      <c r="C4578" s="2" t="s">
        <v>471</v>
      </c>
      <c r="D4578" s="1" t="str">
        <f>IFERROR(__xludf.DUMMYFUNCTION("GOOGLETRANSLATE(A4578 , ""auto"", ""ar"")"),"التصالح")</f>
        <v>التصالح</v>
      </c>
    </row>
    <row r="4579" ht="15.75" customHeight="1">
      <c r="A4579" s="1" t="s">
        <v>472</v>
      </c>
      <c r="B4579" s="1" t="s">
        <v>473</v>
      </c>
      <c r="C4579" s="2" t="s">
        <v>474</v>
      </c>
      <c r="D4579" s="1" t="str">
        <f>IFERROR(__xludf.DUMMYFUNCTION("GOOGLETRANSLATE(A4579 , ""auto"", ""ar"")"),"مغفرة")</f>
        <v>مغفرة</v>
      </c>
    </row>
    <row r="4580" ht="15.75" customHeight="1">
      <c r="A4580" s="1" t="s">
        <v>475</v>
      </c>
      <c r="B4580" s="1" t="s">
        <v>476</v>
      </c>
      <c r="C4580" s="2" t="s">
        <v>477</v>
      </c>
      <c r="D4580" s="1" t="str">
        <f>IFERROR(__xludf.DUMMYFUNCTION("GOOGLETRANSLATE(A4580 , ""auto"", ""ar"")"),"يخبر")</f>
        <v>يخبر</v>
      </c>
    </row>
    <row r="4581" ht="15.75" customHeight="1">
      <c r="A4581" s="1" t="s">
        <v>7795</v>
      </c>
      <c r="B4581" s="1" t="s">
        <v>7796</v>
      </c>
      <c r="C4581" s="2" t="s">
        <v>7797</v>
      </c>
      <c r="D4581" s="1" t="str">
        <f>IFERROR(__xludf.DUMMYFUNCTION("GOOGLETRANSLATE(A4581 , ""auto"", ""ar"")"),"الرباط")</f>
        <v>الرباط</v>
      </c>
    </row>
    <row r="4582" ht="15.75" customHeight="1">
      <c r="A4582" s="1" t="s">
        <v>7798</v>
      </c>
      <c r="B4582" s="1" t="s">
        <v>7799</v>
      </c>
      <c r="C4582" s="2" t="s">
        <v>7800</v>
      </c>
      <c r="D4582" s="1" t="str">
        <f>IFERROR(__xludf.DUMMYFUNCTION("GOOGLETRANSLATE(A4582 , ""auto"", ""ar"")"),"أرنب")</f>
        <v>أرنب</v>
      </c>
    </row>
    <row r="4583" ht="15.75" customHeight="1">
      <c r="A4583" s="1" t="s">
        <v>7801</v>
      </c>
      <c r="B4583" s="1" t="s">
        <v>7418</v>
      </c>
      <c r="C4583" s="2" t="s">
        <v>7419</v>
      </c>
      <c r="D4583" s="1" t="str">
        <f>IFERROR(__xludf.DUMMYFUNCTION("GOOGLETRANSLATE(A4583 , ""auto"", ""ar"")"),"مذياع")</f>
        <v>مذياع</v>
      </c>
    </row>
    <row r="4584" ht="15.75" customHeight="1">
      <c r="A4584" s="1" t="s">
        <v>7802</v>
      </c>
      <c r="B4584" s="1" t="s">
        <v>7803</v>
      </c>
      <c r="C4584" s="2" t="s">
        <v>7804</v>
      </c>
      <c r="D4584" s="1" t="str">
        <f>IFERROR(__xludf.DUMMYFUNCTION("GOOGLETRANSLATE(A4584 , ""auto"", ""ar"")"),"الفجل")</f>
        <v>الفجل</v>
      </c>
    </row>
    <row r="4585" ht="15.75" customHeight="1">
      <c r="A4585" s="1" t="s">
        <v>7805</v>
      </c>
      <c r="B4585" s="1" t="s">
        <v>7320</v>
      </c>
      <c r="C4585" s="2" t="s">
        <v>7321</v>
      </c>
      <c r="D4585" s="1" t="str">
        <f>IFERROR(__xludf.DUMMYFUNCTION("GOOGLETRANSLATE(A4585 , ""auto"", ""ar"")"),"مطر")</f>
        <v>مطر</v>
      </c>
    </row>
    <row r="4586" ht="15.75" customHeight="1">
      <c r="A4586" s="1" t="s">
        <v>7805</v>
      </c>
      <c r="B4586" s="1" t="s">
        <v>579</v>
      </c>
      <c r="C4586" s="2" t="s">
        <v>7806</v>
      </c>
      <c r="D4586" s="1" t="str">
        <f>IFERROR(__xludf.DUMMYFUNCTION("GOOGLETRANSLATE(A4586 , ""auto"", ""ar"")"),"مطر")</f>
        <v>مطر</v>
      </c>
    </row>
    <row r="4587" ht="15.75" customHeight="1">
      <c r="A4587" s="1" t="s">
        <v>7805</v>
      </c>
      <c r="B4587" s="1" t="s">
        <v>2589</v>
      </c>
      <c r="C4587" s="2" t="s">
        <v>7807</v>
      </c>
      <c r="D4587" s="1" t="str">
        <f>IFERROR(__xludf.DUMMYFUNCTION("GOOGLETRANSLATE(A4587 , ""auto"", ""ar"")"),"مطر")</f>
        <v>مطر</v>
      </c>
    </row>
    <row r="4588" ht="15.75" customHeight="1">
      <c r="A4588" s="1" t="s">
        <v>7805</v>
      </c>
      <c r="B4588" s="1" t="s">
        <v>1581</v>
      </c>
      <c r="C4588" s="2" t="s">
        <v>7808</v>
      </c>
      <c r="D4588" s="1" t="str">
        <f>IFERROR(__xludf.DUMMYFUNCTION("GOOGLETRANSLATE(A4588 , ""auto"", ""ar"")"),"مطر")</f>
        <v>مطر</v>
      </c>
    </row>
    <row r="4589" ht="15.75" customHeight="1">
      <c r="A4589" s="1" t="s">
        <v>7809</v>
      </c>
      <c r="B4589" s="1" t="s">
        <v>7810</v>
      </c>
      <c r="C4589" s="2" t="s">
        <v>7811</v>
      </c>
      <c r="D4589" s="1" t="str">
        <f>IFERROR(__xludf.DUMMYFUNCTION("GOOGLETRANSLATE(A4589 , ""auto"", ""ar"")"),"قوس المطر")</f>
        <v>قوس المطر</v>
      </c>
    </row>
    <row r="4590" ht="15.75" customHeight="1">
      <c r="A4590" s="1" t="s">
        <v>7812</v>
      </c>
      <c r="B4590" s="1" t="s">
        <v>1249</v>
      </c>
      <c r="C4590" s="1"/>
      <c r="D4590" s="1" t="str">
        <f>IFERROR(__xludf.DUMMYFUNCTION("GOOGLETRANSLATE(A4590 , ""auto"", ""ar"")"),"يرفع")</f>
        <v>يرفع</v>
      </c>
    </row>
    <row r="4591" ht="15.75" customHeight="1">
      <c r="A4591" s="1" t="s">
        <v>7813</v>
      </c>
      <c r="B4591" s="1" t="s">
        <v>7814</v>
      </c>
      <c r="C4591" s="2" t="s">
        <v>7815</v>
      </c>
      <c r="D4591" s="1" t="str">
        <f>IFERROR(__xludf.DUMMYFUNCTION("GOOGLETRANSLATE(A4591 , ""auto"", ""ar"")"),"زبيب")</f>
        <v>زبيب</v>
      </c>
    </row>
    <row r="4592" ht="15.75" customHeight="1">
      <c r="A4592" s="1" t="s">
        <v>7816</v>
      </c>
      <c r="B4592" s="1" t="s">
        <v>7817</v>
      </c>
      <c r="C4592" s="2" t="s">
        <v>7818</v>
      </c>
      <c r="D4592" s="1" t="str">
        <f>IFERROR(__xludf.DUMMYFUNCTION("GOOGLETRANSLATE(A4592 , ""auto"", ""ar"")"),"رمضان")</f>
        <v>رمضان</v>
      </c>
    </row>
    <row r="4593" ht="15.75" customHeight="1">
      <c r="A4593" s="1" t="s">
        <v>7819</v>
      </c>
      <c r="B4593" s="1" t="s">
        <v>7820</v>
      </c>
      <c r="C4593" s="1"/>
      <c r="D4593" s="1" t="str">
        <f>IFERROR(__xludf.DUMMYFUNCTION("GOOGLETRANSLATE(A4593 , ""auto"", ""ar"")"),"بشكل عشوائي")</f>
        <v>بشكل عشوائي</v>
      </c>
    </row>
    <row r="4594" ht="15.75" customHeight="1">
      <c r="A4594" s="1" t="s">
        <v>7821</v>
      </c>
      <c r="B4594" s="1" t="s">
        <v>2617</v>
      </c>
      <c r="C4594" s="2" t="s">
        <v>7822</v>
      </c>
      <c r="D4594" s="1" t="str">
        <f>IFERROR(__xludf.DUMMYFUNCTION("GOOGLETRANSLATE(A4594 , ""auto"", ""ar"")"),"سريع")</f>
        <v>سريع</v>
      </c>
    </row>
    <row r="4595" ht="15.75" customHeight="1">
      <c r="A4595" s="1" t="s">
        <v>7823</v>
      </c>
      <c r="B4595" s="1" t="s">
        <v>2676</v>
      </c>
      <c r="C4595" s="2" t="s">
        <v>2677</v>
      </c>
      <c r="D4595" s="1" t="str">
        <f>IFERROR(__xludf.DUMMYFUNCTION("GOOGLETRANSLATE(A4595 , ""auto"", ""ar"")"),"نادر")</f>
        <v>نادر</v>
      </c>
    </row>
    <row r="4596" ht="15.75" customHeight="1">
      <c r="A4596" s="1" t="s">
        <v>7823</v>
      </c>
      <c r="B4596" s="1" t="s">
        <v>7824</v>
      </c>
      <c r="C4596" s="1"/>
      <c r="D4596" s="1" t="str">
        <f>IFERROR(__xludf.DUMMYFUNCTION("GOOGLETRANSLATE(A4596 , ""auto"", ""ar"")"),"نادر")</f>
        <v>نادر</v>
      </c>
    </row>
    <row r="4597" ht="15.75" customHeight="1">
      <c r="A4597" s="1" t="s">
        <v>7825</v>
      </c>
      <c r="B4597" s="1" t="s">
        <v>7826</v>
      </c>
      <c r="C4597" s="2" t="s">
        <v>7827</v>
      </c>
      <c r="D4597" s="1" t="str">
        <f>IFERROR(__xludf.DUMMYFUNCTION("GOOGLETRANSLATE(A4597 , ""auto"", ""ar"")"),"نادرًا")</f>
        <v>نادرًا</v>
      </c>
    </row>
    <row r="4598" ht="15.75" customHeight="1">
      <c r="A4598" s="1" t="s">
        <v>7828</v>
      </c>
      <c r="B4598" s="1" t="s">
        <v>7829</v>
      </c>
      <c r="C4598" s="2" t="s">
        <v>7830</v>
      </c>
      <c r="D4598" s="1" t="str">
        <f>IFERROR(__xludf.DUMMYFUNCTION("GOOGLETRANSLATE(A4598 , ""auto"", ""ar"")"),"توت العُليق")</f>
        <v>توت العُليق</v>
      </c>
    </row>
    <row r="4599" ht="15.75" customHeight="1">
      <c r="A4599" s="1" t="s">
        <v>7831</v>
      </c>
      <c r="B4599" s="1" t="s">
        <v>7832</v>
      </c>
      <c r="C4599" s="2" t="s">
        <v>7833</v>
      </c>
      <c r="D4599" s="1" t="str">
        <f>IFERROR(__xludf.DUMMYFUNCTION("GOOGLETRANSLATE(A4599 , ""auto"", ""ar"")"),"فأر")</f>
        <v>فأر</v>
      </c>
    </row>
    <row r="4600" ht="15.75" customHeight="1">
      <c r="A4600" s="1" t="s">
        <v>7834</v>
      </c>
      <c r="B4600" s="1" t="s">
        <v>3275</v>
      </c>
      <c r="C4600" s="2" t="s">
        <v>3276</v>
      </c>
      <c r="D4600" s="1" t="str">
        <f>IFERROR(__xludf.DUMMYFUNCTION("GOOGLETRANSLATE(A4600 , ""auto"", ""ar"")"),"خام")</f>
        <v>خام</v>
      </c>
    </row>
    <row r="4601" ht="15.75" customHeight="1">
      <c r="A4601" s="1" t="s">
        <v>7835</v>
      </c>
      <c r="B4601" s="1" t="s">
        <v>7836</v>
      </c>
      <c r="C4601" s="2" t="s">
        <v>7837</v>
      </c>
      <c r="D4601" s="1" t="str">
        <f>IFERROR(__xludf.DUMMYFUNCTION("GOOGLETRANSLATE(A4601 , ""auto"", ""ar"")"),"موس الحلاقة")</f>
        <v>موس الحلاقة</v>
      </c>
    </row>
    <row r="4602" ht="15.75" customHeight="1">
      <c r="A4602" s="1" t="s">
        <v>7838</v>
      </c>
      <c r="B4602" s="1" t="s">
        <v>7836</v>
      </c>
      <c r="C4602" s="2" t="s">
        <v>7837</v>
      </c>
      <c r="D4602" s="1" t="str">
        <f>IFERROR(__xludf.DUMMYFUNCTION("GOOGLETRANSLATE(A4602 , ""auto"", ""ar"")"),"شفرة حلاقة")</f>
        <v>شفرة حلاقة</v>
      </c>
    </row>
    <row r="4603" ht="15.75" customHeight="1">
      <c r="A4603" s="1" t="s">
        <v>7839</v>
      </c>
      <c r="B4603" s="1" t="s">
        <v>366</v>
      </c>
      <c r="C4603" s="2" t="s">
        <v>367</v>
      </c>
      <c r="D4603" s="1" t="str">
        <f>IFERROR(__xludf.DUMMYFUNCTION("GOOGLETRANSLATE(A4603 , ""auto"", ""ar"")"),"يصل")</f>
        <v>يصل</v>
      </c>
    </row>
    <row r="4604" ht="15.75" customHeight="1">
      <c r="A4604" s="1" t="s">
        <v>7840</v>
      </c>
      <c r="B4604" s="1" t="s">
        <v>6279</v>
      </c>
      <c r="C4604" s="2" t="s">
        <v>6280</v>
      </c>
      <c r="D4604" s="1" t="str">
        <f>IFERROR(__xludf.DUMMYFUNCTION("GOOGLETRANSLATE(A4604 , ""auto"", ""ar"")"),"يقرأ")</f>
        <v>يقرأ</v>
      </c>
    </row>
    <row r="4605" ht="15.75" customHeight="1">
      <c r="A4605" s="1" t="s">
        <v>7841</v>
      </c>
      <c r="B4605" s="1" t="s">
        <v>7842</v>
      </c>
      <c r="C4605" s="2" t="s">
        <v>7843</v>
      </c>
      <c r="D4605" s="1" t="str">
        <f>IFERROR(__xludf.DUMMYFUNCTION("GOOGLETRANSLATE(A4605 , ""auto"", ""ar"")"),"مستعد")</f>
        <v>مستعد</v>
      </c>
    </row>
    <row r="4606" ht="15.75" customHeight="1">
      <c r="A4606" s="1" t="s">
        <v>7841</v>
      </c>
      <c r="B4606" s="1" t="s">
        <v>7844</v>
      </c>
      <c r="C4606" s="2" t="s">
        <v>7845</v>
      </c>
      <c r="D4606" s="1" t="str">
        <f>IFERROR(__xludf.DUMMYFUNCTION("GOOGLETRANSLATE(A4606 , ""auto"", ""ar"")"),"مستعد")</f>
        <v>مستعد</v>
      </c>
    </row>
    <row r="4607" ht="15.75" customHeight="1">
      <c r="A4607" s="1" t="s">
        <v>7846</v>
      </c>
      <c r="B4607" s="1" t="s">
        <v>6853</v>
      </c>
      <c r="C4607" s="2" t="s">
        <v>6854</v>
      </c>
      <c r="D4607" s="1" t="str">
        <f>IFERROR(__xludf.DUMMYFUNCTION("GOOGLETRANSLATE(A4607 , ""auto"", ""ar"")"),"حقيقي")</f>
        <v>حقيقي</v>
      </c>
    </row>
    <row r="4608" ht="15.75" customHeight="1">
      <c r="A4608" s="1" t="s">
        <v>7846</v>
      </c>
      <c r="B4608" s="1" t="s">
        <v>7847</v>
      </c>
      <c r="C4608" s="1"/>
      <c r="D4608" s="1" t="str">
        <f>IFERROR(__xludf.DUMMYFUNCTION("GOOGLETRANSLATE(A4608 , ""auto"", ""ar"")"),"حقيقي")</f>
        <v>حقيقي</v>
      </c>
    </row>
    <row r="4609" ht="15.75" customHeight="1">
      <c r="A4609" s="1" t="s">
        <v>7848</v>
      </c>
      <c r="B4609" s="1" t="s">
        <v>51</v>
      </c>
      <c r="C4609" s="2" t="s">
        <v>52</v>
      </c>
      <c r="D4609" s="1" t="str">
        <f>IFERROR(__xludf.DUMMYFUNCTION("GOOGLETRANSLATE(A4609 , ""auto"", ""ar"")"),"يدرك")</f>
        <v>يدرك</v>
      </c>
    </row>
    <row r="4610" ht="15.75" customHeight="1">
      <c r="A4610" s="1" t="s">
        <v>7848</v>
      </c>
      <c r="B4610" s="1" t="s">
        <v>610</v>
      </c>
      <c r="C4610" s="2" t="s">
        <v>611</v>
      </c>
      <c r="D4610" s="1" t="str">
        <f>IFERROR(__xludf.DUMMYFUNCTION("GOOGLETRANSLATE(A4610 , ""auto"", ""ar"")"),"يدرك")</f>
        <v>يدرك</v>
      </c>
    </row>
    <row r="4611" ht="15.75" customHeight="1">
      <c r="A4611" s="1" t="s">
        <v>7849</v>
      </c>
      <c r="B4611" s="1" t="s">
        <v>7850</v>
      </c>
      <c r="C4611" s="2" t="s">
        <v>7851</v>
      </c>
      <c r="D4611" s="1" t="str">
        <f>IFERROR(__xludf.DUMMYFUNCTION("GOOGLETRANSLATE(A4611 , ""auto"", ""ar"")"),"الواقع")</f>
        <v>الواقع</v>
      </c>
    </row>
    <row r="4612" ht="15.75" customHeight="1">
      <c r="A4612" s="1" t="s">
        <v>7852</v>
      </c>
      <c r="B4612" s="1" t="s">
        <v>7853</v>
      </c>
      <c r="C4612" s="2" t="s">
        <v>7854</v>
      </c>
      <c r="D4612" s="1" t="str">
        <f>IFERROR(__xludf.DUMMYFUNCTION("GOOGLETRANSLATE(A4612 , ""auto"", ""ar"")"),"حقًا")</f>
        <v>حقًا</v>
      </c>
    </row>
    <row r="4613" ht="15.75" customHeight="1">
      <c r="A4613" s="1" t="s">
        <v>7852</v>
      </c>
      <c r="B4613" s="1" t="s">
        <v>7855</v>
      </c>
      <c r="C4613" s="2" t="s">
        <v>7854</v>
      </c>
      <c r="D4613" s="1" t="str">
        <f>IFERROR(__xludf.DUMMYFUNCTION("GOOGLETRANSLATE(A4613 , ""auto"", ""ar"")"),"حقًا")</f>
        <v>حقًا</v>
      </c>
    </row>
    <row r="4614" ht="15.75" customHeight="1">
      <c r="A4614" s="1" t="s">
        <v>7852</v>
      </c>
      <c r="B4614" s="1" t="s">
        <v>7856</v>
      </c>
      <c r="C4614" s="1"/>
      <c r="D4614" s="1" t="str">
        <f>IFERROR(__xludf.DUMMYFUNCTION("GOOGLETRANSLATE(A4614 , ""auto"", ""ar"")"),"حقًا")</f>
        <v>حقًا</v>
      </c>
    </row>
    <row r="4615" ht="15.75" customHeight="1">
      <c r="A4615" s="1" t="s">
        <v>7857</v>
      </c>
      <c r="B4615" s="1" t="s">
        <v>2473</v>
      </c>
      <c r="C4615" s="2" t="s">
        <v>2474</v>
      </c>
      <c r="D4615" s="1" t="str">
        <f>IFERROR(__xludf.DUMMYFUNCTION("GOOGLETRANSLATE(A4615 , ""auto"", ""ar"")"),"سمسار عقارات")</f>
        <v>سمسار عقارات</v>
      </c>
    </row>
    <row r="4616" ht="15.75" customHeight="1">
      <c r="A4616" s="1" t="s">
        <v>7858</v>
      </c>
      <c r="B4616" s="1" t="s">
        <v>1272</v>
      </c>
      <c r="C4616" s="2" t="s">
        <v>1273</v>
      </c>
      <c r="D4616" s="1" t="str">
        <f>IFERROR(__xludf.DUMMYFUNCTION("GOOGLETRANSLATE(A4616 , ""auto"", ""ar"")"),"سبب")</f>
        <v>سبب</v>
      </c>
    </row>
    <row r="4617" ht="15.75" customHeight="1">
      <c r="A4617" s="1" t="s">
        <v>7859</v>
      </c>
      <c r="B4617" s="1" t="s">
        <v>3625</v>
      </c>
      <c r="C4617" s="2" t="s">
        <v>3626</v>
      </c>
      <c r="D4617" s="1" t="str">
        <f>IFERROR(__xludf.DUMMYFUNCTION("GOOGLETRANSLATE(A4617 , ""auto"", ""ar"")"),"معقول")</f>
        <v>معقول</v>
      </c>
    </row>
    <row r="4618" ht="15.75" customHeight="1">
      <c r="A4618" s="1" t="s">
        <v>7860</v>
      </c>
      <c r="B4618" s="1" t="s">
        <v>7861</v>
      </c>
      <c r="C4618" s="2" t="s">
        <v>7862</v>
      </c>
      <c r="D4618" s="1" t="str">
        <f>IFERROR(__xludf.DUMMYFUNCTION("GOOGLETRANSLATE(A4618 , ""auto"", ""ar"")"),"إيصال")</f>
        <v>إيصال</v>
      </c>
    </row>
    <row r="4619" ht="15.75" customHeight="1">
      <c r="A4619" s="1" t="s">
        <v>7863</v>
      </c>
      <c r="B4619" s="1" t="s">
        <v>7864</v>
      </c>
      <c r="C4619" s="2" t="s">
        <v>367</v>
      </c>
      <c r="D4619" s="1" t="str">
        <f>IFERROR(__xludf.DUMMYFUNCTION("GOOGLETRANSLATE(A4619 , ""auto"", ""ar"")"),"يستلم")</f>
        <v>يستلم</v>
      </c>
    </row>
    <row r="4620" ht="15.75" customHeight="1">
      <c r="A4620" s="1" t="s">
        <v>7863</v>
      </c>
      <c r="B4620" s="1" t="s">
        <v>5938</v>
      </c>
      <c r="C4620" s="2" t="s">
        <v>7865</v>
      </c>
      <c r="D4620" s="1" t="str">
        <f>IFERROR(__xludf.DUMMYFUNCTION("GOOGLETRANSLATE(A4620 , ""auto"", ""ar"")"),"يستلم")</f>
        <v>يستلم</v>
      </c>
    </row>
    <row r="4621" ht="15.75" customHeight="1">
      <c r="A4621" s="1" t="s">
        <v>7866</v>
      </c>
      <c r="B4621" s="1" t="s">
        <v>997</v>
      </c>
      <c r="C4621" s="1"/>
      <c r="D4621" s="1" t="str">
        <f>IFERROR(__xludf.DUMMYFUNCTION("GOOGLETRANSLATE(A4621 , ""auto"", ""ar"")"),"عطلة البرلمان")</f>
        <v>عطلة البرلمان</v>
      </c>
    </row>
    <row r="4622" ht="15.75" customHeight="1">
      <c r="A4622" s="1" t="s">
        <v>7867</v>
      </c>
      <c r="B4622" s="1" t="s">
        <v>3820</v>
      </c>
      <c r="C4622" s="1"/>
      <c r="D4622" s="1" t="str">
        <f>IFERROR(__xludf.DUMMYFUNCTION("GOOGLETRANSLATE(A4622 , ""auto"", ""ar"")"),"وصفة")</f>
        <v>وصفة</v>
      </c>
    </row>
    <row r="4623" ht="15.75" customHeight="1">
      <c r="A4623" s="1" t="s">
        <v>469</v>
      </c>
      <c r="B4623" s="1" t="s">
        <v>470</v>
      </c>
      <c r="C4623" s="2" t="s">
        <v>471</v>
      </c>
      <c r="D4623" s="1" t="str">
        <f>IFERROR(__xludf.DUMMYFUNCTION("GOOGLETRANSLATE(A4623 , ""auto"", ""ar"")"),"التصالح")</f>
        <v>التصالح</v>
      </c>
    </row>
    <row r="4624" ht="15.75" customHeight="1">
      <c r="A4624" s="1" t="s">
        <v>7868</v>
      </c>
      <c r="B4624" s="1" t="s">
        <v>7869</v>
      </c>
      <c r="C4624" s="2" t="s">
        <v>7870</v>
      </c>
      <c r="D4624" s="1" t="str">
        <f>IFERROR(__xludf.DUMMYFUNCTION("GOOGLETRANSLATE(A4624 , ""auto"", ""ar"")"),"سِجِلّ")</f>
        <v>سِجِلّ</v>
      </c>
    </row>
    <row r="4625" ht="15.75" customHeight="1">
      <c r="A4625" s="1" t="s">
        <v>7868</v>
      </c>
      <c r="B4625" s="1" t="s">
        <v>7871</v>
      </c>
      <c r="C4625" s="2" t="s">
        <v>7872</v>
      </c>
      <c r="D4625" s="1" t="str">
        <f>IFERROR(__xludf.DUMMYFUNCTION("GOOGLETRANSLATE(A4625 , ""auto"", ""ar"")"),"سِجِلّ")</f>
        <v>سِجِلّ</v>
      </c>
    </row>
    <row r="4626" ht="15.75" customHeight="1">
      <c r="A4626" s="1" t="s">
        <v>7873</v>
      </c>
      <c r="B4626" s="1" t="s">
        <v>7874</v>
      </c>
      <c r="C4626" s="2" t="s">
        <v>7875</v>
      </c>
      <c r="D4626" s="1" t="str">
        <f>IFERROR(__xludf.DUMMYFUNCTION("GOOGLETRANSLATE(A4626 , ""auto"", ""ar"")"),"مستطيل")</f>
        <v>مستطيل</v>
      </c>
    </row>
    <row r="4627" ht="15.75" customHeight="1">
      <c r="A4627" s="1" t="s">
        <v>7876</v>
      </c>
      <c r="B4627" s="1" t="s">
        <v>7877</v>
      </c>
      <c r="C4627" s="2" t="s">
        <v>7878</v>
      </c>
      <c r="D4627" s="1" t="str">
        <f>IFERROR(__xludf.DUMMYFUNCTION("GOOGLETRANSLATE(A4627 , ""auto"", ""ar"")"),"أحمر")</f>
        <v>أحمر</v>
      </c>
    </row>
    <row r="4628" ht="15.75" customHeight="1">
      <c r="A4628" s="1" t="s">
        <v>7879</v>
      </c>
      <c r="B4628" s="1" t="s">
        <v>1177</v>
      </c>
      <c r="C4628" s="2" t="s">
        <v>1178</v>
      </c>
      <c r="D4628" s="1" t="str">
        <f>IFERROR(__xludf.DUMMYFUNCTION("GOOGLETRANSLATE(A4628 , ""auto"", ""ar"")"),"إعادة")</f>
        <v>إعادة</v>
      </c>
    </row>
    <row r="4629" ht="15.75" customHeight="1">
      <c r="A4629" s="1" t="s">
        <v>7880</v>
      </c>
      <c r="B4629" s="1" t="s">
        <v>4448</v>
      </c>
      <c r="C4629" s="2" t="s">
        <v>4472</v>
      </c>
      <c r="D4629" s="1" t="str">
        <f>IFERROR(__xludf.DUMMYFUNCTION("GOOGLETRANSLATE(A4629 , ""auto"", ""ar"")"),"يقلل")</f>
        <v>يقلل</v>
      </c>
    </row>
    <row r="4630" ht="15.75" customHeight="1">
      <c r="A4630" s="1" t="s">
        <v>7881</v>
      </c>
      <c r="B4630" s="1" t="s">
        <v>7882</v>
      </c>
      <c r="C4630" s="1"/>
      <c r="D4630" s="1" t="str">
        <f>IFERROR(__xludf.DUMMYFUNCTION("GOOGLETRANSLATE(A4630 , ""auto"", ""ar"")"),"قصب")</f>
        <v>قصب</v>
      </c>
    </row>
    <row r="4631" ht="15.75" customHeight="1">
      <c r="A4631" s="1" t="s">
        <v>7883</v>
      </c>
      <c r="B4631" s="1" t="s">
        <v>2940</v>
      </c>
      <c r="C4631" s="2" t="s">
        <v>2941</v>
      </c>
      <c r="D4631" s="1" t="str">
        <f>IFERROR(__xludf.DUMMYFUNCTION("GOOGLETRANSLATE(A4631 , ""auto"", ""ar"")"),"فريد")</f>
        <v>فريد</v>
      </c>
    </row>
    <row r="4632" ht="15.75" customHeight="1">
      <c r="A4632" s="1" t="s">
        <v>7884</v>
      </c>
      <c r="B4632" s="1" t="s">
        <v>7885</v>
      </c>
      <c r="C4632" s="2" t="s">
        <v>7886</v>
      </c>
      <c r="D4632" s="1" t="str">
        <f>IFERROR(__xludf.DUMMYFUNCTION("GOOGLETRANSLATE(A4632 , ""auto"", ""ar"")"),"رفض")</f>
        <v>رفض</v>
      </c>
    </row>
    <row r="4633" ht="15.75" customHeight="1">
      <c r="A4633" s="1" t="s">
        <v>7887</v>
      </c>
      <c r="B4633" s="1" t="s">
        <v>345</v>
      </c>
      <c r="C4633" s="1"/>
      <c r="D4633" s="1" t="str">
        <f>IFERROR(__xludf.DUMMYFUNCTION("GOOGLETRANSLATE(A4633 , ""auto"", ""ar"")"),"منطقة")</f>
        <v>منطقة</v>
      </c>
    </row>
    <row r="4634" ht="15.75" customHeight="1">
      <c r="A4634" s="1" t="s">
        <v>7887</v>
      </c>
      <c r="B4634" s="1" t="s">
        <v>346</v>
      </c>
      <c r="C4634" s="2" t="s">
        <v>347</v>
      </c>
      <c r="D4634" s="1" t="str">
        <f>IFERROR(__xludf.DUMMYFUNCTION("GOOGLETRANSLATE(A4634 , ""auto"", ""ar"")"),"منطقة")</f>
        <v>منطقة</v>
      </c>
    </row>
    <row r="4635" ht="15.75" customHeight="1">
      <c r="A4635" s="1" t="s">
        <v>7887</v>
      </c>
      <c r="B4635" s="1" t="s">
        <v>7722</v>
      </c>
      <c r="C4635" s="1"/>
      <c r="D4635" s="1" t="str">
        <f>IFERROR(__xludf.DUMMYFUNCTION("GOOGLETRANSLATE(A4635 , ""auto"", ""ar"")"),"منطقة")</f>
        <v>منطقة</v>
      </c>
    </row>
    <row r="4636" ht="15.75" customHeight="1">
      <c r="A4636" s="1" t="s">
        <v>7887</v>
      </c>
      <c r="B4636" s="1" t="s">
        <v>348</v>
      </c>
      <c r="C4636" s="1"/>
      <c r="D4636" s="1" t="str">
        <f>IFERROR(__xludf.DUMMYFUNCTION("GOOGLETRANSLATE(A4636 , ""auto"", ""ar"")"),"منطقة")</f>
        <v>منطقة</v>
      </c>
    </row>
    <row r="4637" ht="15.75" customHeight="1">
      <c r="A4637" s="1" t="s">
        <v>7888</v>
      </c>
      <c r="B4637" s="1" t="s">
        <v>5689</v>
      </c>
      <c r="C4637" s="2" t="s">
        <v>5690</v>
      </c>
      <c r="D4637" s="1" t="str">
        <f>IFERROR(__xludf.DUMMYFUNCTION("GOOGLETRANSLATE(A4637 , ""auto"", ""ar"")"),"يندم")</f>
        <v>يندم</v>
      </c>
    </row>
    <row r="4638" ht="15.75" customHeight="1">
      <c r="A4638" s="1" t="s">
        <v>7888</v>
      </c>
      <c r="B4638" s="1" t="s">
        <v>7889</v>
      </c>
      <c r="C4638" s="2" t="s">
        <v>7890</v>
      </c>
      <c r="D4638" s="1" t="str">
        <f>IFERROR(__xludf.DUMMYFUNCTION("GOOGLETRANSLATE(A4638 , ""auto"", ""ar"")"),"يندم")</f>
        <v>يندم</v>
      </c>
    </row>
    <row r="4639" ht="15.75" customHeight="1">
      <c r="A4639" s="1" t="s">
        <v>7888</v>
      </c>
      <c r="B4639" s="1" t="s">
        <v>7891</v>
      </c>
      <c r="C4639" s="2" t="s">
        <v>7892</v>
      </c>
      <c r="D4639" s="1" t="str">
        <f>IFERROR(__xludf.DUMMYFUNCTION("GOOGLETRANSLATE(A4639 , ""auto"", ""ar"")"),"يندم")</f>
        <v>يندم</v>
      </c>
    </row>
    <row r="4640" ht="15.75" customHeight="1">
      <c r="A4640" s="1" t="s">
        <v>7893</v>
      </c>
      <c r="B4640" s="1" t="s">
        <v>4210</v>
      </c>
      <c r="C4640" s="2" t="s">
        <v>4211</v>
      </c>
      <c r="D4640" s="1" t="str">
        <f>IFERROR(__xludf.DUMMYFUNCTION("GOOGLETRANSLATE(A4640 , ""auto"", ""ar"")"),"أنظمة")</f>
        <v>أنظمة</v>
      </c>
    </row>
    <row r="4641" ht="15.75" customHeight="1">
      <c r="A4641" s="1" t="s">
        <v>7894</v>
      </c>
      <c r="B4641" s="1" t="s">
        <v>3410</v>
      </c>
      <c r="C4641" s="2" t="s">
        <v>3411</v>
      </c>
      <c r="D4641" s="1" t="str">
        <f>IFERROR(__xludf.DUMMYFUNCTION("GOOGLETRANSLATE(A4641 , ""auto"", ""ar"")"),"نبتهج")</f>
        <v>نبتهج</v>
      </c>
    </row>
    <row r="4642" ht="15.75" customHeight="1">
      <c r="A4642" s="1" t="s">
        <v>7895</v>
      </c>
      <c r="B4642" s="1" t="s">
        <v>7896</v>
      </c>
      <c r="C4642" s="2" t="s">
        <v>7897</v>
      </c>
      <c r="D4642" s="1" t="str">
        <f>IFERROR(__xludf.DUMMYFUNCTION("GOOGLETRANSLATE(A4642 , ""auto"", ""ar"")"),"علاقة")</f>
        <v>علاقة</v>
      </c>
    </row>
    <row r="4643" ht="15.75" customHeight="1">
      <c r="A4643" s="1" t="s">
        <v>7898</v>
      </c>
      <c r="B4643" s="1" t="s">
        <v>7899</v>
      </c>
      <c r="C4643" s="2" t="s">
        <v>7900</v>
      </c>
      <c r="D4643" s="1" t="str">
        <f>IFERROR(__xludf.DUMMYFUNCTION("GOOGLETRANSLATE(A4643 , ""auto"", ""ar"")"),"يستريح")</f>
        <v>يستريح</v>
      </c>
    </row>
    <row r="4644" ht="15.75" customHeight="1">
      <c r="A4644" s="1" t="s">
        <v>7898</v>
      </c>
      <c r="B4644" s="1" t="s">
        <v>1596</v>
      </c>
      <c r="C4644" s="2" t="s">
        <v>1597</v>
      </c>
      <c r="D4644" s="1" t="str">
        <f>IFERROR(__xludf.DUMMYFUNCTION("GOOGLETRANSLATE(A4644 , ""auto"", ""ar"")"),"يستريح")</f>
        <v>يستريح</v>
      </c>
    </row>
    <row r="4645" ht="15.75" customHeight="1">
      <c r="A4645" s="1" t="s">
        <v>7901</v>
      </c>
      <c r="B4645" s="1" t="s">
        <v>7902</v>
      </c>
      <c r="C4645" s="2" t="s">
        <v>7903</v>
      </c>
      <c r="D4645" s="1" t="str">
        <f>IFERROR(__xludf.DUMMYFUNCTION("GOOGLETRANSLATE(A4645 , ""auto"", ""ar"")"),"دِين")</f>
        <v>دِين</v>
      </c>
    </row>
    <row r="4646" ht="15.75" customHeight="1">
      <c r="A4646" s="1" t="s">
        <v>7904</v>
      </c>
      <c r="B4646" s="1" t="s">
        <v>7187</v>
      </c>
      <c r="C4646" s="2" t="s">
        <v>7905</v>
      </c>
      <c r="D4646" s="1" t="str">
        <f>IFERROR(__xludf.DUMMYFUNCTION("GOOGLETRANSLATE(A4646 , ""auto"", ""ar"")"),"عطلة دينية")</f>
        <v>عطلة دينية</v>
      </c>
    </row>
    <row r="4647" ht="15.75" customHeight="1">
      <c r="A4647" s="1" t="s">
        <v>7906</v>
      </c>
      <c r="B4647" s="1" t="s">
        <v>4717</v>
      </c>
      <c r="C4647" s="2" t="s">
        <v>4718</v>
      </c>
      <c r="D4647" s="1" t="str">
        <f>IFERROR(__xludf.DUMMYFUNCTION("GOOGLETRANSLATE(A4647 , ""auto"", ""ar"")"),"يتذكر")</f>
        <v>يتذكر</v>
      </c>
    </row>
    <row r="4648" ht="15.75" customHeight="1">
      <c r="A4648" s="1" t="s">
        <v>7906</v>
      </c>
      <c r="B4648" s="1" t="s">
        <v>7907</v>
      </c>
      <c r="C4648" s="2" t="s">
        <v>65</v>
      </c>
      <c r="D4648" s="1" t="str">
        <f>IFERROR(__xludf.DUMMYFUNCTION("GOOGLETRANSLATE(A4648 , ""auto"", ""ar"")"),"يتذكر")</f>
        <v>يتذكر</v>
      </c>
    </row>
    <row r="4649" ht="15.75" customHeight="1">
      <c r="A4649" s="1" t="s">
        <v>7908</v>
      </c>
      <c r="B4649" s="1" t="s">
        <v>6601</v>
      </c>
      <c r="C4649" s="2" t="s">
        <v>6602</v>
      </c>
      <c r="D4649" s="1" t="str">
        <f>IFERROR(__xludf.DUMMYFUNCTION("GOOGLETRANSLATE(A4649 , ""auto"", ""ar"")"),"يتذكر")</f>
        <v>يتذكر</v>
      </c>
    </row>
    <row r="4650" ht="15.75" customHeight="1">
      <c r="A4650" s="1" t="s">
        <v>7909</v>
      </c>
      <c r="B4650" s="1" t="s">
        <v>6432</v>
      </c>
      <c r="C4650" s="2" t="s">
        <v>6433</v>
      </c>
      <c r="D4650" s="1" t="str">
        <f>IFERROR(__xludf.DUMMYFUNCTION("GOOGLETRANSLATE(A4650 , ""auto"", ""ar"")"),"يزيل")</f>
        <v>يزيل</v>
      </c>
    </row>
    <row r="4651" ht="15.75" customHeight="1">
      <c r="A4651" s="1" t="s">
        <v>7909</v>
      </c>
      <c r="B4651" s="1" t="s">
        <v>6434</v>
      </c>
      <c r="C4651" s="1"/>
      <c r="D4651" s="1" t="str">
        <f>IFERROR(__xludf.DUMMYFUNCTION("GOOGLETRANSLATE(A4651 , ""auto"", ""ar"")"),"يزيل")</f>
        <v>يزيل</v>
      </c>
    </row>
    <row r="4652" ht="15.75" customHeight="1">
      <c r="A4652" s="1" t="s">
        <v>7909</v>
      </c>
      <c r="B4652" s="1" t="s">
        <v>3087</v>
      </c>
      <c r="C4652" s="2" t="s">
        <v>3088</v>
      </c>
      <c r="D4652" s="1" t="str">
        <f>IFERROR(__xludf.DUMMYFUNCTION("GOOGLETRANSLATE(A4652 , ""auto"", ""ar"")"),"يزيل")</f>
        <v>يزيل</v>
      </c>
    </row>
    <row r="4653" ht="15.75" customHeight="1">
      <c r="A4653" s="1" t="s">
        <v>7910</v>
      </c>
      <c r="B4653" s="1" t="s">
        <v>7911</v>
      </c>
      <c r="C4653" s="2" t="s">
        <v>7912</v>
      </c>
      <c r="D4653" s="1" t="str">
        <f>IFERROR(__xludf.DUMMYFUNCTION("GOOGLETRANSLATE(A4653 , ""auto"", ""ar"")"),"تجديد")</f>
        <v>تجديد</v>
      </c>
    </row>
    <row r="4654" ht="15.75" customHeight="1">
      <c r="A4654" s="1" t="s">
        <v>7913</v>
      </c>
      <c r="B4654" s="1" t="s">
        <v>1177</v>
      </c>
      <c r="C4654" s="2" t="s">
        <v>1178</v>
      </c>
      <c r="D4654" s="1" t="str">
        <f>IFERROR(__xludf.DUMMYFUNCTION("GOOGLETRANSLATE(A4654 , ""auto"", ""ar"")"),"ترميم")</f>
        <v>ترميم</v>
      </c>
    </row>
    <row r="4655" ht="15.75" customHeight="1">
      <c r="A4655" s="1" t="s">
        <v>7914</v>
      </c>
      <c r="B4655" s="1" t="s">
        <v>7915</v>
      </c>
      <c r="C4655" s="2" t="s">
        <v>7916</v>
      </c>
      <c r="D4655" s="1" t="str">
        <f>IFERROR(__xludf.DUMMYFUNCTION("GOOGLETRANSLATE(A4655 , ""auto"", ""ar"")"),"إيجار")</f>
        <v>إيجار</v>
      </c>
    </row>
    <row r="4656" ht="15.75" customHeight="1">
      <c r="A4656" s="1" t="s">
        <v>7917</v>
      </c>
      <c r="B4656" s="1" t="s">
        <v>1464</v>
      </c>
      <c r="C4656" s="2" t="s">
        <v>1465</v>
      </c>
      <c r="D4656" s="1" t="str">
        <f>IFERROR(__xludf.DUMMYFUNCTION("GOOGLETRANSLATE(A4656 , ""auto"", ""ar"")"),"بصلح")</f>
        <v>بصلح</v>
      </c>
    </row>
    <row r="4657" ht="15.75" customHeight="1">
      <c r="A4657" s="1" t="s">
        <v>7917</v>
      </c>
      <c r="B4657" s="1" t="s">
        <v>2153</v>
      </c>
      <c r="C4657" s="1"/>
      <c r="D4657" s="1" t="str">
        <f>IFERROR(__xludf.DUMMYFUNCTION("GOOGLETRANSLATE(A4657 , ""auto"", ""ar"")"),"بصلح")</f>
        <v>بصلح</v>
      </c>
    </row>
    <row r="4658" ht="15.75" customHeight="1">
      <c r="A4658" s="1" t="s">
        <v>7917</v>
      </c>
      <c r="B4658" s="1" t="s">
        <v>2154</v>
      </c>
      <c r="C4658" s="1"/>
      <c r="D4658" s="1" t="str">
        <f>IFERROR(__xludf.DUMMYFUNCTION("GOOGLETRANSLATE(A4658 , ""auto"", ""ar"")"),"بصلح")</f>
        <v>بصلح</v>
      </c>
    </row>
    <row r="4659" ht="15.75" customHeight="1">
      <c r="A4659" s="1" t="s">
        <v>7918</v>
      </c>
      <c r="B4659" s="1" t="s">
        <v>1177</v>
      </c>
      <c r="C4659" s="2" t="s">
        <v>1178</v>
      </c>
      <c r="D4659" s="1" t="str">
        <f>IFERROR(__xludf.DUMMYFUNCTION("GOOGLETRANSLATE(A4659 , ""auto"", ""ar"")"),"يكرر")</f>
        <v>يكرر</v>
      </c>
    </row>
    <row r="4660" ht="15.75" customHeight="1">
      <c r="A4660" s="1" t="s">
        <v>7919</v>
      </c>
      <c r="B4660" s="1" t="s">
        <v>1174</v>
      </c>
      <c r="C4660" s="2" t="s">
        <v>7920</v>
      </c>
      <c r="D4660" s="1" t="str">
        <f>IFERROR(__xludf.DUMMYFUNCTION("GOOGLETRANSLATE(A4660 , ""auto"", ""ar"")"),"كرر بعد")</f>
        <v>كرر بعد</v>
      </c>
    </row>
    <row r="4661" ht="15.75" customHeight="1">
      <c r="A4661" s="1" t="s">
        <v>7921</v>
      </c>
      <c r="B4661" s="1" t="s">
        <v>7922</v>
      </c>
      <c r="C4661" s="2" t="s">
        <v>7923</v>
      </c>
      <c r="D4661" s="1" t="str">
        <f>IFERROR(__xludf.DUMMYFUNCTION("GOOGLETRANSLATE(A4661 , ""auto"", ""ar"")"),"نادم")</f>
        <v>نادم</v>
      </c>
    </row>
    <row r="4662" ht="15.75" customHeight="1">
      <c r="A4662" s="1" t="s">
        <v>7924</v>
      </c>
      <c r="B4662" s="1" t="s">
        <v>7925</v>
      </c>
      <c r="C4662" s="2" t="s">
        <v>7926</v>
      </c>
      <c r="D4662" s="1" t="str">
        <f>IFERROR(__xludf.DUMMYFUNCTION("GOOGLETRANSLATE(A4662 , ""auto"", ""ar"")"),"التوبة")</f>
        <v>التوبة</v>
      </c>
    </row>
    <row r="4663" ht="15.75" customHeight="1">
      <c r="A4663" s="1" t="s">
        <v>7927</v>
      </c>
      <c r="B4663" s="1" t="s">
        <v>289</v>
      </c>
      <c r="C4663" s="2" t="s">
        <v>290</v>
      </c>
      <c r="D4663" s="1" t="str">
        <f>IFERROR(__xludf.DUMMYFUNCTION("GOOGLETRANSLATE(A4663 , ""auto"", ""ar"")"),"رد")</f>
        <v>رد</v>
      </c>
    </row>
    <row r="4664" ht="15.75" customHeight="1">
      <c r="A4664" s="1" t="s">
        <v>7927</v>
      </c>
      <c r="B4664" s="1" t="s">
        <v>291</v>
      </c>
      <c r="C4664" s="2" t="s">
        <v>292</v>
      </c>
      <c r="D4664" s="1" t="str">
        <f>IFERROR(__xludf.DUMMYFUNCTION("GOOGLETRANSLATE(A4664 , ""auto"", ""ar"")"),"رد")</f>
        <v>رد</v>
      </c>
    </row>
    <row r="4665" ht="15.75" customHeight="1">
      <c r="A4665" s="1" t="s">
        <v>7927</v>
      </c>
      <c r="B4665" s="1" t="s">
        <v>293</v>
      </c>
      <c r="C4665" s="2" t="s">
        <v>294</v>
      </c>
      <c r="D4665" s="1" t="str">
        <f>IFERROR(__xludf.DUMMYFUNCTION("GOOGLETRANSLATE(A4665 , ""auto"", ""ar"")"),"رد")</f>
        <v>رد</v>
      </c>
    </row>
    <row r="4666" ht="15.75" customHeight="1">
      <c r="A4666" s="1" t="s">
        <v>7928</v>
      </c>
      <c r="B4666" s="1" t="s">
        <v>7929</v>
      </c>
      <c r="C4666" s="1"/>
      <c r="D4666" s="1" t="str">
        <f>IFERROR(__xludf.DUMMYFUNCTION("GOOGLETRANSLATE(A4666 , ""auto"", ""ar"")"),"مطلوب")</f>
        <v>مطلوب</v>
      </c>
    </row>
    <row r="4667" ht="15.75" customHeight="1">
      <c r="A4667" s="1" t="s">
        <v>7928</v>
      </c>
      <c r="B4667" s="1" t="s">
        <v>4942</v>
      </c>
      <c r="C4667" s="2" t="s">
        <v>4943</v>
      </c>
      <c r="D4667" s="1" t="str">
        <f>IFERROR(__xludf.DUMMYFUNCTION("GOOGLETRANSLATE(A4667 , ""auto"", ""ar"")"),"مطلوب")</f>
        <v>مطلوب</v>
      </c>
    </row>
    <row r="4668" ht="15.75" customHeight="1">
      <c r="A4668" s="1" t="s">
        <v>7928</v>
      </c>
      <c r="B4668" s="1" t="s">
        <v>7930</v>
      </c>
      <c r="C4668" s="1"/>
      <c r="D4668" s="1" t="str">
        <f>IFERROR(__xludf.DUMMYFUNCTION("GOOGLETRANSLATE(A4668 , ""auto"", ""ar"")"),"مطلوب")</f>
        <v>مطلوب</v>
      </c>
    </row>
    <row r="4669" ht="15.75" customHeight="1">
      <c r="A4669" s="1" t="s">
        <v>7931</v>
      </c>
      <c r="B4669" s="1" t="s">
        <v>4430</v>
      </c>
      <c r="C4669" s="2" t="s">
        <v>4431</v>
      </c>
      <c r="D4669" s="1" t="str">
        <f>IFERROR(__xludf.DUMMYFUNCTION("GOOGLETRANSLATE(A4669 , ""auto"", ""ar"")"),"تشابه")</f>
        <v>تشابه</v>
      </c>
    </row>
    <row r="4670" ht="15.75" customHeight="1">
      <c r="A4670" s="1" t="s">
        <v>7931</v>
      </c>
      <c r="B4670" s="1" t="s">
        <v>4432</v>
      </c>
      <c r="C4670" s="2" t="s">
        <v>4433</v>
      </c>
      <c r="D4670" s="1" t="str">
        <f>IFERROR(__xludf.DUMMYFUNCTION("GOOGLETRANSLATE(A4670 , ""auto"", ""ar"")"),"تشابه")</f>
        <v>تشابه</v>
      </c>
    </row>
    <row r="4671" ht="15.75" customHeight="1">
      <c r="A4671" s="1" t="s">
        <v>7932</v>
      </c>
      <c r="B4671" s="1" t="s">
        <v>4381</v>
      </c>
      <c r="C4671" s="2" t="s">
        <v>4382</v>
      </c>
      <c r="D4671" s="1" t="str">
        <f>IFERROR(__xludf.DUMMYFUNCTION("GOOGLETRANSLATE(A4671 , ""auto"", ""ar"")"),"يقيم")</f>
        <v>يقيم</v>
      </c>
    </row>
    <row r="4672" ht="15.75" customHeight="1">
      <c r="A4672" s="1" t="s">
        <v>7932</v>
      </c>
      <c r="B4672" s="1" t="s">
        <v>4385</v>
      </c>
      <c r="C4672" s="2" t="s">
        <v>4386</v>
      </c>
      <c r="D4672" s="1" t="str">
        <f>IFERROR(__xludf.DUMMYFUNCTION("GOOGLETRANSLATE(A4672 , ""auto"", ""ar"")"),"يقيم")</f>
        <v>يقيم</v>
      </c>
    </row>
    <row r="4673" ht="15.75" customHeight="1">
      <c r="A4673" s="1" t="s">
        <v>7933</v>
      </c>
      <c r="B4673" s="1" t="s">
        <v>7934</v>
      </c>
      <c r="C4673" s="1"/>
      <c r="D4673" s="1" t="str">
        <f>IFERROR(__xludf.DUMMYFUNCTION("GOOGLETRANSLATE(A4673 , ""auto"", ""ar"")"),"موارد")</f>
        <v>موارد</v>
      </c>
    </row>
    <row r="4674" ht="15.75" customHeight="1">
      <c r="A4674" s="1" t="s">
        <v>7935</v>
      </c>
      <c r="B4674" s="1" t="s">
        <v>7936</v>
      </c>
      <c r="C4674" s="2" t="s">
        <v>7937</v>
      </c>
      <c r="D4674" s="1" t="str">
        <f>IFERROR(__xludf.DUMMYFUNCTION("GOOGLETRANSLATE(A4674 , ""auto"", ""ar"")"),"احترام")</f>
        <v>احترام</v>
      </c>
    </row>
    <row r="4675" ht="15.75" customHeight="1">
      <c r="A4675" s="1" t="s">
        <v>7935</v>
      </c>
      <c r="B4675" s="1" t="s">
        <v>7938</v>
      </c>
      <c r="C4675" s="2" t="s">
        <v>7939</v>
      </c>
      <c r="D4675" s="1" t="str">
        <f>IFERROR(__xludf.DUMMYFUNCTION("GOOGLETRANSLATE(A4675 , ""auto"", ""ar"")"),"احترام")</f>
        <v>احترام</v>
      </c>
    </row>
    <row r="4676" ht="15.75" customHeight="1">
      <c r="A4676" s="1" t="s">
        <v>7940</v>
      </c>
      <c r="B4676" s="1" t="s">
        <v>5261</v>
      </c>
      <c r="C4676" s="2" t="s">
        <v>5262</v>
      </c>
      <c r="D4676" s="1" t="str">
        <f>IFERROR(__xludf.DUMMYFUNCTION("GOOGLETRANSLATE(A4676 , ""auto"", ""ar"")"),"مسؤول")</f>
        <v>مسؤول</v>
      </c>
    </row>
    <row r="4677" ht="15.75" customHeight="1">
      <c r="A4677" s="1" t="s">
        <v>7941</v>
      </c>
      <c r="B4677" s="1" t="s">
        <v>1591</v>
      </c>
      <c r="C4677" s="2" t="s">
        <v>1592</v>
      </c>
      <c r="D4677" s="1" t="str">
        <f>IFERROR(__xludf.DUMMYFUNCTION("GOOGLETRANSLATE(A4677 , ""auto"", ""ar"")"),"استراحة")</f>
        <v>استراحة</v>
      </c>
    </row>
    <row r="4678" ht="15.75" customHeight="1">
      <c r="A4678" s="1" t="s">
        <v>7941</v>
      </c>
      <c r="B4678" s="1" t="s">
        <v>7899</v>
      </c>
      <c r="C4678" s="2" t="s">
        <v>7900</v>
      </c>
      <c r="D4678" s="1" t="str">
        <f>IFERROR(__xludf.DUMMYFUNCTION("GOOGLETRANSLATE(A4678 , ""auto"", ""ar"")"),"استراحة")</f>
        <v>استراحة</v>
      </c>
    </row>
    <row r="4679" ht="15.75" customHeight="1">
      <c r="A4679" s="1" t="s">
        <v>7941</v>
      </c>
      <c r="B4679" s="1" t="s">
        <v>7942</v>
      </c>
      <c r="C4679" s="2" t="s">
        <v>7943</v>
      </c>
      <c r="D4679" s="1" t="str">
        <f>IFERROR(__xludf.DUMMYFUNCTION("GOOGLETRANSLATE(A4679 , ""auto"", ""ar"")"),"استراحة")</f>
        <v>استراحة</v>
      </c>
    </row>
    <row r="4680" ht="15.75" customHeight="1">
      <c r="A4680" s="1" t="s">
        <v>7944</v>
      </c>
      <c r="B4680" s="1" t="s">
        <v>7945</v>
      </c>
      <c r="C4680" s="2" t="s">
        <v>7946</v>
      </c>
      <c r="D4680" s="1" t="str">
        <f>IFERROR(__xludf.DUMMYFUNCTION("GOOGLETRANSLATE(A4680 , ""auto"", ""ar"")"),"مطعم")</f>
        <v>مطعم</v>
      </c>
    </row>
    <row r="4681" ht="15.75" customHeight="1">
      <c r="A4681" s="1" t="s">
        <v>7944</v>
      </c>
      <c r="B4681" s="1" t="s">
        <v>7947</v>
      </c>
      <c r="C4681" s="2" t="s">
        <v>7948</v>
      </c>
      <c r="D4681" s="1" t="str">
        <f>IFERROR(__xludf.DUMMYFUNCTION("GOOGLETRANSLATE(A4681 , ""auto"", ""ar"")"),"مطعم")</f>
        <v>مطعم</v>
      </c>
    </row>
    <row r="4682" ht="15.75" customHeight="1">
      <c r="A4682" s="1" t="s">
        <v>7949</v>
      </c>
      <c r="B4682" s="1" t="s">
        <v>7950</v>
      </c>
      <c r="C4682" s="2" t="s">
        <v>7951</v>
      </c>
      <c r="D4682" s="1" t="str">
        <f>IFERROR(__xludf.DUMMYFUNCTION("GOOGLETRANSLATE(A4682 , ""auto"", ""ar"")"),"نتيجة")</f>
        <v>نتيجة</v>
      </c>
    </row>
    <row r="4683" ht="15.75" customHeight="1">
      <c r="A4683" s="1" t="s">
        <v>7952</v>
      </c>
      <c r="B4683" s="1" t="s">
        <v>5389</v>
      </c>
      <c r="C4683" s="2" t="s">
        <v>5390</v>
      </c>
      <c r="D4683" s="1" t="str">
        <f>IFERROR(__xludf.DUMMYFUNCTION("GOOGLETRANSLATE(A4683 , ""auto"", ""ar"")"),"التقاعد")</f>
        <v>التقاعد</v>
      </c>
    </row>
    <row r="4684" ht="15.75" customHeight="1">
      <c r="A4684" s="1" t="s">
        <v>7953</v>
      </c>
      <c r="B4684" s="1" t="s">
        <v>7954</v>
      </c>
      <c r="C4684" s="2" t="s">
        <v>7955</v>
      </c>
      <c r="D4684" s="1" t="str">
        <f>IFERROR(__xludf.DUMMYFUNCTION("GOOGLETRANSLATE(A4684 , ""auto"", ""ar"")"),"يعود")</f>
        <v>يعود</v>
      </c>
    </row>
    <row r="4685" ht="15.75" customHeight="1">
      <c r="A4685" s="1" t="s">
        <v>7953</v>
      </c>
      <c r="B4685" s="1" t="s">
        <v>1587</v>
      </c>
      <c r="C4685" s="2" t="s">
        <v>1588</v>
      </c>
      <c r="D4685" s="1" t="str">
        <f>IFERROR(__xludf.DUMMYFUNCTION("GOOGLETRANSLATE(A4685 , ""auto"", ""ar"")"),"يعود")</f>
        <v>يعود</v>
      </c>
    </row>
    <row r="4686" ht="15.75" customHeight="1">
      <c r="A4686" s="1" t="s">
        <v>7956</v>
      </c>
      <c r="B4686" s="1" t="s">
        <v>7957</v>
      </c>
      <c r="C4686" s="1"/>
      <c r="D4686" s="1" t="str">
        <f>IFERROR(__xludf.DUMMYFUNCTION("GOOGLETRANSLATE(A4686 , ""auto"", ""ar"")"),"رحلة العودة")</f>
        <v>رحلة العودة</v>
      </c>
    </row>
    <row r="4687" ht="15.75" customHeight="1">
      <c r="A4687" s="1" t="s">
        <v>7958</v>
      </c>
      <c r="B4687" s="1" t="s">
        <v>7023</v>
      </c>
      <c r="C4687" s="2" t="s">
        <v>7024</v>
      </c>
      <c r="D4687" s="1" t="str">
        <f>IFERROR(__xludf.DUMMYFUNCTION("GOOGLETRANSLATE(A4687 , ""auto"", ""ar"")"),"انتقام")</f>
        <v>انتقام</v>
      </c>
    </row>
    <row r="4688" ht="15.75" customHeight="1">
      <c r="A4688" s="1" t="s">
        <v>7959</v>
      </c>
      <c r="B4688" s="1" t="s">
        <v>7960</v>
      </c>
      <c r="C4688" s="2" t="s">
        <v>7961</v>
      </c>
      <c r="D4688" s="1" t="str">
        <f>IFERROR(__xludf.DUMMYFUNCTION("GOOGLETRANSLATE(A4688 , ""auto"", ""ar"")"),"يراجع")</f>
        <v>يراجع</v>
      </c>
    </row>
    <row r="4689" ht="15.75" customHeight="1">
      <c r="A4689" s="1" t="s">
        <v>7962</v>
      </c>
      <c r="B4689" s="1" t="s">
        <v>7963</v>
      </c>
      <c r="C4689" s="2" t="s">
        <v>7964</v>
      </c>
      <c r="D4689" s="1" t="str">
        <f>IFERROR(__xludf.DUMMYFUNCTION("GOOGLETRANSLATE(A4689 , ""auto"", ""ar"")"),"مراجعة")</f>
        <v>مراجعة</v>
      </c>
    </row>
    <row r="4690" ht="15.75" customHeight="1">
      <c r="A4690" s="1" t="s">
        <v>7965</v>
      </c>
      <c r="B4690" s="1" t="s">
        <v>7966</v>
      </c>
      <c r="C4690" s="2" t="s">
        <v>7967</v>
      </c>
      <c r="D4690" s="1" t="str">
        <f>IFERROR(__xludf.DUMMYFUNCTION("GOOGLETRANSLATE(A4690 , ""auto"", ""ar"")"),"راوند")</f>
        <v>راوند</v>
      </c>
    </row>
    <row r="4691" ht="15.75" customHeight="1">
      <c r="A4691" s="1" t="s">
        <v>7968</v>
      </c>
      <c r="B4691" s="1" t="s">
        <v>7969</v>
      </c>
      <c r="C4691" s="2" t="s">
        <v>7970</v>
      </c>
      <c r="D4691" s="1" t="str">
        <f>IFERROR(__xludf.DUMMYFUNCTION("GOOGLETRANSLATE(A4691 , ""auto"", ""ar"")"),"رياد")</f>
        <v>رياد</v>
      </c>
    </row>
    <row r="4692" ht="15.75" customHeight="1">
      <c r="A4692" s="1" t="s">
        <v>7971</v>
      </c>
      <c r="B4692" s="1" t="s">
        <v>7972</v>
      </c>
      <c r="C4692" s="2" t="s">
        <v>7973</v>
      </c>
      <c r="D4692" s="1" t="str">
        <f>IFERROR(__xludf.DUMMYFUNCTION("GOOGLETRANSLATE(A4692 , ""auto"", ""ar"")"),"أرز")</f>
        <v>أرز</v>
      </c>
    </row>
    <row r="4693" ht="15.75" customHeight="1">
      <c r="A4693" s="1" t="s">
        <v>7974</v>
      </c>
      <c r="B4693" s="1" t="s">
        <v>7975</v>
      </c>
      <c r="C4693" s="1"/>
      <c r="D4693" s="1" t="str">
        <f>IFERROR(__xludf.DUMMYFUNCTION("GOOGLETRANSLATE(A4693 , ""auto"", ""ar"")"),"ثري")</f>
        <v>ثري</v>
      </c>
    </row>
    <row r="4694" ht="15.75" customHeight="1">
      <c r="A4694" s="1" t="s">
        <v>7976</v>
      </c>
      <c r="B4694" s="1" t="s">
        <v>7977</v>
      </c>
      <c r="C4694" s="2" t="s">
        <v>7978</v>
      </c>
      <c r="D4694" s="1" t="str">
        <f>IFERROR(__xludf.DUMMYFUNCTION("GOOGLETRANSLATE(A4694 , ""auto"", ""ar"")"),"يركب")</f>
        <v>يركب</v>
      </c>
    </row>
    <row r="4695" ht="15.75" customHeight="1">
      <c r="A4695" s="1" t="s">
        <v>7979</v>
      </c>
      <c r="B4695" s="1" t="s">
        <v>7980</v>
      </c>
      <c r="C4695" s="1"/>
      <c r="D4695" s="1" t="str">
        <f>IFERROR(__xludf.DUMMYFUNCTION("GOOGLETRANSLATE(A4695 , ""auto"", ""ar"")"),"يمين")</f>
        <v>يمين</v>
      </c>
    </row>
    <row r="4696" ht="15.75" customHeight="1">
      <c r="A4696" s="1" t="s">
        <v>7981</v>
      </c>
      <c r="B4696" s="1" t="s">
        <v>5484</v>
      </c>
      <c r="C4696" s="2" t="s">
        <v>5485</v>
      </c>
      <c r="D4696" s="1" t="str">
        <f>IFERROR(__xludf.DUMMYFUNCTION("GOOGLETRANSLATE(A4696 , ""auto"", ""ar"")"),"الصالحين")</f>
        <v>الصالحين</v>
      </c>
    </row>
    <row r="4697" ht="15.75" customHeight="1">
      <c r="A4697" s="1" t="s">
        <v>7982</v>
      </c>
      <c r="B4697" s="1" t="s">
        <v>7983</v>
      </c>
      <c r="C4697" s="2" t="s">
        <v>7984</v>
      </c>
      <c r="D4697" s="1" t="str">
        <f>IFERROR(__xludf.DUMMYFUNCTION("GOOGLETRANSLATE(A4697 , ""auto"", ""ar"")"),"جرس")</f>
        <v>جرس</v>
      </c>
    </row>
    <row r="4698" ht="15.75" customHeight="1">
      <c r="A4698" s="1" t="s">
        <v>7982</v>
      </c>
      <c r="B4698" s="1" t="s">
        <v>7983</v>
      </c>
      <c r="C4698" s="2" t="s">
        <v>7984</v>
      </c>
      <c r="D4698" s="1" t="str">
        <f>IFERROR(__xludf.DUMMYFUNCTION("GOOGLETRANSLATE(A4698 , ""auto"", ""ar"")"),"جرس")</f>
        <v>جرس</v>
      </c>
    </row>
    <row r="4699" ht="15.75" customHeight="1">
      <c r="A4699" s="1" t="s">
        <v>7982</v>
      </c>
      <c r="B4699" s="1" t="s">
        <v>7985</v>
      </c>
      <c r="C4699" s="2" t="s">
        <v>7986</v>
      </c>
      <c r="D4699" s="1" t="str">
        <f>IFERROR(__xludf.DUMMYFUNCTION("GOOGLETRANSLATE(A4699 , ""auto"", ""ar"")"),"جرس")</f>
        <v>جرس</v>
      </c>
    </row>
    <row r="4700" ht="15.75" customHeight="1">
      <c r="A4700" s="1" t="s">
        <v>7987</v>
      </c>
      <c r="B4700" s="1" t="s">
        <v>7988</v>
      </c>
      <c r="C4700" s="2" t="s">
        <v>7989</v>
      </c>
      <c r="D4700" s="1" t="str">
        <f>IFERROR(__xludf.DUMMYFUNCTION("GOOGLETRANSLATE(A4700 , ""auto"", ""ar"")"),"شطف")</f>
        <v>شطف</v>
      </c>
    </row>
    <row r="4701" ht="15.75" customHeight="1">
      <c r="A4701" s="1" t="s">
        <v>7990</v>
      </c>
      <c r="B4701" s="1" t="s">
        <v>1889</v>
      </c>
      <c r="C4701" s="2" t="s">
        <v>7991</v>
      </c>
      <c r="D4701" s="1" t="str">
        <f>IFERROR(__xludf.DUMMYFUNCTION("GOOGLETRANSLATE(A4701 , ""auto"", ""ar"")"),"قطع")</f>
        <v>قطع</v>
      </c>
    </row>
    <row r="4702" ht="15.75" customHeight="1">
      <c r="A4702" s="1" t="s">
        <v>7990</v>
      </c>
      <c r="B4702" s="1" t="s">
        <v>7992</v>
      </c>
      <c r="C4702" s="2" t="s">
        <v>7993</v>
      </c>
      <c r="D4702" s="1" t="str">
        <f>IFERROR(__xludf.DUMMYFUNCTION("GOOGLETRANSLATE(A4702 , ""auto"", ""ar"")"),"قطع")</f>
        <v>قطع</v>
      </c>
    </row>
    <row r="4703" ht="15.75" customHeight="1">
      <c r="A4703" s="1" t="s">
        <v>7994</v>
      </c>
      <c r="B4703" s="1" t="s">
        <v>1691</v>
      </c>
      <c r="C4703" s="2" t="s">
        <v>1692</v>
      </c>
      <c r="D4703" s="1" t="str">
        <f>IFERROR(__xludf.DUMMYFUNCTION("GOOGLETRANSLATE(A4703 , ""auto"", ""ar"")"),"ناضج")</f>
        <v>ناضج</v>
      </c>
    </row>
    <row r="4704" ht="15.75" customHeight="1">
      <c r="A4704" s="1" t="s">
        <v>7995</v>
      </c>
      <c r="B4704" s="1" t="s">
        <v>7996</v>
      </c>
      <c r="C4704" s="1"/>
      <c r="D4704" s="1" t="str">
        <f>IFERROR(__xludf.DUMMYFUNCTION("GOOGLETRANSLATE(A4704 , ""auto"", ""ar"")"),"النضج")</f>
        <v>النضج</v>
      </c>
    </row>
    <row r="4705" ht="15.75" customHeight="1">
      <c r="A4705" s="1" t="s">
        <v>7997</v>
      </c>
      <c r="B4705" s="1" t="s">
        <v>7998</v>
      </c>
      <c r="C4705" s="2" t="s">
        <v>7999</v>
      </c>
      <c r="D4705" s="1" t="str">
        <f>IFERROR(__xludf.DUMMYFUNCTION("GOOGLETRANSLATE(A4705 , ""auto"", ""ar"")"),"ممزق")</f>
        <v>ممزق</v>
      </c>
    </row>
    <row r="4706" ht="15.75" customHeight="1">
      <c r="A4706" s="1" t="s">
        <v>8000</v>
      </c>
      <c r="B4706" s="1" t="s">
        <v>8001</v>
      </c>
      <c r="C4706" s="2" t="s">
        <v>8002</v>
      </c>
      <c r="D4706" s="1" t="str">
        <f>IFERROR(__xludf.DUMMYFUNCTION("GOOGLETRANSLATE(A4706 , ""auto"", ""ar"")"),"يعلو")</f>
        <v>يعلو</v>
      </c>
    </row>
    <row r="4707" ht="15.75" customHeight="1">
      <c r="A4707" s="1" t="s">
        <v>8000</v>
      </c>
      <c r="B4707" s="1" t="s">
        <v>8003</v>
      </c>
      <c r="C4707" s="2" t="s">
        <v>3183</v>
      </c>
      <c r="D4707" s="1" t="str">
        <f>IFERROR(__xludf.DUMMYFUNCTION("GOOGLETRANSLATE(A4707 , ""auto"", ""ar"")"),"يعلو")</f>
        <v>يعلو</v>
      </c>
    </row>
    <row r="4708" ht="15.75" customHeight="1">
      <c r="A4708" s="1" t="s">
        <v>8004</v>
      </c>
      <c r="B4708" s="1" t="s">
        <v>8005</v>
      </c>
      <c r="C4708" s="2" t="s">
        <v>8006</v>
      </c>
      <c r="D4708" s="1" t="str">
        <f>IFERROR(__xludf.DUMMYFUNCTION("GOOGLETRANSLATE(A4708 , ""auto"", ""ar"")"),"يرتفع من الموتى")</f>
        <v>يرتفع من الموتى</v>
      </c>
    </row>
    <row r="4709" ht="15.75" customHeight="1">
      <c r="A4709" s="1" t="s">
        <v>8004</v>
      </c>
      <c r="B4709" s="1" t="s">
        <v>3096</v>
      </c>
      <c r="C4709" s="2" t="s">
        <v>3097</v>
      </c>
      <c r="D4709" s="1" t="str">
        <f>IFERROR(__xludf.DUMMYFUNCTION("GOOGLETRANSLATE(A4709 , ""auto"", ""ar"")"),"يرتفع من الموتى")</f>
        <v>يرتفع من الموتى</v>
      </c>
    </row>
    <row r="4710" ht="15.75" customHeight="1">
      <c r="A4710" s="1" t="s">
        <v>8007</v>
      </c>
      <c r="B4710" s="1" t="s">
        <v>8008</v>
      </c>
      <c r="C4710" s="2" t="s">
        <v>8009</v>
      </c>
      <c r="D4710" s="1" t="str">
        <f>IFERROR(__xludf.DUMMYFUNCTION("GOOGLETRANSLATE(A4710 , ""auto"", ""ar"")"),"نهر")</f>
        <v>نهر</v>
      </c>
    </row>
    <row r="4711" ht="15.75" customHeight="1">
      <c r="A4711" s="1" t="s">
        <v>8010</v>
      </c>
      <c r="B4711" s="1" t="s">
        <v>5757</v>
      </c>
      <c r="C4711" s="2" t="s">
        <v>6261</v>
      </c>
      <c r="D4711" s="1" t="str">
        <f>IFERROR(__xludf.DUMMYFUNCTION("GOOGLETRANSLATE(A4711 , ""auto"", ""ar"")"),"طريق")</f>
        <v>طريق</v>
      </c>
    </row>
    <row r="4712" ht="15.75" customHeight="1">
      <c r="A4712" s="1" t="s">
        <v>8011</v>
      </c>
      <c r="B4712" s="1" t="s">
        <v>6167</v>
      </c>
      <c r="C4712" s="2" t="s">
        <v>6168</v>
      </c>
      <c r="D4712" s="1" t="str">
        <f>IFERROR(__xludf.DUMMYFUNCTION("GOOGLETRANSLATE(A4712 , ""auto"", ""ar"")"),"روب")</f>
        <v>روب</v>
      </c>
    </row>
    <row r="4713" ht="15.75" customHeight="1">
      <c r="A4713" s="1" t="s">
        <v>8011</v>
      </c>
      <c r="B4713" s="1" t="s">
        <v>6169</v>
      </c>
      <c r="C4713" s="1"/>
      <c r="D4713" s="1" t="str">
        <f>IFERROR(__xludf.DUMMYFUNCTION("GOOGLETRANSLATE(A4713 , ""auto"", ""ar"")"),"روب")</f>
        <v>روب</v>
      </c>
    </row>
    <row r="4714" ht="15.75" customHeight="1">
      <c r="A4714" s="1" t="s">
        <v>8011</v>
      </c>
      <c r="B4714" s="1" t="s">
        <v>6170</v>
      </c>
      <c r="C4714" s="2" t="s">
        <v>6171</v>
      </c>
      <c r="D4714" s="1" t="str">
        <f>IFERROR(__xludf.DUMMYFUNCTION("GOOGLETRANSLATE(A4714 , ""auto"", ""ar"")"),"روب")</f>
        <v>روب</v>
      </c>
    </row>
    <row r="4715" ht="15.75" customHeight="1">
      <c r="A4715" s="1" t="s">
        <v>8011</v>
      </c>
      <c r="B4715" s="1" t="s">
        <v>6172</v>
      </c>
      <c r="C4715" s="1"/>
      <c r="D4715" s="1" t="str">
        <f>IFERROR(__xludf.DUMMYFUNCTION("GOOGLETRANSLATE(A4715 , ""auto"", ""ar"")"),"روب")</f>
        <v>روب</v>
      </c>
    </row>
    <row r="4716" ht="15.75" customHeight="1">
      <c r="A4716" s="1" t="s">
        <v>8011</v>
      </c>
      <c r="B4716" s="1" t="s">
        <v>6173</v>
      </c>
      <c r="C4716" s="2" t="s">
        <v>6174</v>
      </c>
      <c r="D4716" s="1" t="str">
        <f>IFERROR(__xludf.DUMMYFUNCTION("GOOGLETRANSLATE(A4716 , ""auto"", ""ar"")"),"روب")</f>
        <v>روب</v>
      </c>
    </row>
    <row r="4717" ht="15.75" customHeight="1">
      <c r="A4717" s="1" t="s">
        <v>8011</v>
      </c>
      <c r="B4717" s="1" t="s">
        <v>6175</v>
      </c>
      <c r="C4717" s="2" t="s">
        <v>6176</v>
      </c>
      <c r="D4717" s="1" t="str">
        <f>IFERROR(__xludf.DUMMYFUNCTION("GOOGLETRANSLATE(A4717 , ""auto"", ""ar"")"),"روب")</f>
        <v>روب</v>
      </c>
    </row>
    <row r="4718" ht="15.75" customHeight="1">
      <c r="A4718" s="1" t="s">
        <v>8012</v>
      </c>
      <c r="B4718" s="1" t="s">
        <v>6587</v>
      </c>
      <c r="C4718" s="2" t="s">
        <v>6588</v>
      </c>
      <c r="D4718" s="1" t="str">
        <f>IFERROR(__xludf.DUMMYFUNCTION("GOOGLETRANSLATE(A4718 , ""auto"", ""ar"")"),"السارق")</f>
        <v>السارق</v>
      </c>
    </row>
    <row r="4719" ht="15.75" customHeight="1">
      <c r="A4719" s="1" t="s">
        <v>8012</v>
      </c>
      <c r="B4719" s="1" t="s">
        <v>6589</v>
      </c>
      <c r="C4719" s="2" t="s">
        <v>65</v>
      </c>
      <c r="D4719" s="1" t="str">
        <f>IFERROR(__xludf.DUMMYFUNCTION("GOOGLETRANSLATE(A4719 , ""auto"", ""ar"")"),"السارق")</f>
        <v>السارق</v>
      </c>
    </row>
    <row r="4720" ht="15.75" customHeight="1">
      <c r="A4720" s="1" t="s">
        <v>8012</v>
      </c>
      <c r="B4720" s="1" t="s">
        <v>1549</v>
      </c>
      <c r="C4720" s="2" t="s">
        <v>6590</v>
      </c>
      <c r="D4720" s="1" t="str">
        <f>IFERROR(__xludf.DUMMYFUNCTION("GOOGLETRANSLATE(A4720 , ""auto"", ""ar"")"),"السارق")</f>
        <v>السارق</v>
      </c>
    </row>
    <row r="4721" ht="15.75" customHeight="1">
      <c r="A4721" s="1" t="s">
        <v>8013</v>
      </c>
      <c r="B4721" s="1" t="s">
        <v>6562</v>
      </c>
      <c r="C4721" s="2" t="s">
        <v>6563</v>
      </c>
      <c r="D4721" s="1" t="str">
        <f>IFERROR(__xludf.DUMMYFUNCTION("GOOGLETRANSLATE(A4721 , ""auto"", ""ar"")"),"سرقة")</f>
        <v>سرقة</v>
      </c>
    </row>
    <row r="4722" ht="15.75" customHeight="1">
      <c r="A4722" s="1" t="s">
        <v>8014</v>
      </c>
      <c r="B4722" s="1" t="s">
        <v>2236</v>
      </c>
      <c r="C4722" s="1"/>
      <c r="D4722" s="1" t="str">
        <f>IFERROR(__xludf.DUMMYFUNCTION("GOOGLETRANSLATE(A4722 , ""auto"", ""ar"")"),"رداء - روب")</f>
        <v>رداء - روب</v>
      </c>
    </row>
    <row r="4723" ht="15.75" customHeight="1">
      <c r="A4723" s="1" t="s">
        <v>8015</v>
      </c>
      <c r="B4723" s="1" t="s">
        <v>8016</v>
      </c>
      <c r="C4723" s="2" t="s">
        <v>8017</v>
      </c>
      <c r="D4723" s="1" t="str">
        <f>IFERROR(__xludf.DUMMYFUNCTION("GOOGLETRANSLATE(A4723 , ""auto"", ""ar"")"),"صاروخ")</f>
        <v>صاروخ</v>
      </c>
    </row>
    <row r="4724" ht="15.75" customHeight="1">
      <c r="A4724" s="1" t="s">
        <v>8018</v>
      </c>
      <c r="B4724" s="1" t="s">
        <v>8019</v>
      </c>
      <c r="C4724" s="2" t="s">
        <v>8020</v>
      </c>
      <c r="D4724" s="1" t="str">
        <f>IFERROR(__xludf.DUMMYFUNCTION("GOOGLETRANSLATE(A4724 , ""auto"", ""ar"")"),"رومانسي")</f>
        <v>رومانسي</v>
      </c>
    </row>
    <row r="4725" ht="15.75" customHeight="1">
      <c r="A4725" s="1" t="s">
        <v>8021</v>
      </c>
      <c r="B4725" s="1" t="s">
        <v>8022</v>
      </c>
      <c r="C4725" s="2" t="s">
        <v>8023</v>
      </c>
      <c r="D4725" s="1" t="str">
        <f>IFERROR(__xludf.DUMMYFUNCTION("GOOGLETRANSLATE(A4725 , ""auto"", ""ar"")"),"سَطح")</f>
        <v>سَطح</v>
      </c>
    </row>
    <row r="4726" ht="15.75" customHeight="1">
      <c r="A4726" s="1" t="s">
        <v>8024</v>
      </c>
      <c r="B4726" s="1" t="s">
        <v>8022</v>
      </c>
      <c r="C4726" s="2" t="s">
        <v>8023</v>
      </c>
      <c r="D4726" s="1" t="str">
        <f>IFERROR(__xludf.DUMMYFUNCTION("GOOGLETRANSLATE(A4726 , ""auto"", ""ar"")"),"شرفة فوق السطح")</f>
        <v>شرفة فوق السطح</v>
      </c>
    </row>
    <row r="4727" ht="15.75" customHeight="1">
      <c r="A4727" s="1" t="s">
        <v>8025</v>
      </c>
      <c r="B4727" s="1" t="s">
        <v>568</v>
      </c>
      <c r="C4727" s="2" t="s">
        <v>8026</v>
      </c>
      <c r="D4727" s="1" t="str">
        <f>IFERROR(__xludf.DUMMYFUNCTION("GOOGLETRANSLATE(A4727 , ""auto"", ""ar"")"),"غرفة")</f>
        <v>غرفة</v>
      </c>
    </row>
    <row r="4728" ht="15.75" customHeight="1">
      <c r="A4728" s="1" t="s">
        <v>8027</v>
      </c>
      <c r="B4728" s="1" t="s">
        <v>1544</v>
      </c>
      <c r="C4728" s="2" t="s">
        <v>1545</v>
      </c>
      <c r="D4728" s="1" t="str">
        <f>IFERROR(__xludf.DUMMYFUNCTION("GOOGLETRANSLATE(A4728 , ""auto"", ""ar"")"),"الديك")</f>
        <v>الديك</v>
      </c>
    </row>
    <row r="4729" ht="15.75" customHeight="1">
      <c r="A4729" s="1" t="s">
        <v>8028</v>
      </c>
      <c r="B4729" s="1" t="s">
        <v>8029</v>
      </c>
      <c r="C4729" s="2" t="s">
        <v>8030</v>
      </c>
      <c r="D4729" s="1" t="str">
        <f>IFERROR(__xludf.DUMMYFUNCTION("GOOGLETRANSLATE(A4729 , ""auto"", ""ar"")"),"جذر")</f>
        <v>جذر</v>
      </c>
    </row>
    <row r="4730" ht="15.75" customHeight="1">
      <c r="A4730" s="1" t="s">
        <v>8028</v>
      </c>
      <c r="B4730" s="1" t="s">
        <v>2993</v>
      </c>
      <c r="C4730" s="1"/>
      <c r="D4730" s="1" t="str">
        <f>IFERROR(__xludf.DUMMYFUNCTION("GOOGLETRANSLATE(A4730 , ""auto"", ""ar"")"),"جذر")</f>
        <v>جذر</v>
      </c>
    </row>
    <row r="4731" ht="15.75" customHeight="1">
      <c r="A4731" s="1" t="s">
        <v>8031</v>
      </c>
      <c r="B4731" s="1" t="s">
        <v>8032</v>
      </c>
      <c r="C4731" s="2" t="s">
        <v>8033</v>
      </c>
      <c r="D4731" s="1" t="str">
        <f>IFERROR(__xludf.DUMMYFUNCTION("GOOGLETRANSLATE(A4731 , ""auto"", ""ar"")"),"إكليل الجبل")</f>
        <v>إكليل الجبل</v>
      </c>
    </row>
    <row r="4732" ht="15.75" customHeight="1">
      <c r="A4732" s="1" t="s">
        <v>8034</v>
      </c>
      <c r="B4732" s="1" t="s">
        <v>8035</v>
      </c>
      <c r="C4732" s="2" t="s">
        <v>65</v>
      </c>
      <c r="D4732" s="1" t="str">
        <f>IFERROR(__xludf.DUMMYFUNCTION("GOOGLETRANSLATE(A4732 , ""auto"", ""ar"")"),"فاسدة")</f>
        <v>فاسدة</v>
      </c>
    </row>
    <row r="4733" ht="15.75" customHeight="1">
      <c r="A4733" s="1" t="s">
        <v>8036</v>
      </c>
      <c r="B4733" s="1" t="s">
        <v>8037</v>
      </c>
      <c r="C4733" s="2" t="s">
        <v>8038</v>
      </c>
      <c r="D4733" s="1" t="str">
        <f>IFERROR(__xludf.DUMMYFUNCTION("GOOGLETRANSLATE(A4733 , ""auto"", ""ar"")"),"خشن")</f>
        <v>خشن</v>
      </c>
    </row>
    <row r="4734" ht="15.75" customHeight="1">
      <c r="A4734" s="1" t="s">
        <v>8039</v>
      </c>
      <c r="B4734" s="1" t="s">
        <v>8040</v>
      </c>
      <c r="C4734" s="2" t="s">
        <v>8041</v>
      </c>
      <c r="D4734" s="1" t="str">
        <f>IFERROR(__xludf.DUMMYFUNCTION("GOOGLETRANSLATE(A4734 , ""auto"", ""ar"")"),"دائري")</f>
        <v>دائري</v>
      </c>
    </row>
    <row r="4735" ht="15.75" customHeight="1">
      <c r="A4735" s="1" t="s">
        <v>8042</v>
      </c>
      <c r="B4735" s="1" t="s">
        <v>7957</v>
      </c>
      <c r="C4735" s="1"/>
      <c r="D4735" s="1" t="str">
        <f>IFERROR(__xludf.DUMMYFUNCTION("GOOGLETRANSLATE(A4735 , ""auto"", ""ar"")"),"جولة")</f>
        <v>جولة</v>
      </c>
    </row>
    <row r="4736" ht="15.75" customHeight="1">
      <c r="A4736" s="1" t="s">
        <v>8043</v>
      </c>
      <c r="B4736" s="1" t="s">
        <v>6807</v>
      </c>
      <c r="C4736" s="1"/>
      <c r="D4736" s="1" t="str">
        <f>IFERROR(__xludf.DUMMYFUNCTION("GOOGLETRANSLATE(A4736 , ""auto"", ""ar"")"),"الدوار")</f>
        <v>الدوار</v>
      </c>
    </row>
    <row r="4737" ht="15.75" customHeight="1">
      <c r="A4737" s="1" t="s">
        <v>8044</v>
      </c>
      <c r="B4737" s="1" t="s">
        <v>8045</v>
      </c>
      <c r="C4737" s="2" t="s">
        <v>8046</v>
      </c>
      <c r="D4737" s="1" t="str">
        <f>IFERROR(__xludf.DUMMYFUNCTION("GOOGLETRANSLATE(A4737 , ""auto"", ""ar"")"),"الملكي")</f>
        <v>الملكي</v>
      </c>
    </row>
    <row r="4738" ht="15.75" customHeight="1">
      <c r="A4738" s="1" t="s">
        <v>8047</v>
      </c>
      <c r="B4738" s="1" t="s">
        <v>1064</v>
      </c>
      <c r="C4738" s="2" t="s">
        <v>1065</v>
      </c>
      <c r="D4738" s="1" t="str">
        <f>IFERROR(__xludf.DUMMYFUNCTION("GOOGLETRANSLATE(A4738 , ""auto"", ""ar"")"),"فرك")</f>
        <v>فرك</v>
      </c>
    </row>
    <row r="4739" ht="15.75" customHeight="1">
      <c r="A4739" s="1" t="s">
        <v>8048</v>
      </c>
      <c r="B4739" s="1" t="s">
        <v>1984</v>
      </c>
      <c r="C4739" s="2" t="s">
        <v>1985</v>
      </c>
      <c r="D4739" s="1" t="str">
        <f>IFERROR(__xludf.DUMMYFUNCTION("GOOGLETRANSLATE(A4739 , ""auto"", ""ar"")"),"محا")</f>
        <v>محا</v>
      </c>
    </row>
    <row r="4740" ht="15.75" customHeight="1">
      <c r="A4740" s="1" t="s">
        <v>8049</v>
      </c>
      <c r="B4740" s="1" t="s">
        <v>770</v>
      </c>
      <c r="C4740" s="2" t="s">
        <v>6824</v>
      </c>
      <c r="D4740" s="1" t="str">
        <f>IFERROR(__xludf.DUMMYFUNCTION("GOOGLETRANSLATE(A4740 , ""auto"", ""ar"")"),"القمامة")</f>
        <v>القمامة</v>
      </c>
    </row>
    <row r="4741" ht="15.75" customHeight="1">
      <c r="A4741" s="1" t="s">
        <v>8050</v>
      </c>
      <c r="B4741" s="1" t="s">
        <v>486</v>
      </c>
      <c r="C4741" s="2" t="s">
        <v>487</v>
      </c>
      <c r="D4741" s="1" t="str">
        <f>IFERROR(__xludf.DUMMYFUNCTION("GOOGLETRANSLATE(A4741 , ""auto"", ""ar"")"),"حقيبة الظهر")</f>
        <v>حقيبة الظهر</v>
      </c>
    </row>
    <row r="4742" ht="15.75" customHeight="1">
      <c r="A4742" s="1" t="s">
        <v>8051</v>
      </c>
      <c r="B4742" s="1" t="s">
        <v>8052</v>
      </c>
      <c r="C4742" s="2" t="s">
        <v>8053</v>
      </c>
      <c r="D4742" s="1" t="str">
        <f>IFERROR(__xludf.DUMMYFUNCTION("GOOGLETRANSLATE(A4742 , ""auto"", ""ar"")"),"بساط")</f>
        <v>بساط</v>
      </c>
    </row>
    <row r="4743" ht="15.75" customHeight="1">
      <c r="A4743" s="1" t="s">
        <v>8051</v>
      </c>
      <c r="B4743" s="1" t="s">
        <v>8054</v>
      </c>
      <c r="C4743" s="1"/>
      <c r="D4743" s="1" t="str">
        <f>IFERROR(__xludf.DUMMYFUNCTION("GOOGLETRANSLATE(A4743 , ""auto"", ""ar"")"),"بساط")</f>
        <v>بساط</v>
      </c>
    </row>
    <row r="4744" ht="15.75" customHeight="1">
      <c r="A4744" s="1" t="s">
        <v>8055</v>
      </c>
      <c r="B4744" s="1" t="s">
        <v>8056</v>
      </c>
      <c r="C4744" s="1"/>
      <c r="D4744" s="1" t="str">
        <f>IFERROR(__xludf.DUMMYFUNCTION("GOOGLETRANSLATE(A4744 , ""auto"", ""ar"")"),"البساط ويفر")</f>
        <v>البساط ويفر</v>
      </c>
    </row>
    <row r="4745" ht="15.75" customHeight="1">
      <c r="A4745" s="1" t="s">
        <v>8057</v>
      </c>
      <c r="B4745" s="1" t="s">
        <v>8058</v>
      </c>
      <c r="C4745" s="2" t="s">
        <v>8059</v>
      </c>
      <c r="D4745" s="1" t="str">
        <f>IFERROR(__xludf.DUMMYFUNCTION("GOOGLETRANSLATE(A4745 , ""auto"", ""ar"")"),"يخرب")</f>
        <v>يخرب</v>
      </c>
    </row>
    <row r="4746" ht="15.75" customHeight="1">
      <c r="A4746" s="1" t="s">
        <v>8057</v>
      </c>
      <c r="B4746" s="1" t="s">
        <v>982</v>
      </c>
      <c r="C4746" s="1"/>
      <c r="D4746" s="1" t="str">
        <f>IFERROR(__xludf.DUMMYFUNCTION("GOOGLETRANSLATE(A4746 , ""auto"", ""ar"")"),"يخرب")</f>
        <v>يخرب</v>
      </c>
    </row>
    <row r="4747" ht="15.75" customHeight="1">
      <c r="A4747" s="1" t="s">
        <v>8060</v>
      </c>
      <c r="B4747" s="1" t="s">
        <v>8061</v>
      </c>
      <c r="C4747" s="2" t="s">
        <v>8062</v>
      </c>
      <c r="D4747" s="1" t="str">
        <f>IFERROR(__xludf.DUMMYFUNCTION("GOOGLETRANSLATE(A4747 , ""auto"", ""ar"")"),"يجري")</f>
        <v>يجري</v>
      </c>
    </row>
    <row r="4748" ht="15.75" customHeight="1">
      <c r="A4748" s="1" t="s">
        <v>8063</v>
      </c>
      <c r="B4748" s="1" t="s">
        <v>2790</v>
      </c>
      <c r="C4748" s="1"/>
      <c r="D4748" s="1" t="str">
        <f>IFERROR(__xludf.DUMMYFUNCTION("GOOGLETRANSLATE(A4748 , ""auto"", ""ar"")"),"اهرب")</f>
        <v>اهرب</v>
      </c>
    </row>
    <row r="4749" ht="15.75" customHeight="1">
      <c r="A4749" s="1" t="s">
        <v>8064</v>
      </c>
      <c r="B4749" s="1" t="s">
        <v>3776</v>
      </c>
      <c r="C4749" s="2" t="s">
        <v>3777</v>
      </c>
      <c r="D4749" s="1" t="str">
        <f>IFERROR(__xludf.DUMMYFUNCTION("GOOGLETRANSLATE(A4749 , ""auto"", ""ar"")"),"هرع")</f>
        <v>هرع</v>
      </c>
    </row>
    <row r="4750" ht="15.75" customHeight="1">
      <c r="A4750" s="1" t="s">
        <v>8065</v>
      </c>
      <c r="B4750" s="1" t="s">
        <v>8066</v>
      </c>
      <c r="C4750" s="1"/>
      <c r="D4750" s="1" t="str">
        <f>IFERROR(__xludf.DUMMYFUNCTION("GOOGLETRANSLATE(A4750 , ""auto"", ""ar"")"),"ضجيج سرقة")</f>
        <v>ضجيج سرقة</v>
      </c>
    </row>
    <row r="4751" ht="15.75" customHeight="1">
      <c r="A4751" s="1" t="s">
        <v>466</v>
      </c>
      <c r="B4751" s="1" t="s">
        <v>467</v>
      </c>
      <c r="C4751" s="2" t="s">
        <v>468</v>
      </c>
      <c r="D4751" s="1" t="str">
        <f>IFERROR(__xludf.DUMMYFUNCTION("GOOGLETRANSLATE(A4751 , ""auto"", ""ar"")"),"اسم العائلة")</f>
        <v>اسم العائلة</v>
      </c>
    </row>
    <row r="4752" ht="15.75" customHeight="1">
      <c r="A4752" s="1" t="s">
        <v>43</v>
      </c>
      <c r="B4752" s="1" t="s">
        <v>44</v>
      </c>
      <c r="C4752" s="2" t="s">
        <v>45</v>
      </c>
      <c r="D4752" s="1" t="str">
        <f>IFERROR(__xludf.DUMMYFUNCTION("GOOGLETRANSLATE(A4752 , ""auto"", ""ar"")"),"مقبول")</f>
        <v>مقبول</v>
      </c>
    </row>
    <row r="4753" ht="15.75" customHeight="1">
      <c r="A4753" s="1" t="s">
        <v>469</v>
      </c>
      <c r="B4753" s="1" t="s">
        <v>470</v>
      </c>
      <c r="C4753" s="2" t="s">
        <v>471</v>
      </c>
      <c r="D4753" s="1" t="str">
        <f>IFERROR(__xludf.DUMMYFUNCTION("GOOGLETRANSLATE(A4753 , ""auto"", ""ar"")"),"التصالح")</f>
        <v>التصالح</v>
      </c>
    </row>
    <row r="4754" ht="15.75" customHeight="1">
      <c r="A4754" s="1" t="s">
        <v>472</v>
      </c>
      <c r="B4754" s="1" t="s">
        <v>473</v>
      </c>
      <c r="C4754" s="2" t="s">
        <v>474</v>
      </c>
      <c r="D4754" s="1" t="str">
        <f>IFERROR(__xludf.DUMMYFUNCTION("GOOGLETRANSLATE(A4754 , ""auto"", ""ar"")"),"مغفرة")</f>
        <v>مغفرة</v>
      </c>
    </row>
    <row r="4755" ht="15.75" customHeight="1">
      <c r="A4755" s="1" t="s">
        <v>475</v>
      </c>
      <c r="B4755" s="1" t="s">
        <v>476</v>
      </c>
      <c r="C4755" s="2" t="s">
        <v>477</v>
      </c>
      <c r="D4755" s="1" t="str">
        <f>IFERROR(__xludf.DUMMYFUNCTION("GOOGLETRANSLATE(A4755 , ""auto"", ""ar"")"),"يخبر")</f>
        <v>يخبر</v>
      </c>
    </row>
    <row r="4756" ht="15.75" customHeight="1">
      <c r="A4756" s="3" t="s">
        <v>8067</v>
      </c>
      <c r="B4756" s="4" t="s">
        <v>8068</v>
      </c>
      <c r="C4756" s="5" t="s">
        <v>8069</v>
      </c>
      <c r="D4756" s="1" t="str">
        <f>IFERROR(__xludf.DUMMYFUNCTION("GOOGLETRANSLATE(A4756 , ""auto"", ""ar"")"),"شكرًا")</f>
        <v>شكرًا</v>
      </c>
    </row>
    <row r="4757" ht="15.75" customHeight="1">
      <c r="A4757" s="3" t="s">
        <v>8070</v>
      </c>
      <c r="B4757" s="6" t="s">
        <v>8071</v>
      </c>
      <c r="C4757" s="5" t="s">
        <v>8072</v>
      </c>
      <c r="D4757" s="1" t="str">
        <f>IFERROR(__xludf.DUMMYFUNCTION("GOOGLETRANSLATE(A4757 , ""auto"", ""ar"")"),"اعذرني! أنا أبحث عن محطة الحافلات")</f>
        <v>اعذرني! أنا أبحث عن محطة الحافلات</v>
      </c>
    </row>
    <row r="4758" ht="15.75" customHeight="1">
      <c r="A4758" s="4" t="s">
        <v>8073</v>
      </c>
      <c r="B4758" s="4" t="s">
        <v>8074</v>
      </c>
      <c r="C4758" s="5" t="s">
        <v>8075</v>
      </c>
      <c r="D4758" s="1" t="str">
        <f>IFERROR(__xludf.DUMMYFUNCTION("GOOGLETRANSLATE(A4758 , ""auto"", ""ar"")"),"مرحبًا")</f>
        <v>مرحبًا</v>
      </c>
    </row>
    <row r="4759" ht="15.75" customHeight="1">
      <c r="A4759" s="4" t="s">
        <v>8076</v>
      </c>
      <c r="B4759" s="4" t="s">
        <v>8077</v>
      </c>
      <c r="C4759" s="5" t="s">
        <v>8078</v>
      </c>
      <c r="D4759" s="1" t="str">
        <f>IFERROR(__xludf.DUMMYFUNCTION("GOOGLETRANSLATE(A4759 , ""auto"", ""ar"")"),"مساء الخير")</f>
        <v>مساء الخير</v>
      </c>
    </row>
    <row r="4760" ht="15.75" customHeight="1">
      <c r="A4760" s="4" t="s">
        <v>8079</v>
      </c>
      <c r="B4760" s="4" t="s">
        <v>8080</v>
      </c>
      <c r="C4760" s="5" t="s">
        <v>8081</v>
      </c>
      <c r="D4760" s="1" t="str">
        <f>IFERROR(__xludf.DUMMYFUNCTION("GOOGLETRANSLATE(A4760 , ""auto"", ""ar"")"),"مع السلامة")</f>
        <v>مع السلامة</v>
      </c>
    </row>
    <row r="4761" ht="15.75" customHeight="1">
      <c r="A4761" s="4" t="s">
        <v>8082</v>
      </c>
      <c r="B4761" s="4" t="s">
        <v>8083</v>
      </c>
      <c r="C4761" s="5" t="s">
        <v>135</v>
      </c>
      <c r="D4761" s="1" t="str">
        <f>IFERROR(__xludf.DUMMYFUNCTION("GOOGLETRANSLATE(A4761 , ""auto"", ""ar"")"),"أراك لاحقًا")</f>
        <v>أراك لاحقًا</v>
      </c>
    </row>
    <row r="4762" ht="15.75" customHeight="1">
      <c r="A4762" s="4" t="s">
        <v>8084</v>
      </c>
      <c r="B4762" s="4" t="s">
        <v>8085</v>
      </c>
      <c r="C4762" s="5" t="s">
        <v>8086</v>
      </c>
      <c r="D4762" s="1" t="str">
        <f>IFERROR(__xludf.DUMMYFUNCTION("GOOGLETRANSLATE(A4762 , ""auto"", ""ar"")"),"نعم")</f>
        <v>نعم</v>
      </c>
    </row>
    <row r="4763" ht="15.75" customHeight="1">
      <c r="A4763" s="4" t="s">
        <v>8084</v>
      </c>
      <c r="B4763" s="4" t="s">
        <v>8087</v>
      </c>
      <c r="C4763" s="5" t="s">
        <v>8088</v>
      </c>
      <c r="D4763" s="1" t="str">
        <f>IFERROR(__xludf.DUMMYFUNCTION("GOOGLETRANSLATE(A4763 , ""auto"", ""ar"")"),"نعم")</f>
        <v>نعم</v>
      </c>
    </row>
    <row r="4764" ht="15.75" customHeight="1">
      <c r="A4764" s="4" t="s">
        <v>8089</v>
      </c>
      <c r="B4764" s="4" t="s">
        <v>4854</v>
      </c>
      <c r="C4764" s="5" t="s">
        <v>5033</v>
      </c>
      <c r="D4764" s="1" t="str">
        <f>IFERROR(__xludf.DUMMYFUNCTION("GOOGLETRANSLATE(A4764 , ""auto"", ""ar"")"),"لا")</f>
        <v>لا</v>
      </c>
    </row>
    <row r="4765" ht="15.75" customHeight="1">
      <c r="A4765" s="4" t="s">
        <v>8090</v>
      </c>
      <c r="B4765" s="4" t="s">
        <v>8091</v>
      </c>
      <c r="C4765" s="5" t="s">
        <v>8092</v>
      </c>
      <c r="D4765" s="1" t="str">
        <f>IFERROR(__xludf.DUMMYFUNCTION("GOOGLETRANSLATE(A4765 , ""auto"", ""ar"")"),"لو سمحت!")</f>
        <v>لو سمحت!</v>
      </c>
    </row>
    <row r="4766" ht="15.75" customHeight="1">
      <c r="A4766" s="4" t="s">
        <v>8067</v>
      </c>
      <c r="B4766" s="4" t="s">
        <v>8068</v>
      </c>
      <c r="C4766" s="5" t="s">
        <v>8069</v>
      </c>
      <c r="D4766" s="1" t="str">
        <f>IFERROR(__xludf.DUMMYFUNCTION("GOOGLETRANSLATE(A4766 , ""auto"", ""ar"")"),"شكرًا")</f>
        <v>شكرًا</v>
      </c>
    </row>
    <row r="4767" ht="15.75" customHeight="1">
      <c r="A4767" s="4" t="s">
        <v>8093</v>
      </c>
      <c r="B4767" s="4" t="s">
        <v>8094</v>
      </c>
      <c r="C4767" s="5" t="s">
        <v>8095</v>
      </c>
      <c r="D4767" s="1" t="str">
        <f>IFERROR(__xludf.DUMMYFUNCTION("GOOGLETRANSLATE(A4767 , ""auto"", ""ar"")"),"شكرًا جزيلاً")</f>
        <v>شكرًا جزيلاً</v>
      </c>
    </row>
    <row r="4768" ht="15.75" customHeight="1">
      <c r="A4768" s="4" t="s">
        <v>8096</v>
      </c>
      <c r="B4768" s="4" t="s">
        <v>8097</v>
      </c>
      <c r="C4768" s="5" t="s">
        <v>8098</v>
      </c>
      <c r="D4768" s="1" t="str">
        <f>IFERROR(__xludf.DUMMYFUNCTION("GOOGLETRANSLATE(A4768 , ""auto"", ""ar"")"),"شكرا لك على مساعدتك")</f>
        <v>شكرا لك على مساعدتك</v>
      </c>
    </row>
    <row r="4769" ht="15.75" customHeight="1">
      <c r="A4769" s="4" t="s">
        <v>8099</v>
      </c>
      <c r="B4769" s="4" t="s">
        <v>8100</v>
      </c>
      <c r="C4769" s="5" t="s">
        <v>8101</v>
      </c>
      <c r="D4769" s="1" t="str">
        <f>IFERROR(__xludf.DUMMYFUNCTION("GOOGLETRANSLATE(A4769 , ""auto"", ""ar"")"),"لا تذكرها")</f>
        <v>لا تذكرها</v>
      </c>
    </row>
    <row r="4770" ht="15.75" customHeight="1">
      <c r="A4770" s="4" t="s">
        <v>8102</v>
      </c>
      <c r="B4770" s="4" t="s">
        <v>8103</v>
      </c>
      <c r="C4770" s="5" t="s">
        <v>2027</v>
      </c>
      <c r="D4770" s="1" t="str">
        <f>IFERROR(__xludf.DUMMYFUNCTION("GOOGLETRANSLATE(A4770 , ""auto"", ""ar"")"),"نعم")</f>
        <v>نعم</v>
      </c>
    </row>
    <row r="4771" ht="15.75" customHeight="1">
      <c r="A4771" s="4" t="s">
        <v>8104</v>
      </c>
      <c r="B4771" s="4" t="s">
        <v>8105</v>
      </c>
      <c r="C4771" s="5" t="s">
        <v>8106</v>
      </c>
      <c r="D4771" s="1" t="str">
        <f>IFERROR(__xludf.DUMMYFUNCTION("GOOGLETRANSLATE(A4771 , ""auto"", ""ar"")"),"كم سعره؟")</f>
        <v>كم سعره؟</v>
      </c>
    </row>
    <row r="4772" ht="15.75" customHeight="1">
      <c r="A4772" s="4" t="s">
        <v>8107</v>
      </c>
      <c r="B4772" s="4" t="s">
        <v>8108</v>
      </c>
      <c r="C4772" s="5" t="s">
        <v>8109</v>
      </c>
      <c r="D4772" s="1" t="str">
        <f>IFERROR(__xludf.DUMMYFUNCTION("GOOGLETRANSLATE(A4772 , ""auto"", ""ar"")"),"آسف!")</f>
        <v>آسف!</v>
      </c>
    </row>
    <row r="4773" ht="15.75" customHeight="1">
      <c r="A4773" s="4" t="s">
        <v>8110</v>
      </c>
      <c r="B4773" s="4" t="s">
        <v>8111</v>
      </c>
      <c r="C4773" s="5" t="s">
        <v>8112</v>
      </c>
      <c r="D4773" s="1" t="str">
        <f>IFERROR(__xludf.DUMMYFUNCTION("GOOGLETRANSLATE(A4773 , ""auto"", ""ar"")"),"لا أفهم")</f>
        <v>لا أفهم</v>
      </c>
    </row>
    <row r="4774" ht="15.75" customHeight="1">
      <c r="A4774" s="4" t="s">
        <v>8113</v>
      </c>
      <c r="B4774" s="4" t="s">
        <v>8114</v>
      </c>
      <c r="C4774" s="5" t="s">
        <v>8115</v>
      </c>
      <c r="D4774" s="1" t="str">
        <f>IFERROR(__xludf.DUMMYFUNCTION("GOOGLETRANSLATE(A4774 , ""auto"", ""ar"")"),"أحصل عليه")</f>
        <v>أحصل عليه</v>
      </c>
    </row>
    <row r="4775" ht="15.75" customHeight="1">
      <c r="A4775" s="4" t="s">
        <v>8116</v>
      </c>
      <c r="B4775" s="4" t="s">
        <v>8117</v>
      </c>
      <c r="C4775" s="5" t="s">
        <v>8118</v>
      </c>
      <c r="D4775" s="1" t="str">
        <f>IFERROR(__xludf.DUMMYFUNCTION("GOOGLETRANSLATE(A4775 , ""auto"", ""ar"")"),"لا أعرف")</f>
        <v>لا أعرف</v>
      </c>
    </row>
    <row r="4776" ht="15.75" customHeight="1">
      <c r="A4776" s="4" t="s">
        <v>8119</v>
      </c>
      <c r="B4776" s="4" t="s">
        <v>8120</v>
      </c>
      <c r="C4776" s="5" t="s">
        <v>8121</v>
      </c>
      <c r="D4776" s="1" t="str">
        <f>IFERROR(__xludf.DUMMYFUNCTION("GOOGLETRANSLATE(A4776 , ""auto"", ""ar"")"),"مُحرَّم")</f>
        <v>مُحرَّم</v>
      </c>
    </row>
    <row r="4777" ht="15.75" customHeight="1">
      <c r="A4777" s="4" t="s">
        <v>8122</v>
      </c>
      <c r="B4777" s="4" t="s">
        <v>8123</v>
      </c>
      <c r="C4777" s="5" t="s">
        <v>8124</v>
      </c>
      <c r="D4777" s="1" t="str">
        <f>IFERROR(__xludf.DUMMYFUNCTION("GOOGLETRANSLATE(A4777 , ""auto"", ""ar"")"),"معذرة ، أين المراحيض؟")</f>
        <v>معذرة ، أين المراحيض؟</v>
      </c>
    </row>
    <row r="4778" ht="15.75" customHeight="1">
      <c r="A4778" s="4" t="s">
        <v>8125</v>
      </c>
      <c r="B4778" s="4" t="s">
        <v>8126</v>
      </c>
      <c r="C4778" s="5" t="s">
        <v>8127</v>
      </c>
      <c r="D4778" s="1" t="str">
        <f>IFERROR(__xludf.DUMMYFUNCTION("GOOGLETRANSLATE(A4778 , ""auto"", ""ar"")"),"سنة جديدة سعيدة!")</f>
        <v>سنة جديدة سعيدة!</v>
      </c>
    </row>
    <row r="4779" ht="15.75" customHeight="1">
      <c r="A4779" s="4" t="s">
        <v>8128</v>
      </c>
      <c r="B4779" s="4" t="s">
        <v>8129</v>
      </c>
      <c r="C4779" s="5" t="s">
        <v>3416</v>
      </c>
      <c r="D4779" s="1" t="str">
        <f>IFERROR(__xludf.DUMMYFUNCTION("GOOGLETRANSLATE(A4779 , ""auto"", ""ar"")"),"عيد ميلاد سعيد!")</f>
        <v>عيد ميلاد سعيد!</v>
      </c>
    </row>
    <row r="4780" ht="15.75" customHeight="1">
      <c r="A4780" s="4" t="s">
        <v>8130</v>
      </c>
      <c r="B4780" s="4" t="s">
        <v>8131</v>
      </c>
      <c r="C4780" s="5" t="s">
        <v>8132</v>
      </c>
      <c r="D4780" s="1" t="str">
        <f>IFERROR(__xludf.DUMMYFUNCTION("GOOGLETRANSLATE(A4780 , ""auto"", ""ar"")"),"اجازة سعيدة!")</f>
        <v>اجازة سعيدة!</v>
      </c>
    </row>
    <row r="4781" ht="15.75" customHeight="1">
      <c r="A4781" s="4" t="s">
        <v>8133</v>
      </c>
      <c r="B4781" s="4" t="s">
        <v>8134</v>
      </c>
      <c r="C4781" s="5" t="s">
        <v>812</v>
      </c>
      <c r="D4781" s="1" t="str">
        <f>IFERROR(__xludf.DUMMYFUNCTION("GOOGLETRANSLATE(A4781 , ""auto"", ""ar"")"),"تهانينا!")</f>
        <v>تهانينا!</v>
      </c>
    </row>
    <row r="4782" ht="15.75" customHeight="1">
      <c r="A4782" s="6" t="s">
        <v>8135</v>
      </c>
      <c r="B4782" s="6" t="s">
        <v>8136</v>
      </c>
      <c r="C4782" s="7" t="s">
        <v>8137</v>
      </c>
      <c r="D4782" s="1" t="str">
        <f>IFERROR(__xludf.DUMMYFUNCTION("GOOGLETRANSLATE(A4782 , ""auto"", ""ar"")"),"مرحبًا. كيف حالك؟")</f>
        <v>مرحبًا. كيف حالك؟</v>
      </c>
    </row>
    <row r="4783" ht="15.75" customHeight="1">
      <c r="A4783" s="6" t="s">
        <v>8138</v>
      </c>
      <c r="B4783" s="6" t="s">
        <v>8139</v>
      </c>
      <c r="C4783" s="7" t="s">
        <v>8140</v>
      </c>
      <c r="D4783" s="1" t="str">
        <f>IFERROR(__xludf.DUMMYFUNCTION("GOOGLETRANSLATE(A4783 , ""auto"", ""ar"")"),"مرحبًا. أنا بخير شكرا لك")</f>
        <v>مرحبًا. أنا بخير شكرا لك</v>
      </c>
    </row>
    <row r="4784" ht="15.75" customHeight="1">
      <c r="A4784" s="6" t="s">
        <v>8141</v>
      </c>
      <c r="B4784" s="6" t="s">
        <v>8142</v>
      </c>
      <c r="C4784" s="7" t="s">
        <v>8143</v>
      </c>
      <c r="D4784" s="1" t="str">
        <f>IFERROR(__xludf.DUMMYFUNCTION("GOOGLETRANSLATE(A4784 , ""auto"", ""ar"")"),"هل تتحدث العربية؟")</f>
        <v>هل تتحدث العربية؟</v>
      </c>
    </row>
    <row r="4785" ht="15.75" customHeight="1">
      <c r="A4785" s="6" t="s">
        <v>8141</v>
      </c>
      <c r="B4785" s="6" t="s">
        <v>8144</v>
      </c>
      <c r="C4785" s="7" t="s">
        <v>8145</v>
      </c>
      <c r="D4785" s="1" t="str">
        <f>IFERROR(__xludf.DUMMYFUNCTION("GOOGLETRANSLATE(A4785 , ""auto"", ""ar"")"),"هل تتحدث العربية؟")</f>
        <v>هل تتحدث العربية؟</v>
      </c>
    </row>
    <row r="4786" ht="15.75" customHeight="1">
      <c r="A4786" s="6" t="s">
        <v>8146</v>
      </c>
      <c r="B4786" s="6" t="s">
        <v>8147</v>
      </c>
      <c r="C4786" s="7" t="s">
        <v>8148</v>
      </c>
      <c r="D4786" s="1" t="str">
        <f>IFERROR(__xludf.DUMMYFUNCTION("GOOGLETRANSLATE(A4786 , ""auto"", ""ar"")"),"لا ، أنا لا أتحدث العربية")</f>
        <v>لا ، أنا لا أتحدث العربية</v>
      </c>
    </row>
    <row r="4787" ht="15.75" customHeight="1">
      <c r="A4787" s="6" t="s">
        <v>8149</v>
      </c>
      <c r="B4787" s="6" t="s">
        <v>8150</v>
      </c>
      <c r="C4787" s="7" t="s">
        <v>8151</v>
      </c>
      <c r="D4787" s="1" t="str">
        <f>IFERROR(__xludf.DUMMYFUNCTION("GOOGLETRANSLATE(A4787 , ""auto"", ""ar"")"),"قليلا فقط")</f>
        <v>قليلا فقط</v>
      </c>
    </row>
    <row r="4788" ht="15.75" customHeight="1">
      <c r="A4788" s="6" t="s">
        <v>8152</v>
      </c>
      <c r="B4788" s="6" t="s">
        <v>8153</v>
      </c>
      <c r="C4788" s="7" t="s">
        <v>8154</v>
      </c>
      <c r="D4788" s="1" t="str">
        <f>IFERROR(__xludf.DUMMYFUNCTION("GOOGLETRANSLATE(A4788 , ""auto"", ""ar"")"),"من أي بلد حضرتك؟")</f>
        <v>من أي بلد حضرتك؟</v>
      </c>
    </row>
    <row r="4789" ht="15.75" customHeight="1">
      <c r="A4789" s="6" t="s">
        <v>8152</v>
      </c>
      <c r="B4789" s="6" t="s">
        <v>8155</v>
      </c>
      <c r="C4789" s="7" t="s">
        <v>8154</v>
      </c>
      <c r="D4789" s="1" t="str">
        <f>IFERROR(__xludf.DUMMYFUNCTION("GOOGLETRANSLATE(A4789 , ""auto"", ""ar"")"),"من أي بلد حضرتك؟")</f>
        <v>من أي بلد حضرتك؟</v>
      </c>
    </row>
    <row r="4790" ht="15.75" customHeight="1">
      <c r="A4790" s="6" t="s">
        <v>8156</v>
      </c>
      <c r="B4790" s="6" t="s">
        <v>8157</v>
      </c>
      <c r="C4790" s="7" t="s">
        <v>8158</v>
      </c>
      <c r="D4790" s="1" t="str">
        <f>IFERROR(__xludf.DUMMYFUNCTION("GOOGLETRANSLATE(A4790 , ""auto"", ""ar"")"),"ما هيه جنسيتك؟")</f>
        <v>ما هيه جنسيتك؟</v>
      </c>
    </row>
    <row r="4791" ht="15.75" customHeight="1">
      <c r="A4791" s="6" t="s">
        <v>8159</v>
      </c>
      <c r="B4791" s="6" t="s">
        <v>8160</v>
      </c>
      <c r="C4791" s="7" t="s">
        <v>8161</v>
      </c>
      <c r="D4791" s="1" t="str">
        <f>IFERROR(__xludf.DUMMYFUNCTION("GOOGLETRANSLATE(A4791 , ""auto"", ""ar"")"),"أنا انجليزي")</f>
        <v>أنا انجليزي</v>
      </c>
    </row>
    <row r="4792" ht="15.75" customHeight="1">
      <c r="A4792" s="6" t="s">
        <v>8159</v>
      </c>
      <c r="B4792" s="6" t="s">
        <v>8162</v>
      </c>
      <c r="C4792" s="7" t="s">
        <v>8163</v>
      </c>
      <c r="D4792" s="1" t="str">
        <f>IFERROR(__xludf.DUMMYFUNCTION("GOOGLETRANSLATE(A4792 , ""auto"", ""ar"")"),"أنا انجليزي")</f>
        <v>أنا انجليزي</v>
      </c>
    </row>
    <row r="4793" ht="15.75" customHeight="1">
      <c r="A4793" s="6" t="s">
        <v>8164</v>
      </c>
      <c r="B4793" s="6" t="s">
        <v>8165</v>
      </c>
      <c r="C4793" s="7" t="s">
        <v>8166</v>
      </c>
      <c r="D4793" s="1" t="str">
        <f>IFERROR(__xludf.DUMMYFUNCTION("GOOGLETRANSLATE(A4793 , ""auto"", ""ar"")"),"وأنت هل تعيش هنا؟")</f>
        <v>وأنت هل تعيش هنا؟</v>
      </c>
    </row>
    <row r="4794" ht="15.75" customHeight="1">
      <c r="A4794" s="6" t="s">
        <v>8167</v>
      </c>
      <c r="B4794" s="6" t="s">
        <v>8168</v>
      </c>
      <c r="C4794" s="7" t="s">
        <v>8169</v>
      </c>
      <c r="D4794" s="1" t="str">
        <f>IFERROR(__xludf.DUMMYFUNCTION("GOOGLETRANSLATE(A4794 , ""auto"", ""ar"")"),"نعم، انا اعيش هنا")</f>
        <v>نعم، انا اعيش هنا</v>
      </c>
    </row>
    <row r="4795" ht="15.75" customHeight="1">
      <c r="A4795" s="6" t="s">
        <v>8170</v>
      </c>
      <c r="B4795" s="6" t="s">
        <v>8171</v>
      </c>
      <c r="C4795" s="7" t="s">
        <v>8172</v>
      </c>
      <c r="D4795" s="1" t="str">
        <f>IFERROR(__xludf.DUMMYFUNCTION("GOOGLETRANSLATE(A4795 , ""auto"", ""ar"")"),"اسمي سارة ، ما اسمك؟")</f>
        <v>اسمي سارة ، ما اسمك؟</v>
      </c>
    </row>
    <row r="4796" ht="15.75" customHeight="1">
      <c r="A4796" s="6" t="s">
        <v>8173</v>
      </c>
      <c r="B4796" s="6" t="s">
        <v>8174</v>
      </c>
      <c r="C4796" s="7" t="s">
        <v>8175</v>
      </c>
      <c r="D4796" s="1" t="str">
        <f>IFERROR(__xludf.DUMMYFUNCTION("GOOGLETRANSLATE(A4796 , ""auto"", ""ar"")"),"جوليان")</f>
        <v>جوليان</v>
      </c>
    </row>
    <row r="4797" ht="15.75" customHeight="1">
      <c r="A4797" s="6" t="s">
        <v>8176</v>
      </c>
      <c r="B4797" s="6" t="s">
        <v>8177</v>
      </c>
      <c r="C4797" s="7" t="s">
        <v>8178</v>
      </c>
      <c r="D4797" s="1" t="str">
        <f>IFERROR(__xludf.DUMMYFUNCTION("GOOGLETRANSLATE(A4797 , ""auto"", ""ar"")"),"ما الذي تفعله هنا؟")</f>
        <v>ما الذي تفعله هنا؟</v>
      </c>
    </row>
    <row r="4798" ht="15.75" customHeight="1">
      <c r="A4798" s="6" t="s">
        <v>8176</v>
      </c>
      <c r="B4798" s="6" t="s">
        <v>8179</v>
      </c>
      <c r="C4798" s="7" t="s">
        <v>8180</v>
      </c>
      <c r="D4798" s="1" t="str">
        <f>IFERROR(__xludf.DUMMYFUNCTION("GOOGLETRANSLATE(A4798 , ""auto"", ""ar"")"),"ما الذي تفعله هنا؟")</f>
        <v>ما الذي تفعله هنا؟</v>
      </c>
    </row>
    <row r="4799" ht="15.75" customHeight="1">
      <c r="A4799" s="6" t="s">
        <v>8181</v>
      </c>
      <c r="B4799" s="6" t="s">
        <v>8182</v>
      </c>
      <c r="C4799" s="7" t="s">
        <v>8183</v>
      </c>
      <c r="D4799" s="1" t="str">
        <f>IFERROR(__xludf.DUMMYFUNCTION("GOOGLETRANSLATE(A4799 , ""auto"", ""ar"")"),"أنا في عطلة")</f>
        <v>أنا في عطلة</v>
      </c>
    </row>
    <row r="4800" ht="15.75" customHeight="1">
      <c r="A4800" s="6" t="s">
        <v>8184</v>
      </c>
      <c r="B4800" s="6" t="s">
        <v>8185</v>
      </c>
      <c r="C4800" s="7" t="s">
        <v>8186</v>
      </c>
      <c r="D4800" s="1" t="str">
        <f>IFERROR(__xludf.DUMMYFUNCTION("GOOGLETRANSLATE(A4800 , ""auto"", ""ar"")"),"نحن في إجازة")</f>
        <v>نحن في إجازة</v>
      </c>
    </row>
    <row r="4801" ht="15.75" customHeight="1">
      <c r="A4801" s="6" t="s">
        <v>8187</v>
      </c>
      <c r="B4801" s="6" t="s">
        <v>8188</v>
      </c>
      <c r="C4801" s="7" t="s">
        <v>8189</v>
      </c>
      <c r="D4801" s="1" t="str">
        <f>IFERROR(__xludf.DUMMYFUNCTION("GOOGLETRANSLATE(A4801 , ""auto"", ""ar"")"),"أنا في رحلة عمل")</f>
        <v>أنا في رحلة عمل</v>
      </c>
    </row>
    <row r="4802" ht="15.75" customHeight="1">
      <c r="A4802" s="6" t="s">
        <v>8190</v>
      </c>
      <c r="B4802" s="6" t="s">
        <v>8191</v>
      </c>
      <c r="C4802" s="7" t="s">
        <v>8192</v>
      </c>
      <c r="D4802" s="1" t="str">
        <f>IFERROR(__xludf.DUMMYFUNCTION("GOOGLETRANSLATE(A4802 , ""auto"", ""ar"")"),"أنا أعمل هنا")</f>
        <v>أنا أعمل هنا</v>
      </c>
    </row>
    <row r="4803" ht="15.75" customHeight="1">
      <c r="A4803" s="6" t="s">
        <v>8193</v>
      </c>
      <c r="B4803" s="6" t="s">
        <v>8194</v>
      </c>
      <c r="C4803" s="7" t="s">
        <v>8195</v>
      </c>
      <c r="D4803" s="1" t="str">
        <f>IFERROR(__xludf.DUMMYFUNCTION("GOOGLETRANSLATE(A4803 , ""auto"", ""ar"")"),"نحن نعمل هنا")</f>
        <v>نحن نعمل هنا</v>
      </c>
    </row>
    <row r="4804" ht="15.75" customHeight="1">
      <c r="A4804" s="6" t="s">
        <v>8196</v>
      </c>
      <c r="B4804" s="6" t="s">
        <v>8197</v>
      </c>
      <c r="C4804" s="7" t="s">
        <v>8198</v>
      </c>
      <c r="D4804" s="1" t="str">
        <f>IFERROR(__xludf.DUMMYFUNCTION("GOOGLETRANSLATE(A4804 , ""auto"", ""ar"")"),"أين الأماكن الجيدة للخروج وتناول الطعام؟")</f>
        <v>أين الأماكن الجيدة للخروج وتناول الطعام؟</v>
      </c>
    </row>
    <row r="4805" ht="15.75" customHeight="1">
      <c r="A4805" s="6" t="s">
        <v>8199</v>
      </c>
      <c r="B4805" s="6" t="s">
        <v>8200</v>
      </c>
      <c r="C4805" s="7" t="s">
        <v>8201</v>
      </c>
      <c r="D4805" s="1" t="str">
        <f>IFERROR(__xludf.DUMMYFUNCTION("GOOGLETRANSLATE(A4805 , ""auto"", ""ar"")"),"هل يوجد متحف في الحي؟")</f>
        <v>هل يوجد متحف في الحي؟</v>
      </c>
    </row>
    <row r="4806" ht="15.75" customHeight="1">
      <c r="A4806" s="6" t="s">
        <v>8202</v>
      </c>
      <c r="B4806" s="6" t="s">
        <v>8203</v>
      </c>
      <c r="C4806" s="7" t="s">
        <v>8204</v>
      </c>
      <c r="D4806" s="1" t="str">
        <f>IFERROR(__xludf.DUMMYFUNCTION("GOOGLETRANSLATE(A4806 , ""auto"", ""ar"")"),"أين يمكنني الحصول على اتصال بالإنترنت؟")</f>
        <v>أين يمكنني الحصول على اتصال بالإنترنت؟</v>
      </c>
    </row>
    <row r="4807" ht="15.75" customHeight="1">
      <c r="A4807" s="6" t="s">
        <v>8113</v>
      </c>
      <c r="B4807" s="6" t="s">
        <v>8114</v>
      </c>
      <c r="C4807" s="7" t="s">
        <v>8115</v>
      </c>
      <c r="D4807" s="1" t="str">
        <f>IFERROR(__xludf.DUMMYFUNCTION("GOOGLETRANSLATE(A4807 , ""auto"", ""ar"")"),"أحصل عليه")</f>
        <v>أحصل عليه</v>
      </c>
    </row>
    <row r="4808" ht="15.75" customHeight="1">
      <c r="A4808" s="6" t="s">
        <v>8205</v>
      </c>
      <c r="B4808" s="6" t="s">
        <v>8206</v>
      </c>
      <c r="C4808" s="7" t="s">
        <v>8207</v>
      </c>
      <c r="D4808" s="1" t="str">
        <f>IFERROR(__xludf.DUMMYFUNCTION("GOOGLETRANSLATE(A4808 , ""auto"", ""ar"")"),"هل تريد أن تتعلم بضع كلمات؟")</f>
        <v>هل تريد أن تتعلم بضع كلمات؟</v>
      </c>
    </row>
    <row r="4809" ht="15.75" customHeight="1">
      <c r="A4809" s="6" t="s">
        <v>8205</v>
      </c>
      <c r="B4809" s="6" t="s">
        <v>8208</v>
      </c>
      <c r="C4809" s="7" t="s">
        <v>8209</v>
      </c>
      <c r="D4809" s="1" t="str">
        <f>IFERROR(__xludf.DUMMYFUNCTION("GOOGLETRANSLATE(A4809 , ""auto"", ""ar"")"),"هل تريد أن تتعلم بضع كلمات؟")</f>
        <v>هل تريد أن تتعلم بضع كلمات؟</v>
      </c>
    </row>
    <row r="4810" ht="15.75" customHeight="1">
      <c r="A4810" s="6" t="s">
        <v>8210</v>
      </c>
      <c r="B4810" s="6" t="s">
        <v>8211</v>
      </c>
      <c r="C4810" s="7" t="s">
        <v>8212</v>
      </c>
      <c r="D4810" s="1" t="str">
        <f>IFERROR(__xludf.DUMMYFUNCTION("GOOGLETRANSLATE(A4810 , ""auto"", ""ar"")"),"نعم بالتأكيد!")</f>
        <v>نعم بالتأكيد!</v>
      </c>
    </row>
    <row r="4811" ht="15.75" customHeight="1">
      <c r="A4811" s="6" t="s">
        <v>8213</v>
      </c>
      <c r="B4811" s="6" t="s">
        <v>8214</v>
      </c>
      <c r="C4811" s="7" t="s">
        <v>8215</v>
      </c>
      <c r="D4811" s="1" t="str">
        <f>IFERROR(__xludf.DUMMYFUNCTION("GOOGLETRANSLATE(A4811 , ""auto"", ""ar"")"),"ماذا يسمى هذا؟")</f>
        <v>ماذا يسمى هذا؟</v>
      </c>
    </row>
    <row r="4812" ht="15.75" customHeight="1">
      <c r="A4812" s="6" t="s">
        <v>8216</v>
      </c>
      <c r="B4812" s="6" t="s">
        <v>8217</v>
      </c>
      <c r="C4812" s="7" t="s">
        <v>8218</v>
      </c>
      <c r="D4812" s="1" t="str">
        <f>IFERROR(__xludf.DUMMYFUNCTION("GOOGLETRANSLATE(A4812 , ""auto"", ""ar"")"),"هذه منضده")</f>
        <v>هذه منضده</v>
      </c>
    </row>
    <row r="4813" ht="15.75" customHeight="1">
      <c r="A4813" s="6" t="s">
        <v>8219</v>
      </c>
      <c r="B4813" s="6" t="s">
        <v>8220</v>
      </c>
      <c r="C4813" s="7" t="s">
        <v>8221</v>
      </c>
      <c r="D4813" s="1" t="str">
        <f>IFERROR(__xludf.DUMMYFUNCTION("GOOGLETRANSLATE(A4813 , ""auto"", ""ar"")"),"طاولة. هل تفهم؟")</f>
        <v>طاولة. هل تفهم؟</v>
      </c>
    </row>
    <row r="4814" ht="15.75" customHeight="1">
      <c r="A4814" s="6" t="s">
        <v>8222</v>
      </c>
      <c r="B4814" s="6" t="s">
        <v>8223</v>
      </c>
      <c r="C4814" s="7" t="s">
        <v>8224</v>
      </c>
      <c r="D4814" s="1" t="str">
        <f>IFERROR(__xludf.DUMMYFUNCTION("GOOGLETRANSLATE(A4814 , ""auto"", ""ar"")"),"هل يمكنك التكرار من فضلك؟")</f>
        <v>هل يمكنك التكرار من فضلك؟</v>
      </c>
    </row>
    <row r="4815" ht="15.75" customHeight="1">
      <c r="A4815" s="6" t="s">
        <v>8225</v>
      </c>
      <c r="B4815" s="6" t="s">
        <v>8226</v>
      </c>
      <c r="C4815" s="7" t="s">
        <v>8227</v>
      </c>
      <c r="D4815" s="1" t="str">
        <f>IFERROR(__xludf.DUMMYFUNCTION("GOOGLETRANSLATE(A4815 , ""auto"", ""ar"")"),"هل يمكنك التحدث ببطء أكثر قليلاً من فضلك؟")</f>
        <v>هل يمكنك التحدث ببطء أكثر قليلاً من فضلك؟</v>
      </c>
    </row>
    <row r="4816" ht="15.75" customHeight="1">
      <c r="A4816" s="6" t="s">
        <v>8228</v>
      </c>
      <c r="B4816" s="6" t="s">
        <v>8229</v>
      </c>
      <c r="C4816" s="7" t="s">
        <v>8230</v>
      </c>
      <c r="D4816" s="1" t="str">
        <f>IFERROR(__xludf.DUMMYFUNCTION("GOOGLETRANSLATE(A4816 , ""auto"", ""ar"")"),"هل يمكنك تدوينه من فضلك؟")</f>
        <v>هل يمكنك تدوينه من فضلك؟</v>
      </c>
    </row>
    <row r="4817" ht="15.75" customHeight="1">
      <c r="A4817" s="6" t="s">
        <v>8231</v>
      </c>
      <c r="B4817" s="6" t="s">
        <v>8232</v>
      </c>
      <c r="C4817" s="7" t="s">
        <v>8233</v>
      </c>
      <c r="D4817" s="1" t="str">
        <f>IFERROR(__xludf.DUMMYFUNCTION("GOOGLETRANSLATE(A4817 , ""auto"", ""ar"")"),"متى وصلت إلى هنا؟")</f>
        <v>متى وصلت إلى هنا؟</v>
      </c>
    </row>
    <row r="4818" ht="15.75" customHeight="1">
      <c r="A4818" s="6" t="s">
        <v>8234</v>
      </c>
      <c r="B4818" s="6" t="s">
        <v>8235</v>
      </c>
      <c r="C4818" s="7" t="s">
        <v>8236</v>
      </c>
      <c r="D4818" s="1" t="str">
        <f>IFERROR(__xludf.DUMMYFUNCTION("GOOGLETRANSLATE(A4818 , ""auto"", ""ar"")"),"اليوم")</f>
        <v>اليوم</v>
      </c>
    </row>
    <row r="4819" ht="15.75" customHeight="1">
      <c r="A4819" s="6" t="s">
        <v>8237</v>
      </c>
      <c r="B4819" s="6" t="s">
        <v>8238</v>
      </c>
      <c r="C4819" s="7" t="s">
        <v>8239</v>
      </c>
      <c r="D4819" s="1" t="str">
        <f>IFERROR(__xludf.DUMMYFUNCTION("GOOGLETRANSLATE(A4819 , ""auto"", ""ar"")"),"أمس")</f>
        <v>أمس</v>
      </c>
    </row>
    <row r="4820" ht="15.75" customHeight="1">
      <c r="A4820" s="6" t="s">
        <v>8240</v>
      </c>
      <c r="B4820" s="6" t="s">
        <v>8241</v>
      </c>
      <c r="C4820" s="7" t="s">
        <v>8242</v>
      </c>
      <c r="D4820" s="1" t="str">
        <f>IFERROR(__xludf.DUMMYFUNCTION("GOOGLETRANSLATE(A4820 , ""auto"", ""ar"")"),"قبل يومين")</f>
        <v>قبل يومين</v>
      </c>
    </row>
    <row r="4821" ht="15.75" customHeight="1">
      <c r="A4821" s="6" t="s">
        <v>8243</v>
      </c>
      <c r="B4821" s="6" t="s">
        <v>8244</v>
      </c>
      <c r="C4821" s="7" t="s">
        <v>8245</v>
      </c>
      <c r="D4821" s="1" t="str">
        <f>IFERROR(__xludf.DUMMYFUNCTION("GOOGLETRANSLATE(A4821 , ""auto"", ""ar"")"),"كم من الوقت تقيم؟")</f>
        <v>كم من الوقت تقيم؟</v>
      </c>
    </row>
    <row r="4822" ht="15.75" customHeight="1">
      <c r="A4822" s="6" t="s">
        <v>8243</v>
      </c>
      <c r="B4822" s="6" t="s">
        <v>8246</v>
      </c>
      <c r="C4822" s="7" t="s">
        <v>8247</v>
      </c>
      <c r="D4822" s="1" t="str">
        <f>IFERROR(__xludf.DUMMYFUNCTION("GOOGLETRANSLATE(A4822 , ""auto"", ""ar"")"),"كم من الوقت تقيم؟")</f>
        <v>كم من الوقت تقيم؟</v>
      </c>
    </row>
    <row r="4823" ht="15.75" customHeight="1">
      <c r="A4823" s="6" t="s">
        <v>8248</v>
      </c>
      <c r="B4823" s="6" t="s">
        <v>8249</v>
      </c>
      <c r="C4823" s="7" t="s">
        <v>8250</v>
      </c>
      <c r="D4823" s="1" t="str">
        <f>IFERROR(__xludf.DUMMYFUNCTION("GOOGLETRANSLATE(A4823 , ""auto"", ""ar"")"),"سأرحل غدا")</f>
        <v>سأرحل غدا</v>
      </c>
    </row>
    <row r="4824" ht="15.75" customHeight="1">
      <c r="A4824" s="6" t="s">
        <v>8251</v>
      </c>
      <c r="B4824" s="6" t="s">
        <v>8252</v>
      </c>
      <c r="C4824" s="7" t="s">
        <v>8253</v>
      </c>
      <c r="D4824" s="1" t="str">
        <f>IFERROR(__xludf.DUMMYFUNCTION("GOOGLETRANSLATE(A4824 , ""auto"", ""ar"")"),"سأغادر اليوم بعد الغد")</f>
        <v>سأغادر اليوم بعد الغد</v>
      </c>
    </row>
    <row r="4825" ht="15.75" customHeight="1">
      <c r="A4825" s="6" t="s">
        <v>8254</v>
      </c>
      <c r="B4825" s="6" t="s">
        <v>8255</v>
      </c>
      <c r="C4825" s="7" t="s">
        <v>8256</v>
      </c>
      <c r="D4825" s="1" t="str">
        <f>IFERROR(__xludf.DUMMYFUNCTION("GOOGLETRANSLATE(A4825 , ""auto"", ""ar"")"),"سأترك في ثلاثة أيام")</f>
        <v>سأترك في ثلاثة أيام</v>
      </c>
    </row>
    <row r="4826" ht="15.75" customHeight="1">
      <c r="A4826" s="6" t="s">
        <v>4766</v>
      </c>
      <c r="B4826" s="6" t="s">
        <v>8257</v>
      </c>
      <c r="C4826" s="7" t="s">
        <v>8258</v>
      </c>
      <c r="D4826" s="1" t="str">
        <f>IFERROR(__xludf.DUMMYFUNCTION("GOOGLETRANSLATE(A4826 , ""auto"", ""ar"")"),"الاثنين")</f>
        <v>الاثنين</v>
      </c>
    </row>
    <row r="4827" ht="15.75" customHeight="1">
      <c r="A4827" s="6" t="s">
        <v>6870</v>
      </c>
      <c r="B4827" s="6" t="s">
        <v>8259</v>
      </c>
      <c r="C4827" s="7" t="s">
        <v>8260</v>
      </c>
      <c r="D4827" s="1" t="str">
        <f>IFERROR(__xludf.DUMMYFUNCTION("GOOGLETRANSLATE(A4827 , ""auto"", ""ar"")"),"يوم الثلاثاء")</f>
        <v>يوم الثلاثاء</v>
      </c>
    </row>
    <row r="4828" ht="15.75" customHeight="1">
      <c r="A4828" s="6" t="s">
        <v>7193</v>
      </c>
      <c r="B4828" s="6" t="s">
        <v>8261</v>
      </c>
      <c r="C4828" s="7" t="s">
        <v>8262</v>
      </c>
      <c r="D4828" s="1" t="str">
        <f>IFERROR(__xludf.DUMMYFUNCTION("GOOGLETRANSLATE(A4828 , ""auto"", ""ar"")"),"الأربعاء")</f>
        <v>الأربعاء</v>
      </c>
    </row>
    <row r="4829" ht="15.75" customHeight="1">
      <c r="A4829" s="6" t="s">
        <v>6664</v>
      </c>
      <c r="B4829" s="6" t="s">
        <v>8263</v>
      </c>
      <c r="C4829" s="7" t="s">
        <v>8264</v>
      </c>
      <c r="D4829" s="1" t="str">
        <f>IFERROR(__xludf.DUMMYFUNCTION("GOOGLETRANSLATE(A4829 , ""auto"", ""ar"")"),"يوم الخميس")</f>
        <v>يوم الخميس</v>
      </c>
    </row>
    <row r="4830" ht="15.75" customHeight="1">
      <c r="A4830" s="6" t="s">
        <v>2934</v>
      </c>
      <c r="B4830" s="6" t="s">
        <v>8265</v>
      </c>
      <c r="C4830" s="7" t="s">
        <v>8266</v>
      </c>
      <c r="D4830" s="1" t="str">
        <f>IFERROR(__xludf.DUMMYFUNCTION("GOOGLETRANSLATE(A4830 , ""auto"", ""ar"")"),"جمعة")</f>
        <v>جمعة</v>
      </c>
    </row>
    <row r="4831" ht="15.75" customHeight="1">
      <c r="A4831" s="6" t="s">
        <v>5525</v>
      </c>
      <c r="B4831" s="6" t="s">
        <v>8267</v>
      </c>
      <c r="C4831" s="7" t="s">
        <v>8268</v>
      </c>
      <c r="D4831" s="1" t="str">
        <f>IFERROR(__xludf.DUMMYFUNCTION("GOOGLETRANSLATE(A4831 , ""auto"", ""ar"")"),"السبت")</f>
        <v>السبت</v>
      </c>
    </row>
    <row r="4832" ht="15.75" customHeight="1">
      <c r="A4832" s="6" t="s">
        <v>6331</v>
      </c>
      <c r="B4832" s="6" t="s">
        <v>8269</v>
      </c>
      <c r="C4832" s="7" t="s">
        <v>8270</v>
      </c>
      <c r="D4832" s="1" t="str">
        <f>IFERROR(__xludf.DUMMYFUNCTION("GOOGLETRANSLATE(A4832 , ""auto"", ""ar"")"),"الأحد")</f>
        <v>الأحد</v>
      </c>
    </row>
    <row r="4833" ht="15.75" customHeight="1">
      <c r="A4833" s="6" t="s">
        <v>3970</v>
      </c>
      <c r="B4833" s="6" t="s">
        <v>8271</v>
      </c>
      <c r="C4833" s="7" t="s">
        <v>3972</v>
      </c>
      <c r="D4833" s="1" t="str">
        <f>IFERROR(__xludf.DUMMYFUNCTION("GOOGLETRANSLATE(A4833 , ""auto"", ""ar"")"),"يناير")</f>
        <v>يناير</v>
      </c>
    </row>
    <row r="4834" ht="15.75" customHeight="1">
      <c r="A4834" s="6" t="s">
        <v>2653</v>
      </c>
      <c r="B4834" s="6" t="s">
        <v>8272</v>
      </c>
      <c r="C4834" s="7" t="s">
        <v>2655</v>
      </c>
      <c r="D4834" s="1" t="str">
        <f>IFERROR(__xludf.DUMMYFUNCTION("GOOGLETRANSLATE(A4834 , ""auto"", ""ar"")"),"شهر فبراير")</f>
        <v>شهر فبراير</v>
      </c>
    </row>
    <row r="4835" ht="15.75" customHeight="1">
      <c r="A4835" s="6" t="s">
        <v>4556</v>
      </c>
      <c r="B4835" s="6" t="s">
        <v>8273</v>
      </c>
      <c r="C4835" s="7" t="s">
        <v>4558</v>
      </c>
      <c r="D4835" s="1" t="str">
        <f>IFERROR(__xludf.DUMMYFUNCTION("GOOGLETRANSLATE(A4835 , ""auto"", ""ar"")"),"يمشي")</f>
        <v>يمشي</v>
      </c>
    </row>
    <row r="4836" ht="15.75" customHeight="1">
      <c r="A4836" s="6" t="s">
        <v>8274</v>
      </c>
      <c r="B4836" s="6" t="s">
        <v>8275</v>
      </c>
      <c r="C4836" s="7" t="s">
        <v>335</v>
      </c>
      <c r="D4836" s="1" t="str">
        <f>IFERROR(__xludf.DUMMYFUNCTION("GOOGLETRANSLATE(A4836 , ""auto"", ""ar"")"),"أبريل")</f>
        <v>أبريل</v>
      </c>
    </row>
    <row r="4837" ht="15.75" customHeight="1">
      <c r="A4837" s="6" t="s">
        <v>4598</v>
      </c>
      <c r="B4837" s="6" t="s">
        <v>8276</v>
      </c>
      <c r="C4837" s="7" t="s">
        <v>4600</v>
      </c>
      <c r="D4837" s="1" t="str">
        <f>IFERROR(__xludf.DUMMYFUNCTION("GOOGLETRANSLATE(A4837 , ""auto"", ""ar"")"),"يمكن")</f>
        <v>يمكن</v>
      </c>
    </row>
    <row r="4838" ht="15.75" customHeight="1">
      <c r="A4838" s="6" t="s">
        <v>4049</v>
      </c>
      <c r="B4838" s="6" t="s">
        <v>8277</v>
      </c>
      <c r="C4838" s="7" t="s">
        <v>8278</v>
      </c>
      <c r="D4838" s="1" t="str">
        <f>IFERROR(__xludf.DUMMYFUNCTION("GOOGLETRANSLATE(A4838 , ""auto"", ""ar"")"),"يونيو")</f>
        <v>يونيو</v>
      </c>
    </row>
    <row r="4839" ht="15.75" customHeight="1">
      <c r="A4839" s="6" t="s">
        <v>4036</v>
      </c>
      <c r="B4839" s="6" t="s">
        <v>8279</v>
      </c>
      <c r="C4839" s="7" t="s">
        <v>4038</v>
      </c>
      <c r="D4839" s="1" t="str">
        <f>IFERROR(__xludf.DUMMYFUNCTION("GOOGLETRANSLATE(A4839 , ""auto"", ""ar"")"),"يوليو")</f>
        <v>يوليو</v>
      </c>
    </row>
    <row r="4840" ht="15.75" customHeight="1">
      <c r="A4840" s="6" t="s">
        <v>436</v>
      </c>
      <c r="B4840" s="6" t="s">
        <v>8280</v>
      </c>
      <c r="C4840" s="7" t="s">
        <v>438</v>
      </c>
      <c r="D4840" s="1" t="str">
        <f>IFERROR(__xludf.DUMMYFUNCTION("GOOGLETRANSLATE(A4840 , ""auto"", ""ar"")"),"أغسطس")</f>
        <v>أغسطس</v>
      </c>
    </row>
    <row r="4841" ht="15.75" customHeight="1">
      <c r="A4841" s="6" t="s">
        <v>5636</v>
      </c>
      <c r="B4841" s="6" t="s">
        <v>8281</v>
      </c>
      <c r="C4841" s="7" t="s">
        <v>8282</v>
      </c>
      <c r="D4841" s="1" t="str">
        <f>IFERROR(__xludf.DUMMYFUNCTION("GOOGLETRANSLATE(A4841 , ""auto"", ""ar"")"),"سبتمبر")</f>
        <v>سبتمبر</v>
      </c>
    </row>
    <row r="4842" ht="15.75" customHeight="1">
      <c r="A4842" s="6" t="s">
        <v>5114</v>
      </c>
      <c r="B4842" s="6" t="s">
        <v>8283</v>
      </c>
      <c r="C4842" s="7" t="s">
        <v>5115</v>
      </c>
      <c r="D4842" s="1" t="str">
        <f>IFERROR(__xludf.DUMMYFUNCTION("GOOGLETRANSLATE(A4842 , ""auto"", ""ar"")"),"اكتوبر")</f>
        <v>اكتوبر</v>
      </c>
    </row>
    <row r="4843" ht="15.75" customHeight="1">
      <c r="A4843" s="6" t="s">
        <v>5082</v>
      </c>
      <c r="B4843" s="6" t="s">
        <v>8284</v>
      </c>
      <c r="C4843" s="7" t="s">
        <v>8285</v>
      </c>
      <c r="D4843" s="1" t="str">
        <f>IFERROR(__xludf.DUMMYFUNCTION("GOOGLETRANSLATE(A4843 , ""auto"", ""ar"")"),"شهر نوفمبر")</f>
        <v>شهر نوفمبر</v>
      </c>
    </row>
    <row r="4844" ht="15.75" customHeight="1">
      <c r="A4844" s="6" t="s">
        <v>1940</v>
      </c>
      <c r="B4844" s="6" t="s">
        <v>8286</v>
      </c>
      <c r="C4844" s="7" t="s">
        <v>1942</v>
      </c>
      <c r="D4844" s="1" t="str">
        <f>IFERROR(__xludf.DUMMYFUNCTION("GOOGLETRANSLATE(A4844 , ""auto"", ""ar"")"),"ديسمبر")</f>
        <v>ديسمبر</v>
      </c>
    </row>
    <row r="4845" ht="15.75" customHeight="1">
      <c r="A4845" s="6" t="s">
        <v>8287</v>
      </c>
      <c r="B4845" s="6" t="s">
        <v>8288</v>
      </c>
      <c r="C4845" s="7" t="s">
        <v>8289</v>
      </c>
      <c r="D4845" s="1" t="str">
        <f>IFERROR(__xludf.DUMMYFUNCTION("GOOGLETRANSLATE(A4845 , ""auto"", ""ar"")"),"في أي وقت تغادر؟")</f>
        <v>في أي وقت تغادر؟</v>
      </c>
    </row>
    <row r="4846" ht="15.75" customHeight="1">
      <c r="A4846" s="6" t="s">
        <v>8287</v>
      </c>
      <c r="B4846" s="6" t="s">
        <v>8290</v>
      </c>
      <c r="C4846" s="7" t="s">
        <v>8291</v>
      </c>
      <c r="D4846" s="1" t="str">
        <f>IFERROR(__xludf.DUMMYFUNCTION("GOOGLETRANSLATE(A4846 , ""auto"", ""ar"")"),"في أي وقت تغادر؟")</f>
        <v>في أي وقت تغادر؟</v>
      </c>
    </row>
    <row r="4847" ht="15.75" customHeight="1">
      <c r="A4847" s="6" t="s">
        <v>8292</v>
      </c>
      <c r="B4847" s="6" t="s">
        <v>8293</v>
      </c>
      <c r="C4847" s="7" t="s">
        <v>8294</v>
      </c>
      <c r="D4847" s="1" t="str">
        <f>IFERROR(__xludf.DUMMYFUNCTION("GOOGLETRANSLATE(A4847 , ""auto"", ""ar"")"),"صباح الساعة الثامنة")</f>
        <v>صباح الساعة الثامنة</v>
      </c>
    </row>
    <row r="4848" ht="15.75" customHeight="1">
      <c r="A4848" s="6" t="s">
        <v>8295</v>
      </c>
      <c r="B4848" s="6" t="s">
        <v>8296</v>
      </c>
      <c r="C4848" s="7" t="s">
        <v>8297</v>
      </c>
      <c r="D4848" s="1" t="str">
        <f>IFERROR(__xludf.DUMMYFUNCTION("GOOGLETRANSLATE(A4848 , ""auto"", ""ar"")"),"الصباح ، في ربع الثامنة")</f>
        <v>الصباح ، في ربع الثامنة</v>
      </c>
    </row>
    <row r="4849" ht="15.75" customHeight="1">
      <c r="A4849" s="6" t="s">
        <v>8298</v>
      </c>
      <c r="B4849" s="6" t="s">
        <v>8299</v>
      </c>
      <c r="C4849" s="7" t="s">
        <v>8300</v>
      </c>
      <c r="D4849" s="1" t="str">
        <f>IFERROR(__xludf.DUMMYFUNCTION("GOOGLETRANSLATE(A4849 , ""auto"", ""ar"")"),"الصباح ، في النصف الثامن")</f>
        <v>الصباح ، في النصف الثامن</v>
      </c>
    </row>
    <row r="4850" ht="15.75" customHeight="1">
      <c r="A4850" s="6" t="s">
        <v>8301</v>
      </c>
      <c r="B4850" s="6" t="s">
        <v>8302</v>
      </c>
      <c r="C4850" s="7" t="s">
        <v>8303</v>
      </c>
      <c r="D4850" s="1" t="str">
        <f>IFERROR(__xludf.DUMMYFUNCTION("GOOGLETRANSLATE(A4850 , ""auto"", ""ar"")"),"الصباح ، في ربع إلى تسعة")</f>
        <v>الصباح ، في ربع إلى تسعة</v>
      </c>
    </row>
    <row r="4851" ht="15.75" customHeight="1">
      <c r="A4851" s="6" t="s">
        <v>8304</v>
      </c>
      <c r="B4851" s="6" t="s">
        <v>8305</v>
      </c>
      <c r="C4851" s="7" t="s">
        <v>8306</v>
      </c>
      <c r="D4851" s="1" t="str">
        <f>IFERROR(__xludf.DUMMYFUNCTION("GOOGLETRANSLATE(A4851 , ""auto"", ""ar"")"),"أنا متأخر")</f>
        <v>أنا متأخر</v>
      </c>
    </row>
    <row r="4852" ht="15.75" customHeight="1">
      <c r="A4852" s="6" t="s">
        <v>8304</v>
      </c>
      <c r="B4852" s="6" t="s">
        <v>8307</v>
      </c>
      <c r="C4852" s="7" t="s">
        <v>8308</v>
      </c>
      <c r="D4852" s="1" t="str">
        <f>IFERROR(__xludf.DUMMYFUNCTION("GOOGLETRANSLATE(A4852 , ""auto"", ""ar"")"),"أنا متأخر")</f>
        <v>أنا متأخر</v>
      </c>
    </row>
    <row r="4853" ht="15.75" customHeight="1">
      <c r="A4853" s="6" t="s">
        <v>8309</v>
      </c>
      <c r="B4853" s="6" t="s">
        <v>8310</v>
      </c>
      <c r="C4853" s="7" t="s">
        <v>8311</v>
      </c>
      <c r="D4853" s="1" t="str">
        <f>IFERROR(__xludf.DUMMYFUNCTION("GOOGLETRANSLATE(A4853 , ""auto"", ""ar"")"),"صفر")</f>
        <v>صفر</v>
      </c>
    </row>
    <row r="4854" ht="15.75" customHeight="1">
      <c r="A4854" s="6" t="s">
        <v>8312</v>
      </c>
      <c r="B4854" s="6" t="s">
        <v>8313</v>
      </c>
      <c r="C4854" s="7" t="s">
        <v>5175</v>
      </c>
      <c r="D4854" s="1" t="str">
        <f>IFERROR(__xludf.DUMMYFUNCTION("GOOGLETRANSLATE(A4854 , ""auto"", ""ar"")"),"واحد")</f>
        <v>واحد</v>
      </c>
    </row>
    <row r="4855" ht="15.75" customHeight="1">
      <c r="A4855" s="6" t="s">
        <v>8314</v>
      </c>
      <c r="B4855" s="6" t="s">
        <v>8315</v>
      </c>
      <c r="C4855" s="7" t="s">
        <v>6927</v>
      </c>
      <c r="D4855" s="1" t="str">
        <f>IFERROR(__xludf.DUMMYFUNCTION("GOOGLETRANSLATE(A4855 , ""auto"", ""ar"")"),"اثنين")</f>
        <v>اثنين</v>
      </c>
    </row>
    <row r="4856" ht="15.75" customHeight="1">
      <c r="A4856" s="6" t="s">
        <v>8316</v>
      </c>
      <c r="B4856" s="6" t="s">
        <v>8317</v>
      </c>
      <c r="C4856" s="7" t="s">
        <v>6648</v>
      </c>
      <c r="D4856" s="1" t="str">
        <f>IFERROR(__xludf.DUMMYFUNCTION("GOOGLETRANSLATE(A4856 , ""auto"", ""ar"")"),"ثلاثة")</f>
        <v>ثلاثة</v>
      </c>
    </row>
    <row r="4857" ht="15.75" customHeight="1">
      <c r="A4857" s="6" t="s">
        <v>8318</v>
      </c>
      <c r="B4857" s="6" t="s">
        <v>8319</v>
      </c>
      <c r="C4857" s="7" t="s">
        <v>2898</v>
      </c>
      <c r="D4857" s="1" t="str">
        <f>IFERROR(__xludf.DUMMYFUNCTION("GOOGLETRANSLATE(A4857 , ""auto"", ""ar"")"),"أربعة")</f>
        <v>أربعة</v>
      </c>
    </row>
    <row r="4858" ht="15.75" customHeight="1">
      <c r="A4858" s="6" t="s">
        <v>8320</v>
      </c>
      <c r="B4858" s="6" t="s">
        <v>2769</v>
      </c>
      <c r="C4858" s="7" t="s">
        <v>2770</v>
      </c>
      <c r="D4858" s="1" t="str">
        <f>IFERROR(__xludf.DUMMYFUNCTION("GOOGLETRANSLATE(A4858 , ""auto"", ""ar"")"),"خمسة")</f>
        <v>خمسة</v>
      </c>
    </row>
    <row r="4859" ht="15.75" customHeight="1">
      <c r="A4859" s="6" t="s">
        <v>8321</v>
      </c>
      <c r="B4859" s="6" t="s">
        <v>8322</v>
      </c>
      <c r="C4859" s="7" t="s">
        <v>8323</v>
      </c>
      <c r="D4859" s="1" t="str">
        <f>IFERROR(__xludf.DUMMYFUNCTION("GOOGLETRANSLATE(A4859 , ""auto"", ""ar"")"),"ستة")</f>
        <v>ستة</v>
      </c>
    </row>
    <row r="4860" ht="15.75" customHeight="1">
      <c r="A4860" s="6" t="s">
        <v>8324</v>
      </c>
      <c r="B4860" s="6" t="s">
        <v>8325</v>
      </c>
      <c r="C4860" s="7" t="s">
        <v>5663</v>
      </c>
      <c r="D4860" s="1" t="str">
        <f>IFERROR(__xludf.DUMMYFUNCTION("GOOGLETRANSLATE(A4860 , ""auto"", ""ar"")"),"سبعة")</f>
        <v>سبعة</v>
      </c>
    </row>
    <row r="4861" ht="15.75" customHeight="1">
      <c r="A4861" s="6" t="s">
        <v>8326</v>
      </c>
      <c r="B4861" s="6" t="s">
        <v>8327</v>
      </c>
      <c r="C4861" s="7" t="s">
        <v>2353</v>
      </c>
      <c r="D4861" s="1" t="str">
        <f>IFERROR(__xludf.DUMMYFUNCTION("GOOGLETRANSLATE(A4861 , ""auto"", ""ar"")"),"ثمانية")</f>
        <v>ثمانية</v>
      </c>
    </row>
    <row r="4862" ht="15.75" customHeight="1">
      <c r="A4862" s="6" t="s">
        <v>8328</v>
      </c>
      <c r="B4862" s="6" t="s">
        <v>8329</v>
      </c>
      <c r="C4862" s="7" t="s">
        <v>8330</v>
      </c>
      <c r="D4862" s="1" t="str">
        <f>IFERROR(__xludf.DUMMYFUNCTION("GOOGLETRANSLATE(A4862 , ""auto"", ""ar"")"),"تسع")</f>
        <v>تسع</v>
      </c>
    </row>
    <row r="4863" ht="15.75" customHeight="1">
      <c r="A4863" s="6" t="s">
        <v>8331</v>
      </c>
      <c r="B4863" s="6" t="s">
        <v>8332</v>
      </c>
      <c r="C4863" s="7" t="s">
        <v>6506</v>
      </c>
      <c r="D4863" s="1" t="str">
        <f>IFERROR(__xludf.DUMMYFUNCTION("GOOGLETRANSLATE(A4863 , ""auto"", ""ar"")"),"عشرة")</f>
        <v>عشرة</v>
      </c>
    </row>
    <row r="4864" ht="15.75" customHeight="1">
      <c r="A4864" s="6" t="s">
        <v>8333</v>
      </c>
      <c r="B4864" s="6" t="s">
        <v>8334</v>
      </c>
      <c r="C4864" s="7" t="s">
        <v>2389</v>
      </c>
      <c r="D4864" s="1" t="str">
        <f>IFERROR(__xludf.DUMMYFUNCTION("GOOGLETRANSLATE(A4864 , ""auto"", ""ar"")"),"أحد عشر")</f>
        <v>أحد عشر</v>
      </c>
    </row>
    <row r="4865" ht="15.75" customHeight="1">
      <c r="A4865" s="6" t="s">
        <v>8335</v>
      </c>
      <c r="B4865" s="6" t="s">
        <v>8336</v>
      </c>
      <c r="C4865" s="7" t="s">
        <v>6915</v>
      </c>
      <c r="D4865" s="1" t="str">
        <f>IFERROR(__xludf.DUMMYFUNCTION("GOOGLETRANSLATE(A4865 , ""auto"", ""ar"")"),"اثني عشر")</f>
        <v>اثني عشر</v>
      </c>
    </row>
    <row r="4866" ht="15.75" customHeight="1">
      <c r="A4866" s="6" t="s">
        <v>8337</v>
      </c>
      <c r="B4866" s="6" t="s">
        <v>8338</v>
      </c>
      <c r="C4866" s="7" t="s">
        <v>6618</v>
      </c>
      <c r="D4866" s="1" t="str">
        <f>IFERROR(__xludf.DUMMYFUNCTION("GOOGLETRANSLATE(A4866 , ""auto"", ""ar"")"),"ثلاثة عشر")</f>
        <v>ثلاثة عشر</v>
      </c>
    </row>
    <row r="4867" ht="15.75" customHeight="1">
      <c r="A4867" s="6" t="s">
        <v>8339</v>
      </c>
      <c r="B4867" s="6" t="s">
        <v>8340</v>
      </c>
      <c r="C4867" s="7" t="s">
        <v>2903</v>
      </c>
      <c r="D4867" s="1" t="str">
        <f>IFERROR(__xludf.DUMMYFUNCTION("GOOGLETRANSLATE(A4867 , ""auto"", ""ar"")"),"أربعة عشرة")</f>
        <v>أربعة عشرة</v>
      </c>
    </row>
    <row r="4868" ht="15.75" customHeight="1">
      <c r="A4868" s="6" t="s">
        <v>8341</v>
      </c>
      <c r="B4868" s="6" t="s">
        <v>8342</v>
      </c>
      <c r="C4868" s="7" t="s">
        <v>2687</v>
      </c>
      <c r="D4868" s="1" t="str">
        <f>IFERROR(__xludf.DUMMYFUNCTION("GOOGLETRANSLATE(A4868 , ""auto"", ""ar"")"),"خمسة عشر")</f>
        <v>خمسة عشر</v>
      </c>
    </row>
    <row r="4869" ht="15.75" customHeight="1">
      <c r="A4869" s="6" t="s">
        <v>8343</v>
      </c>
      <c r="B4869" s="6" t="s">
        <v>8344</v>
      </c>
      <c r="C4869" s="7" t="s">
        <v>8345</v>
      </c>
      <c r="D4869" s="1" t="str">
        <f>IFERROR(__xludf.DUMMYFUNCTION("GOOGLETRANSLATE(A4869 , ""auto"", ""ar"")"),"السادس عشر")</f>
        <v>السادس عشر</v>
      </c>
    </row>
    <row r="4870" ht="15.75" customHeight="1">
      <c r="A4870" s="6" t="s">
        <v>8346</v>
      </c>
      <c r="B4870" s="6" t="s">
        <v>8347</v>
      </c>
      <c r="C4870" s="7" t="s">
        <v>5667</v>
      </c>
      <c r="D4870" s="1" t="str">
        <f>IFERROR(__xludf.DUMMYFUNCTION("GOOGLETRANSLATE(A4870 , ""auto"", ""ar"")"),"سبعة عشر")</f>
        <v>سبعة عشر</v>
      </c>
    </row>
    <row r="4871" ht="15.75" customHeight="1">
      <c r="A4871" s="6" t="s">
        <v>8348</v>
      </c>
      <c r="B4871" s="6" t="s">
        <v>8349</v>
      </c>
      <c r="C4871" s="7" t="s">
        <v>2358</v>
      </c>
      <c r="D4871" s="1" t="str">
        <f>IFERROR(__xludf.DUMMYFUNCTION("GOOGLETRANSLATE(A4871 , ""auto"", ""ar"")"),"الثامنة عشر")</f>
        <v>الثامنة عشر</v>
      </c>
    </row>
    <row r="4872" ht="15.75" customHeight="1">
      <c r="A4872" s="6" t="s">
        <v>8350</v>
      </c>
      <c r="B4872" s="6" t="s">
        <v>8351</v>
      </c>
      <c r="C4872" s="7" t="s">
        <v>5024</v>
      </c>
      <c r="D4872" s="1" t="str">
        <f>IFERROR(__xludf.DUMMYFUNCTION("GOOGLETRANSLATE(A4872 , ""auto"", ""ar"")"),"تسعة عشر")</f>
        <v>تسعة عشر</v>
      </c>
    </row>
    <row r="4873" ht="15.75" customHeight="1">
      <c r="A4873" s="6" t="s">
        <v>8352</v>
      </c>
      <c r="B4873" s="6" t="s">
        <v>8353</v>
      </c>
      <c r="C4873" s="7" t="s">
        <v>6918</v>
      </c>
      <c r="D4873" s="1" t="str">
        <f>IFERROR(__xludf.DUMMYFUNCTION("GOOGLETRANSLATE(A4873 , ""auto"", ""ar"")"),"عشرين")</f>
        <v>عشرين</v>
      </c>
    </row>
    <row r="4874" ht="15.75" customHeight="1">
      <c r="A4874" s="6" t="s">
        <v>8354</v>
      </c>
      <c r="B4874" s="6" t="s">
        <v>8355</v>
      </c>
      <c r="C4874" s="7" t="s">
        <v>8356</v>
      </c>
      <c r="D4874" s="1" t="str">
        <f>IFERROR(__xludf.DUMMYFUNCTION("GOOGLETRANSLATE(A4874 , ""auto"", ""ar"")"),"واحد وعشرين")</f>
        <v>واحد وعشرين</v>
      </c>
    </row>
    <row r="4875" ht="15.75" customHeight="1">
      <c r="A4875" s="6" t="s">
        <v>8357</v>
      </c>
      <c r="B4875" s="6" t="s">
        <v>8358</v>
      </c>
      <c r="C4875" s="7" t="s">
        <v>8359</v>
      </c>
      <c r="D4875" s="1" t="str">
        <f>IFERROR(__xludf.DUMMYFUNCTION("GOOGLETRANSLATE(A4875 , ""auto"", ""ar"")"),"إثنان وعشرون")</f>
        <v>إثنان وعشرون</v>
      </c>
    </row>
    <row r="4876" ht="15.75" customHeight="1">
      <c r="A4876" s="6" t="s">
        <v>8360</v>
      </c>
      <c r="B4876" s="6" t="s">
        <v>8361</v>
      </c>
      <c r="C4876" s="7" t="s">
        <v>8362</v>
      </c>
      <c r="D4876" s="1" t="str">
        <f>IFERROR(__xludf.DUMMYFUNCTION("GOOGLETRANSLATE(A4876 , ""auto"", ""ar"")"),"ثلاثة وعشرين")</f>
        <v>ثلاثة وعشرين</v>
      </c>
    </row>
    <row r="4877" ht="15.75" customHeight="1">
      <c r="A4877" s="6" t="s">
        <v>8363</v>
      </c>
      <c r="B4877" s="6" t="s">
        <v>8364</v>
      </c>
      <c r="C4877" s="7" t="s">
        <v>8365</v>
      </c>
      <c r="D4877" s="1" t="str">
        <f>IFERROR(__xludf.DUMMYFUNCTION("GOOGLETRANSLATE(A4877 , ""auto"", ""ar"")"),"اربع وعشرون")</f>
        <v>اربع وعشرون</v>
      </c>
    </row>
    <row r="4878" ht="15.75" customHeight="1">
      <c r="A4878" s="6" t="s">
        <v>8366</v>
      </c>
      <c r="B4878" s="6" t="s">
        <v>8367</v>
      </c>
      <c r="C4878" s="7" t="s">
        <v>8368</v>
      </c>
      <c r="D4878" s="1" t="str">
        <f>IFERROR(__xludf.DUMMYFUNCTION("GOOGLETRANSLATE(A4878 , ""auto"", ""ar"")"),"خمسة وعشرون")</f>
        <v>خمسة وعشرون</v>
      </c>
    </row>
    <row r="4879" ht="15.75" customHeight="1">
      <c r="A4879" s="6" t="s">
        <v>8369</v>
      </c>
      <c r="B4879" s="6" t="s">
        <v>8370</v>
      </c>
      <c r="C4879" s="7" t="s">
        <v>8371</v>
      </c>
      <c r="D4879" s="1" t="str">
        <f>IFERROR(__xludf.DUMMYFUNCTION("GOOGLETRANSLATE(A4879 , ""auto"", ""ar"")"),"ستة وعشرون")</f>
        <v>ستة وعشرون</v>
      </c>
    </row>
    <row r="4880" ht="15.75" customHeight="1">
      <c r="A4880" s="6" t="s">
        <v>8372</v>
      </c>
      <c r="B4880" s="6" t="s">
        <v>8373</v>
      </c>
      <c r="C4880" s="7" t="s">
        <v>8374</v>
      </c>
      <c r="D4880" s="1" t="str">
        <f>IFERROR(__xludf.DUMMYFUNCTION("GOOGLETRANSLATE(A4880 , ""auto"", ""ar"")"),"سبعه وعشرين")</f>
        <v>سبعه وعشرين</v>
      </c>
    </row>
    <row r="4881" ht="15.75" customHeight="1">
      <c r="A4881" s="6" t="s">
        <v>8375</v>
      </c>
      <c r="B4881" s="6" t="s">
        <v>8376</v>
      </c>
      <c r="C4881" s="7" t="s">
        <v>8377</v>
      </c>
      <c r="D4881" s="1" t="str">
        <f>IFERROR(__xludf.DUMMYFUNCTION("GOOGLETRANSLATE(A4881 , ""auto"", ""ar"")"),"ثمانية وعشرون")</f>
        <v>ثمانية وعشرون</v>
      </c>
    </row>
    <row r="4882" ht="15.75" customHeight="1">
      <c r="A4882" s="6" t="s">
        <v>8378</v>
      </c>
      <c r="B4882" s="6" t="s">
        <v>8379</v>
      </c>
      <c r="C4882" s="7" t="s">
        <v>8380</v>
      </c>
      <c r="D4882" s="1" t="str">
        <f>IFERROR(__xludf.DUMMYFUNCTION("GOOGLETRANSLATE(A4882 , ""auto"", ""ar"")"),"تسعة وعشرون")</f>
        <v>تسعة وعشرون</v>
      </c>
    </row>
    <row r="4883" ht="15.75" customHeight="1">
      <c r="A4883" s="6" t="s">
        <v>8381</v>
      </c>
      <c r="B4883" s="6" t="s">
        <v>8382</v>
      </c>
      <c r="C4883" s="7" t="s">
        <v>6621</v>
      </c>
      <c r="D4883" s="1" t="str">
        <f>IFERROR(__xludf.DUMMYFUNCTION("GOOGLETRANSLATE(A4883 , ""auto"", ""ar"")"),"ثلاثون")</f>
        <v>ثلاثون</v>
      </c>
    </row>
    <row r="4884" ht="15.75" customHeight="1">
      <c r="A4884" s="6" t="s">
        <v>8383</v>
      </c>
      <c r="B4884" s="6" t="s">
        <v>8384</v>
      </c>
      <c r="C4884" s="7" t="s">
        <v>8385</v>
      </c>
      <c r="D4884" s="1" t="str">
        <f>IFERROR(__xludf.DUMMYFUNCTION("GOOGLETRANSLATE(A4884 , ""auto"", ""ar"")"),"واحد وثلاثين")</f>
        <v>واحد وثلاثين</v>
      </c>
    </row>
    <row r="4885" ht="15.75" customHeight="1">
      <c r="A4885" s="6" t="s">
        <v>8386</v>
      </c>
      <c r="B4885" s="6" t="s">
        <v>8387</v>
      </c>
      <c r="C4885" s="7" t="s">
        <v>8388</v>
      </c>
      <c r="D4885" s="1" t="str">
        <f>IFERROR(__xludf.DUMMYFUNCTION("GOOGLETRANSLATE(A4885 , ""auto"", ""ar"")"),"اثنان و ثلاثون")</f>
        <v>اثنان و ثلاثون</v>
      </c>
    </row>
    <row r="4886" ht="15.75" customHeight="1">
      <c r="A4886" s="6" t="s">
        <v>8389</v>
      </c>
      <c r="B4886" s="6" t="s">
        <v>8390</v>
      </c>
      <c r="C4886" s="7" t="s">
        <v>8391</v>
      </c>
      <c r="D4886" s="1" t="str">
        <f>IFERROR(__xludf.DUMMYFUNCTION("GOOGLETRANSLATE(A4886 , ""auto"", ""ar"")"),"ثلاثة وثلاثين")</f>
        <v>ثلاثة وثلاثين</v>
      </c>
    </row>
    <row r="4887" ht="15.75" customHeight="1">
      <c r="A4887" s="6" t="s">
        <v>8392</v>
      </c>
      <c r="B4887" s="6" t="s">
        <v>8393</v>
      </c>
      <c r="C4887" s="7" t="s">
        <v>8394</v>
      </c>
      <c r="D4887" s="1" t="str">
        <f>IFERROR(__xludf.DUMMYFUNCTION("GOOGLETRANSLATE(A4887 , ""auto"", ""ar"")"),"اربع وثلاثون")</f>
        <v>اربع وثلاثون</v>
      </c>
    </row>
    <row r="4888" ht="15.75" customHeight="1">
      <c r="A4888" s="6" t="s">
        <v>8395</v>
      </c>
      <c r="B4888" s="6" t="s">
        <v>8396</v>
      </c>
      <c r="C4888" s="7" t="s">
        <v>8397</v>
      </c>
      <c r="D4888" s="1" t="str">
        <f>IFERROR(__xludf.DUMMYFUNCTION("GOOGLETRANSLATE(A4888 , ""auto"", ""ar"")"),"خمسة وثلاثون")</f>
        <v>خمسة وثلاثون</v>
      </c>
    </row>
    <row r="4889" ht="15.75" customHeight="1">
      <c r="A4889" s="6" t="s">
        <v>8398</v>
      </c>
      <c r="B4889" s="6" t="s">
        <v>8399</v>
      </c>
      <c r="C4889" s="7" t="s">
        <v>8400</v>
      </c>
      <c r="D4889" s="1" t="str">
        <f>IFERROR(__xludf.DUMMYFUNCTION("GOOGLETRANSLATE(A4889 , ""auto"", ""ar"")"),"ستة وثلاثون")</f>
        <v>ستة وثلاثون</v>
      </c>
    </row>
    <row r="4890" ht="15.75" customHeight="1">
      <c r="A4890" s="6" t="s">
        <v>8401</v>
      </c>
      <c r="B4890" s="6" t="s">
        <v>8402</v>
      </c>
      <c r="C4890" s="7" t="s">
        <v>2892</v>
      </c>
      <c r="D4890" s="1" t="str">
        <f>IFERROR(__xludf.DUMMYFUNCTION("GOOGLETRANSLATE(A4890 , ""auto"", ""ar"")"),"أربعين")</f>
        <v>أربعين</v>
      </c>
    </row>
    <row r="4891" ht="15.75" customHeight="1">
      <c r="A4891" s="6" t="s">
        <v>8403</v>
      </c>
      <c r="B4891" s="6" t="s">
        <v>8404</v>
      </c>
      <c r="C4891" s="7" t="s">
        <v>2693</v>
      </c>
      <c r="D4891" s="1" t="str">
        <f>IFERROR(__xludf.DUMMYFUNCTION("GOOGLETRANSLATE(A4891 , ""auto"", ""ar"")"),"خمسون")</f>
        <v>خمسون</v>
      </c>
    </row>
    <row r="4892" ht="15.75" customHeight="1">
      <c r="A4892" s="6" t="s">
        <v>8405</v>
      </c>
      <c r="B4892" s="6" t="s">
        <v>8406</v>
      </c>
      <c r="C4892" s="7" t="s">
        <v>8407</v>
      </c>
      <c r="D4892" s="1" t="str">
        <f>IFERROR(__xludf.DUMMYFUNCTION("GOOGLETRANSLATE(A4892 , ""auto"", ""ar"")"),"ستين")</f>
        <v>ستين</v>
      </c>
    </row>
    <row r="4893" ht="15.75" customHeight="1">
      <c r="A4893" s="6" t="s">
        <v>8408</v>
      </c>
      <c r="B4893" s="6" t="s">
        <v>8409</v>
      </c>
      <c r="C4893" s="7" t="s">
        <v>5673</v>
      </c>
      <c r="D4893" s="1" t="str">
        <f>IFERROR(__xludf.DUMMYFUNCTION("GOOGLETRANSLATE(A4893 , ""auto"", ""ar"")"),"سبعون")</f>
        <v>سبعون</v>
      </c>
    </row>
    <row r="4894" ht="15.75" customHeight="1">
      <c r="A4894" s="6" t="s">
        <v>8410</v>
      </c>
      <c r="B4894" s="6" t="s">
        <v>8411</v>
      </c>
      <c r="C4894" s="7" t="s">
        <v>2364</v>
      </c>
      <c r="D4894" s="1" t="str">
        <f>IFERROR(__xludf.DUMMYFUNCTION("GOOGLETRANSLATE(A4894 , ""auto"", ""ar"")"),"ثمانون")</f>
        <v>ثمانون</v>
      </c>
    </row>
    <row r="4895" ht="15.75" customHeight="1">
      <c r="A4895" s="6" t="s">
        <v>8412</v>
      </c>
      <c r="B4895" s="6" t="s">
        <v>8413</v>
      </c>
      <c r="C4895" s="7" t="s">
        <v>5027</v>
      </c>
      <c r="D4895" s="1" t="str">
        <f>IFERROR(__xludf.DUMMYFUNCTION("GOOGLETRANSLATE(A4895 , ""auto"", ""ar"")"),"تسعين")</f>
        <v>تسعين</v>
      </c>
    </row>
    <row r="4896" ht="15.75" customHeight="1">
      <c r="A4896" s="6" t="s">
        <v>8414</v>
      </c>
      <c r="B4896" s="6" t="s">
        <v>8415</v>
      </c>
      <c r="C4896" s="7" t="s">
        <v>8416</v>
      </c>
      <c r="D4896" s="1" t="str">
        <f>IFERROR(__xludf.DUMMYFUNCTION("GOOGLETRANSLATE(A4896 , ""auto"", ""ar"")"),"مائة")</f>
        <v>مائة</v>
      </c>
    </row>
    <row r="4897" ht="15.75" customHeight="1">
      <c r="A4897" s="6" t="s">
        <v>8417</v>
      </c>
      <c r="B4897" s="6" t="s">
        <v>8418</v>
      </c>
      <c r="C4897" s="7" t="s">
        <v>8419</v>
      </c>
      <c r="D4897" s="1" t="str">
        <f>IFERROR(__xludf.DUMMYFUNCTION("GOOGLETRANSLATE(A4897 , ""auto"", ""ar"")"),"مائة وخمسة")</f>
        <v>مائة وخمسة</v>
      </c>
    </row>
    <row r="4898" ht="15.75" customHeight="1">
      <c r="A4898" s="6" t="s">
        <v>8420</v>
      </c>
      <c r="B4898" s="6" t="s">
        <v>8421</v>
      </c>
      <c r="C4898" s="7" t="s">
        <v>8422</v>
      </c>
      <c r="D4898" s="1" t="str">
        <f>IFERROR(__xludf.DUMMYFUNCTION("GOOGLETRANSLATE(A4898 , ""auto"", ""ar"")"),"مائتين")</f>
        <v>مائتين</v>
      </c>
    </row>
    <row r="4899" ht="15.75" customHeight="1">
      <c r="A4899" s="6" t="s">
        <v>8423</v>
      </c>
      <c r="B4899" s="6" t="s">
        <v>8424</v>
      </c>
      <c r="C4899" s="7" t="s">
        <v>8425</v>
      </c>
      <c r="D4899" s="1" t="str">
        <f>IFERROR(__xludf.DUMMYFUNCTION("GOOGLETRANSLATE(A4899 , ""auto"", ""ar"")"),"ثلاثمائه")</f>
        <v>ثلاثمائه</v>
      </c>
    </row>
    <row r="4900" ht="15.75" customHeight="1">
      <c r="A4900" s="6" t="s">
        <v>8426</v>
      </c>
      <c r="B4900" s="6" t="s">
        <v>8427</v>
      </c>
      <c r="C4900" s="7" t="s">
        <v>8428</v>
      </c>
      <c r="D4900" s="1" t="str">
        <f>IFERROR(__xludf.DUMMYFUNCTION("GOOGLETRANSLATE(A4900 , ""auto"", ""ar"")"),"أربعة مئة")</f>
        <v>أربعة مئة</v>
      </c>
    </row>
    <row r="4901" ht="15.75" customHeight="1">
      <c r="A4901" s="6" t="s">
        <v>8429</v>
      </c>
      <c r="B4901" s="6" t="s">
        <v>8430</v>
      </c>
      <c r="C4901" s="7" t="s">
        <v>6638</v>
      </c>
      <c r="D4901" s="1" t="str">
        <f>IFERROR(__xludf.DUMMYFUNCTION("GOOGLETRANSLATE(A4901 , ""auto"", ""ar"")"),"ألف")</f>
        <v>ألف</v>
      </c>
    </row>
    <row r="4902" ht="15.75" customHeight="1">
      <c r="A4902" s="6" t="s">
        <v>8431</v>
      </c>
      <c r="B4902" s="6" t="s">
        <v>8432</v>
      </c>
      <c r="C4902" s="7" t="s">
        <v>8433</v>
      </c>
      <c r="D4902" s="1" t="str">
        <f>IFERROR(__xludf.DUMMYFUNCTION("GOOGLETRANSLATE(A4902 , ""auto"", ""ar"")"),"ألف خمسمائة")</f>
        <v>ألف خمسمائة</v>
      </c>
    </row>
    <row r="4903" ht="15.75" customHeight="1">
      <c r="A4903" s="6" t="s">
        <v>8434</v>
      </c>
      <c r="B4903" s="6" t="s">
        <v>8435</v>
      </c>
      <c r="C4903" s="7" t="s">
        <v>8436</v>
      </c>
      <c r="D4903" s="1" t="str">
        <f>IFERROR(__xludf.DUMMYFUNCTION("GOOGLETRANSLATE(A4903 , ""auto"", ""ar"")"),"ألفين")</f>
        <v>ألفين</v>
      </c>
    </row>
    <row r="4904" ht="15.75" customHeight="1">
      <c r="A4904" s="6" t="s">
        <v>8437</v>
      </c>
      <c r="B4904" s="6" t="s">
        <v>8438</v>
      </c>
      <c r="C4904" s="7" t="s">
        <v>8439</v>
      </c>
      <c r="D4904" s="1" t="str">
        <f>IFERROR(__xludf.DUMMYFUNCTION("GOOGLETRANSLATE(A4904 , ""auto"", ""ar"")"),"عشرة آلاف")</f>
        <v>عشرة آلاف</v>
      </c>
    </row>
    <row r="4905" ht="15.75" customHeight="1">
      <c r="A4905" s="6" t="s">
        <v>8231</v>
      </c>
      <c r="B4905" s="6" t="s">
        <v>8232</v>
      </c>
      <c r="C4905" s="7" t="s">
        <v>8233</v>
      </c>
      <c r="D4905" s="1" t="str">
        <f>IFERROR(__xludf.DUMMYFUNCTION("GOOGLETRANSLATE(A4905 , ""auto"", ""ar"")"),"متى وصلت إلى هنا؟")</f>
        <v>متى وصلت إلى هنا؟</v>
      </c>
    </row>
    <row r="4906" ht="15.75" customHeight="1">
      <c r="A4906" s="6" t="s">
        <v>8234</v>
      </c>
      <c r="B4906" s="6" t="s">
        <v>8235</v>
      </c>
      <c r="C4906" s="7" t="s">
        <v>8236</v>
      </c>
      <c r="D4906" s="1" t="str">
        <f>IFERROR(__xludf.DUMMYFUNCTION("GOOGLETRANSLATE(A4906 , ""auto"", ""ar"")"),"اليوم")</f>
        <v>اليوم</v>
      </c>
    </row>
    <row r="4907" ht="15.75" customHeight="1">
      <c r="A4907" s="6" t="s">
        <v>8237</v>
      </c>
      <c r="B4907" s="6" t="s">
        <v>8238</v>
      </c>
      <c r="C4907" s="7" t="s">
        <v>8239</v>
      </c>
      <c r="D4907" s="1" t="str">
        <f>IFERROR(__xludf.DUMMYFUNCTION("GOOGLETRANSLATE(A4907 , ""auto"", ""ar"")"),"أمس")</f>
        <v>أمس</v>
      </c>
    </row>
    <row r="4908" ht="15.75" customHeight="1">
      <c r="A4908" s="6" t="s">
        <v>8240</v>
      </c>
      <c r="B4908" s="6" t="s">
        <v>8241</v>
      </c>
      <c r="C4908" s="7" t="s">
        <v>8242</v>
      </c>
      <c r="D4908" s="1" t="str">
        <f>IFERROR(__xludf.DUMMYFUNCTION("GOOGLETRANSLATE(A4908 , ""auto"", ""ar"")"),"قبل يومين")</f>
        <v>قبل يومين</v>
      </c>
    </row>
    <row r="4909" ht="15.75" customHeight="1">
      <c r="A4909" s="6" t="s">
        <v>8243</v>
      </c>
      <c r="B4909" s="6" t="s">
        <v>8244</v>
      </c>
      <c r="C4909" s="7" t="s">
        <v>8245</v>
      </c>
      <c r="D4909" s="1" t="str">
        <f>IFERROR(__xludf.DUMMYFUNCTION("GOOGLETRANSLATE(A4909 , ""auto"", ""ar"")"),"كم من الوقت تقيم؟")</f>
        <v>كم من الوقت تقيم؟</v>
      </c>
    </row>
    <row r="4910" ht="15.75" customHeight="1">
      <c r="A4910" s="6" t="s">
        <v>8243</v>
      </c>
      <c r="B4910" s="6" t="s">
        <v>8246</v>
      </c>
      <c r="C4910" s="7" t="s">
        <v>8247</v>
      </c>
      <c r="D4910" s="1" t="str">
        <f>IFERROR(__xludf.DUMMYFUNCTION("GOOGLETRANSLATE(A4910 , ""auto"", ""ar"")"),"كم من الوقت تقيم؟")</f>
        <v>كم من الوقت تقيم؟</v>
      </c>
    </row>
    <row r="4911" ht="15.75" customHeight="1">
      <c r="A4911" s="6" t="s">
        <v>8248</v>
      </c>
      <c r="B4911" s="6" t="s">
        <v>8249</v>
      </c>
      <c r="C4911" s="7" t="s">
        <v>8250</v>
      </c>
      <c r="D4911" s="1" t="str">
        <f>IFERROR(__xludf.DUMMYFUNCTION("GOOGLETRANSLATE(A4911 , ""auto"", ""ar"")"),"سأرحل غدا")</f>
        <v>سأرحل غدا</v>
      </c>
    </row>
    <row r="4912" ht="15.75" customHeight="1">
      <c r="A4912" s="6" t="s">
        <v>8251</v>
      </c>
      <c r="B4912" s="6" t="s">
        <v>8252</v>
      </c>
      <c r="C4912" s="7" t="s">
        <v>8253</v>
      </c>
      <c r="D4912" s="1" t="str">
        <f>IFERROR(__xludf.DUMMYFUNCTION("GOOGLETRANSLATE(A4912 , ""auto"", ""ar"")"),"سأغادر اليوم بعد الغد")</f>
        <v>سأغادر اليوم بعد الغد</v>
      </c>
    </row>
    <row r="4913" ht="15.75" customHeight="1">
      <c r="A4913" s="6" t="s">
        <v>8254</v>
      </c>
      <c r="B4913" s="6" t="s">
        <v>8255</v>
      </c>
      <c r="C4913" s="7" t="s">
        <v>8256</v>
      </c>
      <c r="D4913" s="1" t="str">
        <f>IFERROR(__xludf.DUMMYFUNCTION("GOOGLETRANSLATE(A4913 , ""auto"", ""ar"")"),"سأترك في ثلاثة أيام")</f>
        <v>سأترك في ثلاثة أيام</v>
      </c>
    </row>
    <row r="4914" ht="15.75" customHeight="1">
      <c r="A4914" s="6" t="s">
        <v>4766</v>
      </c>
      <c r="B4914" s="6" t="s">
        <v>8257</v>
      </c>
      <c r="C4914" s="7" t="s">
        <v>8258</v>
      </c>
      <c r="D4914" s="1" t="str">
        <f>IFERROR(__xludf.DUMMYFUNCTION("GOOGLETRANSLATE(A4914 , ""auto"", ""ar"")"),"الاثنين")</f>
        <v>الاثنين</v>
      </c>
    </row>
    <row r="4915" ht="15.75" customHeight="1">
      <c r="A4915" s="6" t="s">
        <v>6870</v>
      </c>
      <c r="B4915" s="6" t="s">
        <v>8259</v>
      </c>
      <c r="C4915" s="7" t="s">
        <v>8260</v>
      </c>
      <c r="D4915" s="1" t="str">
        <f>IFERROR(__xludf.DUMMYFUNCTION("GOOGLETRANSLATE(A4915 , ""auto"", ""ar"")"),"يوم الثلاثاء")</f>
        <v>يوم الثلاثاء</v>
      </c>
    </row>
    <row r="4916" ht="15.75" customHeight="1">
      <c r="A4916" s="6" t="s">
        <v>7193</v>
      </c>
      <c r="B4916" s="6" t="s">
        <v>8261</v>
      </c>
      <c r="C4916" s="7" t="s">
        <v>8262</v>
      </c>
      <c r="D4916" s="1" t="str">
        <f>IFERROR(__xludf.DUMMYFUNCTION("GOOGLETRANSLATE(A4916 , ""auto"", ""ar"")"),"الأربعاء")</f>
        <v>الأربعاء</v>
      </c>
    </row>
    <row r="4917" ht="15.75" customHeight="1">
      <c r="A4917" s="6" t="s">
        <v>6664</v>
      </c>
      <c r="B4917" s="6" t="s">
        <v>8263</v>
      </c>
      <c r="C4917" s="7" t="s">
        <v>8264</v>
      </c>
      <c r="D4917" s="1" t="str">
        <f>IFERROR(__xludf.DUMMYFUNCTION("GOOGLETRANSLATE(A4917 , ""auto"", ""ar"")"),"يوم الخميس")</f>
        <v>يوم الخميس</v>
      </c>
    </row>
    <row r="4918" ht="15.75" customHeight="1">
      <c r="A4918" s="6" t="s">
        <v>2934</v>
      </c>
      <c r="B4918" s="6" t="s">
        <v>8265</v>
      </c>
      <c r="C4918" s="7" t="s">
        <v>8266</v>
      </c>
      <c r="D4918" s="1" t="str">
        <f>IFERROR(__xludf.DUMMYFUNCTION("GOOGLETRANSLATE(A4918 , ""auto"", ""ar"")"),"جمعة")</f>
        <v>جمعة</v>
      </c>
    </row>
    <row r="4919" ht="15.75" customHeight="1">
      <c r="A4919" s="6" t="s">
        <v>5525</v>
      </c>
      <c r="B4919" s="6" t="s">
        <v>8267</v>
      </c>
      <c r="C4919" s="7" t="s">
        <v>8268</v>
      </c>
      <c r="D4919" s="1" t="str">
        <f>IFERROR(__xludf.DUMMYFUNCTION("GOOGLETRANSLATE(A4919 , ""auto"", ""ar"")"),"السبت")</f>
        <v>السبت</v>
      </c>
    </row>
    <row r="4920" ht="15.75" customHeight="1">
      <c r="A4920" s="6" t="s">
        <v>6331</v>
      </c>
      <c r="B4920" s="6" t="s">
        <v>8269</v>
      </c>
      <c r="C4920" s="7" t="s">
        <v>8270</v>
      </c>
      <c r="D4920" s="1" t="str">
        <f>IFERROR(__xludf.DUMMYFUNCTION("GOOGLETRANSLATE(A4920 , ""auto"", ""ar"")"),"الأحد")</f>
        <v>الأحد</v>
      </c>
    </row>
    <row r="4921" ht="15.75" customHeight="1">
      <c r="A4921" s="6" t="s">
        <v>3970</v>
      </c>
      <c r="B4921" s="6" t="s">
        <v>8271</v>
      </c>
      <c r="C4921" s="7" t="s">
        <v>3972</v>
      </c>
      <c r="D4921" s="1" t="str">
        <f>IFERROR(__xludf.DUMMYFUNCTION("GOOGLETRANSLATE(A4921 , ""auto"", ""ar"")"),"يناير")</f>
        <v>يناير</v>
      </c>
    </row>
    <row r="4922" ht="15.75" customHeight="1">
      <c r="A4922" s="6" t="s">
        <v>2653</v>
      </c>
      <c r="B4922" s="6" t="s">
        <v>8272</v>
      </c>
      <c r="C4922" s="7" t="s">
        <v>2655</v>
      </c>
      <c r="D4922" s="1" t="str">
        <f>IFERROR(__xludf.DUMMYFUNCTION("GOOGLETRANSLATE(A4922 , ""auto"", ""ar"")"),"شهر فبراير")</f>
        <v>شهر فبراير</v>
      </c>
    </row>
    <row r="4923" ht="15.75" customHeight="1">
      <c r="A4923" s="6" t="s">
        <v>4556</v>
      </c>
      <c r="B4923" s="6" t="s">
        <v>8273</v>
      </c>
      <c r="C4923" s="7" t="s">
        <v>4558</v>
      </c>
      <c r="D4923" s="1" t="str">
        <f>IFERROR(__xludf.DUMMYFUNCTION("GOOGLETRANSLATE(A4923 , ""auto"", ""ar"")"),"يمشي")</f>
        <v>يمشي</v>
      </c>
    </row>
    <row r="4924" ht="15.75" customHeight="1">
      <c r="A4924" s="6" t="s">
        <v>8274</v>
      </c>
      <c r="B4924" s="6" t="s">
        <v>8275</v>
      </c>
      <c r="C4924" s="7" t="s">
        <v>335</v>
      </c>
      <c r="D4924" s="1" t="str">
        <f>IFERROR(__xludf.DUMMYFUNCTION("GOOGLETRANSLATE(A4924 , ""auto"", ""ar"")"),"أبريل")</f>
        <v>أبريل</v>
      </c>
    </row>
    <row r="4925" ht="15.75" customHeight="1">
      <c r="A4925" s="6" t="s">
        <v>4598</v>
      </c>
      <c r="B4925" s="6" t="s">
        <v>8276</v>
      </c>
      <c r="C4925" s="7" t="s">
        <v>4600</v>
      </c>
      <c r="D4925" s="1" t="str">
        <f>IFERROR(__xludf.DUMMYFUNCTION("GOOGLETRANSLATE(A4925 , ""auto"", ""ar"")"),"يمكن")</f>
        <v>يمكن</v>
      </c>
    </row>
    <row r="4926" ht="15.75" customHeight="1">
      <c r="A4926" s="6" t="s">
        <v>4049</v>
      </c>
      <c r="B4926" s="6" t="s">
        <v>8277</v>
      </c>
      <c r="C4926" s="7" t="s">
        <v>8278</v>
      </c>
      <c r="D4926" s="1" t="str">
        <f>IFERROR(__xludf.DUMMYFUNCTION("GOOGLETRANSLATE(A4926 , ""auto"", ""ar"")"),"يونيو")</f>
        <v>يونيو</v>
      </c>
    </row>
    <row r="4927" ht="15.75" customHeight="1">
      <c r="A4927" s="6" t="s">
        <v>4036</v>
      </c>
      <c r="B4927" s="6" t="s">
        <v>8279</v>
      </c>
      <c r="C4927" s="7" t="s">
        <v>4038</v>
      </c>
      <c r="D4927" s="1" t="str">
        <f>IFERROR(__xludf.DUMMYFUNCTION("GOOGLETRANSLATE(A4927 , ""auto"", ""ar"")"),"يوليو")</f>
        <v>يوليو</v>
      </c>
    </row>
    <row r="4928" ht="15.75" customHeight="1">
      <c r="A4928" s="6" t="s">
        <v>436</v>
      </c>
      <c r="B4928" s="6" t="s">
        <v>8280</v>
      </c>
      <c r="C4928" s="7" t="s">
        <v>438</v>
      </c>
      <c r="D4928" s="1" t="str">
        <f>IFERROR(__xludf.DUMMYFUNCTION("GOOGLETRANSLATE(A4928 , ""auto"", ""ar"")"),"أغسطس")</f>
        <v>أغسطس</v>
      </c>
    </row>
    <row r="4929" ht="15.75" customHeight="1">
      <c r="A4929" s="6" t="s">
        <v>5636</v>
      </c>
      <c r="B4929" s="6" t="s">
        <v>8281</v>
      </c>
      <c r="C4929" s="7" t="s">
        <v>8282</v>
      </c>
      <c r="D4929" s="1" t="str">
        <f>IFERROR(__xludf.DUMMYFUNCTION("GOOGLETRANSLATE(A4929 , ""auto"", ""ar"")"),"سبتمبر")</f>
        <v>سبتمبر</v>
      </c>
    </row>
    <row r="4930" ht="15.75" customHeight="1">
      <c r="A4930" s="6" t="s">
        <v>5114</v>
      </c>
      <c r="B4930" s="6" t="s">
        <v>8283</v>
      </c>
      <c r="C4930" s="7" t="s">
        <v>5115</v>
      </c>
      <c r="D4930" s="1" t="str">
        <f>IFERROR(__xludf.DUMMYFUNCTION("GOOGLETRANSLATE(A4930 , ""auto"", ""ar"")"),"اكتوبر")</f>
        <v>اكتوبر</v>
      </c>
    </row>
    <row r="4931" ht="15.75" customHeight="1">
      <c r="A4931" s="6" t="s">
        <v>5082</v>
      </c>
      <c r="B4931" s="6" t="s">
        <v>8284</v>
      </c>
      <c r="C4931" s="7" t="s">
        <v>8285</v>
      </c>
      <c r="D4931" s="1" t="str">
        <f>IFERROR(__xludf.DUMMYFUNCTION("GOOGLETRANSLATE(A4931 , ""auto"", ""ar"")"),"شهر نوفمبر")</f>
        <v>شهر نوفمبر</v>
      </c>
    </row>
    <row r="4932" ht="15.75" customHeight="1">
      <c r="A4932" s="6" t="s">
        <v>1940</v>
      </c>
      <c r="B4932" s="6" t="s">
        <v>8286</v>
      </c>
      <c r="C4932" s="7" t="s">
        <v>1942</v>
      </c>
      <c r="D4932" s="1" t="str">
        <f>IFERROR(__xludf.DUMMYFUNCTION("GOOGLETRANSLATE(A4932 , ""auto"", ""ar"")"),"ديسمبر")</f>
        <v>ديسمبر</v>
      </c>
    </row>
    <row r="4933" ht="15.75" customHeight="1">
      <c r="A4933" s="6" t="s">
        <v>8287</v>
      </c>
      <c r="B4933" s="6" t="s">
        <v>8288</v>
      </c>
      <c r="C4933" s="7" t="s">
        <v>8289</v>
      </c>
      <c r="D4933" s="1" t="str">
        <f>IFERROR(__xludf.DUMMYFUNCTION("GOOGLETRANSLATE(A4933 , ""auto"", ""ar"")"),"في أي وقت تغادر؟")</f>
        <v>في أي وقت تغادر؟</v>
      </c>
    </row>
    <row r="4934" ht="15.75" customHeight="1">
      <c r="A4934" s="6" t="s">
        <v>8287</v>
      </c>
      <c r="B4934" s="6" t="s">
        <v>8290</v>
      </c>
      <c r="C4934" s="7" t="s">
        <v>8291</v>
      </c>
      <c r="D4934" s="1" t="str">
        <f>IFERROR(__xludf.DUMMYFUNCTION("GOOGLETRANSLATE(A4934 , ""auto"", ""ar"")"),"في أي وقت تغادر؟")</f>
        <v>في أي وقت تغادر؟</v>
      </c>
    </row>
    <row r="4935" ht="15.75" customHeight="1">
      <c r="A4935" s="6" t="s">
        <v>8292</v>
      </c>
      <c r="B4935" s="6" t="s">
        <v>8293</v>
      </c>
      <c r="C4935" s="7" t="s">
        <v>8294</v>
      </c>
      <c r="D4935" s="1" t="str">
        <f>IFERROR(__xludf.DUMMYFUNCTION("GOOGLETRANSLATE(A4935 , ""auto"", ""ar"")"),"صباح الساعة الثامنة")</f>
        <v>صباح الساعة الثامنة</v>
      </c>
    </row>
    <row r="4936" ht="15.75" customHeight="1">
      <c r="A4936" s="6" t="s">
        <v>8295</v>
      </c>
      <c r="B4936" s="6" t="s">
        <v>8296</v>
      </c>
      <c r="C4936" s="7" t="s">
        <v>8297</v>
      </c>
      <c r="D4936" s="1" t="str">
        <f>IFERROR(__xludf.DUMMYFUNCTION("GOOGLETRANSLATE(A4936 , ""auto"", ""ar"")"),"الصباح ، في ربع الثامنة")</f>
        <v>الصباح ، في ربع الثامنة</v>
      </c>
    </row>
    <row r="4937" ht="15.75" customHeight="1">
      <c r="A4937" s="6" t="s">
        <v>8298</v>
      </c>
      <c r="B4937" s="6" t="s">
        <v>8299</v>
      </c>
      <c r="C4937" s="7" t="s">
        <v>8300</v>
      </c>
      <c r="D4937" s="1" t="str">
        <f>IFERROR(__xludf.DUMMYFUNCTION("GOOGLETRANSLATE(A4937 , ""auto"", ""ar"")"),"الصباح ، في النصف الثامن")</f>
        <v>الصباح ، في النصف الثامن</v>
      </c>
    </row>
    <row r="4938" ht="15.75" customHeight="1">
      <c r="A4938" s="6" t="s">
        <v>8301</v>
      </c>
      <c r="B4938" s="6" t="s">
        <v>8302</v>
      </c>
      <c r="C4938" s="7" t="s">
        <v>8303</v>
      </c>
      <c r="D4938" s="1" t="str">
        <f>IFERROR(__xludf.DUMMYFUNCTION("GOOGLETRANSLATE(A4938 , ""auto"", ""ar"")"),"الصباح ، في ربع إلى تسعة")</f>
        <v>الصباح ، في ربع إلى تسعة</v>
      </c>
    </row>
    <row r="4939" ht="15.75" customHeight="1">
      <c r="A4939" s="6" t="s">
        <v>8304</v>
      </c>
      <c r="B4939" s="6" t="s">
        <v>8305</v>
      </c>
      <c r="C4939" s="7" t="s">
        <v>8306</v>
      </c>
      <c r="D4939" s="1" t="str">
        <f>IFERROR(__xludf.DUMMYFUNCTION("GOOGLETRANSLATE(A4939 , ""auto"", ""ar"")"),"أنا متأخر")</f>
        <v>أنا متأخر</v>
      </c>
    </row>
    <row r="4940" ht="15.75" customHeight="1">
      <c r="A4940" s="6" t="s">
        <v>8304</v>
      </c>
      <c r="B4940" s="6" t="s">
        <v>8307</v>
      </c>
      <c r="C4940" s="7" t="s">
        <v>8308</v>
      </c>
      <c r="D4940" s="1" t="str">
        <f>IFERROR(__xludf.DUMMYFUNCTION("GOOGLETRANSLATE(A4940 , ""auto"", ""ar"")"),"أنا متأخر")</f>
        <v>أنا متأخر</v>
      </c>
    </row>
    <row r="4941" ht="15.75" customHeight="1">
      <c r="A4941" s="6" t="s">
        <v>8440</v>
      </c>
      <c r="B4941" s="6" t="s">
        <v>8441</v>
      </c>
      <c r="C4941" s="8" t="s">
        <v>8442</v>
      </c>
      <c r="D4941" s="1" t="str">
        <f>IFERROR(__xludf.DUMMYFUNCTION("GOOGLETRANSLATE(A4941 , ""auto"", ""ar"")"),"سيارة اجره!")</f>
        <v>سيارة اجره!</v>
      </c>
    </row>
    <row r="4942" ht="15.75" customHeight="1">
      <c r="A4942" s="6" t="s">
        <v>8443</v>
      </c>
      <c r="B4942" s="6" t="s">
        <v>8444</v>
      </c>
      <c r="C4942" s="7" t="s">
        <v>8445</v>
      </c>
      <c r="D4942" s="1" t="str">
        <f>IFERROR(__xludf.DUMMYFUNCTION("GOOGLETRANSLATE(A4942 , ""auto"", ""ar"")"),"أين تريد أن تذهب؟")</f>
        <v>أين تريد أن تذهب؟</v>
      </c>
    </row>
    <row r="4943" ht="15.75" customHeight="1">
      <c r="A4943" s="6" t="s">
        <v>8446</v>
      </c>
      <c r="B4943" s="6" t="s">
        <v>8447</v>
      </c>
      <c r="C4943" s="7" t="s">
        <v>8448</v>
      </c>
      <c r="D4943" s="1" t="str">
        <f>IFERROR(__xludf.DUMMYFUNCTION("GOOGLETRANSLATE(A4943 , ""auto"", ""ar"")"),"أنا ذاهب إلى محطة القطار")</f>
        <v>أنا ذاهب إلى محطة القطار</v>
      </c>
    </row>
    <row r="4944" ht="15.75" customHeight="1">
      <c r="A4944" s="6" t="s">
        <v>8449</v>
      </c>
      <c r="B4944" s="6" t="s">
        <v>8450</v>
      </c>
      <c r="C4944" s="7" t="s">
        <v>8451</v>
      </c>
      <c r="D4944" s="1" t="str">
        <f>IFERROR(__xludf.DUMMYFUNCTION("GOOGLETRANSLATE(A4944 , ""auto"", ""ar"")"),"أنا ذاهب إلى فندق النهار والليل")</f>
        <v>أنا ذاهب إلى فندق النهار والليل</v>
      </c>
    </row>
    <row r="4945" ht="15.75" customHeight="1">
      <c r="A4945" s="6" t="s">
        <v>8452</v>
      </c>
      <c r="B4945" s="6" t="s">
        <v>8155</v>
      </c>
      <c r="C4945" s="7" t="s">
        <v>8453</v>
      </c>
      <c r="D4945" s="1" t="str">
        <f>IFERROR(__xludf.DUMMYFUNCTION("GOOGLETRANSLATE(A4945 , ""auto"", ""ar"")"),"أنا ذاهب إلى فندق النهار والليل")</f>
        <v>أنا ذاهب إلى فندق النهار والليل</v>
      </c>
    </row>
    <row r="4946" ht="15.75" customHeight="1">
      <c r="A4946" s="6" t="s">
        <v>8454</v>
      </c>
      <c r="B4946" s="6" t="s">
        <v>8455</v>
      </c>
      <c r="C4946" s="7" t="s">
        <v>8456</v>
      </c>
      <c r="D4946" s="1" t="str">
        <f>IFERROR(__xludf.DUMMYFUNCTION("GOOGLETRANSLATE(A4946 , ""auto"", ""ar"")"),"هل يمكنك اصطحابي إلى المطار من فضلك؟")</f>
        <v>هل يمكنك اصطحابي إلى المطار من فضلك؟</v>
      </c>
    </row>
    <row r="4947" ht="15.75" customHeight="1">
      <c r="A4947" s="6" t="s">
        <v>8454</v>
      </c>
      <c r="B4947" s="6" t="s">
        <v>8457</v>
      </c>
      <c r="C4947" s="7" t="s">
        <v>8458</v>
      </c>
      <c r="D4947" s="1" t="str">
        <f>IFERROR(__xludf.DUMMYFUNCTION("GOOGLETRANSLATE(A4947 , ""auto"", ""ar"")"),"هل يمكنك اصطحابي إلى المطار من فضلك؟")</f>
        <v>هل يمكنك اصطحابي إلى المطار من فضلك؟</v>
      </c>
    </row>
    <row r="4948" ht="15.75" customHeight="1">
      <c r="A4948" s="6" t="s">
        <v>8459</v>
      </c>
      <c r="B4948" s="6" t="s">
        <v>8460</v>
      </c>
      <c r="C4948" s="7" t="s">
        <v>8461</v>
      </c>
      <c r="D4948" s="1" t="str">
        <f>IFERROR(__xludf.DUMMYFUNCTION("GOOGLETRANSLATE(A4948 , ""auto"", ""ar"")"),"هل يمكنك أخذ أمتعتي؟")</f>
        <v>هل يمكنك أخذ أمتعتي؟</v>
      </c>
    </row>
    <row r="4949" ht="15.75" customHeight="1">
      <c r="A4949" s="6" t="s">
        <v>8462</v>
      </c>
      <c r="B4949" s="6" t="s">
        <v>8463</v>
      </c>
      <c r="C4949" s="7" t="s">
        <v>8464</v>
      </c>
      <c r="D4949" s="1" t="str">
        <f>IFERROR(__xludf.DUMMYFUNCTION("GOOGLETRANSLATE(A4949 , ""auto"", ""ar"")"),"هل هو بعيد من هنا؟")</f>
        <v>هل هو بعيد من هنا؟</v>
      </c>
    </row>
    <row r="4950" ht="15.75" customHeight="1">
      <c r="A4950" s="6" t="s">
        <v>8465</v>
      </c>
      <c r="B4950" s="6" t="s">
        <v>8466</v>
      </c>
      <c r="C4950" s="7" t="s">
        <v>8467</v>
      </c>
      <c r="D4950" s="1" t="str">
        <f>IFERROR(__xludf.DUMMYFUNCTION("GOOGLETRANSLATE(A4950 , ""auto"", ""ar"")"),"لا إنه قريب")</f>
        <v>لا إنه قريب</v>
      </c>
    </row>
    <row r="4951" ht="15.75" customHeight="1">
      <c r="A4951" s="6" t="s">
        <v>8468</v>
      </c>
      <c r="B4951" s="6" t="s">
        <v>8469</v>
      </c>
      <c r="C4951" s="7" t="s">
        <v>8470</v>
      </c>
      <c r="D4951" s="1" t="str">
        <f>IFERROR(__xludf.DUMMYFUNCTION("GOOGLETRANSLATE(A4951 , ""auto"", ""ar"")"),"نعم ، إنه بعيدًا قليلاً")</f>
        <v>نعم ، إنه بعيدًا قليلاً</v>
      </c>
    </row>
    <row r="4952" ht="15.75" customHeight="1">
      <c r="A4952" s="6" t="s">
        <v>8471</v>
      </c>
      <c r="B4952" s="6" t="s">
        <v>8472</v>
      </c>
      <c r="C4952" s="7" t="s">
        <v>8473</v>
      </c>
      <c r="D4952" s="1" t="str">
        <f>IFERROR(__xludf.DUMMYFUNCTION("GOOGLETRANSLATE(A4952 , ""auto"", ""ar"")"),"كم سيكون؟")</f>
        <v>كم سيكون؟</v>
      </c>
    </row>
    <row r="4953" ht="15.75" customHeight="1">
      <c r="A4953" s="6" t="s">
        <v>8474</v>
      </c>
      <c r="B4953" s="6" t="s">
        <v>8475</v>
      </c>
      <c r="C4953" s="7" t="s">
        <v>8476</v>
      </c>
      <c r="D4953" s="1" t="str">
        <f>IFERROR(__xludf.DUMMYFUNCTION("GOOGLETRANSLATE(A4953 , ""auto"", ""ar"")"),"خذني إلى هناك من فضلك")</f>
        <v>خذني إلى هناك من فضلك</v>
      </c>
    </row>
    <row r="4954" ht="15.75" customHeight="1">
      <c r="A4954" s="6" t="s">
        <v>8477</v>
      </c>
      <c r="B4954" s="6" t="s">
        <v>8478</v>
      </c>
      <c r="C4954" s="7" t="s">
        <v>8479</v>
      </c>
      <c r="D4954" s="1" t="str">
        <f>IFERROR(__xludf.DUMMYFUNCTION("GOOGLETRANSLATE(A4954 , ""auto"", ""ar"")"),"تذهب بشكل صحيح")</f>
        <v>تذهب بشكل صحيح</v>
      </c>
    </row>
    <row r="4955" ht="15.75" customHeight="1">
      <c r="A4955" s="6" t="s">
        <v>8480</v>
      </c>
      <c r="B4955" s="6" t="s">
        <v>8481</v>
      </c>
      <c r="C4955" s="7" t="s">
        <v>8482</v>
      </c>
      <c r="D4955" s="1" t="str">
        <f>IFERROR(__xludf.DUMMYFUNCTION("GOOGLETRANSLATE(A4955 , ""auto"", ""ar"")"),"تذهب اليسار")</f>
        <v>تذهب اليسار</v>
      </c>
    </row>
    <row r="4956" ht="15.75" customHeight="1">
      <c r="A4956" s="6" t="s">
        <v>8483</v>
      </c>
      <c r="B4956" s="6" t="s">
        <v>8484</v>
      </c>
      <c r="C4956" s="7" t="s">
        <v>8485</v>
      </c>
      <c r="D4956" s="1" t="str">
        <f>IFERROR(__xludf.DUMMYFUNCTION("GOOGLETRANSLATE(A4956 , ""auto"", ""ar"")"),"إنه مستقيم")</f>
        <v>إنه مستقيم</v>
      </c>
    </row>
    <row r="4957" ht="15.75" customHeight="1">
      <c r="A4957" s="6" t="s">
        <v>8486</v>
      </c>
      <c r="B4957" s="6" t="s">
        <v>8487</v>
      </c>
      <c r="C4957" s="7" t="s">
        <v>8488</v>
      </c>
      <c r="D4957" s="1" t="str">
        <f>IFERROR(__xludf.DUMMYFUNCTION("GOOGLETRANSLATE(A4957 , ""auto"", ""ar"")"),"انها هنا")</f>
        <v>انها هنا</v>
      </c>
    </row>
    <row r="4958" ht="15.75" customHeight="1">
      <c r="A4958" s="6" t="s">
        <v>8489</v>
      </c>
      <c r="B4958" s="6" t="s">
        <v>8490</v>
      </c>
      <c r="C4958" s="7" t="s">
        <v>3573</v>
      </c>
      <c r="D4958" s="1" t="str">
        <f>IFERROR(__xludf.DUMMYFUNCTION("GOOGLETRANSLATE(A4958 , ""auto"", ""ar"")"),"بهذه الطريقة")</f>
        <v>بهذه الطريقة</v>
      </c>
    </row>
    <row r="4959" ht="15.75" customHeight="1">
      <c r="A4959" s="6" t="s">
        <v>8491</v>
      </c>
      <c r="B4959" s="6" t="s">
        <v>8492</v>
      </c>
      <c r="C4959" s="8" t="s">
        <v>8493</v>
      </c>
      <c r="D4959" s="1" t="str">
        <f>IFERROR(__xludf.DUMMYFUNCTION("GOOGLETRANSLATE(A4959 , ""auto"", ""ar"")"),"قف!")</f>
        <v>قف!</v>
      </c>
    </row>
    <row r="4960" ht="15.75" customHeight="1">
      <c r="A4960" s="6" t="s">
        <v>8494</v>
      </c>
      <c r="B4960" s="6" t="s">
        <v>8495</v>
      </c>
      <c r="C4960" s="7" t="s">
        <v>8496</v>
      </c>
      <c r="D4960" s="1" t="str">
        <f>IFERROR(__xludf.DUMMYFUNCTION("GOOGLETRANSLATE(A4960 , ""auto"", ""ar"")"),"خذ وقتك")</f>
        <v>خذ وقتك</v>
      </c>
    </row>
    <row r="4961" ht="15.75" customHeight="1">
      <c r="A4961" s="6" t="s">
        <v>8497</v>
      </c>
      <c r="B4961" s="6" t="s">
        <v>8498</v>
      </c>
      <c r="C4961" s="7" t="s">
        <v>8499</v>
      </c>
      <c r="D4961" s="1" t="str">
        <f>IFERROR(__xludf.DUMMYFUNCTION("GOOGLETRANSLATE(A4961 , ""auto"", ""ar"")"),"هل يمكنني الحصول على إيصال من فضلك؟")</f>
        <v>هل يمكنني الحصول على إيصال من فضلك؟</v>
      </c>
    </row>
    <row r="4962" ht="15.75" customHeight="1">
      <c r="A4962" s="6" t="s">
        <v>8500</v>
      </c>
      <c r="B4962" s="6" t="s">
        <v>8501</v>
      </c>
      <c r="C4962" s="7" t="s">
        <v>8502</v>
      </c>
      <c r="D4962" s="1" t="str">
        <f>IFERROR(__xludf.DUMMYFUNCTION("GOOGLETRANSLATE(A4962 , ""auto"", ""ar"")"),"هل لديك عائلة هنا؟")</f>
        <v>هل لديك عائلة هنا؟</v>
      </c>
    </row>
    <row r="4963" ht="15.75" customHeight="1">
      <c r="A4963" s="6" t="s">
        <v>8503</v>
      </c>
      <c r="B4963" s="6" t="s">
        <v>8504</v>
      </c>
      <c r="C4963" s="7" t="s">
        <v>8505</v>
      </c>
      <c r="D4963" s="1" t="str">
        <f>IFERROR(__xludf.DUMMYFUNCTION("GOOGLETRANSLATE(A4963 , ""auto"", ""ar"")"),"ابي")</f>
        <v>ابي</v>
      </c>
    </row>
    <row r="4964" ht="15.75" customHeight="1">
      <c r="A4964" s="6" t="s">
        <v>8506</v>
      </c>
      <c r="B4964" s="6" t="s">
        <v>8507</v>
      </c>
      <c r="C4964" s="7" t="s">
        <v>8508</v>
      </c>
      <c r="D4964" s="1" t="str">
        <f>IFERROR(__xludf.DUMMYFUNCTION("GOOGLETRANSLATE(A4964 , ""auto"", ""ar"")"),"أمي")</f>
        <v>أمي</v>
      </c>
    </row>
    <row r="4965" ht="15.75" customHeight="1">
      <c r="A4965" s="6" t="s">
        <v>8509</v>
      </c>
      <c r="B4965" s="6" t="s">
        <v>8510</v>
      </c>
      <c r="C4965" s="7" t="s">
        <v>8511</v>
      </c>
      <c r="D4965" s="1" t="str">
        <f>IFERROR(__xludf.DUMMYFUNCTION("GOOGLETRANSLATE(A4965 , ""auto"", ""ar"")"),"ابني")</f>
        <v>ابني</v>
      </c>
    </row>
    <row r="4966" ht="15.75" customHeight="1">
      <c r="A4966" s="6" t="s">
        <v>8512</v>
      </c>
      <c r="B4966" s="6" t="s">
        <v>8513</v>
      </c>
      <c r="C4966" s="7" t="s">
        <v>8514</v>
      </c>
      <c r="D4966" s="1" t="str">
        <f>IFERROR(__xludf.DUMMYFUNCTION("GOOGLETRANSLATE(A4966 , ""auto"", ""ar"")"),"ابنتي")</f>
        <v>ابنتي</v>
      </c>
    </row>
    <row r="4967" ht="15.75" customHeight="1">
      <c r="A4967" s="6" t="s">
        <v>8515</v>
      </c>
      <c r="B4967" s="6" t="s">
        <v>8516</v>
      </c>
      <c r="C4967" s="7" t="s">
        <v>8517</v>
      </c>
      <c r="D4967" s="1" t="str">
        <f>IFERROR(__xludf.DUMMYFUNCTION("GOOGLETRANSLATE(A4967 , ""auto"", ""ar"")"),"أخ")</f>
        <v>أخ</v>
      </c>
    </row>
    <row r="4968" ht="15.75" customHeight="1">
      <c r="A4968" s="6" t="s">
        <v>8518</v>
      </c>
      <c r="B4968" s="6" t="s">
        <v>8519</v>
      </c>
      <c r="C4968" s="7" t="s">
        <v>8520</v>
      </c>
      <c r="D4968" s="1" t="str">
        <f>IFERROR(__xludf.DUMMYFUNCTION("GOOGLETRANSLATE(A4968 , ""auto"", ""ar"")"),"اخت")</f>
        <v>اخت</v>
      </c>
    </row>
    <row r="4969" ht="15.75" customHeight="1">
      <c r="A4969" s="6" t="s">
        <v>8521</v>
      </c>
      <c r="B4969" s="6" t="s">
        <v>8522</v>
      </c>
      <c r="C4969" s="7" t="s">
        <v>8523</v>
      </c>
      <c r="D4969" s="1" t="str">
        <f>IFERROR(__xludf.DUMMYFUNCTION("GOOGLETRANSLATE(A4969 , ""auto"", ""ar"")"),"صديق")</f>
        <v>صديق</v>
      </c>
    </row>
    <row r="4970" ht="15.75" customHeight="1">
      <c r="A4970" s="6" t="s">
        <v>8521</v>
      </c>
      <c r="B4970" s="6" t="s">
        <v>8524</v>
      </c>
      <c r="C4970" s="7" t="s">
        <v>8525</v>
      </c>
      <c r="D4970" s="1" t="str">
        <f>IFERROR(__xludf.DUMMYFUNCTION("GOOGLETRANSLATE(A4970 , ""auto"", ""ar"")"),"صديق")</f>
        <v>صديق</v>
      </c>
    </row>
    <row r="4971" ht="15.75" customHeight="1">
      <c r="A4971" s="6" t="s">
        <v>8526</v>
      </c>
      <c r="B4971" s="6" t="s">
        <v>8527</v>
      </c>
      <c r="C4971" s="7" t="s">
        <v>8528</v>
      </c>
      <c r="D4971" s="1" t="str">
        <f>IFERROR(__xludf.DUMMYFUNCTION("GOOGLETRANSLATE(A4971 , ""auto"", ""ar"")"),"حبيبي")</f>
        <v>حبيبي</v>
      </c>
    </row>
    <row r="4972" ht="15.75" customHeight="1">
      <c r="A4972" s="6" t="s">
        <v>8529</v>
      </c>
      <c r="B4972" s="6" t="s">
        <v>8530</v>
      </c>
      <c r="C4972" s="7" t="s">
        <v>8531</v>
      </c>
      <c r="D4972" s="1" t="str">
        <f>IFERROR(__xludf.DUMMYFUNCTION("GOOGLETRANSLATE(A4972 , ""auto"", ""ar"")"),"صديقتي الحميمة")</f>
        <v>صديقتي الحميمة</v>
      </c>
    </row>
    <row r="4973" ht="15.75" customHeight="1">
      <c r="A4973" s="6" t="s">
        <v>8532</v>
      </c>
      <c r="B4973" s="6" t="s">
        <v>8533</v>
      </c>
      <c r="C4973" s="7" t="s">
        <v>8534</v>
      </c>
      <c r="D4973" s="1" t="str">
        <f>IFERROR(__xludf.DUMMYFUNCTION("GOOGLETRANSLATE(A4973 , ""auto"", ""ar"")"),"زوجي")</f>
        <v>زوجي</v>
      </c>
    </row>
    <row r="4974" ht="15.75" customHeight="1">
      <c r="A4974" s="6" t="s">
        <v>8535</v>
      </c>
      <c r="B4974" s="6" t="s">
        <v>8536</v>
      </c>
      <c r="C4974" s="7" t="s">
        <v>8537</v>
      </c>
      <c r="D4974" s="1" t="str">
        <f>IFERROR(__xludf.DUMMYFUNCTION("GOOGLETRANSLATE(A4974 , ""auto"", ""ar"")"),"زوجتي")</f>
        <v>زوجتي</v>
      </c>
    </row>
    <row r="4975" ht="15.75" customHeight="1">
      <c r="A4975" s="6" t="s">
        <v>8538</v>
      </c>
      <c r="B4975" s="6" t="s">
        <v>8539</v>
      </c>
      <c r="C4975" s="7" t="s">
        <v>8540</v>
      </c>
      <c r="D4975" s="1" t="str">
        <f>IFERROR(__xludf.DUMMYFUNCTION("GOOGLETRANSLATE(A4975 , ""auto"", ""ar"")"),"أنا حقا أحب بلدك")</f>
        <v>أنا حقا أحب بلدك</v>
      </c>
    </row>
    <row r="4976" ht="15.75" customHeight="1">
      <c r="A4976" s="6" t="s">
        <v>8541</v>
      </c>
      <c r="B4976" s="6" t="s">
        <v>8542</v>
      </c>
      <c r="C4976" s="7" t="s">
        <v>8543</v>
      </c>
      <c r="D4976" s="1" t="str">
        <f>IFERROR(__xludf.DUMMYFUNCTION("GOOGLETRANSLATE(A4976 , ""auto"", ""ar"")"),"أحبك")</f>
        <v>أحبك</v>
      </c>
    </row>
    <row r="4977" ht="15.75" customHeight="1">
      <c r="A4977" s="6" t="s">
        <v>8544</v>
      </c>
      <c r="B4977" s="6" t="s">
        <v>8545</v>
      </c>
      <c r="C4977" s="7" t="s">
        <v>8546</v>
      </c>
      <c r="D4977" s="1" t="str">
        <f>IFERROR(__xludf.DUMMYFUNCTION("GOOGLETRANSLATE(A4977 , ""auto"", ""ar"")"),"أنا سعيد")</f>
        <v>أنا سعيد</v>
      </c>
    </row>
    <row r="4978" ht="15.75" customHeight="1">
      <c r="A4978" s="6" t="s">
        <v>8547</v>
      </c>
      <c r="B4978" s="6" t="s">
        <v>8548</v>
      </c>
      <c r="C4978" s="7" t="s">
        <v>8549</v>
      </c>
      <c r="D4978" s="1" t="str">
        <f>IFERROR(__xludf.DUMMYFUNCTION("GOOGLETRANSLATE(A4978 , ""auto"", ""ar"")"),"أنا حزينة")</f>
        <v>أنا حزينة</v>
      </c>
    </row>
    <row r="4979" ht="15.75" customHeight="1">
      <c r="A4979" s="6" t="s">
        <v>8550</v>
      </c>
      <c r="B4979" s="6" t="s">
        <v>8551</v>
      </c>
      <c r="C4979" s="7" t="s">
        <v>8552</v>
      </c>
      <c r="D4979" s="1" t="str">
        <f>IFERROR(__xludf.DUMMYFUNCTION("GOOGLETRANSLATE(A4979 , ""auto"", ""ar"")"),"أشعر بالراحة هنا")</f>
        <v>أشعر بالراحة هنا</v>
      </c>
    </row>
    <row r="4980" ht="15.75" customHeight="1">
      <c r="A4980" s="6" t="s">
        <v>8553</v>
      </c>
      <c r="B4980" s="6" t="s">
        <v>8554</v>
      </c>
      <c r="C4980" s="7" t="s">
        <v>8555</v>
      </c>
      <c r="D4980" s="1" t="str">
        <f>IFERROR(__xludf.DUMMYFUNCTION("GOOGLETRANSLATE(A4980 , ""auto"", ""ar"")"),"انا اشعر بالبرد")</f>
        <v>انا اشعر بالبرد</v>
      </c>
    </row>
    <row r="4981" ht="15.75" customHeight="1">
      <c r="A4981" s="6" t="s">
        <v>8556</v>
      </c>
      <c r="B4981" s="6" t="s">
        <v>8557</v>
      </c>
      <c r="C4981" s="7" t="s">
        <v>8558</v>
      </c>
      <c r="D4981" s="1" t="str">
        <f>IFERROR(__xludf.DUMMYFUNCTION("GOOGLETRANSLATE(A4981 , ""auto"", ""ar"")"),"أنا حار")</f>
        <v>أنا حار</v>
      </c>
    </row>
    <row r="4982" ht="15.75" customHeight="1">
      <c r="A4982" s="6" t="s">
        <v>8559</v>
      </c>
      <c r="B4982" s="6" t="s">
        <v>8560</v>
      </c>
      <c r="C4982" s="7" t="s">
        <v>8561</v>
      </c>
      <c r="D4982" s="1" t="str">
        <f>IFERROR(__xludf.DUMMYFUNCTION("GOOGLETRANSLATE(A4982 , ""auto"", ""ar"")"),"انها كبيرة جدا")</f>
        <v>انها كبيرة جدا</v>
      </c>
    </row>
    <row r="4983" ht="15.75" customHeight="1">
      <c r="A4983" s="6" t="s">
        <v>8562</v>
      </c>
      <c r="B4983" s="6" t="s">
        <v>8563</v>
      </c>
      <c r="C4983" s="7" t="s">
        <v>8564</v>
      </c>
      <c r="D4983" s="1" t="str">
        <f>IFERROR(__xludf.DUMMYFUNCTION("GOOGLETRANSLATE(A4983 , ""auto"", ""ar"")"),"إنه صغير جدًا")</f>
        <v>إنه صغير جدًا</v>
      </c>
    </row>
    <row r="4984" ht="15.75" customHeight="1">
      <c r="A4984" s="6" t="s">
        <v>8565</v>
      </c>
      <c r="B4984" s="6" t="s">
        <v>8566</v>
      </c>
      <c r="C4984" s="7" t="s">
        <v>8567</v>
      </c>
      <c r="D4984" s="1" t="str">
        <f>IFERROR(__xludf.DUMMYFUNCTION("GOOGLETRANSLATE(A4984 , ""auto"", ""ar"")"),"انها مثالية")</f>
        <v>انها مثالية</v>
      </c>
    </row>
    <row r="4985" ht="15.75" customHeight="1">
      <c r="A4985" s="6" t="s">
        <v>8568</v>
      </c>
      <c r="B4985" s="6" t="s">
        <v>8569</v>
      </c>
      <c r="C4985" s="7" t="s">
        <v>8570</v>
      </c>
      <c r="D4985" s="1" t="str">
        <f>IFERROR(__xludf.DUMMYFUNCTION("GOOGLETRANSLATE(A4985 , ""auto"", ""ar"")"),"هل تريد الخروج الليلة؟")</f>
        <v>هل تريد الخروج الليلة؟</v>
      </c>
    </row>
    <row r="4986" ht="15.75" customHeight="1">
      <c r="A4986" s="6" t="s">
        <v>8568</v>
      </c>
      <c r="B4986" s="6" t="s">
        <v>8571</v>
      </c>
      <c r="C4986" s="7" t="s">
        <v>8572</v>
      </c>
      <c r="D4986" s="1" t="str">
        <f>IFERROR(__xludf.DUMMYFUNCTION("GOOGLETRANSLATE(A4986 , ""auto"", ""ar"")"),"هل تريد الخروج الليلة؟")</f>
        <v>هل تريد الخروج الليلة؟</v>
      </c>
    </row>
    <row r="4987" ht="15.75" customHeight="1">
      <c r="A4987" s="6" t="s">
        <v>8573</v>
      </c>
      <c r="B4987" s="6" t="s">
        <v>8574</v>
      </c>
      <c r="C4987" s="7" t="s">
        <v>8575</v>
      </c>
      <c r="D4987" s="1" t="str">
        <f>IFERROR(__xludf.DUMMYFUNCTION("GOOGLETRANSLATE(A4987 , ""auto"", ""ar"")"),"أود الخروج الليلة")</f>
        <v>أود الخروج الليلة</v>
      </c>
    </row>
    <row r="4988" ht="15.75" customHeight="1">
      <c r="A4988" s="6" t="s">
        <v>8576</v>
      </c>
      <c r="B4988" s="6" t="s">
        <v>8577</v>
      </c>
      <c r="C4988" s="7" t="s">
        <v>8578</v>
      </c>
      <c r="D4988" s="1" t="str">
        <f>IFERROR(__xludf.DUMMYFUNCTION("GOOGLETRANSLATE(A4988 , ""auto"", ""ar"")"),"انها فكرة جيدة")</f>
        <v>انها فكرة جيدة</v>
      </c>
    </row>
    <row r="4989" ht="15.75" customHeight="1">
      <c r="A4989" s="6" t="s">
        <v>8579</v>
      </c>
      <c r="B4989" s="6" t="s">
        <v>8580</v>
      </c>
      <c r="C4989" s="7" t="s">
        <v>8581</v>
      </c>
      <c r="D4989" s="1" t="str">
        <f>IFERROR(__xludf.DUMMYFUNCTION("GOOGLETRANSLATE(A4989 , ""auto"", ""ar"")"),"اريد الاستمتاع")</f>
        <v>اريد الاستمتاع</v>
      </c>
    </row>
    <row r="4990" ht="15.75" customHeight="1">
      <c r="A4990" s="6" t="s">
        <v>8579</v>
      </c>
      <c r="B4990" s="6" t="s">
        <v>8582</v>
      </c>
      <c r="C4990" s="7" t="s">
        <v>8583</v>
      </c>
      <c r="D4990" s="1" t="str">
        <f>IFERROR(__xludf.DUMMYFUNCTION("GOOGLETRANSLATE(A4990 , ""auto"", ""ar"")"),"اريد الاستمتاع")</f>
        <v>اريد الاستمتاع</v>
      </c>
    </row>
    <row r="4991" ht="15.75" customHeight="1">
      <c r="A4991" s="6" t="s">
        <v>8584</v>
      </c>
      <c r="B4991" s="6" t="s">
        <v>8585</v>
      </c>
      <c r="C4991" s="7" t="s">
        <v>8586</v>
      </c>
      <c r="D4991" s="1" t="str">
        <f>IFERROR(__xludf.DUMMYFUNCTION("GOOGLETRANSLATE(A4991 , ""auto"", ""ar"")"),"انها ليست فكرة جيدة")</f>
        <v>انها ليست فكرة جيدة</v>
      </c>
    </row>
    <row r="4992" ht="15.75" customHeight="1">
      <c r="A4992" s="6" t="s">
        <v>8587</v>
      </c>
      <c r="B4992" s="6" t="s">
        <v>8588</v>
      </c>
      <c r="C4992" s="7" t="s">
        <v>8589</v>
      </c>
      <c r="D4992" s="1" t="str">
        <f>IFERROR(__xludf.DUMMYFUNCTION("GOOGLETRANSLATE(A4992 , ""auto"", ""ar"")"),"لا أريد الخروج الليلة")</f>
        <v>لا أريد الخروج الليلة</v>
      </c>
    </row>
    <row r="4993" ht="15.75" customHeight="1">
      <c r="A4993" s="6" t="s">
        <v>8587</v>
      </c>
      <c r="B4993" s="6" t="s">
        <v>8590</v>
      </c>
      <c r="C4993" s="7" t="s">
        <v>8591</v>
      </c>
      <c r="D4993" s="1" t="str">
        <f>IFERROR(__xludf.DUMMYFUNCTION("GOOGLETRANSLATE(A4993 , ""auto"", ""ar"")"),"لا أريد الخروج الليلة")</f>
        <v>لا أريد الخروج الليلة</v>
      </c>
    </row>
    <row r="4994" ht="15.75" customHeight="1">
      <c r="A4994" s="6" t="s">
        <v>8592</v>
      </c>
      <c r="B4994" s="6" t="s">
        <v>8593</v>
      </c>
      <c r="C4994" s="7" t="s">
        <v>8594</v>
      </c>
      <c r="D4994" s="1" t="str">
        <f>IFERROR(__xludf.DUMMYFUNCTION("GOOGLETRANSLATE(A4994 , ""auto"", ""ar"")"),"اريد الراحة")</f>
        <v>اريد الراحة</v>
      </c>
    </row>
    <row r="4995" ht="15.75" customHeight="1">
      <c r="A4995" s="6" t="s">
        <v>8592</v>
      </c>
      <c r="B4995" s="6" t="s">
        <v>8155</v>
      </c>
      <c r="C4995" s="7" t="s">
        <v>8594</v>
      </c>
      <c r="D4995" s="1" t="str">
        <f>IFERROR(__xludf.DUMMYFUNCTION("GOOGLETRANSLATE(A4995 , ""auto"", ""ar"")"),"اريد الراحة")</f>
        <v>اريد الراحة</v>
      </c>
    </row>
    <row r="4996" ht="15.75" customHeight="1">
      <c r="A4996" s="6" t="s">
        <v>8595</v>
      </c>
      <c r="B4996" s="6" t="s">
        <v>8596</v>
      </c>
      <c r="C4996" s="7" t="s">
        <v>8597</v>
      </c>
      <c r="D4996" s="1" t="str">
        <f>IFERROR(__xludf.DUMMYFUNCTION("GOOGLETRANSLATE(A4996 , ""auto"", ""ar"")"),"هل ترغب في القيام ببعض الرياضة؟")</f>
        <v>هل ترغب في القيام ببعض الرياضة؟</v>
      </c>
    </row>
    <row r="4997" ht="15.75" customHeight="1">
      <c r="A4997" s="6" t="s">
        <v>8598</v>
      </c>
      <c r="B4997" s="6" t="s">
        <v>8599</v>
      </c>
      <c r="C4997" s="7" t="s">
        <v>8600</v>
      </c>
      <c r="D4997" s="1" t="str">
        <f>IFERROR(__xludf.DUMMYFUNCTION("GOOGLETRANSLATE(A4997 , ""auto"", ""ar"")"),"نعم ، أنا بحاجة للاسترخاء")</f>
        <v>نعم ، أنا بحاجة للاسترخاء</v>
      </c>
    </row>
    <row r="4998" ht="15.75" customHeight="1">
      <c r="A4998" s="6" t="s">
        <v>8601</v>
      </c>
      <c r="B4998" s="6" t="s">
        <v>8602</v>
      </c>
      <c r="C4998" s="7" t="s">
        <v>8603</v>
      </c>
      <c r="D4998" s="1" t="str">
        <f>IFERROR(__xludf.DUMMYFUNCTION("GOOGLETRANSLATE(A4998 , ""auto"", ""ar"")"),"انا العب التنس")</f>
        <v>انا العب التنس</v>
      </c>
    </row>
    <row r="4999" ht="15.75" customHeight="1">
      <c r="A4999" s="6" t="s">
        <v>8604</v>
      </c>
      <c r="B4999" s="6" t="s">
        <v>8605</v>
      </c>
      <c r="C4999" s="7" t="s">
        <v>8606</v>
      </c>
      <c r="D4999" s="1" t="str">
        <f>IFERROR(__xludf.DUMMYFUNCTION("GOOGLETRANSLATE(A4999 , ""auto"", ""ar"")"),"ًلا شكرا. أنا متعب بالفعل")</f>
        <v>ًلا شكرا. أنا متعب بالفعل</v>
      </c>
    </row>
    <row r="5000" ht="15.75" customHeight="1">
      <c r="A5000" s="6" t="s">
        <v>8604</v>
      </c>
      <c r="B5000" s="6" t="s">
        <v>8155</v>
      </c>
      <c r="C5000" s="7" t="s">
        <v>8606</v>
      </c>
      <c r="D5000" s="1" t="str">
        <f>IFERROR(__xludf.DUMMYFUNCTION("GOOGLETRANSLATE(A5000 , ""auto"", ""ar"")"),"ًلا شكرا. أنا متعب بالفعل")</f>
        <v>ًلا شكرا. أنا متعب بالفعل</v>
      </c>
    </row>
    <row r="5001" ht="15.75" customHeight="1">
      <c r="A5001" s="6" t="s">
        <v>8607</v>
      </c>
      <c r="B5001" s="6" t="s">
        <v>8608</v>
      </c>
      <c r="C5001" s="7" t="s">
        <v>8609</v>
      </c>
      <c r="D5001" s="1" t="str">
        <f>IFERROR(__xludf.DUMMYFUNCTION("GOOGLETRANSLATE(A5001 , ""auto"", ""ar"")"),"الحانة")</f>
        <v>الحانة</v>
      </c>
    </row>
    <row r="5002" ht="15.75" customHeight="1">
      <c r="A5002" s="6" t="s">
        <v>8610</v>
      </c>
      <c r="B5002" s="6" t="s">
        <v>8611</v>
      </c>
      <c r="C5002" s="7" t="s">
        <v>8612</v>
      </c>
      <c r="D5002" s="1" t="str">
        <f>IFERROR(__xludf.DUMMYFUNCTION("GOOGLETRANSLATE(A5002 , ""auto"", ""ar"")"),"تريد أن يكون شراب؟")</f>
        <v>تريد أن يكون شراب؟</v>
      </c>
    </row>
    <row r="5003" ht="15.75" customHeight="1">
      <c r="A5003" s="6" t="s">
        <v>8610</v>
      </c>
      <c r="B5003" s="6" t="s">
        <v>8613</v>
      </c>
      <c r="C5003" s="7" t="s">
        <v>8614</v>
      </c>
      <c r="D5003" s="1" t="str">
        <f>IFERROR(__xludf.DUMMYFUNCTION("GOOGLETRANSLATE(A5003 , ""auto"", ""ar"")"),"تريد أن يكون شراب؟")</f>
        <v>تريد أن يكون شراب؟</v>
      </c>
    </row>
    <row r="5004" ht="15.75" customHeight="1">
      <c r="A5004" s="6" t="s">
        <v>8615</v>
      </c>
      <c r="B5004" s="6" t="s">
        <v>8616</v>
      </c>
      <c r="C5004" s="7" t="s">
        <v>8617</v>
      </c>
      <c r="D5004" s="1" t="str">
        <f>IFERROR(__xludf.DUMMYFUNCTION("GOOGLETRANSLATE(A5004 , ""auto"", ""ar"")"),"ليشرب")</f>
        <v>ليشرب</v>
      </c>
    </row>
    <row r="5005" ht="15.75" customHeight="1">
      <c r="A5005" s="6" t="s">
        <v>8618</v>
      </c>
      <c r="B5005" s="6" t="s">
        <v>8619</v>
      </c>
      <c r="C5005" s="7" t="s">
        <v>8620</v>
      </c>
      <c r="D5005" s="1" t="str">
        <f>IFERROR(__xludf.DUMMYFUNCTION("GOOGLETRANSLATE(A5005 , ""auto"", ""ar"")"),"زجاج")</f>
        <v>زجاج</v>
      </c>
    </row>
    <row r="5006" ht="15.75" customHeight="1">
      <c r="A5006" s="6" t="s">
        <v>8621</v>
      </c>
      <c r="B5006" s="6" t="s">
        <v>8622</v>
      </c>
      <c r="C5006" s="7" t="s">
        <v>8623</v>
      </c>
      <c r="D5006" s="1" t="str">
        <f>IFERROR(__xludf.DUMMYFUNCTION("GOOGLETRANSLATE(A5006 , ""auto"", ""ar"")"),"بكل سرور")</f>
        <v>بكل سرور</v>
      </c>
    </row>
    <row r="5007" ht="15.75" customHeight="1">
      <c r="A5007" s="6" t="s">
        <v>8624</v>
      </c>
      <c r="B5007" s="6" t="s">
        <v>8625</v>
      </c>
      <c r="C5007" s="7" t="s">
        <v>8626</v>
      </c>
      <c r="D5007" s="1" t="str">
        <f>IFERROR(__xludf.DUMMYFUNCTION("GOOGLETRANSLATE(A5007 , ""auto"", ""ar"")"),"ماذا تريد؟")</f>
        <v>ماذا تريد؟</v>
      </c>
    </row>
    <row r="5008" ht="15.75" customHeight="1">
      <c r="A5008" s="6" t="s">
        <v>8627</v>
      </c>
      <c r="B5008" s="6" t="s">
        <v>8628</v>
      </c>
      <c r="C5008" s="7" t="s">
        <v>8629</v>
      </c>
      <c r="D5008" s="1" t="str">
        <f>IFERROR(__xludf.DUMMYFUNCTION("GOOGLETRANSLATE(A5008 , ""auto"", ""ar"")"),"هناك ماء أو عصائر الفاكهة")</f>
        <v>هناك ماء أو عصائر الفاكهة</v>
      </c>
    </row>
    <row r="5009" ht="15.75" customHeight="1">
      <c r="A5009" s="6" t="s">
        <v>8630</v>
      </c>
      <c r="B5009" s="6" t="s">
        <v>8631</v>
      </c>
      <c r="C5009" s="7" t="s">
        <v>8632</v>
      </c>
      <c r="D5009" s="1" t="str">
        <f>IFERROR(__xludf.DUMMYFUNCTION("GOOGLETRANSLATE(A5009 , ""auto"", ""ar"")"),"ماء")</f>
        <v>ماء</v>
      </c>
    </row>
    <row r="5010" ht="15.75" customHeight="1">
      <c r="A5010" s="6" t="s">
        <v>8633</v>
      </c>
      <c r="B5010" s="6" t="s">
        <v>8634</v>
      </c>
      <c r="C5010" s="7" t="s">
        <v>8635</v>
      </c>
      <c r="D5010" s="1" t="str">
        <f>IFERROR(__xludf.DUMMYFUNCTION("GOOGLETRANSLATE(A5010 , ""auto"", ""ar"")"),"هل يمكنك إضافة بعض مكعبات الثلج من فضلك؟")</f>
        <v>هل يمكنك إضافة بعض مكعبات الثلج من فضلك؟</v>
      </c>
    </row>
    <row r="5011" ht="15.75" customHeight="1">
      <c r="A5011" s="6" t="s">
        <v>8636</v>
      </c>
      <c r="B5011" s="6" t="s">
        <v>8637</v>
      </c>
      <c r="C5011" s="7" t="s">
        <v>8638</v>
      </c>
      <c r="D5011" s="1" t="str">
        <f>IFERROR(__xludf.DUMMYFUNCTION("GOOGLETRANSLATE(A5011 , ""auto"", ""ar"")"),"مكعبات ثلج")</f>
        <v>مكعبات ثلج</v>
      </c>
    </row>
    <row r="5012" ht="15.75" customHeight="1">
      <c r="A5012" s="6" t="s">
        <v>8639</v>
      </c>
      <c r="B5012" s="6" t="s">
        <v>8640</v>
      </c>
      <c r="C5012" s="7" t="s">
        <v>8641</v>
      </c>
      <c r="D5012" s="1" t="str">
        <f>IFERROR(__xludf.DUMMYFUNCTION("GOOGLETRANSLATE(A5012 , ""auto"", ""ar"")"),"شوكولاتة")</f>
        <v>شوكولاتة</v>
      </c>
    </row>
    <row r="5013" ht="15.75" customHeight="1">
      <c r="A5013" s="6" t="s">
        <v>8642</v>
      </c>
      <c r="B5013" s="6" t="s">
        <v>8643</v>
      </c>
      <c r="C5013" s="7" t="s">
        <v>8644</v>
      </c>
      <c r="D5013" s="1" t="str">
        <f>IFERROR(__xludf.DUMMYFUNCTION("GOOGLETRANSLATE(A5013 , ""auto"", ""ar"")"),"لبن")</f>
        <v>لبن</v>
      </c>
    </row>
    <row r="5014" ht="15.75" customHeight="1">
      <c r="A5014" s="6" t="s">
        <v>8645</v>
      </c>
      <c r="B5014" s="6" t="s">
        <v>8646</v>
      </c>
      <c r="C5014" s="7" t="s">
        <v>6475</v>
      </c>
      <c r="D5014" s="1" t="str">
        <f>IFERROR(__xludf.DUMMYFUNCTION("GOOGLETRANSLATE(A5014 , ""auto"", ""ar"")"),"شاي")</f>
        <v>شاي</v>
      </c>
    </row>
    <row r="5015" ht="15.75" customHeight="1">
      <c r="A5015" s="6" t="s">
        <v>8647</v>
      </c>
      <c r="B5015" s="6" t="s">
        <v>8648</v>
      </c>
      <c r="C5015" s="7" t="s">
        <v>1156</v>
      </c>
      <c r="D5015" s="1" t="str">
        <f>IFERROR(__xludf.DUMMYFUNCTION("GOOGLETRANSLATE(A5015 , ""auto"", ""ar"")"),"قهوة")</f>
        <v>قهوة</v>
      </c>
    </row>
    <row r="5016" ht="15.75" customHeight="1">
      <c r="A5016" s="6" t="s">
        <v>8649</v>
      </c>
      <c r="B5016" s="6" t="s">
        <v>3739</v>
      </c>
      <c r="C5016" s="7" t="s">
        <v>3080</v>
      </c>
      <c r="D5016" s="1" t="str">
        <f>IFERROR(__xludf.DUMMYFUNCTION("GOOGLETRANSLATE(A5016 , ""auto"", ""ar"")"),"مع سكر")</f>
        <v>مع سكر</v>
      </c>
    </row>
    <row r="5017" ht="15.75" customHeight="1">
      <c r="A5017" s="6" t="s">
        <v>8650</v>
      </c>
      <c r="B5017" s="6" t="s">
        <v>8651</v>
      </c>
      <c r="C5017" s="7" t="s">
        <v>8652</v>
      </c>
      <c r="D5017" s="1" t="str">
        <f>IFERROR(__xludf.DUMMYFUNCTION("GOOGLETRANSLATE(A5017 , ""auto"", ""ar"")"),"مع كريمة")</f>
        <v>مع كريمة</v>
      </c>
    </row>
    <row r="5018" ht="15.75" customHeight="1">
      <c r="A5018" s="6" t="s">
        <v>8653</v>
      </c>
      <c r="B5018" s="6" t="s">
        <v>8654</v>
      </c>
      <c r="C5018" s="7" t="s">
        <v>8655</v>
      </c>
      <c r="D5018" s="1" t="str">
        <f>IFERROR(__xludf.DUMMYFUNCTION("GOOGLETRANSLATE(A5018 , ""auto"", ""ar"")"),"خمر")</f>
        <v>خمر</v>
      </c>
    </row>
    <row r="5019" ht="15.75" customHeight="1">
      <c r="A5019" s="6" t="s">
        <v>8656</v>
      </c>
      <c r="B5019" s="6" t="s">
        <v>8657</v>
      </c>
      <c r="C5019" s="7" t="s">
        <v>8658</v>
      </c>
      <c r="D5019" s="1" t="str">
        <f>IFERROR(__xludf.DUMMYFUNCTION("GOOGLETRANSLATE(A5019 , ""auto"", ""ar"")"),"جعة")</f>
        <v>جعة</v>
      </c>
    </row>
    <row r="5020" ht="15.75" customHeight="1">
      <c r="A5020" s="6" t="s">
        <v>8659</v>
      </c>
      <c r="B5020" s="6" t="s">
        <v>8660</v>
      </c>
      <c r="C5020" s="7" t="s">
        <v>8661</v>
      </c>
      <c r="D5020" s="1" t="str">
        <f>IFERROR(__xludf.DUMMYFUNCTION("GOOGLETRANSLATE(A5020 , ""auto"", ""ar"")"),"شاي من فضلك")</f>
        <v>شاي من فضلك</v>
      </c>
    </row>
    <row r="5021" ht="15.75" customHeight="1">
      <c r="A5021" s="6" t="s">
        <v>8662</v>
      </c>
      <c r="B5021" s="6" t="s">
        <v>8663</v>
      </c>
      <c r="C5021" s="7" t="s">
        <v>8664</v>
      </c>
      <c r="D5021" s="1" t="str">
        <f>IFERROR(__xludf.DUMMYFUNCTION("GOOGLETRANSLATE(A5021 , ""auto"", ""ar"")"),"جعة من فضلك")</f>
        <v>جعة من فضلك</v>
      </c>
    </row>
    <row r="5022" ht="15.75" customHeight="1">
      <c r="A5022" s="6" t="s">
        <v>8665</v>
      </c>
      <c r="B5022" s="6" t="s">
        <v>8666</v>
      </c>
      <c r="C5022" s="7" t="s">
        <v>8667</v>
      </c>
      <c r="D5022" s="1" t="str">
        <f>IFERROR(__xludf.DUMMYFUNCTION("GOOGLETRANSLATE(A5022 , ""auto"", ""ar"")"),"ماذا تحب أن تشرب؟")</f>
        <v>ماذا تحب أن تشرب؟</v>
      </c>
    </row>
    <row r="5023" ht="15.75" customHeight="1">
      <c r="A5023" s="6" t="s">
        <v>8668</v>
      </c>
      <c r="B5023" s="6" t="s">
        <v>8669</v>
      </c>
      <c r="C5023" s="7" t="s">
        <v>8670</v>
      </c>
      <c r="D5023" s="1" t="str">
        <f>IFERROR(__xludf.DUMMYFUNCTION("GOOGLETRANSLATE(A5023 , ""auto"", ""ar"")"),"شاي اثنين من فضلك!")</f>
        <v>شاي اثنين من فضلك!</v>
      </c>
    </row>
    <row r="5024" ht="15.75" customHeight="1">
      <c r="A5024" s="6" t="s">
        <v>8671</v>
      </c>
      <c r="B5024" s="6" t="s">
        <v>8672</v>
      </c>
      <c r="C5024" s="7" t="s">
        <v>8673</v>
      </c>
      <c r="D5024" s="1" t="str">
        <f>IFERROR(__xludf.DUMMYFUNCTION("GOOGLETRANSLATE(A5024 , ""auto"", ""ar"")"),"جعتان من فضلك!")</f>
        <v>جعتان من فضلك!</v>
      </c>
    </row>
    <row r="5025" ht="15.75" customHeight="1">
      <c r="A5025" s="6" t="s">
        <v>8674</v>
      </c>
      <c r="B5025" s="6" t="s">
        <v>8675</v>
      </c>
      <c r="C5025" s="7" t="s">
        <v>8676</v>
      </c>
      <c r="D5025" s="1" t="str">
        <f>IFERROR(__xludf.DUMMYFUNCTION("GOOGLETRANSLATE(A5025 , ""auto"", ""ar"")"),"لا شيء بفضل")</f>
        <v>لا شيء بفضل</v>
      </c>
    </row>
    <row r="5026" ht="15.75" customHeight="1">
      <c r="A5026" s="6" t="s">
        <v>8677</v>
      </c>
      <c r="B5026" s="6" t="s">
        <v>8678</v>
      </c>
      <c r="C5026" s="7" t="s">
        <v>8679</v>
      </c>
      <c r="D5026" s="1" t="str">
        <f>IFERROR(__xludf.DUMMYFUNCTION("GOOGLETRANSLATE(A5026 , ""auto"", ""ar"")"),"هتافات!")</f>
        <v>هتافات!</v>
      </c>
    </row>
    <row r="5027" ht="15.75" customHeight="1">
      <c r="A5027" s="6" t="s">
        <v>8677</v>
      </c>
      <c r="B5027" s="6" t="s">
        <v>8680</v>
      </c>
      <c r="C5027" s="7" t="s">
        <v>8681</v>
      </c>
      <c r="D5027" s="1" t="str">
        <f>IFERROR(__xludf.DUMMYFUNCTION("GOOGLETRANSLATE(A5027 , ""auto"", ""ar"")"),"هتافات!")</f>
        <v>هتافات!</v>
      </c>
    </row>
    <row r="5028" ht="15.75" customHeight="1">
      <c r="A5028" s="6" t="s">
        <v>8682</v>
      </c>
      <c r="B5028" s="6" t="s">
        <v>8683</v>
      </c>
      <c r="C5028" s="7" t="s">
        <v>8684</v>
      </c>
      <c r="D5028" s="1" t="str">
        <f>IFERROR(__xludf.DUMMYFUNCTION("GOOGLETRANSLATE(A5028 , ""auto"", ""ar"")"),"هل يمكننا الحصول على الفاتورة رجاءا؟")</f>
        <v>هل يمكننا الحصول على الفاتورة رجاءا؟</v>
      </c>
    </row>
    <row r="5029" ht="15.75" customHeight="1">
      <c r="A5029" s="6" t="s">
        <v>8685</v>
      </c>
      <c r="B5029" s="6" t="s">
        <v>8686</v>
      </c>
      <c r="C5029" s="7" t="s">
        <v>8687</v>
      </c>
      <c r="D5029" s="1" t="str">
        <f>IFERROR(__xludf.DUMMYFUNCTION("GOOGLETRANSLATE(A5029 , ""auto"", ""ar"")"),"معذرة ، كم أنا مدين؟")</f>
        <v>معذرة ، كم أنا مدين؟</v>
      </c>
    </row>
    <row r="5030" ht="15.75" customHeight="1">
      <c r="A5030" s="6" t="s">
        <v>8688</v>
      </c>
      <c r="B5030" s="6" t="s">
        <v>8689</v>
      </c>
      <c r="C5030" s="7" t="s">
        <v>8690</v>
      </c>
      <c r="D5030" s="1" t="str">
        <f>IFERROR(__xludf.DUMMYFUNCTION("GOOGLETRANSLATE(A5030 , ""auto"", ""ar"")"),"عشرون يورو")</f>
        <v>عشرون يورو</v>
      </c>
    </row>
    <row r="5031" ht="15.75" customHeight="1">
      <c r="A5031" s="6" t="s">
        <v>8691</v>
      </c>
      <c r="B5031" s="6" t="s">
        <v>8692</v>
      </c>
      <c r="C5031" s="7" t="s">
        <v>8693</v>
      </c>
      <c r="D5031" s="1" t="str">
        <f>IFERROR(__xludf.DUMMYFUNCTION("GOOGLETRANSLATE(A5031 , ""auto"", ""ar"")"),"دعه علي")</f>
        <v>دعه علي</v>
      </c>
    </row>
    <row r="5032" ht="15.75" customHeight="1">
      <c r="A5032" s="6" t="s">
        <v>8694</v>
      </c>
      <c r="B5032" s="6" t="s">
        <v>8695</v>
      </c>
      <c r="C5032" s="7" t="s">
        <v>8696</v>
      </c>
      <c r="D5032" s="1" t="str">
        <f>IFERROR(__xludf.DUMMYFUNCTION("GOOGLETRANSLATE(A5032 , ""auto"", ""ar"")"),"المطعم")</f>
        <v>المطعم</v>
      </c>
    </row>
    <row r="5033" ht="15.75" customHeight="1">
      <c r="A5033" s="6" t="s">
        <v>8697</v>
      </c>
      <c r="B5033" s="6" t="s">
        <v>8698</v>
      </c>
      <c r="C5033" s="7" t="s">
        <v>8699</v>
      </c>
      <c r="D5033" s="1" t="str">
        <f>IFERROR(__xludf.DUMMYFUNCTION("GOOGLETRANSLATE(A5033 , ""auto"", ""ar"")"),"هل ترغب في أكل؟")</f>
        <v>هل ترغب في أكل؟</v>
      </c>
    </row>
    <row r="5034" ht="15.75" customHeight="1">
      <c r="A5034" s="6" t="s">
        <v>8700</v>
      </c>
      <c r="B5034" s="6" t="s">
        <v>8701</v>
      </c>
      <c r="C5034" s="7" t="s">
        <v>8702</v>
      </c>
      <c r="D5034" s="1" t="str">
        <f>IFERROR(__xludf.DUMMYFUNCTION("GOOGLETRANSLATE(A5034 , ""auto"", ""ar"")"),"نعم بكل سرور")</f>
        <v>نعم بكل سرور</v>
      </c>
    </row>
    <row r="5035" ht="15.75" customHeight="1">
      <c r="A5035" s="6" t="s">
        <v>8703</v>
      </c>
      <c r="B5035" s="6" t="s">
        <v>8704</v>
      </c>
      <c r="C5035" s="7" t="s">
        <v>8705</v>
      </c>
      <c r="D5035" s="1" t="str">
        <f>IFERROR(__xludf.DUMMYFUNCTION("GOOGLETRANSLATE(A5035 , ""auto"", ""ar"")"),"لتناول الطعام")</f>
        <v>لتناول الطعام</v>
      </c>
    </row>
    <row r="5036" ht="15.75" customHeight="1">
      <c r="A5036" s="6" t="s">
        <v>8706</v>
      </c>
      <c r="B5036" s="6" t="s">
        <v>8707</v>
      </c>
      <c r="C5036" s="7" t="s">
        <v>8708</v>
      </c>
      <c r="D5036" s="1" t="str">
        <f>IFERROR(__xludf.DUMMYFUNCTION("GOOGLETRANSLATE(A5036 , ""auto"", ""ar"")"),"أين نأكل؟")</f>
        <v>أين نأكل؟</v>
      </c>
    </row>
    <row r="5037" ht="15.75" customHeight="1">
      <c r="A5037" s="6" t="s">
        <v>8709</v>
      </c>
      <c r="B5037" s="6" t="s">
        <v>8710</v>
      </c>
      <c r="C5037" s="7" t="s">
        <v>8711</v>
      </c>
      <c r="D5037" s="1" t="str">
        <f>IFERROR(__xludf.DUMMYFUNCTION("GOOGLETRANSLATE(A5037 , ""auto"", ""ar"")"),"أين يمكن أن نتناول الغداء؟")</f>
        <v>أين يمكن أن نتناول الغداء؟</v>
      </c>
    </row>
    <row r="5038" ht="15.75" customHeight="1">
      <c r="A5038" s="6" t="s">
        <v>8712</v>
      </c>
      <c r="B5038" s="6" t="s">
        <v>8713</v>
      </c>
      <c r="C5038" s="7" t="s">
        <v>8714</v>
      </c>
      <c r="D5038" s="1" t="str">
        <f>IFERROR(__xludf.DUMMYFUNCTION("GOOGLETRANSLATE(A5038 , ""auto"", ""ar"")"),"عشاء")</f>
        <v>عشاء</v>
      </c>
    </row>
    <row r="5039" ht="15.75" customHeight="1">
      <c r="A5039" s="6" t="s">
        <v>8715</v>
      </c>
      <c r="B5039" s="6" t="s">
        <v>8716</v>
      </c>
      <c r="C5039" s="7" t="s">
        <v>8717</v>
      </c>
      <c r="D5039" s="1" t="str">
        <f>IFERROR(__xludf.DUMMYFUNCTION("GOOGLETRANSLATE(A5039 , ""auto"", ""ar"")"),"إفطار")</f>
        <v>إفطار</v>
      </c>
    </row>
    <row r="5040" ht="15.75" customHeight="1">
      <c r="A5040" s="6" t="s">
        <v>8718</v>
      </c>
      <c r="B5040" s="6" t="s">
        <v>8091</v>
      </c>
      <c r="C5040" s="8" t="s">
        <v>8719</v>
      </c>
      <c r="D5040" s="1" t="str">
        <f>IFERROR(__xludf.DUMMYFUNCTION("GOOGLETRANSLATE(A5040 , ""auto"", ""ar"")"),"اعذرني!")</f>
        <v>اعذرني!</v>
      </c>
    </row>
    <row r="5041" ht="15.75" customHeight="1">
      <c r="A5041" s="6" t="s">
        <v>8720</v>
      </c>
      <c r="B5041" s="6" t="s">
        <v>8721</v>
      </c>
      <c r="C5041" s="8" t="s">
        <v>8722</v>
      </c>
      <c r="D5041" s="1" t="str">
        <f>IFERROR(__xludf.DUMMYFUNCTION("GOOGLETRANSLATE(A5041 , ""auto"", ""ar"")"),"القائمة الرجاء")</f>
        <v>القائمة الرجاء</v>
      </c>
    </row>
    <row r="5042" ht="15.75" customHeight="1">
      <c r="A5042" s="6" t="s">
        <v>8723</v>
      </c>
      <c r="B5042" s="6" t="s">
        <v>8724</v>
      </c>
      <c r="C5042" s="7" t="s">
        <v>8725</v>
      </c>
      <c r="D5042" s="1" t="str">
        <f>IFERROR(__xludf.DUMMYFUNCTION("GOOGLETRANSLATE(A5042 , ""auto"", ""ar"")"),"ها هي القائمة")</f>
        <v>ها هي القائمة</v>
      </c>
    </row>
    <row r="5043" ht="15.75" customHeight="1">
      <c r="A5043" s="6" t="s">
        <v>8726</v>
      </c>
      <c r="B5043" s="6" t="s">
        <v>8727</v>
      </c>
      <c r="C5043" s="7" t="s">
        <v>8728</v>
      </c>
      <c r="D5043" s="1" t="str">
        <f>IFERROR(__xludf.DUMMYFUNCTION("GOOGLETRANSLATE(A5043 , ""auto"", ""ar"")"),"ماذا تفضل أن تأكل؟ اللحم أو السمك؟")</f>
        <v>ماذا تفضل أن تأكل؟ اللحم أو السمك؟</v>
      </c>
    </row>
    <row r="5044" ht="15.75" customHeight="1">
      <c r="A5044" s="6" t="s">
        <v>8726</v>
      </c>
      <c r="B5044" s="6" t="s">
        <v>8729</v>
      </c>
      <c r="C5044" s="7" t="s">
        <v>8730</v>
      </c>
      <c r="D5044" s="1" t="str">
        <f>IFERROR(__xludf.DUMMYFUNCTION("GOOGLETRANSLATE(A5044 , ""auto"", ""ar"")"),"ماذا تفضل أن تأكل؟ اللحم أو السمك؟")</f>
        <v>ماذا تفضل أن تأكل؟ اللحم أو السمك؟</v>
      </c>
    </row>
    <row r="5045" ht="15.75" customHeight="1">
      <c r="A5045" s="6" t="s">
        <v>8731</v>
      </c>
      <c r="B5045" s="6" t="s">
        <v>8732</v>
      </c>
      <c r="C5045" s="7" t="s">
        <v>8733</v>
      </c>
      <c r="D5045" s="1" t="str">
        <f>IFERROR(__xludf.DUMMYFUNCTION("GOOGLETRANSLATE(A5045 , ""auto"", ""ar"")"),"بالأرز")</f>
        <v>بالأرز</v>
      </c>
    </row>
    <row r="5046" ht="15.75" customHeight="1">
      <c r="A5046" s="6" t="s">
        <v>8734</v>
      </c>
      <c r="B5046" s="6" t="s">
        <v>8735</v>
      </c>
      <c r="C5046" s="7" t="s">
        <v>8736</v>
      </c>
      <c r="D5046" s="1" t="str">
        <f>IFERROR(__xludf.DUMMYFUNCTION("GOOGLETRANSLATE(A5046 , ""auto"", ""ar"")"),"مع المعكرونة")</f>
        <v>مع المعكرونة</v>
      </c>
    </row>
    <row r="5047" ht="15.75" customHeight="1">
      <c r="A5047" s="6" t="s">
        <v>8737</v>
      </c>
      <c r="B5047" s="6" t="s">
        <v>8738</v>
      </c>
      <c r="C5047" s="7" t="s">
        <v>8739</v>
      </c>
      <c r="D5047" s="1" t="str">
        <f>IFERROR(__xludf.DUMMYFUNCTION("GOOGLETRANSLATE(A5047 , ""auto"", ""ar"")"),"بطاطا")</f>
        <v>بطاطا</v>
      </c>
    </row>
    <row r="5048" ht="15.75" customHeight="1">
      <c r="A5048" s="6" t="s">
        <v>8740</v>
      </c>
      <c r="B5048" s="6" t="s">
        <v>8741</v>
      </c>
      <c r="C5048" s="7" t="s">
        <v>8742</v>
      </c>
      <c r="D5048" s="1" t="str">
        <f>IFERROR(__xludf.DUMMYFUNCTION("GOOGLETRANSLATE(A5048 , ""auto"", ""ar"")"),"خضروات")</f>
        <v>خضروات</v>
      </c>
    </row>
    <row r="5049" ht="15.75" customHeight="1">
      <c r="A5049" s="6" t="s">
        <v>8743</v>
      </c>
      <c r="B5049" s="6" t="s">
        <v>8744</v>
      </c>
      <c r="C5049" s="7" t="s">
        <v>8745</v>
      </c>
      <c r="D5049" s="1" t="str">
        <f>IFERROR(__xludf.DUMMYFUNCTION("GOOGLETRANSLATE(A5049 , ""auto"", ""ar"")"),"البيض المخفوق - البيض المقلي - أو بيضة مسلوقة")</f>
        <v>البيض المخفوق - البيض المقلي - أو بيضة مسلوقة</v>
      </c>
    </row>
    <row r="5050" ht="15.75" customHeight="1">
      <c r="A5050" s="6" t="s">
        <v>8746</v>
      </c>
      <c r="B5050" s="6" t="s">
        <v>8747</v>
      </c>
      <c r="C5050" s="7" t="s">
        <v>8748</v>
      </c>
      <c r="D5050" s="1" t="str">
        <f>IFERROR(__xludf.DUMMYFUNCTION("GOOGLETRANSLATE(A5050 , ""auto"", ""ar"")"),"خبز")</f>
        <v>خبز</v>
      </c>
    </row>
    <row r="5051" ht="15.75" customHeight="1">
      <c r="A5051" s="6" t="s">
        <v>8749</v>
      </c>
      <c r="B5051" s="6" t="s">
        <v>1128</v>
      </c>
      <c r="C5051" s="7" t="s">
        <v>1129</v>
      </c>
      <c r="D5051" s="1" t="str">
        <f>IFERROR(__xludf.DUMMYFUNCTION("GOOGLETRANSLATE(A5051 , ""auto"", ""ar"")"),"سمنة")</f>
        <v>سمنة</v>
      </c>
    </row>
    <row r="5052" ht="15.75" customHeight="1">
      <c r="A5052" s="6" t="s">
        <v>8750</v>
      </c>
      <c r="B5052" s="6" t="s">
        <v>8751</v>
      </c>
      <c r="C5052" s="7" t="s">
        <v>4752</v>
      </c>
      <c r="D5052" s="1" t="str">
        <f>IFERROR(__xludf.DUMMYFUNCTION("GOOGLETRANSLATE(A5052 , ""auto"", ""ar"")"),"سلطة")</f>
        <v>سلطة</v>
      </c>
    </row>
    <row r="5053" ht="15.75" customHeight="1">
      <c r="A5053" s="6" t="s">
        <v>8752</v>
      </c>
      <c r="B5053" s="6" t="s">
        <v>8753</v>
      </c>
      <c r="C5053" s="7" t="s">
        <v>2030</v>
      </c>
      <c r="D5053" s="1" t="str">
        <f>IFERROR(__xludf.DUMMYFUNCTION("GOOGLETRANSLATE(A5053 , ""auto"", ""ar"")"),"حَلوَى")</f>
        <v>حَلوَى</v>
      </c>
    </row>
    <row r="5054" ht="15.75" customHeight="1">
      <c r="A5054" s="6" t="s">
        <v>8754</v>
      </c>
      <c r="B5054" s="6" t="s">
        <v>8755</v>
      </c>
      <c r="C5054" s="7" t="s">
        <v>8756</v>
      </c>
      <c r="D5054" s="1" t="str">
        <f>IFERROR(__xludf.DUMMYFUNCTION("GOOGLETRANSLATE(A5054 , ""auto"", ""ar"")"),"فاكهة")</f>
        <v>فاكهة</v>
      </c>
    </row>
    <row r="5055" ht="15.75" customHeight="1">
      <c r="A5055" s="6" t="s">
        <v>8757</v>
      </c>
      <c r="B5055" s="6" t="s">
        <v>8758</v>
      </c>
      <c r="C5055" s="7" t="s">
        <v>8759</v>
      </c>
      <c r="D5055" s="1" t="str">
        <f>IFERROR(__xludf.DUMMYFUNCTION("GOOGLETRANSLATE(A5055 , ""auto"", ""ar"")"),"هل يمكنني الحصول على سكين من فضلك؟")</f>
        <v>هل يمكنني الحصول على سكين من فضلك؟</v>
      </c>
    </row>
    <row r="5056" ht="15.75" customHeight="1">
      <c r="A5056" s="6" t="s">
        <v>8760</v>
      </c>
      <c r="B5056" s="6" t="s">
        <v>8761</v>
      </c>
      <c r="C5056" s="7" t="s">
        <v>8762</v>
      </c>
      <c r="D5056" s="1" t="str">
        <f>IFERROR(__xludf.DUMMYFUNCTION("GOOGLETRANSLATE(A5056 , ""auto"", ""ar"")"),"نعم ، سأحضرها لك على الفور")</f>
        <v>نعم ، سأحضرها لك على الفور</v>
      </c>
    </row>
    <row r="5057" ht="15.75" customHeight="1">
      <c r="A5057" s="6" t="s">
        <v>8763</v>
      </c>
      <c r="B5057" s="6" t="s">
        <v>8764</v>
      </c>
      <c r="C5057" s="7" t="s">
        <v>4126</v>
      </c>
      <c r="D5057" s="1" t="str">
        <f>IFERROR(__xludf.DUMMYFUNCTION("GOOGLETRANSLATE(A5057 , ""auto"", ""ar"")"),"سكين")</f>
        <v>سكين</v>
      </c>
    </row>
    <row r="5058" ht="15.75" customHeight="1">
      <c r="A5058" s="6" t="s">
        <v>8765</v>
      </c>
      <c r="B5058" s="6" t="s">
        <v>8766</v>
      </c>
      <c r="C5058" s="7" t="s">
        <v>8767</v>
      </c>
      <c r="D5058" s="1" t="str">
        <f>IFERROR(__xludf.DUMMYFUNCTION("GOOGLETRANSLATE(A5058 , ""auto"", ""ar"")"),"شوكة")</f>
        <v>شوكة</v>
      </c>
    </row>
    <row r="5059" ht="15.75" customHeight="1">
      <c r="A5059" s="6" t="s">
        <v>8768</v>
      </c>
      <c r="B5059" s="6" t="s">
        <v>8769</v>
      </c>
      <c r="C5059" s="7" t="s">
        <v>6114</v>
      </c>
      <c r="D5059" s="1" t="str">
        <f>IFERROR(__xludf.DUMMYFUNCTION("GOOGLETRANSLATE(A5059 , ""auto"", ""ar"")"),"ملعقة")</f>
        <v>ملعقة</v>
      </c>
    </row>
    <row r="5060" ht="15.75" customHeight="1">
      <c r="A5060" s="6" t="s">
        <v>8770</v>
      </c>
      <c r="B5060" s="6" t="s">
        <v>8771</v>
      </c>
      <c r="C5060" s="7" t="s">
        <v>8772</v>
      </c>
      <c r="D5060" s="1" t="str">
        <f>IFERROR(__xludf.DUMMYFUNCTION("GOOGLETRANSLATE(A5060 , ""auto"", ""ar"")"),"هل هو طبق دافئ؟")</f>
        <v>هل هو طبق دافئ؟</v>
      </c>
    </row>
    <row r="5061" ht="15.75" customHeight="1">
      <c r="A5061" s="6" t="s">
        <v>8773</v>
      </c>
      <c r="B5061" s="6" t="s">
        <v>8774</v>
      </c>
      <c r="C5061" s="8" t="s">
        <v>8775</v>
      </c>
      <c r="D5061" s="1" t="str">
        <f>IFERROR(__xludf.DUMMYFUNCTION("GOOGLETRANSLATE(A5061 , ""auto"", ""ar"")"),"نعم ، حار جدا أيضا!")</f>
        <v>نعم ، حار جدا أيضا!</v>
      </c>
    </row>
    <row r="5062" ht="15.75" customHeight="1">
      <c r="A5062" s="6" t="s">
        <v>8776</v>
      </c>
      <c r="B5062" s="6" t="s">
        <v>8777</v>
      </c>
      <c r="C5062" s="7" t="s">
        <v>3653</v>
      </c>
      <c r="D5062" s="1" t="str">
        <f>IFERROR(__xludf.DUMMYFUNCTION("GOOGLETRANSLATE(A5062 , ""auto"", ""ar"")"),"دافيء")</f>
        <v>دافيء</v>
      </c>
    </row>
    <row r="5063" ht="15.75" customHeight="1">
      <c r="A5063" s="6" t="s">
        <v>8778</v>
      </c>
      <c r="B5063" s="6" t="s">
        <v>8779</v>
      </c>
      <c r="C5063" s="7" t="s">
        <v>1570</v>
      </c>
      <c r="D5063" s="1" t="str">
        <f>IFERROR(__xludf.DUMMYFUNCTION("GOOGLETRANSLATE(A5063 , ""auto"", ""ar"")"),"بارد")</f>
        <v>بارد</v>
      </c>
    </row>
    <row r="5064" ht="15.75" customHeight="1">
      <c r="A5064" s="6" t="s">
        <v>8780</v>
      </c>
      <c r="B5064" s="6" t="s">
        <v>8781</v>
      </c>
      <c r="C5064" s="7" t="s">
        <v>3658</v>
      </c>
      <c r="D5064" s="1" t="str">
        <f>IFERROR(__xludf.DUMMYFUNCTION("GOOGLETRANSLATE(A5064 , ""auto"", ""ar"")"),"حار")</f>
        <v>حار</v>
      </c>
    </row>
    <row r="5065" ht="15.75" customHeight="1">
      <c r="A5065" s="6" t="s">
        <v>8782</v>
      </c>
      <c r="B5065" s="6" t="s">
        <v>8783</v>
      </c>
      <c r="C5065" s="7" t="s">
        <v>8784</v>
      </c>
      <c r="D5065" s="1" t="str">
        <f>IFERROR(__xludf.DUMMYFUNCTION("GOOGLETRANSLATE(A5065 , ""auto"", ""ar"")"),"سآخذ سمكة")</f>
        <v>سآخذ سمكة</v>
      </c>
    </row>
    <row r="5066" ht="15.75" customHeight="1">
      <c r="A5066" s="6" t="s">
        <v>8785</v>
      </c>
      <c r="B5066" s="6" t="s">
        <v>8786</v>
      </c>
      <c r="C5066" s="7" t="s">
        <v>8787</v>
      </c>
      <c r="D5066" s="1" t="str">
        <f>IFERROR(__xludf.DUMMYFUNCTION("GOOGLETRANSLATE(A5066 , ""auto"", ""ar"")"),"أنا أيضاً")</f>
        <v>أنا أيضاً</v>
      </c>
    </row>
    <row r="5067" ht="15.75" customHeight="1">
      <c r="A5067" s="6" t="s">
        <v>8788</v>
      </c>
      <c r="B5067" s="6" t="s">
        <v>8789</v>
      </c>
      <c r="C5067" s="7" t="s">
        <v>8790</v>
      </c>
      <c r="D5067" s="1" t="str">
        <f>IFERROR(__xludf.DUMMYFUNCTION("GOOGLETRANSLATE(A5067 , ""auto"", ""ar"")"),"إنه متأخر ، يجب أن أذهب!")</f>
        <v>إنه متأخر ، يجب أن أذهب!</v>
      </c>
    </row>
    <row r="5068" ht="15.75" customHeight="1">
      <c r="A5068" s="6" t="s">
        <v>8791</v>
      </c>
      <c r="B5068" s="6" t="s">
        <v>8792</v>
      </c>
      <c r="C5068" s="7" t="s">
        <v>8793</v>
      </c>
      <c r="D5068" s="1" t="str">
        <f>IFERROR(__xludf.DUMMYFUNCTION("GOOGLETRANSLATE(A5068 , ""auto"", ""ar"")"),"هل نلتقي مرة أخرى؟")</f>
        <v>هل نلتقي مرة أخرى؟</v>
      </c>
    </row>
    <row r="5069" ht="15.75" customHeight="1">
      <c r="A5069" s="6" t="s">
        <v>8794</v>
      </c>
      <c r="B5069" s="6" t="s">
        <v>8103</v>
      </c>
      <c r="C5069" s="7" t="s">
        <v>2027</v>
      </c>
      <c r="D5069" s="1" t="str">
        <f>IFERROR(__xludf.DUMMYFUNCTION("GOOGLETRANSLATE(A5069 , ""auto"", ""ar"")"),"نعم بكل سرور")</f>
        <v>نعم بكل سرور</v>
      </c>
    </row>
    <row r="5070" ht="15.75" customHeight="1">
      <c r="A5070" s="6" t="s">
        <v>8795</v>
      </c>
      <c r="B5070" s="6" t="s">
        <v>8796</v>
      </c>
      <c r="C5070" s="7" t="s">
        <v>8797</v>
      </c>
      <c r="D5070" s="1" t="str">
        <f>IFERROR(__xludf.DUMMYFUNCTION("GOOGLETRANSLATE(A5070 , ""auto"", ""ar"")"),"هذا عنواني")</f>
        <v>هذا عنواني</v>
      </c>
    </row>
    <row r="5071" ht="15.75" customHeight="1">
      <c r="A5071" s="6" t="s">
        <v>8798</v>
      </c>
      <c r="B5071" s="6" t="s">
        <v>8799</v>
      </c>
      <c r="C5071" s="7" t="s">
        <v>8800</v>
      </c>
      <c r="D5071" s="1" t="str">
        <f>IFERROR(__xludf.DUMMYFUNCTION("GOOGLETRANSLATE(A5071 , ""auto"", ""ar"")"),"هل لديك رقم هاتف؟")</f>
        <v>هل لديك رقم هاتف؟</v>
      </c>
    </row>
    <row r="5072" ht="15.75" customHeight="1">
      <c r="A5072" s="6" t="s">
        <v>8801</v>
      </c>
      <c r="B5072" s="6" t="s">
        <v>8802</v>
      </c>
      <c r="C5072" s="7" t="s">
        <v>8803</v>
      </c>
      <c r="D5072" s="1" t="str">
        <f>IFERROR(__xludf.DUMMYFUNCTION("GOOGLETRANSLATE(A5072 , ""auto"", ""ar"")"),"نعم، هنا تذهب")</f>
        <v>نعم، هنا تذهب</v>
      </c>
    </row>
    <row r="5073" ht="15.75" customHeight="1">
      <c r="A5073" s="6" t="s">
        <v>8804</v>
      </c>
      <c r="B5073" s="6" t="s">
        <v>8805</v>
      </c>
      <c r="C5073" s="7" t="s">
        <v>8806</v>
      </c>
      <c r="D5073" s="1" t="str">
        <f>IFERROR(__xludf.DUMMYFUNCTION("GOOGLETRANSLATE(A5073 , ""auto"", ""ar"")"),"كان لي وقت جميل")</f>
        <v>كان لي وقت جميل</v>
      </c>
    </row>
    <row r="5074" ht="15.75" customHeight="1">
      <c r="A5074" s="6" t="s">
        <v>8807</v>
      </c>
      <c r="B5074" s="6" t="s">
        <v>8808</v>
      </c>
      <c r="C5074" s="7" t="s">
        <v>8809</v>
      </c>
      <c r="D5074" s="1" t="str">
        <f>IFERROR(__xludf.DUMMYFUNCTION("GOOGLETRANSLATE(A5074 , ""auto"", ""ar"")"),"أنا أيضًا ، كان من دواعي سروري مقابلتك")</f>
        <v>أنا أيضًا ، كان من دواعي سروري مقابلتك</v>
      </c>
    </row>
    <row r="5075" ht="15.75" customHeight="1">
      <c r="A5075" s="6" t="s">
        <v>8810</v>
      </c>
      <c r="B5075" s="6" t="s">
        <v>8811</v>
      </c>
      <c r="C5075" s="7" t="s">
        <v>8812</v>
      </c>
      <c r="D5075" s="1" t="str">
        <f>IFERROR(__xludf.DUMMYFUNCTION("GOOGLETRANSLATE(A5075 , ""auto"", ""ar"")"),"سوف نرى بعضنا البعض قريبا")</f>
        <v>سوف نرى بعضنا البعض قريبا</v>
      </c>
    </row>
    <row r="5076" ht="15.75" customHeight="1">
      <c r="A5076" s="6" t="s">
        <v>8813</v>
      </c>
      <c r="B5076" s="6" t="s">
        <v>8814</v>
      </c>
      <c r="C5076" s="7" t="s">
        <v>8815</v>
      </c>
      <c r="D5076" s="1" t="str">
        <f>IFERROR(__xludf.DUMMYFUNCTION("GOOGLETRANSLATE(A5076 , ""auto"", ""ar"")"),"آمل ذلك أيضا")</f>
        <v>آمل ذلك أيضا</v>
      </c>
    </row>
    <row r="5077" ht="15.75" customHeight="1">
      <c r="A5077" s="6" t="s">
        <v>8079</v>
      </c>
      <c r="B5077" s="6" t="s">
        <v>8816</v>
      </c>
      <c r="C5077" s="7" t="s">
        <v>8081</v>
      </c>
      <c r="D5077" s="1" t="str">
        <f>IFERROR(__xludf.DUMMYFUNCTION("GOOGLETRANSLATE(A5077 , ""auto"", ""ar"")"),"مع السلامة")</f>
        <v>مع السلامة</v>
      </c>
    </row>
    <row r="5078" ht="15.75" customHeight="1">
      <c r="A5078" s="6" t="s">
        <v>8817</v>
      </c>
      <c r="B5078" s="6" t="s">
        <v>8818</v>
      </c>
      <c r="C5078" s="7" t="s">
        <v>8819</v>
      </c>
      <c r="D5078" s="1" t="str">
        <f>IFERROR(__xludf.DUMMYFUNCTION("GOOGLETRANSLATE(A5078 , ""auto"", ""ar"")"),"أراك غدا")</f>
        <v>أراك غدا</v>
      </c>
    </row>
    <row r="5079" ht="15.75" customHeight="1">
      <c r="A5079" s="6" t="s">
        <v>8820</v>
      </c>
      <c r="B5079" s="6" t="s">
        <v>8821</v>
      </c>
      <c r="C5079" s="7" t="s">
        <v>8081</v>
      </c>
      <c r="D5079" s="1" t="str">
        <f>IFERROR(__xludf.DUMMYFUNCTION("GOOGLETRANSLATE(A5079 , ""auto"", ""ar"")"),"الوداع!")</f>
        <v>الوداع!</v>
      </c>
    </row>
    <row r="5080" ht="15.75" customHeight="1">
      <c r="A5080" s="6" t="s">
        <v>8067</v>
      </c>
      <c r="B5080" s="6" t="s">
        <v>8068</v>
      </c>
      <c r="C5080" s="7" t="s">
        <v>8069</v>
      </c>
      <c r="D5080" s="1" t="str">
        <f>IFERROR(__xludf.DUMMYFUNCTION("GOOGLETRANSLATE(A5080 , ""auto"", ""ar"")"),"شكرًا")</f>
        <v>شكرًا</v>
      </c>
    </row>
    <row r="5081" ht="15.75" customHeight="1">
      <c r="A5081" s="6" t="s">
        <v>8070</v>
      </c>
      <c r="B5081" s="6" t="s">
        <v>8071</v>
      </c>
      <c r="C5081" s="7" t="s">
        <v>8072</v>
      </c>
      <c r="D5081" s="1" t="str">
        <f>IFERROR(__xludf.DUMMYFUNCTION("GOOGLETRANSLATE(A5081 , ""auto"", ""ar"")"),"اعذرني! أنا أبحث عن محطة الحافلات")</f>
        <v>اعذرني! أنا أبحث عن محطة الحافلات</v>
      </c>
    </row>
    <row r="5082" ht="15.75" customHeight="1">
      <c r="A5082" s="6" t="s">
        <v>8822</v>
      </c>
      <c r="B5082" s="6" t="s">
        <v>8823</v>
      </c>
      <c r="C5082" s="7" t="s">
        <v>8824</v>
      </c>
      <c r="D5082" s="1" t="str">
        <f>IFERROR(__xludf.DUMMYFUNCTION("GOOGLETRANSLATE(A5082 , ""auto"", ""ar"")"),"كم هي تذكرة إلى صن سيتي؟")</f>
        <v>كم هي تذكرة إلى صن سيتي؟</v>
      </c>
    </row>
    <row r="5083" ht="15.75" customHeight="1">
      <c r="A5083" s="6" t="s">
        <v>8825</v>
      </c>
      <c r="B5083" s="6" t="s">
        <v>8826</v>
      </c>
      <c r="C5083" s="7" t="s">
        <v>8827</v>
      </c>
      <c r="D5083" s="1" t="str">
        <f>IFERROR(__xludf.DUMMYFUNCTION("GOOGLETRANSLATE(A5083 , ""auto"", ""ar"")"),"أين يذهب هذا القطار ، من فضلك؟")</f>
        <v>أين يذهب هذا القطار ، من فضلك؟</v>
      </c>
    </row>
    <row r="5084" ht="15.75" customHeight="1">
      <c r="A5084" s="6" t="s">
        <v>8828</v>
      </c>
      <c r="B5084" s="6" t="s">
        <v>8829</v>
      </c>
      <c r="C5084" s="7" t="s">
        <v>8830</v>
      </c>
      <c r="D5084" s="1" t="str">
        <f>IFERROR(__xludf.DUMMYFUNCTION("GOOGLETRANSLATE(A5084 , ""auto"", ""ar"")"),"هل يتوقف هذا القطار في صن سيتي؟")</f>
        <v>هل يتوقف هذا القطار في صن سيتي؟</v>
      </c>
    </row>
    <row r="5085" ht="15.75" customHeight="1">
      <c r="A5085" s="6" t="s">
        <v>8831</v>
      </c>
      <c r="B5085" s="6" t="s">
        <v>8832</v>
      </c>
      <c r="C5085" s="7" t="s">
        <v>8833</v>
      </c>
      <c r="D5085" s="1" t="str">
        <f>IFERROR(__xludf.DUMMYFUNCTION("GOOGLETRANSLATE(A5085 , ""auto"", ""ar"")"),"متى يغادر القطار من أجل صن سيتي؟")</f>
        <v>متى يغادر القطار من أجل صن سيتي؟</v>
      </c>
    </row>
    <row r="5086" ht="15.75" customHeight="1">
      <c r="A5086" s="6" t="s">
        <v>8834</v>
      </c>
      <c r="B5086" s="6" t="s">
        <v>8835</v>
      </c>
      <c r="C5086" s="7" t="s">
        <v>8836</v>
      </c>
      <c r="D5086" s="1" t="str">
        <f>IFERROR(__xludf.DUMMYFUNCTION("GOOGLETRANSLATE(A5086 , ""auto"", ""ar"")"),"متى سيصل هذا القطار إلى صن سيتي؟")</f>
        <v>متى سيصل هذا القطار إلى صن سيتي؟</v>
      </c>
    </row>
    <row r="5087" ht="15.75" customHeight="1">
      <c r="A5087" s="6" t="s">
        <v>8837</v>
      </c>
      <c r="B5087" s="6" t="s">
        <v>8838</v>
      </c>
      <c r="C5087" s="7" t="s">
        <v>8839</v>
      </c>
      <c r="D5087" s="1" t="str">
        <f>IFERROR(__xludf.DUMMYFUNCTION("GOOGLETRANSLATE(A5087 , ""auto"", ""ar"")"),"تذكرة لـ Sun City ، من فضلك")</f>
        <v>تذكرة لـ Sun City ، من فضلك</v>
      </c>
    </row>
    <row r="5088" ht="15.75" customHeight="1">
      <c r="A5088" s="6" t="s">
        <v>8840</v>
      </c>
      <c r="B5088" s="6" t="s">
        <v>8841</v>
      </c>
      <c r="C5088" s="7" t="s">
        <v>8842</v>
      </c>
      <c r="D5088" s="1" t="str">
        <f>IFERROR(__xludf.DUMMYFUNCTION("GOOGLETRANSLATE(A5088 , ""auto"", ""ar"")"),"هل لديك جدول زمني للقطار؟")</f>
        <v>هل لديك جدول زمني للقطار؟</v>
      </c>
    </row>
    <row r="5089" ht="15.75" customHeight="1">
      <c r="A5089" s="6" t="s">
        <v>8843</v>
      </c>
      <c r="B5089" s="6" t="s">
        <v>8844</v>
      </c>
      <c r="C5089" s="7" t="s">
        <v>8845</v>
      </c>
      <c r="D5089" s="1" t="str">
        <f>IFERROR(__xludf.DUMMYFUNCTION("GOOGLETRANSLATE(A5089 , ""auto"", ""ar"")"),"جدول الحافلة")</f>
        <v>جدول الحافلة</v>
      </c>
    </row>
    <row r="5090" ht="15.75" customHeight="1">
      <c r="A5090" s="6" t="s">
        <v>8846</v>
      </c>
      <c r="B5090" s="6" t="s">
        <v>8847</v>
      </c>
      <c r="C5090" s="7" t="s">
        <v>8848</v>
      </c>
      <c r="D5090" s="1" t="str">
        <f>IFERROR(__xludf.DUMMYFUNCTION("GOOGLETRANSLATE(A5090 , ""auto"", ""ar"")"),"معذرة ، أي قطار يذهب إلى مدينة صن سيتي؟")</f>
        <v>معذرة ، أي قطار يذهب إلى مدينة صن سيتي؟</v>
      </c>
    </row>
    <row r="5091" ht="15.75" customHeight="1">
      <c r="A5091" s="6" t="s">
        <v>8849</v>
      </c>
      <c r="B5091" s="6" t="s">
        <v>8850</v>
      </c>
      <c r="C5091" s="7" t="s">
        <v>8851</v>
      </c>
      <c r="D5091" s="1" t="str">
        <f>IFERROR(__xludf.DUMMYFUNCTION("GOOGLETRANSLATE(A5091 , ""auto"", ""ar"")"),"هذا")</f>
        <v>هذا</v>
      </c>
    </row>
    <row r="5092" ht="15.75" customHeight="1">
      <c r="A5092" s="6" t="s">
        <v>8852</v>
      </c>
      <c r="B5092" s="6" t="s">
        <v>8853</v>
      </c>
      <c r="C5092" s="7" t="s">
        <v>8854</v>
      </c>
      <c r="D5092" s="1" t="str">
        <f>IFERROR(__xludf.DUMMYFUNCTION("GOOGLETRANSLATE(A5092 , ""auto"", ""ar"")"),"لا تذكرها ، أتمنى لك رحلة جيدة!")</f>
        <v>لا تذكرها ، أتمنى لك رحلة جيدة!</v>
      </c>
    </row>
    <row r="5093" ht="15.75" customHeight="1">
      <c r="A5093" s="6" t="s">
        <v>8855</v>
      </c>
      <c r="B5093" s="6" t="s">
        <v>8856</v>
      </c>
      <c r="C5093" s="7" t="s">
        <v>8857</v>
      </c>
      <c r="D5093" s="1" t="str">
        <f>IFERROR(__xludf.DUMMYFUNCTION("GOOGLETRANSLATE(A5093 , ""auto"", ""ar"")"),"المرآب")</f>
        <v>المرآب</v>
      </c>
    </row>
    <row r="5094" ht="15.75" customHeight="1">
      <c r="A5094" s="6" t="s">
        <v>8858</v>
      </c>
      <c r="B5094" s="6" t="s">
        <v>8859</v>
      </c>
      <c r="C5094" s="7" t="s">
        <v>8860</v>
      </c>
      <c r="D5094" s="1" t="str">
        <f>IFERROR(__xludf.DUMMYFUNCTION("GOOGLETRANSLATE(A5094 , ""auto"", ""ar"")"),"محطة البنزين")</f>
        <v>محطة البنزين</v>
      </c>
    </row>
    <row r="5095" ht="15.75" customHeight="1">
      <c r="A5095" s="6" t="s">
        <v>8861</v>
      </c>
      <c r="B5095" s="6" t="s">
        <v>8862</v>
      </c>
      <c r="C5095" s="7" t="s">
        <v>8863</v>
      </c>
      <c r="D5095" s="1" t="str">
        <f>IFERROR(__xludf.DUMMYFUNCTION("GOOGLETRANSLATE(A5095 , ""auto"", ""ar"")"),"خزان كامل من فضلك")</f>
        <v>خزان كامل من فضلك</v>
      </c>
    </row>
    <row r="5096" ht="15.75" customHeight="1">
      <c r="A5096" s="6" t="s">
        <v>8864</v>
      </c>
      <c r="B5096" s="6" t="s">
        <v>8865</v>
      </c>
      <c r="C5096" s="7" t="s">
        <v>8866</v>
      </c>
      <c r="D5096" s="1" t="str">
        <f>IFERROR(__xludf.DUMMYFUNCTION("GOOGLETRANSLATE(A5096 , ""auto"", ""ar"")"),"دراجة هوائية")</f>
        <v>دراجة هوائية</v>
      </c>
    </row>
    <row r="5097" ht="15.75" customHeight="1">
      <c r="A5097" s="6" t="s">
        <v>8867</v>
      </c>
      <c r="B5097" s="6" t="s">
        <v>8868</v>
      </c>
      <c r="C5097" s="7" t="s">
        <v>8869</v>
      </c>
      <c r="D5097" s="1" t="str">
        <f>IFERROR(__xludf.DUMMYFUNCTION("GOOGLETRANSLATE(A5097 , ""auto"", ""ar"")"),"وسط المدينة")</f>
        <v>وسط المدينة</v>
      </c>
    </row>
    <row r="5098" ht="15.75" customHeight="1">
      <c r="A5098" s="6" t="s">
        <v>8870</v>
      </c>
      <c r="B5098" s="6" t="s">
        <v>8871</v>
      </c>
      <c r="C5098" s="7" t="s">
        <v>8872</v>
      </c>
      <c r="D5098" s="1" t="str">
        <f>IFERROR(__xludf.DUMMYFUNCTION("GOOGLETRANSLATE(A5098 , ""auto"", ""ar"")"),"ضاحية")</f>
        <v>ضاحية</v>
      </c>
    </row>
    <row r="5099" ht="15.75" customHeight="1">
      <c r="A5099" s="6" t="s">
        <v>8873</v>
      </c>
      <c r="B5099" s="6" t="s">
        <v>8874</v>
      </c>
      <c r="C5099" s="7" t="s">
        <v>8875</v>
      </c>
      <c r="D5099" s="1" t="str">
        <f>IFERROR(__xludf.DUMMYFUNCTION("GOOGLETRANSLATE(A5099 , ""auto"", ""ar"")"),"أنها مدينة")</f>
        <v>أنها مدينة</v>
      </c>
    </row>
    <row r="5100" ht="15.75" customHeight="1">
      <c r="A5100" s="6" t="s">
        <v>8876</v>
      </c>
      <c r="B5100" s="6" t="s">
        <v>8877</v>
      </c>
      <c r="C5100" s="7" t="s">
        <v>8878</v>
      </c>
      <c r="D5100" s="1" t="str">
        <f>IFERROR(__xludf.DUMMYFUNCTION("GOOGLETRANSLATE(A5100 , ""auto"", ""ar"")"),"إنها قرية")</f>
        <v>إنها قرية</v>
      </c>
    </row>
    <row r="5101" ht="15.75" customHeight="1">
      <c r="A5101" s="6" t="s">
        <v>8879</v>
      </c>
      <c r="B5101" s="6" t="s">
        <v>8880</v>
      </c>
      <c r="C5101" s="7" t="s">
        <v>4828</v>
      </c>
      <c r="D5101" s="1" t="str">
        <f>IFERROR(__xludf.DUMMYFUNCTION("GOOGLETRANSLATE(A5101 , ""auto"", ""ar"")"),"جبل")</f>
        <v>جبل</v>
      </c>
    </row>
    <row r="5102" ht="15.75" customHeight="1">
      <c r="A5102" s="6" t="s">
        <v>8881</v>
      </c>
      <c r="B5102" s="6" t="s">
        <v>8882</v>
      </c>
      <c r="C5102" s="7" t="s">
        <v>8009</v>
      </c>
      <c r="D5102" s="1" t="str">
        <f>IFERROR(__xludf.DUMMYFUNCTION("GOOGLETRANSLATE(A5102 , ""auto"", ""ar"")"),"بحيرة")</f>
        <v>بحيرة</v>
      </c>
    </row>
    <row r="5103" ht="15.75" customHeight="1">
      <c r="A5103" s="6" t="s">
        <v>8883</v>
      </c>
      <c r="B5103" s="6" t="s">
        <v>8884</v>
      </c>
      <c r="C5103" s="7" t="s">
        <v>8885</v>
      </c>
      <c r="D5103" s="1" t="str">
        <f>IFERROR(__xludf.DUMMYFUNCTION("GOOGLETRANSLATE(A5103 , ""auto"", ""ar"")"),"الريف")</f>
        <v>الريف</v>
      </c>
    </row>
    <row r="5104" ht="15.75" customHeight="1">
      <c r="A5104" s="6" t="s">
        <v>8886</v>
      </c>
      <c r="B5104" s="6" t="s">
        <v>8887</v>
      </c>
      <c r="C5104" s="7" t="s">
        <v>8888</v>
      </c>
      <c r="D5104" s="1" t="str">
        <f>IFERROR(__xludf.DUMMYFUNCTION("GOOGLETRANSLATE(A5104 , ""auto"", ""ar"")"),"الفندق")</f>
        <v>الفندق</v>
      </c>
    </row>
    <row r="5105" ht="15.75" customHeight="1">
      <c r="A5105" s="6" t="s">
        <v>8889</v>
      </c>
      <c r="B5105" s="6" t="s">
        <v>8890</v>
      </c>
      <c r="C5105" s="7" t="s">
        <v>8891</v>
      </c>
      <c r="D5105" s="1" t="str">
        <f>IFERROR(__xludf.DUMMYFUNCTION("GOOGLETRANSLATE(A5105 , ""auto"", ""ar"")"),"شقة")</f>
        <v>شقة</v>
      </c>
    </row>
    <row r="5106" ht="15.75" customHeight="1">
      <c r="A5106" s="6" t="s">
        <v>8892</v>
      </c>
      <c r="B5106" s="6" t="s">
        <v>8893</v>
      </c>
      <c r="C5106" s="7" t="s">
        <v>7211</v>
      </c>
      <c r="D5106" s="1" t="str">
        <f>IFERROR(__xludf.DUMMYFUNCTION("GOOGLETRANSLATE(A5106 , ""auto"", ""ar"")"),"مرحباً!")</f>
        <v>مرحباً!</v>
      </c>
    </row>
    <row r="5107" ht="15.75" customHeight="1">
      <c r="A5107" s="6" t="s">
        <v>8894</v>
      </c>
      <c r="B5107" s="6" t="s">
        <v>8895</v>
      </c>
      <c r="C5107" s="7" t="s">
        <v>8896</v>
      </c>
      <c r="D5107" s="1" t="str">
        <f>IFERROR(__xludf.DUMMYFUNCTION("GOOGLETRANSLATE(A5107 , ""auto"", ""ar"")"),"هل لديك غرفة متاحة؟")</f>
        <v>هل لديك غرفة متاحة؟</v>
      </c>
    </row>
    <row r="5108" ht="15.75" customHeight="1">
      <c r="A5108" s="6" t="s">
        <v>8897</v>
      </c>
      <c r="B5108" s="6" t="s">
        <v>8898</v>
      </c>
      <c r="C5108" s="7" t="s">
        <v>8899</v>
      </c>
      <c r="D5108" s="1" t="str">
        <f>IFERROR(__xludf.DUMMYFUNCTION("GOOGLETRANSLATE(A5108 , ""auto"", ""ar"")"),"هل يوجد حمام في الغرفة؟")</f>
        <v>هل يوجد حمام في الغرفة؟</v>
      </c>
    </row>
    <row r="5109" ht="15.75" customHeight="1">
      <c r="A5109" s="6" t="s">
        <v>8900</v>
      </c>
      <c r="B5109" s="6" t="s">
        <v>8901</v>
      </c>
      <c r="C5109" s="7" t="s">
        <v>8902</v>
      </c>
      <c r="D5109" s="1" t="str">
        <f>IFERROR(__xludf.DUMMYFUNCTION("GOOGLETRANSLATE(A5109 , ""auto"", ""ar"")"),"هل تفضل سريرين واحد؟")</f>
        <v>هل تفضل سريرين واحد؟</v>
      </c>
    </row>
    <row r="5110" ht="15.75" customHeight="1">
      <c r="A5110" s="6" t="s">
        <v>8900</v>
      </c>
      <c r="B5110" s="6" t="s">
        <v>8903</v>
      </c>
      <c r="C5110" s="7" t="s">
        <v>8904</v>
      </c>
      <c r="D5110" s="1" t="str">
        <f>IFERROR(__xludf.DUMMYFUNCTION("GOOGLETRANSLATE(A5110 , ""auto"", ""ar"")"),"هل تفضل سريرين واحد؟")</f>
        <v>هل تفضل سريرين واحد؟</v>
      </c>
    </row>
    <row r="5111" ht="15.75" customHeight="1">
      <c r="A5111" s="6" t="s">
        <v>8905</v>
      </c>
      <c r="B5111" s="6" t="s">
        <v>8906</v>
      </c>
      <c r="C5111" s="7" t="s">
        <v>8907</v>
      </c>
      <c r="D5111" s="1" t="str">
        <f>IFERROR(__xludf.DUMMYFUNCTION("GOOGLETRANSLATE(A5111 , ""auto"", ""ar"")"),"هل ترغب في الحصول على غرفة توأم؟")</f>
        <v>هل ترغب في الحصول على غرفة توأم؟</v>
      </c>
    </row>
    <row r="5112" ht="15.75" customHeight="1">
      <c r="A5112" s="6" t="s">
        <v>8908</v>
      </c>
      <c r="B5112" s="6" t="s">
        <v>8909</v>
      </c>
      <c r="C5112" s="7" t="s">
        <v>8910</v>
      </c>
      <c r="D5112" s="1" t="str">
        <f>IFERROR(__xludf.DUMMYFUNCTION("GOOGLETRANSLATE(A5112 , ""auto"", ""ar"")"),"غرفة مع حوض استحمام - مع شرفة - مع دش")</f>
        <v>غرفة مع حوض استحمام - مع شرفة - مع دش</v>
      </c>
    </row>
    <row r="5113" ht="15.75" customHeight="1">
      <c r="A5113" s="6" t="s">
        <v>8911</v>
      </c>
      <c r="B5113" s="6" t="s">
        <v>8912</v>
      </c>
      <c r="C5113" s="7" t="s">
        <v>8913</v>
      </c>
      <c r="D5113" s="1" t="str">
        <f>IFERROR(__xludf.DUMMYFUNCTION("GOOGLETRANSLATE(A5113 , ""auto"", ""ar"")"),"سرير و فطور")</f>
        <v>سرير و فطور</v>
      </c>
    </row>
    <row r="5114" ht="15.75" customHeight="1">
      <c r="A5114" s="6" t="s">
        <v>8914</v>
      </c>
      <c r="B5114" s="6" t="s">
        <v>8915</v>
      </c>
      <c r="C5114" s="7" t="s">
        <v>8916</v>
      </c>
      <c r="D5114" s="1" t="str">
        <f>IFERROR(__xludf.DUMMYFUNCTION("GOOGLETRANSLATE(A5114 , ""auto"", ""ar"")"),"كم هو لليلة؟")</f>
        <v>كم هو لليلة؟</v>
      </c>
    </row>
    <row r="5115" ht="15.75" customHeight="1">
      <c r="A5115" s="6" t="s">
        <v>8917</v>
      </c>
      <c r="B5115" s="6" t="s">
        <v>8918</v>
      </c>
      <c r="C5115" s="7" t="s">
        <v>8919</v>
      </c>
      <c r="D5115" s="1" t="str">
        <f>IFERROR(__xludf.DUMMYFUNCTION("GOOGLETRANSLATE(A5115 , ""auto"", ""ar"")"),"أود أن أرى الغرفة أولاً")</f>
        <v>أود أن أرى الغرفة أولاً</v>
      </c>
    </row>
    <row r="5116" ht="15.75" customHeight="1">
      <c r="A5116" s="6" t="s">
        <v>8920</v>
      </c>
      <c r="B5116" s="6" t="s">
        <v>8921</v>
      </c>
      <c r="C5116" s="8" t="s">
        <v>8922</v>
      </c>
      <c r="D5116" s="1" t="str">
        <f>IFERROR(__xludf.DUMMYFUNCTION("GOOGLETRANSLATE(A5116 , ""auto"", ""ar"")"),"نعم بالطبع")</f>
        <v>نعم بالطبع</v>
      </c>
    </row>
    <row r="5117" ht="15.75" customHeight="1">
      <c r="A5117" s="6" t="s">
        <v>8923</v>
      </c>
      <c r="B5117" s="6" t="s">
        <v>8924</v>
      </c>
      <c r="C5117" s="7" t="s">
        <v>8925</v>
      </c>
      <c r="D5117" s="1" t="str">
        <f>IFERROR(__xludf.DUMMYFUNCTION("GOOGLETRANSLATE(A5117 , ""auto"", ""ar"")"),"شكرا لك ، الغرفة لطيفة جدا")</f>
        <v>شكرا لك ، الغرفة لطيفة جدا</v>
      </c>
    </row>
    <row r="5118" ht="15.75" customHeight="1">
      <c r="A5118" s="6" t="s">
        <v>8926</v>
      </c>
      <c r="B5118" s="6" t="s">
        <v>8927</v>
      </c>
      <c r="C5118" s="7" t="s">
        <v>8928</v>
      </c>
      <c r="D5118" s="1" t="str">
        <f>IFERROR(__xludf.DUMMYFUNCTION("GOOGLETRANSLATE(A5118 , ""auto"", ""ar"")"),"حسنًا ، هل يمكنني الحجز الليلة؟")</f>
        <v>حسنًا ، هل يمكنني الحجز الليلة؟</v>
      </c>
    </row>
    <row r="5119" ht="15.75" customHeight="1">
      <c r="A5119" s="6" t="s">
        <v>8929</v>
      </c>
      <c r="B5119" s="6" t="s">
        <v>8930</v>
      </c>
      <c r="C5119" s="7" t="s">
        <v>8931</v>
      </c>
      <c r="D5119" s="1" t="str">
        <f>IFERROR(__xludf.DUMMYFUNCTION("GOOGLETRANSLATE(A5119 , ""auto"", ""ar"")"),"إنه أكثر من اللازم بالنسبة لي ، شكرًا لك")</f>
        <v>إنه أكثر من اللازم بالنسبة لي ، شكرًا لك</v>
      </c>
    </row>
    <row r="5120" ht="15.75" customHeight="1">
      <c r="A5120" s="6" t="s">
        <v>8932</v>
      </c>
      <c r="B5120" s="6" t="s">
        <v>8933</v>
      </c>
      <c r="C5120" s="7" t="s">
        <v>8934</v>
      </c>
      <c r="D5120" s="1" t="str">
        <f>IFERROR(__xludf.DUMMYFUNCTION("GOOGLETRANSLATE(A5120 , ""auto"", ""ar"")"),"هل يمكن أن تعتني بأمتعتي من فضلك؟")</f>
        <v>هل يمكن أن تعتني بأمتعتي من فضلك؟</v>
      </c>
    </row>
    <row r="5121" ht="15.75" customHeight="1">
      <c r="A5121" s="6" t="s">
        <v>8935</v>
      </c>
      <c r="B5121" s="6" t="s">
        <v>8936</v>
      </c>
      <c r="C5121" s="7" t="s">
        <v>8937</v>
      </c>
      <c r="D5121" s="1" t="str">
        <f>IFERROR(__xludf.DUMMYFUNCTION("GOOGLETRANSLATE(A5121 , ""auto"", ""ar"")"),"أين غرفتي من فضلك؟")</f>
        <v>أين غرفتي من فضلك؟</v>
      </c>
    </row>
    <row r="5122" ht="15.75" customHeight="1">
      <c r="A5122" s="6" t="s">
        <v>8938</v>
      </c>
      <c r="B5122" s="6" t="s">
        <v>8939</v>
      </c>
      <c r="C5122" s="7" t="s">
        <v>8940</v>
      </c>
      <c r="D5122" s="1" t="str">
        <f>IFERROR(__xludf.DUMMYFUNCTION("GOOGLETRANSLATE(A5122 , ""auto"", ""ar"")"),"هو في الطابق الأول")</f>
        <v>هو في الطابق الأول</v>
      </c>
    </row>
    <row r="5123" ht="15.75" customHeight="1">
      <c r="A5123" s="6" t="s">
        <v>8941</v>
      </c>
      <c r="B5123" s="6" t="s">
        <v>8942</v>
      </c>
      <c r="C5123" s="7" t="s">
        <v>8943</v>
      </c>
      <c r="D5123" s="1" t="str">
        <f>IFERROR(__xludf.DUMMYFUNCTION("GOOGLETRANSLATE(A5123 , ""auto"", ""ar"")"),"هناك مصعد؟")</f>
        <v>هناك مصعد؟</v>
      </c>
    </row>
    <row r="5124" ht="15.75" customHeight="1">
      <c r="A5124" s="6" t="s">
        <v>8944</v>
      </c>
      <c r="B5124" s="6" t="s">
        <v>8945</v>
      </c>
      <c r="C5124" s="7" t="s">
        <v>8946</v>
      </c>
      <c r="D5124" s="1" t="str">
        <f>IFERROR(__xludf.DUMMYFUNCTION("GOOGLETRANSLATE(A5124 , ""auto"", ""ar"")"),"المصعد على يسارك")</f>
        <v>المصعد على يسارك</v>
      </c>
    </row>
    <row r="5125" ht="15.75" customHeight="1">
      <c r="A5125" s="6" t="s">
        <v>8947</v>
      </c>
      <c r="B5125" s="6" t="s">
        <v>8948</v>
      </c>
      <c r="C5125" s="7" t="s">
        <v>8949</v>
      </c>
      <c r="D5125" s="1" t="str">
        <f>IFERROR(__xludf.DUMMYFUNCTION("GOOGLETRANSLATE(A5125 , ""auto"", ""ar"")"),"المصعد على يمينك")</f>
        <v>المصعد على يمينك</v>
      </c>
    </row>
    <row r="5126" ht="15.75" customHeight="1">
      <c r="A5126" s="6" t="s">
        <v>8950</v>
      </c>
      <c r="B5126" s="6" t="s">
        <v>8951</v>
      </c>
      <c r="C5126" s="7" t="s">
        <v>8952</v>
      </c>
      <c r="D5126" s="1" t="str">
        <f>IFERROR(__xludf.DUMMYFUNCTION("GOOGLETRANSLATE(A5126 , ""auto"", ""ar"")"),"أين غرفة الغسيل ، من فضلك؟")</f>
        <v>أين غرفة الغسيل ، من فضلك؟</v>
      </c>
    </row>
    <row r="5127" ht="15.75" customHeight="1">
      <c r="A5127" s="6" t="s">
        <v>8953</v>
      </c>
      <c r="B5127" s="6" t="s">
        <v>8954</v>
      </c>
      <c r="C5127" s="7" t="s">
        <v>8955</v>
      </c>
      <c r="D5127" s="1" t="str">
        <f>IFERROR(__xludf.DUMMYFUNCTION("GOOGLETRANSLATE(A5127 , ""auto"", ""ar"")"),"إنه في الطابق الأرضي")</f>
        <v>إنه في الطابق الأرضي</v>
      </c>
    </row>
    <row r="5128" ht="15.75" customHeight="1">
      <c r="A5128" s="6" t="s">
        <v>8956</v>
      </c>
      <c r="B5128" s="6" t="s">
        <v>8957</v>
      </c>
      <c r="C5128" s="7" t="s">
        <v>8958</v>
      </c>
      <c r="D5128" s="1" t="str">
        <f>IFERROR(__xludf.DUMMYFUNCTION("GOOGLETRANSLATE(A5128 , ""auto"", ""ar"")"),"الطابق الأرضي")</f>
        <v>الطابق الأرضي</v>
      </c>
    </row>
    <row r="5129" ht="15.75" customHeight="1">
      <c r="A5129" s="6" t="s">
        <v>8959</v>
      </c>
      <c r="B5129" s="6" t="s">
        <v>8960</v>
      </c>
      <c r="C5129" s="7" t="s">
        <v>8961</v>
      </c>
      <c r="D5129" s="1" t="str">
        <f>IFERROR(__xludf.DUMMYFUNCTION("GOOGLETRANSLATE(A5129 , ""auto"", ""ar"")"),"غرفة نوم")</f>
        <v>غرفة نوم</v>
      </c>
    </row>
    <row r="5130" ht="15.75" customHeight="1">
      <c r="A5130" s="6" t="s">
        <v>8962</v>
      </c>
      <c r="B5130" s="6" t="s">
        <v>8963</v>
      </c>
      <c r="C5130" s="7" t="s">
        <v>8964</v>
      </c>
      <c r="D5130" s="1" t="str">
        <f>IFERROR(__xludf.DUMMYFUNCTION("GOOGLETRANSLATE(A5130 , ""auto"", ""ar"")"),"الغسيل الجاف")</f>
        <v>الغسيل الجاف</v>
      </c>
    </row>
    <row r="5131" ht="15.75" customHeight="1">
      <c r="A5131" s="6" t="s">
        <v>8965</v>
      </c>
      <c r="B5131" s="6" t="s">
        <v>8966</v>
      </c>
      <c r="C5131" s="7" t="s">
        <v>8967</v>
      </c>
      <c r="D5131" s="1" t="str">
        <f>IFERROR(__xludf.DUMMYFUNCTION("GOOGLETRANSLATE(A5131 , ""auto"", ""ar"")"),"صالون الشعر")</f>
        <v>صالون الشعر</v>
      </c>
    </row>
    <row r="5132" ht="15.75" customHeight="1">
      <c r="A5132" s="6" t="s">
        <v>8968</v>
      </c>
      <c r="B5132" s="6" t="s">
        <v>8969</v>
      </c>
      <c r="C5132" s="7" t="s">
        <v>8970</v>
      </c>
      <c r="D5132" s="1" t="str">
        <f>IFERROR(__xludf.DUMMYFUNCTION("GOOGLETRANSLATE(A5132 , ""auto"", ""ar"")"),"مساحة لوقوف السيارات")</f>
        <v>مساحة لوقوف السيارات</v>
      </c>
    </row>
    <row r="5133" ht="15.75" customHeight="1">
      <c r="A5133" s="6" t="s">
        <v>8971</v>
      </c>
      <c r="B5133" s="6" t="s">
        <v>8972</v>
      </c>
      <c r="C5133" s="7" t="s">
        <v>8973</v>
      </c>
      <c r="D5133" s="1" t="str">
        <f>IFERROR(__xludf.DUMMYFUNCTION("GOOGLETRANSLATE(A5133 , ""auto"", ""ar"")"),"دعونا نلتقي في غرفة الاجتماعات؟")</f>
        <v>دعونا نلتقي في غرفة الاجتماعات؟</v>
      </c>
    </row>
    <row r="5134" ht="15.75" customHeight="1">
      <c r="A5134" s="6" t="s">
        <v>8974</v>
      </c>
      <c r="B5134" s="6" t="s">
        <v>8975</v>
      </c>
      <c r="C5134" s="7" t="s">
        <v>8976</v>
      </c>
      <c r="D5134" s="1" t="str">
        <f>IFERROR(__xludf.DUMMYFUNCTION("GOOGLETRANSLATE(A5134 , ""auto"", ""ar"")"),"قاعة الاجتماعات")</f>
        <v>قاعة الاجتماعات</v>
      </c>
    </row>
    <row r="5135" ht="15.75" customHeight="1">
      <c r="A5135" s="6" t="s">
        <v>8977</v>
      </c>
      <c r="B5135" s="6" t="s">
        <v>8978</v>
      </c>
      <c r="C5135" s="7" t="s">
        <v>8979</v>
      </c>
      <c r="D5135" s="1" t="str">
        <f>IFERROR(__xludf.DUMMYFUNCTION("GOOGLETRANSLATE(A5135 , ""auto"", ""ar"")"),"يتم تسخين حمام السباحة")</f>
        <v>يتم تسخين حمام السباحة</v>
      </c>
    </row>
    <row r="5136" ht="15.75" customHeight="1">
      <c r="A5136" s="6" t="s">
        <v>8980</v>
      </c>
      <c r="B5136" s="6" t="s">
        <v>8981</v>
      </c>
      <c r="C5136" s="7" t="s">
        <v>8982</v>
      </c>
      <c r="D5136" s="1" t="str">
        <f>IFERROR(__xludf.DUMMYFUNCTION("GOOGLETRANSLATE(A5136 , ""auto"", ""ar"")"),"حمام السباحة")</f>
        <v>حمام السباحة</v>
      </c>
    </row>
    <row r="5137" ht="15.75" customHeight="1">
      <c r="A5137" s="6" t="s">
        <v>8983</v>
      </c>
      <c r="B5137" s="6" t="s">
        <v>8984</v>
      </c>
      <c r="C5137" s="7" t="s">
        <v>8985</v>
      </c>
      <c r="D5137" s="1" t="str">
        <f>IFERROR(__xludf.DUMMYFUNCTION("GOOGLETRANSLATE(A5137 , ""auto"", ""ar"")"),"من فضلك ، أيقظني في الساعة السابعة صباحًا.")</f>
        <v>من فضلك ، أيقظني في الساعة السابعة صباحًا.</v>
      </c>
    </row>
    <row r="5138" ht="15.75" customHeight="1">
      <c r="A5138" s="6" t="s">
        <v>8986</v>
      </c>
      <c r="B5138" s="6" t="s">
        <v>8987</v>
      </c>
      <c r="C5138" s="7" t="s">
        <v>8988</v>
      </c>
      <c r="D5138" s="1" t="str">
        <f>IFERROR(__xludf.DUMMYFUNCTION("GOOGLETRANSLATE(A5138 , ""auto"", ""ar"")"),"المفتاح من فضلك")</f>
        <v>المفتاح من فضلك</v>
      </c>
    </row>
    <row r="5139" ht="15.75" customHeight="1">
      <c r="A5139" s="6" t="s">
        <v>8989</v>
      </c>
      <c r="B5139" s="6" t="s">
        <v>8990</v>
      </c>
      <c r="C5139" s="7" t="s">
        <v>8991</v>
      </c>
      <c r="D5139" s="1" t="str">
        <f>IFERROR(__xludf.DUMMYFUNCTION("GOOGLETRANSLATE(A5139 , ""auto"", ""ar"")"),"الممر من فضلك")</f>
        <v>الممر من فضلك</v>
      </c>
    </row>
    <row r="5140" ht="15.75" customHeight="1">
      <c r="A5140" s="6" t="s">
        <v>8992</v>
      </c>
      <c r="B5140" s="6" t="s">
        <v>8993</v>
      </c>
      <c r="C5140" s="7" t="s">
        <v>8994</v>
      </c>
      <c r="D5140" s="1" t="str">
        <f>IFERROR(__xludf.DUMMYFUNCTION("GOOGLETRANSLATE(A5140 , ""auto"", ""ar"")"),"هل هناك أي رسائل بالنسبة لي؟")</f>
        <v>هل هناك أي رسائل بالنسبة لي؟</v>
      </c>
    </row>
    <row r="5141" ht="15.75" customHeight="1">
      <c r="A5141" s="6" t="s">
        <v>8995</v>
      </c>
      <c r="B5141" s="6" t="s">
        <v>8996</v>
      </c>
      <c r="C5141" s="7" t="s">
        <v>8997</v>
      </c>
      <c r="D5141" s="1" t="str">
        <f>IFERROR(__xludf.DUMMYFUNCTION("GOOGLETRANSLATE(A5141 , ""auto"", ""ar"")"),"نعم ، ها أنت")</f>
        <v>نعم ، ها أنت</v>
      </c>
    </row>
    <row r="5142" ht="15.75" customHeight="1">
      <c r="A5142" s="6" t="s">
        <v>8998</v>
      </c>
      <c r="B5142" s="6" t="s">
        <v>8999</v>
      </c>
      <c r="C5142" s="7" t="s">
        <v>9000</v>
      </c>
      <c r="D5142" s="1" t="str">
        <f>IFERROR(__xludf.DUMMYFUNCTION("GOOGLETRANSLATE(A5142 , ""auto"", ""ar"")"),"لا ، لم نتلق أي شيء لك")</f>
        <v>لا ، لم نتلق أي شيء لك</v>
      </c>
    </row>
    <row r="5143" ht="15.75" customHeight="1">
      <c r="A5143" s="6" t="s">
        <v>9001</v>
      </c>
      <c r="B5143" s="6" t="s">
        <v>9002</v>
      </c>
      <c r="C5143" s="7" t="s">
        <v>9003</v>
      </c>
      <c r="D5143" s="1" t="str">
        <f>IFERROR(__xludf.DUMMYFUNCTION("GOOGLETRANSLATE(A5143 , ""auto"", ""ar"")"),"أين يمكنني الحصول على بعض التغيير؟")</f>
        <v>أين يمكنني الحصول على بعض التغيير؟</v>
      </c>
    </row>
    <row r="5144" ht="15.75" customHeight="1">
      <c r="A5144" s="6" t="s">
        <v>9004</v>
      </c>
      <c r="B5144" s="6" t="s">
        <v>9005</v>
      </c>
      <c r="C5144" s="7" t="s">
        <v>9006</v>
      </c>
      <c r="D5144" s="1" t="str">
        <f>IFERROR(__xludf.DUMMYFUNCTION("GOOGLETRANSLATE(A5144 , ""auto"", ""ar"")"),"من فضلك هل تعطيني بعض التغيير؟")</f>
        <v>من فضلك هل تعطيني بعض التغيير؟</v>
      </c>
    </row>
    <row r="5145" ht="15.75" customHeight="1">
      <c r="A5145" s="6" t="s">
        <v>9007</v>
      </c>
      <c r="B5145" s="6" t="s">
        <v>9008</v>
      </c>
      <c r="C5145" s="7" t="s">
        <v>9009</v>
      </c>
      <c r="D5145" s="1" t="str">
        <f>IFERROR(__xludf.DUMMYFUNCTION("GOOGLETRANSLATE(A5145 , ""auto"", ""ar"")"),"يمكننا أن نجعل بعضًا لك ، كم تريد؟")</f>
        <v>يمكننا أن نجعل بعضًا لك ، كم تريد؟</v>
      </c>
    </row>
    <row r="5146" ht="15.75" customHeight="1">
      <c r="A5146" s="6" t="s">
        <v>9007</v>
      </c>
      <c r="B5146" s="6" t="s">
        <v>9010</v>
      </c>
      <c r="C5146" s="7" t="s">
        <v>9011</v>
      </c>
      <c r="D5146" s="1" t="str">
        <f>IFERROR(__xludf.DUMMYFUNCTION("GOOGLETRANSLATE(A5146 , ""auto"", ""ar"")"),"يمكننا أن نجعل بعضًا لك ، كم تريد؟")</f>
        <v>يمكننا أن نجعل بعضًا لك ، كم تريد؟</v>
      </c>
    </row>
    <row r="5147" ht="15.75" customHeight="1">
      <c r="A5147" s="6" t="s">
        <v>9012</v>
      </c>
      <c r="B5147" s="6" t="s">
        <v>9013</v>
      </c>
      <c r="C5147" s="7" t="s">
        <v>9014</v>
      </c>
      <c r="D5147" s="1" t="str">
        <f>IFERROR(__xludf.DUMMYFUNCTION("GOOGLETRANSLATE(A5147 , ""auto"", ""ar"")"),"معذرة ، هل سارة هنا؟")</f>
        <v>معذرة ، هل سارة هنا؟</v>
      </c>
    </row>
    <row r="5148" ht="15.75" customHeight="1">
      <c r="A5148" s="6" t="s">
        <v>9015</v>
      </c>
      <c r="B5148" s="6" t="s">
        <v>9016</v>
      </c>
      <c r="C5148" s="7" t="s">
        <v>9017</v>
      </c>
      <c r="D5148" s="1" t="str">
        <f>IFERROR(__xludf.DUMMYFUNCTION("GOOGLETRANSLATE(A5148 , ""auto"", ""ar"")"),"نعم ، إنها هنا")</f>
        <v>نعم ، إنها هنا</v>
      </c>
    </row>
    <row r="5149" ht="15.75" customHeight="1">
      <c r="A5149" s="6" t="s">
        <v>9018</v>
      </c>
      <c r="B5149" s="6" t="s">
        <v>9019</v>
      </c>
      <c r="C5149" s="7" t="s">
        <v>9020</v>
      </c>
      <c r="D5149" s="1" t="str">
        <f>IFERROR(__xludf.DUMMYFUNCTION("GOOGLETRANSLATE(A5149 , ""auto"", ""ar"")"),"هي خارج")</f>
        <v>هي خارج</v>
      </c>
    </row>
    <row r="5150" ht="15.75" customHeight="1">
      <c r="A5150" s="6" t="s">
        <v>9021</v>
      </c>
      <c r="B5150" s="6" t="s">
        <v>9022</v>
      </c>
      <c r="C5150" s="7" t="s">
        <v>9023</v>
      </c>
      <c r="D5150" s="1" t="str">
        <f>IFERROR(__xludf.DUMMYFUNCTION("GOOGLETRANSLATE(A5150 , ""auto"", ""ar"")"),"يمكنك الاتصال بها على هاتفها المحمول")</f>
        <v>يمكنك الاتصال بها على هاتفها المحمول</v>
      </c>
    </row>
    <row r="5151" ht="15.75" customHeight="1">
      <c r="A5151" s="6" t="s">
        <v>9024</v>
      </c>
      <c r="B5151" s="6" t="s">
        <v>9025</v>
      </c>
      <c r="C5151" s="7" t="s">
        <v>9026</v>
      </c>
      <c r="D5151" s="1" t="str">
        <f>IFERROR(__xludf.DUMMYFUNCTION("GOOGLETRANSLATE(A5151 , ""auto"", ""ar"")"),"هل تعرف أين يمكنني العثور عليها؟")</f>
        <v>هل تعرف أين يمكنني العثور عليها؟</v>
      </c>
    </row>
    <row r="5152" ht="15.75" customHeight="1">
      <c r="A5152" s="6" t="s">
        <v>9027</v>
      </c>
      <c r="B5152" s="6" t="s">
        <v>9028</v>
      </c>
      <c r="C5152" s="7" t="s">
        <v>9029</v>
      </c>
      <c r="D5152" s="1" t="str">
        <f>IFERROR(__xludf.DUMMYFUNCTION("GOOGLETRANSLATE(A5152 , ""auto"", ""ar"")"),"هي في العمل")</f>
        <v>هي في العمل</v>
      </c>
    </row>
    <row r="5153" ht="15.75" customHeight="1">
      <c r="A5153" s="6" t="s">
        <v>9030</v>
      </c>
      <c r="B5153" s="6" t="s">
        <v>9031</v>
      </c>
      <c r="C5153" s="7" t="s">
        <v>9032</v>
      </c>
      <c r="D5153" s="1" t="str">
        <f>IFERROR(__xludf.DUMMYFUNCTION("GOOGLETRANSLATE(A5153 , ""auto"", ""ar"")"),"انها في المنزل")</f>
        <v>انها في المنزل</v>
      </c>
    </row>
    <row r="5154" ht="15.75" customHeight="1">
      <c r="A5154" s="6" t="s">
        <v>9033</v>
      </c>
      <c r="B5154" s="6" t="s">
        <v>9034</v>
      </c>
      <c r="C5154" s="7" t="s">
        <v>9035</v>
      </c>
      <c r="D5154" s="1" t="str">
        <f>IFERROR(__xludf.DUMMYFUNCTION("GOOGLETRANSLATE(A5154 , ""auto"", ""ar"")"),"معذرة ، هل جوليان هنا؟")</f>
        <v>معذرة ، هل جوليان هنا؟</v>
      </c>
    </row>
    <row r="5155" ht="15.75" customHeight="1">
      <c r="A5155" s="6" t="s">
        <v>9036</v>
      </c>
      <c r="B5155" s="6" t="s">
        <v>9037</v>
      </c>
      <c r="C5155" s="7" t="s">
        <v>9038</v>
      </c>
      <c r="D5155" s="1" t="str">
        <f>IFERROR(__xludf.DUMMYFUNCTION("GOOGLETRANSLATE(A5155 , ""auto"", ""ar"")"),"نعم ، إنه هنا")</f>
        <v>نعم ، إنه هنا</v>
      </c>
    </row>
    <row r="5156" ht="15.75" customHeight="1">
      <c r="A5156" s="6" t="s">
        <v>9039</v>
      </c>
      <c r="B5156" s="6" t="s">
        <v>9040</v>
      </c>
      <c r="C5156" s="7" t="s">
        <v>9041</v>
      </c>
      <c r="D5156" s="1" t="str">
        <f>IFERROR(__xludf.DUMMYFUNCTION("GOOGLETRANSLATE(A5156 , ""auto"", ""ar"")"),"غادر")</f>
        <v>غادر</v>
      </c>
    </row>
    <row r="5157" ht="15.75" customHeight="1">
      <c r="A5157" s="6" t="s">
        <v>9042</v>
      </c>
      <c r="B5157" s="6" t="s">
        <v>9043</v>
      </c>
      <c r="C5157" s="7" t="s">
        <v>9044</v>
      </c>
      <c r="D5157" s="1" t="str">
        <f>IFERROR(__xludf.DUMMYFUNCTION("GOOGLETRANSLATE(A5157 , ""auto"", ""ar"")"),"هل تعرف أين يمكنني أن أجده؟")</f>
        <v>هل تعرف أين يمكنني أن أجده؟</v>
      </c>
    </row>
    <row r="5158" ht="15.75" customHeight="1">
      <c r="A5158" s="6" t="s">
        <v>9045</v>
      </c>
      <c r="B5158" s="6" t="s">
        <v>9046</v>
      </c>
      <c r="C5158" s="7" t="s">
        <v>9047</v>
      </c>
      <c r="D5158" s="1" t="str">
        <f>IFERROR(__xludf.DUMMYFUNCTION("GOOGLETRANSLATE(A5158 , ""auto"", ""ar"")"),"يمكنك الاتصال به على هاتفه المحمول")</f>
        <v>يمكنك الاتصال به على هاتفه المحمول</v>
      </c>
    </row>
    <row r="5159" ht="15.75" customHeight="1">
      <c r="A5159" s="6" t="s">
        <v>9048</v>
      </c>
      <c r="B5159" s="6" t="s">
        <v>9049</v>
      </c>
      <c r="C5159" s="7" t="s">
        <v>9050</v>
      </c>
      <c r="D5159" s="1" t="str">
        <f>IFERROR(__xludf.DUMMYFUNCTION("GOOGLETRANSLATE(A5159 , ""auto"", ""ar"")"),"إنه في العمل")</f>
        <v>إنه في العمل</v>
      </c>
    </row>
    <row r="5160" ht="15.75" customHeight="1">
      <c r="A5160" s="6" t="s">
        <v>9051</v>
      </c>
      <c r="B5160" s="6" t="s">
        <v>9052</v>
      </c>
      <c r="C5160" s="7" t="s">
        <v>9053</v>
      </c>
      <c r="D5160" s="1" t="str">
        <f>IFERROR(__xludf.DUMMYFUNCTION("GOOGLETRANSLATE(A5160 , ""auto"", ""ar"")"),"انه في المنزل")</f>
        <v>انه في المنزل</v>
      </c>
    </row>
    <row r="5161" ht="15.75" customHeight="1">
      <c r="A5161" s="6" t="s">
        <v>9054</v>
      </c>
      <c r="B5161" s="6" t="s">
        <v>9055</v>
      </c>
      <c r="C5161" s="7" t="s">
        <v>9056</v>
      </c>
      <c r="D5161" s="1" t="str">
        <f>IFERROR(__xludf.DUMMYFUNCTION("GOOGLETRANSLATE(A5161 , ""auto"", ""ar"")"),"الشاطئ")</f>
        <v>الشاطئ</v>
      </c>
    </row>
    <row r="5162" ht="15.75" customHeight="1">
      <c r="A5162" s="6" t="s">
        <v>9057</v>
      </c>
      <c r="B5162" s="6" t="s">
        <v>9058</v>
      </c>
      <c r="C5162" s="7" t="s">
        <v>9059</v>
      </c>
      <c r="D5162" s="1" t="str">
        <f>IFERROR(__xludf.DUMMYFUNCTION("GOOGLETRANSLATE(A5162 , ""auto"", ""ar"")"),"هل تعرف أين يمكنني شراء كرة؟")</f>
        <v>هل تعرف أين يمكنني شراء كرة؟</v>
      </c>
    </row>
    <row r="5163" ht="15.75" customHeight="1">
      <c r="A5163" s="6" t="s">
        <v>9060</v>
      </c>
      <c r="B5163" s="6" t="s">
        <v>9061</v>
      </c>
      <c r="C5163" s="7" t="s">
        <v>9062</v>
      </c>
      <c r="D5163" s="1" t="str">
        <f>IFERROR(__xludf.DUMMYFUNCTION("GOOGLETRANSLATE(A5163 , ""auto"", ""ar"")"),"يوجد متجر في هذا الاتجاه")</f>
        <v>يوجد متجر في هذا الاتجاه</v>
      </c>
    </row>
    <row r="5164" ht="15.75" customHeight="1">
      <c r="A5164" s="6" t="s">
        <v>9063</v>
      </c>
      <c r="B5164" s="6" t="s">
        <v>9064</v>
      </c>
      <c r="C5164" s="7" t="s">
        <v>9065</v>
      </c>
      <c r="D5164" s="1" t="str">
        <f>IFERROR(__xludf.DUMMYFUNCTION("GOOGLETRANSLATE(A5164 , ""auto"", ""ar"")"),"كرة")</f>
        <v>كرة</v>
      </c>
    </row>
    <row r="5165" ht="15.75" customHeight="1">
      <c r="A5165" s="6" t="s">
        <v>9066</v>
      </c>
      <c r="B5165" s="6" t="s">
        <v>9067</v>
      </c>
      <c r="C5165" s="7" t="s">
        <v>9068</v>
      </c>
      <c r="D5165" s="1" t="str">
        <f>IFERROR(__xludf.DUMMYFUNCTION("GOOGLETRANSLATE(A5165 , ""auto"", ""ar"")"),"المناظير")</f>
        <v>المناظير</v>
      </c>
    </row>
    <row r="5166" ht="15.75" customHeight="1">
      <c r="A5166" s="6" t="s">
        <v>9069</v>
      </c>
      <c r="B5166" s="6" t="s">
        <v>9070</v>
      </c>
      <c r="C5166" s="7" t="s">
        <v>9071</v>
      </c>
      <c r="D5166" s="1" t="str">
        <f>IFERROR(__xludf.DUMMYFUNCTION("GOOGLETRANSLATE(A5166 , ""auto"", ""ar"")"),"قبعة")</f>
        <v>قبعة</v>
      </c>
    </row>
    <row r="5167" ht="15.75" customHeight="1">
      <c r="A5167" s="6" t="s">
        <v>9072</v>
      </c>
      <c r="B5167" s="6" t="s">
        <v>9073</v>
      </c>
      <c r="C5167" s="7" t="s">
        <v>9074</v>
      </c>
      <c r="D5167" s="1" t="str">
        <f>IFERROR(__xludf.DUMMYFUNCTION("GOOGLETRANSLATE(A5167 , ""auto"", ""ar"")"),"منشفة")</f>
        <v>منشفة</v>
      </c>
    </row>
    <row r="5168" ht="15.75" customHeight="1">
      <c r="A5168" s="6" t="s">
        <v>9075</v>
      </c>
      <c r="B5168" s="6" t="s">
        <v>9076</v>
      </c>
      <c r="C5168" s="7" t="s">
        <v>9077</v>
      </c>
      <c r="D5168" s="1" t="str">
        <f>IFERROR(__xludf.DUMMYFUNCTION("GOOGLETRANSLATE(A5168 , ""auto"", ""ar"")"),"صنادل")</f>
        <v>صنادل</v>
      </c>
    </row>
    <row r="5169" ht="15.75" customHeight="1">
      <c r="A5169" s="6" t="s">
        <v>9078</v>
      </c>
      <c r="B5169" s="6" t="s">
        <v>9079</v>
      </c>
      <c r="C5169" s="7" t="s">
        <v>1068</v>
      </c>
      <c r="D5169" s="1" t="str">
        <f>IFERROR(__xludf.DUMMYFUNCTION("GOOGLETRANSLATE(A5169 , ""auto"", ""ar"")"),"دلو")</f>
        <v>دلو</v>
      </c>
    </row>
    <row r="5170" ht="15.75" customHeight="1">
      <c r="A5170" s="6" t="s">
        <v>9080</v>
      </c>
      <c r="B5170" s="6" t="s">
        <v>9081</v>
      </c>
      <c r="C5170" s="7" t="s">
        <v>9082</v>
      </c>
      <c r="D5170" s="1" t="str">
        <f>IFERROR(__xludf.DUMMYFUNCTION("GOOGLETRANSLATE(A5170 , ""auto"", ""ar"")"),"كريم لاسمرار البشرة")</f>
        <v>كريم لاسمرار البشرة</v>
      </c>
    </row>
    <row r="5171" ht="15.75" customHeight="1">
      <c r="A5171" s="6" t="s">
        <v>9083</v>
      </c>
      <c r="B5171" s="6" t="s">
        <v>9084</v>
      </c>
      <c r="C5171" s="7" t="s">
        <v>9085</v>
      </c>
      <c r="D5171" s="1" t="str">
        <f>IFERROR(__xludf.DUMMYFUNCTION("GOOGLETRANSLATE(A5171 , ""auto"", ""ar"")"),"سراويل السباحة")</f>
        <v>سراويل السباحة</v>
      </c>
    </row>
    <row r="5172" ht="15.75" customHeight="1">
      <c r="A5172" s="6" t="s">
        <v>9086</v>
      </c>
      <c r="B5172" s="6" t="s">
        <v>9087</v>
      </c>
      <c r="C5172" s="7" t="s">
        <v>9088</v>
      </c>
      <c r="D5172" s="1" t="str">
        <f>IFERROR(__xludf.DUMMYFUNCTION("GOOGLETRANSLATE(A5172 , ""auto"", ""ar"")"),"نظارة شمسيه")</f>
        <v>نظارة شمسيه</v>
      </c>
    </row>
    <row r="5173" ht="15.75" customHeight="1">
      <c r="A5173" s="6" t="s">
        <v>9089</v>
      </c>
      <c r="B5173" s="6" t="s">
        <v>9090</v>
      </c>
      <c r="C5173" s="7" t="s">
        <v>9091</v>
      </c>
      <c r="D5173" s="1" t="str">
        <f>IFERROR(__xludf.DUMMYFUNCTION("GOOGLETRANSLATE(A5173 , ""auto"", ""ar"")"),"المحار")</f>
        <v>المحار</v>
      </c>
    </row>
    <row r="5174" ht="15.75" customHeight="1">
      <c r="A5174" s="6" t="s">
        <v>9092</v>
      </c>
      <c r="B5174" s="6" t="s">
        <v>9093</v>
      </c>
      <c r="C5174" s="7" t="s">
        <v>9094</v>
      </c>
      <c r="D5174" s="1" t="str">
        <f>IFERROR(__xludf.DUMMYFUNCTION("GOOGLETRANSLATE(A5174 , ""auto"", ""ar"")"),"حمامات الشمس")</f>
        <v>حمامات الشمس</v>
      </c>
    </row>
    <row r="5175" ht="15.75" customHeight="1">
      <c r="A5175" s="6" t="s">
        <v>9095</v>
      </c>
      <c r="B5175" s="6" t="s">
        <v>9096</v>
      </c>
      <c r="C5175" s="7" t="s">
        <v>9097</v>
      </c>
      <c r="D5175" s="1" t="str">
        <f>IFERROR(__xludf.DUMMYFUNCTION("GOOGLETRANSLATE(A5175 , ""auto"", ""ar"")"),"مشمس")</f>
        <v>مشمس</v>
      </c>
    </row>
    <row r="5176" ht="15.75" customHeight="1">
      <c r="A5176" s="6" t="s">
        <v>9098</v>
      </c>
      <c r="B5176" s="6" t="s">
        <v>9099</v>
      </c>
      <c r="C5176" s="7" t="s">
        <v>9100</v>
      </c>
      <c r="D5176" s="1" t="str">
        <f>IFERROR(__xludf.DUMMYFUNCTION("GOOGLETRANSLATE(A5176 , ""auto"", ""ar"")"),"غروب")</f>
        <v>غروب</v>
      </c>
    </row>
    <row r="5177" ht="15.75" customHeight="1">
      <c r="A5177" s="6" t="s">
        <v>9101</v>
      </c>
      <c r="B5177" s="6" t="s">
        <v>9102</v>
      </c>
      <c r="C5177" s="7" t="s">
        <v>9103</v>
      </c>
      <c r="D5177" s="1" t="str">
        <f>IFERROR(__xludf.DUMMYFUNCTION("GOOGLETRANSLATE(A5177 , ""auto"", ""ar"")"),"باراسول")</f>
        <v>باراسول</v>
      </c>
    </row>
    <row r="5178" ht="15.75" customHeight="1">
      <c r="A5178" s="6" t="s">
        <v>9104</v>
      </c>
      <c r="B5178" s="6" t="s">
        <v>9105</v>
      </c>
      <c r="C5178" s="7" t="s">
        <v>9106</v>
      </c>
      <c r="D5178" s="1" t="str">
        <f>IFERROR(__xludf.DUMMYFUNCTION("GOOGLETRANSLATE(A5178 , ""auto"", ""ar"")"),"شمس")</f>
        <v>شمس</v>
      </c>
    </row>
    <row r="5179" ht="15.75" customHeight="1">
      <c r="A5179" s="6" t="s">
        <v>9107</v>
      </c>
      <c r="B5179" s="6" t="s">
        <v>9108</v>
      </c>
      <c r="C5179" s="7" t="s">
        <v>9109</v>
      </c>
      <c r="D5179" s="1" t="str">
        <f>IFERROR(__xludf.DUMMYFUNCTION("GOOGLETRANSLATE(A5179 , ""auto"", ""ar"")"),"ظلة")</f>
        <v>ظلة</v>
      </c>
    </row>
    <row r="5180" ht="15.75" customHeight="1">
      <c r="A5180" s="6" t="s">
        <v>9110</v>
      </c>
      <c r="B5180" s="6" t="s">
        <v>9111</v>
      </c>
      <c r="C5180" s="7" t="s">
        <v>9112</v>
      </c>
      <c r="D5180" s="1" t="str">
        <f>IFERROR(__xludf.DUMMYFUNCTION("GOOGLETRANSLATE(A5180 , ""auto"", ""ar"")"),"ضربة شمس")</f>
        <v>ضربة شمس</v>
      </c>
    </row>
    <row r="5181" ht="15.75" customHeight="1">
      <c r="A5181" s="6" t="s">
        <v>9113</v>
      </c>
      <c r="B5181" s="6" t="s">
        <v>9114</v>
      </c>
      <c r="C5181" s="7" t="s">
        <v>9115</v>
      </c>
      <c r="D5181" s="1" t="str">
        <f>IFERROR(__xludf.DUMMYFUNCTION("GOOGLETRANSLATE(A5181 , ""auto"", ""ar"")"),"هل من الخطير السباحة هنا؟")</f>
        <v>هل من الخطير السباحة هنا؟</v>
      </c>
    </row>
    <row r="5182" ht="15.75" customHeight="1">
      <c r="A5182" s="6" t="s">
        <v>9116</v>
      </c>
      <c r="B5182" s="6" t="s">
        <v>9117</v>
      </c>
      <c r="C5182" s="7" t="s">
        <v>9118</v>
      </c>
      <c r="D5182" s="1" t="str">
        <f>IFERROR(__xludf.DUMMYFUNCTION("GOOGLETRANSLATE(A5182 , ""auto"", ""ar"")"),"لا ، إنه ليس خطيرًا")</f>
        <v>لا ، إنه ليس خطيرًا</v>
      </c>
    </row>
    <row r="5183" ht="15.75" customHeight="1">
      <c r="A5183" s="6" t="s">
        <v>9119</v>
      </c>
      <c r="B5183" s="6" t="s">
        <v>9120</v>
      </c>
      <c r="C5183" s="7" t="s">
        <v>9121</v>
      </c>
      <c r="D5183" s="1" t="str">
        <f>IFERROR(__xludf.DUMMYFUNCTION("GOOGLETRANSLATE(A5183 , ""auto"", ""ar"")"),"نعم ، من المحظور السباحة هنا")</f>
        <v>نعم ، من المحظور السباحة هنا</v>
      </c>
    </row>
    <row r="5184" ht="15.75" customHeight="1">
      <c r="A5184" s="6" t="s">
        <v>9122</v>
      </c>
      <c r="B5184" s="6" t="s">
        <v>9123</v>
      </c>
      <c r="C5184" s="7" t="s">
        <v>9124</v>
      </c>
      <c r="D5184" s="1" t="str">
        <f>IFERROR(__xludf.DUMMYFUNCTION("GOOGLETRANSLATE(A5184 , ""auto"", ""ar"")"),"السباحة")</f>
        <v>السباحة</v>
      </c>
    </row>
    <row r="5185" ht="15.75" customHeight="1">
      <c r="A5185" s="6" t="s">
        <v>9125</v>
      </c>
      <c r="B5185" s="6" t="s">
        <v>9126</v>
      </c>
      <c r="C5185" s="7" t="s">
        <v>9127</v>
      </c>
      <c r="D5185" s="1" t="str">
        <f>IFERROR(__xludf.DUMMYFUNCTION("GOOGLETRANSLATE(A5185 , ""auto"", ""ar"")"),"سباحة")</f>
        <v>سباحة</v>
      </c>
    </row>
    <row r="5186" ht="15.75" customHeight="1">
      <c r="A5186" s="6" t="s">
        <v>9128</v>
      </c>
      <c r="B5186" s="6" t="s">
        <v>9129</v>
      </c>
      <c r="C5186" s="7" t="s">
        <v>9130</v>
      </c>
      <c r="D5186" s="1" t="str">
        <f>IFERROR(__xludf.DUMMYFUNCTION("GOOGLETRANSLATE(A5186 , ""auto"", ""ar"")"),"موجة")</f>
        <v>موجة</v>
      </c>
    </row>
    <row r="5187" ht="15.75" customHeight="1">
      <c r="A5187" s="6" t="s">
        <v>9131</v>
      </c>
      <c r="B5187" s="6" t="s">
        <v>9055</v>
      </c>
      <c r="C5187" s="7" t="s">
        <v>9056</v>
      </c>
      <c r="D5187" s="1" t="str">
        <f>IFERROR(__xludf.DUMMYFUNCTION("GOOGLETRANSLATE(A5187 , ""auto"", ""ar"")"),"بحر")</f>
        <v>بحر</v>
      </c>
    </row>
    <row r="5188" ht="15.75" customHeight="1">
      <c r="A5188" s="6" t="s">
        <v>9132</v>
      </c>
      <c r="B5188" s="6" t="s">
        <v>9133</v>
      </c>
      <c r="C5188" s="7" t="s">
        <v>9134</v>
      </c>
      <c r="D5188" s="1" t="str">
        <f>IFERROR(__xludf.DUMMYFUNCTION("GOOGLETRANSLATE(A5188 , ""auto"", ""ar"")"),"الكثبان الرملية")</f>
        <v>الكثبان الرملية</v>
      </c>
    </row>
    <row r="5189" ht="15.75" customHeight="1">
      <c r="A5189" s="6" t="s">
        <v>9135</v>
      </c>
      <c r="B5189" s="6" t="s">
        <v>9136</v>
      </c>
      <c r="C5189" s="7" t="s">
        <v>9137</v>
      </c>
      <c r="D5189" s="1" t="str">
        <f>IFERROR(__xludf.DUMMYFUNCTION("GOOGLETRANSLATE(A5189 , ""auto"", ""ar"")"),"رمل")</f>
        <v>رمل</v>
      </c>
    </row>
    <row r="5190" ht="15.75" customHeight="1">
      <c r="A5190" s="6" t="s">
        <v>9138</v>
      </c>
      <c r="B5190" s="6" t="s">
        <v>9139</v>
      </c>
      <c r="C5190" s="7" t="s">
        <v>9140</v>
      </c>
      <c r="D5190" s="1" t="str">
        <f>IFERROR(__xludf.DUMMYFUNCTION("GOOGLETRANSLATE(A5190 , ""auto"", ""ar"")"),"ما هي توقعات الطقس ليوم غد؟")</f>
        <v>ما هي توقعات الطقس ليوم غد؟</v>
      </c>
    </row>
    <row r="5191" ht="15.75" customHeight="1">
      <c r="A5191" s="6" t="s">
        <v>9141</v>
      </c>
      <c r="B5191" s="6" t="s">
        <v>9142</v>
      </c>
      <c r="C5191" s="7" t="s">
        <v>9143</v>
      </c>
      <c r="D5191" s="1" t="str">
        <f>IFERROR(__xludf.DUMMYFUNCTION("GOOGLETRANSLATE(A5191 , ""auto"", ""ar"")"),"الطقس سيتغير")</f>
        <v>الطقس سيتغير</v>
      </c>
    </row>
    <row r="5192" ht="15.75" customHeight="1">
      <c r="A5192" s="6" t="s">
        <v>9144</v>
      </c>
      <c r="B5192" s="6" t="s">
        <v>9145</v>
      </c>
      <c r="C5192" s="7" t="s">
        <v>9146</v>
      </c>
      <c r="D5192" s="1" t="str">
        <f>IFERROR(__xludf.DUMMYFUNCTION("GOOGLETRANSLATE(A5192 , ""auto"", ""ar"")"),"سوف تمطر")</f>
        <v>سوف تمطر</v>
      </c>
    </row>
    <row r="5193" ht="15.75" customHeight="1">
      <c r="A5193" s="6" t="s">
        <v>9147</v>
      </c>
      <c r="B5193" s="6" t="s">
        <v>9148</v>
      </c>
      <c r="C5193" s="7" t="s">
        <v>9149</v>
      </c>
      <c r="D5193" s="1" t="str">
        <f>IFERROR(__xludf.DUMMYFUNCTION("GOOGLETRANSLATE(A5193 , ""auto"", ""ar"")"),"سيكون مشمسا")</f>
        <v>سيكون مشمسا</v>
      </c>
    </row>
    <row r="5194" ht="15.75" customHeight="1">
      <c r="A5194" s="6" t="s">
        <v>9150</v>
      </c>
      <c r="B5194" s="6" t="s">
        <v>9151</v>
      </c>
      <c r="C5194" s="7" t="s">
        <v>9152</v>
      </c>
      <c r="D5194" s="1" t="str">
        <f>IFERROR(__xludf.DUMMYFUNCTION("GOOGLETRANSLATE(A5194 , ""auto"", ""ar"")"),"ستكون عاصفة جدا")</f>
        <v>ستكون عاصفة جدا</v>
      </c>
    </row>
    <row r="5195" ht="15.75" customHeight="1">
      <c r="A5195" s="6" t="s">
        <v>9153</v>
      </c>
      <c r="B5195" s="6" t="s">
        <v>9154</v>
      </c>
      <c r="C5195" s="7" t="s">
        <v>9155</v>
      </c>
      <c r="D5195" s="1" t="str">
        <f>IFERROR(__xludf.DUMMYFUNCTION("GOOGLETRANSLATE(A5195 , ""auto"", ""ar"")"),"بدلة السباحة")</f>
        <v>بدلة السباحة</v>
      </c>
    </row>
    <row r="5196" ht="15.75" customHeight="1">
      <c r="A5196" s="6" t="s">
        <v>9156</v>
      </c>
      <c r="B5196" s="6" t="s">
        <v>9157</v>
      </c>
      <c r="C5196" s="7" t="s">
        <v>9158</v>
      </c>
      <c r="D5196" s="1" t="str">
        <f>IFERROR(__xludf.DUMMYFUNCTION("GOOGLETRANSLATE(A5196 , ""auto"", ""ar"")"),"هل يمكنك مساعدتي من فضلك؟")</f>
        <v>هل يمكنك مساعدتي من فضلك؟</v>
      </c>
    </row>
    <row r="5197" ht="15.75" customHeight="1">
      <c r="A5197" s="6" t="s">
        <v>9156</v>
      </c>
      <c r="B5197" s="6" t="s">
        <v>8155</v>
      </c>
      <c r="C5197" s="7" t="s">
        <v>9159</v>
      </c>
      <c r="D5197" s="1" t="str">
        <f>IFERROR(__xludf.DUMMYFUNCTION("GOOGLETRANSLATE(A5197 , ""auto"", ""ar"")"),"هل يمكنك مساعدتي من فضلك؟")</f>
        <v>هل يمكنك مساعدتي من فضلك؟</v>
      </c>
    </row>
    <row r="5198" ht="15.75" customHeight="1">
      <c r="A5198" s="6" t="s">
        <v>9160</v>
      </c>
      <c r="B5198" s="6" t="s">
        <v>9161</v>
      </c>
      <c r="C5198" s="7" t="s">
        <v>9162</v>
      </c>
      <c r="D5198" s="1" t="str">
        <f>IFERROR(__xludf.DUMMYFUNCTION("GOOGLETRANSLATE(A5198 , ""auto"", ""ar"")"),"أنا تائه")</f>
        <v>أنا تائه</v>
      </c>
    </row>
    <row r="5199" ht="15.75" customHeight="1">
      <c r="A5199" s="6" t="s">
        <v>8624</v>
      </c>
      <c r="B5199" s="6" t="s">
        <v>9163</v>
      </c>
      <c r="C5199" s="7" t="s">
        <v>9164</v>
      </c>
      <c r="D5199" s="1" t="str">
        <f>IFERROR(__xludf.DUMMYFUNCTION("GOOGLETRANSLATE(A5199 , ""auto"", ""ar"")"),"ماذا تريد؟")</f>
        <v>ماذا تريد؟</v>
      </c>
    </row>
    <row r="5200" ht="15.75" customHeight="1">
      <c r="A5200" s="6" t="s">
        <v>9165</v>
      </c>
      <c r="B5200" s="6" t="s">
        <v>9166</v>
      </c>
      <c r="C5200" s="7" t="s">
        <v>9167</v>
      </c>
      <c r="D5200" s="1" t="str">
        <f>IFERROR(__xludf.DUMMYFUNCTION("GOOGLETRANSLATE(A5200 , ""auto"", ""ar"")"),"ماذا حدث؟")</f>
        <v>ماذا حدث؟</v>
      </c>
    </row>
    <row r="5201" ht="15.75" customHeight="1">
      <c r="A5201" s="6" t="s">
        <v>9168</v>
      </c>
      <c r="B5201" s="6" t="s">
        <v>9169</v>
      </c>
      <c r="C5201" s="7" t="s">
        <v>9170</v>
      </c>
      <c r="D5201" s="1" t="str">
        <f>IFERROR(__xludf.DUMMYFUNCTION("GOOGLETRANSLATE(A5201 , ""auto"", ""ar"")"),"أين يمكنني أن أجد مترجمًا؟")</f>
        <v>أين يمكنني أن أجد مترجمًا؟</v>
      </c>
    </row>
    <row r="5202" ht="15.75" customHeight="1">
      <c r="A5202" s="6" t="s">
        <v>9171</v>
      </c>
      <c r="B5202" s="6" t="s">
        <v>9172</v>
      </c>
      <c r="C5202" s="7" t="s">
        <v>9173</v>
      </c>
      <c r="D5202" s="1" t="str">
        <f>IFERROR(__xludf.DUMMYFUNCTION("GOOGLETRANSLATE(A5202 , ""auto"", ""ar"")"),"أين يوجد أقرب متجر كيميائي؟")</f>
        <v>أين يوجد أقرب متجر كيميائي؟</v>
      </c>
    </row>
    <row r="5203" ht="15.75" customHeight="1">
      <c r="A5203" s="6" t="s">
        <v>9174</v>
      </c>
      <c r="B5203" s="6" t="s">
        <v>9175</v>
      </c>
      <c r="C5203" s="7" t="s">
        <v>9176</v>
      </c>
      <c r="D5203" s="1" t="str">
        <f>IFERROR(__xludf.DUMMYFUNCTION("GOOGLETRANSLATE(A5203 , ""auto"", ""ar"")"),"هل يمكنك الاتصال بالطبيب من فضلك")</f>
        <v>هل يمكنك الاتصال بالطبيب من فضلك</v>
      </c>
    </row>
    <row r="5204" ht="15.75" customHeight="1">
      <c r="A5204" s="6" t="s">
        <v>9177</v>
      </c>
      <c r="B5204" s="6" t="s">
        <v>9178</v>
      </c>
      <c r="C5204" s="7" t="s">
        <v>9179</v>
      </c>
      <c r="D5204" s="1" t="str">
        <f>IFERROR(__xludf.DUMMYFUNCTION("GOOGLETRANSLATE(A5204 , ""auto"", ""ar"")"),"ما نوع العلاج الذي تخضعه في الوقت الحالي؟")</f>
        <v>ما نوع العلاج الذي تخضعه في الوقت الحالي؟</v>
      </c>
    </row>
    <row r="5205" ht="15.75" customHeight="1">
      <c r="A5205" s="6" t="s">
        <v>9177</v>
      </c>
      <c r="B5205" s="6" t="s">
        <v>8155</v>
      </c>
      <c r="C5205" s="7" t="s">
        <v>9180</v>
      </c>
      <c r="D5205" s="1" t="str">
        <f>IFERROR(__xludf.DUMMYFUNCTION("GOOGLETRANSLATE(A5205 , ""auto"", ""ar"")"),"ما نوع العلاج الذي تخضعه في الوقت الحالي؟")</f>
        <v>ما نوع العلاج الذي تخضعه في الوقت الحالي؟</v>
      </c>
    </row>
    <row r="5206" ht="15.75" customHeight="1">
      <c r="A5206" s="6" t="s">
        <v>9181</v>
      </c>
      <c r="B5206" s="6" t="s">
        <v>9182</v>
      </c>
      <c r="C5206" s="7" t="s">
        <v>9183</v>
      </c>
      <c r="D5206" s="1" t="str">
        <f>IFERROR(__xludf.DUMMYFUNCTION("GOOGLETRANSLATE(A5206 , ""auto"", ""ar"")"),"مستشفى")</f>
        <v>مستشفى</v>
      </c>
    </row>
    <row r="5207" ht="15.75" customHeight="1">
      <c r="A5207" s="6" t="s">
        <v>9184</v>
      </c>
      <c r="B5207" s="6" t="s">
        <v>9185</v>
      </c>
      <c r="C5207" s="7" t="s">
        <v>9186</v>
      </c>
      <c r="D5207" s="1" t="str">
        <f>IFERROR(__xludf.DUMMYFUNCTION("GOOGLETRANSLATE(A5207 , ""auto"", ""ar"")"),"كيميائي")</f>
        <v>كيميائي</v>
      </c>
    </row>
    <row r="5208" ht="15.75" customHeight="1">
      <c r="A5208" s="6" t="s">
        <v>9187</v>
      </c>
      <c r="B5208" s="6" t="s">
        <v>9188</v>
      </c>
      <c r="C5208" s="7" t="s">
        <v>2165</v>
      </c>
      <c r="D5208" s="1" t="str">
        <f>IFERROR(__xludf.DUMMYFUNCTION("GOOGLETRANSLATE(A5208 , ""auto"", ""ar"")"),"طبيب")</f>
        <v>طبيب</v>
      </c>
    </row>
    <row r="5209" ht="15.75" customHeight="1">
      <c r="A5209" s="6" t="s">
        <v>9189</v>
      </c>
      <c r="B5209" s="6" t="s">
        <v>9190</v>
      </c>
      <c r="C5209" s="7" t="s">
        <v>9191</v>
      </c>
      <c r="D5209" s="1" t="str">
        <f>IFERROR(__xludf.DUMMYFUNCTION("GOOGLETRANSLATE(A5209 , ""auto"", ""ar"")"),"القسم الطبي")</f>
        <v>القسم الطبي</v>
      </c>
    </row>
    <row r="5210" ht="15.75" customHeight="1">
      <c r="A5210" s="6" t="s">
        <v>9192</v>
      </c>
      <c r="B5210" s="6" t="s">
        <v>9193</v>
      </c>
      <c r="C5210" s="7" t="s">
        <v>9194</v>
      </c>
      <c r="D5210" s="1" t="str">
        <f>IFERROR(__xludf.DUMMYFUNCTION("GOOGLETRANSLATE(A5210 , ""auto"", ""ar"")"),"لقد فقدت أوراقي")</f>
        <v>لقد فقدت أوراقي</v>
      </c>
    </row>
    <row r="5211" ht="15.75" customHeight="1">
      <c r="A5211" s="6" t="s">
        <v>9195</v>
      </c>
      <c r="B5211" s="6" t="s">
        <v>9196</v>
      </c>
      <c r="C5211" s="7" t="s">
        <v>9197</v>
      </c>
      <c r="D5211" s="1" t="str">
        <f>IFERROR(__xludf.DUMMYFUNCTION("GOOGLETRANSLATE(A5211 , ""auto"", ""ar"")"),"سرقت أوراقي")</f>
        <v>سرقت أوراقي</v>
      </c>
    </row>
    <row r="5212" ht="15.75" customHeight="1">
      <c r="A5212" s="6" t="s">
        <v>9198</v>
      </c>
      <c r="B5212" s="6" t="s">
        <v>9199</v>
      </c>
      <c r="C5212" s="7" t="s">
        <v>9200</v>
      </c>
      <c r="D5212" s="1" t="str">
        <f>IFERROR(__xludf.DUMMYFUNCTION("GOOGLETRANSLATE(A5212 , ""auto"", ""ar"")"),"مكتب الممتلكات المفقودة")</f>
        <v>مكتب الممتلكات المفقودة</v>
      </c>
    </row>
    <row r="5213" ht="15.75" customHeight="1">
      <c r="A5213" s="6" t="s">
        <v>9201</v>
      </c>
      <c r="B5213" s="6" t="s">
        <v>9202</v>
      </c>
      <c r="C5213" s="7" t="s">
        <v>9203</v>
      </c>
      <c r="D5213" s="1" t="str">
        <f>IFERROR(__xludf.DUMMYFUNCTION("GOOGLETRANSLATE(A5213 , ""auto"", ""ar"")"),"مركز للإسعافات الأولية")</f>
        <v>مركز للإسعافات الأولية</v>
      </c>
    </row>
    <row r="5214" ht="15.75" customHeight="1">
      <c r="A5214" s="6" t="s">
        <v>9204</v>
      </c>
      <c r="B5214" s="6" t="s">
        <v>9205</v>
      </c>
      <c r="C5214" s="7" t="s">
        <v>9206</v>
      </c>
      <c r="D5214" s="1" t="str">
        <f>IFERROR(__xludf.DUMMYFUNCTION("GOOGLETRANSLATE(A5214 , ""auto"", ""ar"")"),"مخرج طوارئ")</f>
        <v>مخرج طوارئ</v>
      </c>
    </row>
    <row r="5215" ht="15.75" customHeight="1">
      <c r="A5215" s="6" t="s">
        <v>9207</v>
      </c>
      <c r="B5215" s="6" t="s">
        <v>9208</v>
      </c>
      <c r="C5215" s="7" t="s">
        <v>9209</v>
      </c>
      <c r="D5215" s="1" t="str">
        <f>IFERROR(__xludf.DUMMYFUNCTION("GOOGLETRANSLATE(A5215 , ""auto"", ""ar"")"),"الشرطة")</f>
        <v>الشرطة</v>
      </c>
    </row>
    <row r="5216" ht="15.75" customHeight="1">
      <c r="A5216" s="6" t="s">
        <v>9210</v>
      </c>
      <c r="B5216" s="6" t="s">
        <v>9211</v>
      </c>
      <c r="C5216" s="7" t="s">
        <v>9212</v>
      </c>
      <c r="D5216" s="1" t="str">
        <f>IFERROR(__xludf.DUMMYFUNCTION("GOOGLETRANSLATE(A5216 , ""auto"", ""ar"")"),"أوراق")</f>
        <v>أوراق</v>
      </c>
    </row>
    <row r="5217" ht="15.75" customHeight="1">
      <c r="A5217" s="6" t="s">
        <v>9213</v>
      </c>
      <c r="B5217" s="6" t="s">
        <v>9214</v>
      </c>
      <c r="C5217" s="7" t="s">
        <v>9215</v>
      </c>
      <c r="D5217" s="1" t="str">
        <f>IFERROR(__xludf.DUMMYFUNCTION("GOOGLETRANSLATE(A5217 , ""auto"", ""ar"")"),"مال")</f>
        <v>مال</v>
      </c>
    </row>
    <row r="5218" ht="15.75" customHeight="1">
      <c r="A5218" s="6" t="s">
        <v>9216</v>
      </c>
      <c r="B5218" s="6" t="s">
        <v>9217</v>
      </c>
      <c r="C5218" s="7" t="s">
        <v>9218</v>
      </c>
      <c r="D5218" s="1" t="str">
        <f>IFERROR(__xludf.DUMMYFUNCTION("GOOGLETRANSLATE(A5218 , ""auto"", ""ar"")"),"جواز سفر")</f>
        <v>جواز سفر</v>
      </c>
    </row>
    <row r="5219" ht="15.75" customHeight="1">
      <c r="A5219" s="6" t="s">
        <v>9219</v>
      </c>
      <c r="B5219" s="6" t="s">
        <v>9220</v>
      </c>
      <c r="C5219" s="7" t="s">
        <v>9221</v>
      </c>
      <c r="D5219" s="1" t="str">
        <f>IFERROR(__xludf.DUMMYFUNCTION("GOOGLETRANSLATE(A5219 , ""auto"", ""ar"")"),"أمتعة السفر")</f>
        <v>أمتعة السفر</v>
      </c>
    </row>
    <row r="5220" ht="15.75" customHeight="1">
      <c r="A5220" s="6" t="s">
        <v>9222</v>
      </c>
      <c r="B5220" s="6" t="s">
        <v>9223</v>
      </c>
      <c r="C5220" s="7" t="s">
        <v>9224</v>
      </c>
      <c r="D5220" s="1" t="str">
        <f>IFERROR(__xludf.DUMMYFUNCTION("GOOGLETRANSLATE(A5220 , ""auto"", ""ar"")"),"أنا بخير شكرا")</f>
        <v>أنا بخير شكرا</v>
      </c>
    </row>
    <row r="5221" ht="15.75" customHeight="1">
      <c r="A5221" s="6" t="s">
        <v>9225</v>
      </c>
      <c r="B5221" s="6" t="s">
        <v>9226</v>
      </c>
      <c r="C5221" s="7" t="s">
        <v>9227</v>
      </c>
      <c r="D5221" s="1" t="str">
        <f>IFERROR(__xludf.DUMMYFUNCTION("GOOGLETRANSLATE(A5221 , ""auto"", ""ar"")"),"اتركني وحدي!")</f>
        <v>اتركني وحدي!</v>
      </c>
    </row>
    <row r="5222" ht="15.75" customHeight="1">
      <c r="A5222" s="6" t="s">
        <v>9225</v>
      </c>
      <c r="B5222" s="6" t="s">
        <v>9228</v>
      </c>
      <c r="C5222" s="7" t="s">
        <v>9229</v>
      </c>
      <c r="D5222" s="1" t="str">
        <f>IFERROR(__xludf.DUMMYFUNCTION("GOOGLETRANSLATE(A5222 , ""auto"", ""ar"")"),"اتركني وحدي!")</f>
        <v>اتركني وحدي!</v>
      </c>
    </row>
    <row r="5223" ht="15.75" customHeight="1">
      <c r="A5223" s="6" t="s">
        <v>9230</v>
      </c>
      <c r="B5223" s="6" t="s">
        <v>9231</v>
      </c>
      <c r="C5223" s="7" t="s">
        <v>9232</v>
      </c>
      <c r="D5223" s="1" t="str">
        <f>IFERROR(__xludf.DUMMYFUNCTION("GOOGLETRANSLATE(A5223 , ""auto"", ""ar"")"),"يبتعد!")</f>
        <v>يبتعد!</v>
      </c>
    </row>
    <row r="5224" ht="15.75" customHeight="1">
      <c r="A5224" s="6" t="s">
        <v>9230</v>
      </c>
      <c r="B5224" s="6" t="s">
        <v>9233</v>
      </c>
      <c r="C5224" s="7" t="s">
        <v>9234</v>
      </c>
      <c r="D5224" s="1" t="str">
        <f>IFERROR(__xludf.DUMMYFUNCTION("GOOGLETRANSLATE(A5224 , ""auto"", ""ar"")"),"يبتعد!")</f>
        <v>يبتعد!</v>
      </c>
    </row>
    <row r="5225" ht="15.75" customHeight="1">
      <c r="A5225" s="6" t="s">
        <v>9235</v>
      </c>
      <c r="B5225" s="9"/>
      <c r="C5225" s="7" t="s">
        <v>9236</v>
      </c>
      <c r="D5225" s="1" t="str">
        <f>IFERROR(__xludf.DUMMYFUNCTION("GOOGLETRANSLATE(A5225 , ""auto"", ""ar"")"),"لا تمسك يدك في فتحات الأرض ولن تتعرض للعض من الثعابين")</f>
        <v>لا تمسك يدك في فتحات الأرض ولن تتعرض للعض من الثعابين</v>
      </c>
    </row>
    <row r="5226" ht="15.75" customHeight="1">
      <c r="A5226" s="6" t="s">
        <v>8073</v>
      </c>
      <c r="B5226" s="6" t="s">
        <v>3547</v>
      </c>
      <c r="C5226" s="7" t="s">
        <v>9237</v>
      </c>
      <c r="D5226" s="1" t="str">
        <f>IFERROR(__xludf.DUMMYFUNCTION("GOOGLETRANSLATE(A5226 , ""auto"", ""ar"")"),"مرحبًا")</f>
        <v>مرحبًا</v>
      </c>
    </row>
    <row r="5227" ht="15.75" customHeight="1">
      <c r="A5227" s="6" t="s">
        <v>9238</v>
      </c>
      <c r="B5227" s="6" t="s">
        <v>9239</v>
      </c>
      <c r="C5227" s="7" t="s">
        <v>9240</v>
      </c>
      <c r="D5227" s="1" t="str">
        <f>IFERROR(__xludf.DUMMYFUNCTION("GOOGLETRANSLATE(A5227 , ""auto"", ""ar"")"),"ما أخبارك؟")</f>
        <v>ما أخبارك؟</v>
      </c>
    </row>
    <row r="5228" ht="15.75" customHeight="1">
      <c r="A5228" s="6" t="s">
        <v>9241</v>
      </c>
      <c r="B5228" s="6" t="s">
        <v>9242</v>
      </c>
      <c r="C5228" s="7" t="s">
        <v>9243</v>
      </c>
      <c r="D5228" s="1" t="str">
        <f>IFERROR(__xludf.DUMMYFUNCTION("GOOGLETRANSLATE(A5228 , ""auto"", ""ar"")"),"يغلبني النعاس")</f>
        <v>يغلبني النعاس</v>
      </c>
    </row>
    <row r="5229" ht="15.75" customHeight="1">
      <c r="A5229" s="6" t="s">
        <v>9244</v>
      </c>
      <c r="B5229" s="6" t="s">
        <v>9245</v>
      </c>
      <c r="C5229" s="7" t="s">
        <v>9246</v>
      </c>
      <c r="D5229" s="1" t="str">
        <f>IFERROR(__xludf.DUMMYFUNCTION("GOOGLETRANSLATE(A5229 , ""auto"", ""ar"")"),"من هذا؟")</f>
        <v>من هذا؟</v>
      </c>
    </row>
    <row r="5230" ht="15.75" customHeight="1">
      <c r="A5230" s="6" t="s">
        <v>9247</v>
      </c>
      <c r="B5230" s="6" t="s">
        <v>9248</v>
      </c>
      <c r="C5230" s="7" t="s">
        <v>8679</v>
      </c>
      <c r="D5230" s="1" t="str">
        <f>IFERROR(__xludf.DUMMYFUNCTION("GOOGLETRANSLATE(A5230 , ""auto"", ""ar"")"),"هتافات")</f>
        <v>هتافات</v>
      </c>
    </row>
    <row r="5231" ht="15.75" customHeight="1">
      <c r="A5231" s="6" t="s">
        <v>9249</v>
      </c>
      <c r="B5231" s="6" t="s">
        <v>9250</v>
      </c>
      <c r="C5231" s="7" t="s">
        <v>9251</v>
      </c>
      <c r="D5231" s="1" t="str">
        <f>IFERROR(__xludf.DUMMYFUNCTION("GOOGLETRANSLATE(A5231 , ""auto"", ""ar"")"),"هل لديك مشكلة معي؟")</f>
        <v>هل لديك مشكلة معي؟</v>
      </c>
    </row>
    <row r="5232" ht="15.75" customHeight="1">
      <c r="A5232" s="6" t="s">
        <v>9252</v>
      </c>
      <c r="B5232" s="6" t="s">
        <v>9253</v>
      </c>
      <c r="C5232" s="7" t="s">
        <v>9254</v>
      </c>
      <c r="D5232" s="1" t="str">
        <f>IFERROR(__xludf.DUMMYFUNCTION("GOOGLETRANSLATE(A5232 , ""auto"", ""ar"")"),"ماذا يقولون؟")</f>
        <v>ماذا يقولون؟</v>
      </c>
    </row>
    <row r="5233" ht="15.75" customHeight="1">
      <c r="A5233" s="6" t="s">
        <v>9255</v>
      </c>
      <c r="B5233" s="6" t="s">
        <v>9256</v>
      </c>
      <c r="C5233" s="7" t="s">
        <v>9257</v>
      </c>
      <c r="D5233" s="1" t="str">
        <f>IFERROR(__xludf.DUMMYFUNCTION("GOOGLETRANSLATE(A5233 , ""auto"", ""ar"")"),"هل أحببت ذلك؟")</f>
        <v>هل أحببت ذلك؟</v>
      </c>
    </row>
    <row r="5234" ht="15.75" customHeight="1">
      <c r="A5234" s="6" t="s">
        <v>9258</v>
      </c>
      <c r="B5234" s="6" t="s">
        <v>9259</v>
      </c>
      <c r="C5234" s="7" t="s">
        <v>3210</v>
      </c>
      <c r="D5234" s="1" t="str">
        <f>IFERROR(__xludf.DUMMYFUNCTION("GOOGLETRANSLATE(A5234 , ""auto"", ""ar"")"),"جيد")</f>
        <v>جيد</v>
      </c>
    </row>
    <row r="5235" ht="15.75" customHeight="1">
      <c r="A5235" s="6" t="s">
        <v>9260</v>
      </c>
      <c r="B5235" s="6" t="s">
        <v>9261</v>
      </c>
      <c r="C5235" s="7" t="s">
        <v>9262</v>
      </c>
      <c r="D5235" s="1" t="str">
        <f>IFERROR(__xludf.DUMMYFUNCTION("GOOGLETRANSLATE(A5235 , ""auto"", ""ar"")"),"هل انت تنصت؟")</f>
        <v>هل انت تنصت؟</v>
      </c>
    </row>
    <row r="5236" ht="15.75" customHeight="1">
      <c r="A5236" s="6" t="s">
        <v>9263</v>
      </c>
      <c r="B5236" s="6" t="s">
        <v>9264</v>
      </c>
      <c r="C5236" s="7" t="s">
        <v>9265</v>
      </c>
      <c r="D5236" s="1" t="str">
        <f>IFERROR(__xludf.DUMMYFUNCTION("GOOGLETRANSLATE(A5236 , ""auto"", ""ar"")"),"شيء آخر")</f>
        <v>شيء آخر</v>
      </c>
    </row>
    <row r="5237" ht="15.75" customHeight="1">
      <c r="A5237" s="6" t="s">
        <v>9266</v>
      </c>
      <c r="B5237" s="6" t="s">
        <v>9267</v>
      </c>
      <c r="C5237" s="7" t="s">
        <v>9268</v>
      </c>
      <c r="D5237" s="1" t="str">
        <f>IFERROR(__xludf.DUMMYFUNCTION("GOOGLETRANSLATE(A5237 , ""auto"", ""ar"")"),"يجب على  أن أذهب")</f>
        <v>يجب على  أن أذهب</v>
      </c>
    </row>
    <row r="5238" ht="15.75" customHeight="1">
      <c r="A5238" s="6" t="s">
        <v>8104</v>
      </c>
      <c r="B5238" s="6" t="s">
        <v>9269</v>
      </c>
      <c r="C5238" s="7" t="s">
        <v>9270</v>
      </c>
      <c r="D5238" s="1" t="str">
        <f>IFERROR(__xludf.DUMMYFUNCTION("GOOGLETRANSLATE(A5238 , ""auto"", ""ar"")"),"كم سعره؟")</f>
        <v>كم سعره؟</v>
      </c>
    </row>
    <row r="5239" ht="15.75" customHeight="1">
      <c r="A5239" s="6" t="s">
        <v>9271</v>
      </c>
      <c r="B5239" s="6" t="s">
        <v>9272</v>
      </c>
      <c r="C5239" s="7" t="s">
        <v>9273</v>
      </c>
      <c r="D5239" s="1" t="str">
        <f>IFERROR(__xludf.DUMMYFUNCTION("GOOGLETRANSLATE(A5239 , ""auto"", ""ar"")"),"بجد؟")</f>
        <v>بجد؟</v>
      </c>
    </row>
    <row r="5240" ht="15.75" customHeight="1">
      <c r="A5240" s="6" t="s">
        <v>9274</v>
      </c>
      <c r="B5240" s="6" t="s">
        <v>9275</v>
      </c>
      <c r="C5240" s="7" t="s">
        <v>9276</v>
      </c>
      <c r="D5240" s="1" t="str">
        <f>IFERROR(__xludf.DUMMYFUNCTION("GOOGLETRANSLATE(A5240 , ""auto"", ""ar"")"),"هل تأكل؟")</f>
        <v>هل تأكل؟</v>
      </c>
    </row>
    <row r="5241" ht="15.75" customHeight="1">
      <c r="A5241" s="6" t="s">
        <v>9277</v>
      </c>
      <c r="B5241" s="6" t="s">
        <v>9278</v>
      </c>
      <c r="C5241" s="7" t="s">
        <v>9279</v>
      </c>
      <c r="D5241" s="1" t="str">
        <f>IFERROR(__xludf.DUMMYFUNCTION("GOOGLETRANSLATE(A5241 , ""auto"", ""ar"")"),"شهية طيبة")</f>
        <v>شهية طيبة</v>
      </c>
    </row>
    <row r="5242" ht="15.75" customHeight="1">
      <c r="A5242" s="6" t="s">
        <v>9280</v>
      </c>
      <c r="B5242" s="6" t="s">
        <v>9281</v>
      </c>
      <c r="C5242" s="7" t="s">
        <v>9282</v>
      </c>
      <c r="D5242" s="1" t="str">
        <f>IFERROR(__xludf.DUMMYFUNCTION("GOOGLETRANSLATE(A5242 , ""auto"", ""ar"")"),"هذا بارد")</f>
        <v>هذا بارد</v>
      </c>
    </row>
    <row r="5243" ht="15.75" customHeight="1">
      <c r="A5243" s="6" t="s">
        <v>9255</v>
      </c>
      <c r="B5243" s="6" t="s">
        <v>9283</v>
      </c>
      <c r="C5243" s="7" t="s">
        <v>9284</v>
      </c>
      <c r="D5243" s="1" t="str">
        <f>IFERROR(__xludf.DUMMYFUNCTION("GOOGLETRANSLATE(A5243 , ""auto"", ""ar"")"),"هل أحببت ذلك؟")</f>
        <v>هل أحببت ذلك؟</v>
      </c>
    </row>
    <row r="5244" ht="15.75" customHeight="1">
      <c r="A5244" s="6" t="s">
        <v>9285</v>
      </c>
      <c r="B5244" s="6" t="s">
        <v>9286</v>
      </c>
      <c r="C5244" s="7" t="s">
        <v>9287</v>
      </c>
      <c r="D5244" s="1" t="str">
        <f>IFERROR(__xludf.DUMMYFUNCTION("GOOGLETRANSLATE(A5244 , ""auto"", ""ar"")"),"هل تعرف؟")</f>
        <v>هل تعرف؟</v>
      </c>
    </row>
    <row r="5245" ht="15.75" customHeight="1">
      <c r="A5245" s="6" t="s">
        <v>9288</v>
      </c>
      <c r="B5245" s="6" t="s">
        <v>9289</v>
      </c>
      <c r="C5245" s="7" t="s">
        <v>9290</v>
      </c>
      <c r="D5245" s="1" t="str">
        <f>IFERROR(__xludf.DUMMYFUNCTION("GOOGLETRANSLATE(A5245 , ""auto"", ""ar"")"),"لصحتك")</f>
        <v>لصحتك</v>
      </c>
    </row>
    <row r="5246" ht="15.75" customHeight="1">
      <c r="A5246" s="6" t="s">
        <v>9291</v>
      </c>
      <c r="B5246" s="6" t="s">
        <v>9292</v>
      </c>
      <c r="C5246" s="7" t="s">
        <v>9293</v>
      </c>
      <c r="D5246" s="1" t="str">
        <f>IFERROR(__xludf.DUMMYFUNCTION("GOOGLETRANSLATE(A5246 , ""auto"", ""ar"")"),"ما هو الخطأ؟")</f>
        <v>ما هو الخطأ؟</v>
      </c>
    </row>
    <row r="5247" ht="15.75" customHeight="1">
      <c r="A5247" s="6" t="s">
        <v>9294</v>
      </c>
      <c r="B5247" s="6" t="s">
        <v>9295</v>
      </c>
      <c r="C5247" s="7" t="s">
        <v>9296</v>
      </c>
      <c r="D5247" s="1" t="str">
        <f>IFERROR(__xludf.DUMMYFUNCTION("GOOGLETRANSLATE(A5247 , ""auto"", ""ar"")"),"لصحتي")</f>
        <v>لصحتي</v>
      </c>
    </row>
    <row r="5248" ht="15.75" customHeight="1">
      <c r="A5248" s="6" t="s">
        <v>9297</v>
      </c>
      <c r="B5248" s="6" t="s">
        <v>9298</v>
      </c>
      <c r="C5248" s="7" t="s">
        <v>9299</v>
      </c>
      <c r="D5248" s="1" t="str">
        <f>IFERROR(__xludf.DUMMYFUNCTION("GOOGLETRANSLATE(A5248 , ""auto"", ""ar"")"),"هل تفهم؟")</f>
        <v>هل تفهم؟</v>
      </c>
    </row>
    <row r="5249" ht="15.75" customHeight="1">
      <c r="A5249" s="6" t="s">
        <v>9300</v>
      </c>
      <c r="B5249" s="6" t="s">
        <v>9301</v>
      </c>
      <c r="C5249" s="7" t="s">
        <v>9302</v>
      </c>
      <c r="D5249" s="1" t="str">
        <f>IFERROR(__xludf.DUMMYFUNCTION("GOOGLETRANSLATE(A5249 , ""auto"", ""ar"")"),"كم عمرك؟")</f>
        <v>كم عمرك؟</v>
      </c>
    </row>
    <row r="5250" ht="15.75" customHeight="1">
      <c r="A5250" s="6" t="s">
        <v>9303</v>
      </c>
      <c r="B5250" s="6" t="s">
        <v>9304</v>
      </c>
      <c r="C5250" s="7" t="s">
        <v>9305</v>
      </c>
      <c r="D5250" s="1" t="str">
        <f>IFERROR(__xludf.DUMMYFUNCTION("GOOGLETRANSLATE(A5250 , ""auto"", ""ar"")"),"فتاتان")</f>
        <v>فتاتان</v>
      </c>
    </row>
    <row r="5251" ht="15.75" customHeight="1">
      <c r="A5251" s="6" t="s">
        <v>9306</v>
      </c>
      <c r="B5251" s="6" t="s">
        <v>9307</v>
      </c>
      <c r="C5251" s="7" t="s">
        <v>9308</v>
      </c>
      <c r="D5251" s="1" t="str">
        <f>IFERROR(__xludf.DUMMYFUNCTION("GOOGLETRANSLATE(A5251 , ""auto"", ""ar"")"),"ثلاثة")</f>
        <v>ثلاثة</v>
      </c>
    </row>
    <row r="5252" ht="15.75" customHeight="1">
      <c r="A5252" s="6" t="s">
        <v>9309</v>
      </c>
      <c r="B5252" s="6" t="s">
        <v>9310</v>
      </c>
      <c r="C5252" s="7" t="s">
        <v>9311</v>
      </c>
      <c r="D5252" s="1" t="str">
        <f>IFERROR(__xludf.DUMMYFUNCTION("GOOGLETRANSLATE(A5252 , ""auto"", ""ar"")"),"ما مشكلتك؟")</f>
        <v>ما مشكلتك؟</v>
      </c>
    </row>
    <row r="5253" ht="15.75" customHeight="1">
      <c r="A5253" s="6" t="s">
        <v>9312</v>
      </c>
      <c r="B5253" s="6" t="s">
        <v>9313</v>
      </c>
      <c r="C5253" s="7" t="s">
        <v>9314</v>
      </c>
      <c r="D5253" s="1" t="str">
        <f>IFERROR(__xludf.DUMMYFUNCTION("GOOGLETRANSLATE(A5253 , ""auto"", ""ar"")"),"السيدات والسادة")</f>
        <v>السيدات والسادة</v>
      </c>
    </row>
    <row r="5254" ht="15.75" customHeight="1">
      <c r="A5254" s="6" t="s">
        <v>9315</v>
      </c>
      <c r="B5254" s="6" t="s">
        <v>9316</v>
      </c>
      <c r="C5254" s="7" t="s">
        <v>9317</v>
      </c>
      <c r="D5254" s="1" t="str">
        <f>IFERROR(__xludf.DUMMYFUNCTION("GOOGLETRANSLATE(A5254 , ""auto"", ""ar"")"),"لدي بعض العمل")</f>
        <v>لدي بعض العمل</v>
      </c>
    </row>
    <row r="5255" ht="15.75" customHeight="1">
      <c r="A5255" s="6" t="s">
        <v>9318</v>
      </c>
      <c r="B5255" s="6" t="s">
        <v>9319</v>
      </c>
      <c r="C5255" s="7" t="s">
        <v>9320</v>
      </c>
      <c r="D5255" s="1" t="str">
        <f>IFERROR(__xludf.DUMMYFUNCTION("GOOGLETRANSLATE(A5255 , ""auto"", ""ar"")"),"من فضلك تعامل معي")</f>
        <v>من فضلك تعامل معي</v>
      </c>
    </row>
    <row r="5256" ht="15.75" customHeight="1">
      <c r="A5256" s="6" t="s">
        <v>9321</v>
      </c>
      <c r="B5256" s="6" t="s">
        <v>9322</v>
      </c>
      <c r="C5256" s="7" t="s">
        <v>9323</v>
      </c>
      <c r="D5256" s="1" t="str">
        <f>IFERROR(__xludf.DUMMYFUNCTION("GOOGLETRANSLATE(A5256 , ""auto"", ""ar"")"),"هل هو تفكك؟")</f>
        <v>هل هو تفكك؟</v>
      </c>
    </row>
    <row r="5257" ht="15.75" customHeight="1">
      <c r="A5257" s="6" t="s">
        <v>9324</v>
      </c>
      <c r="B5257" s="6" t="s">
        <v>9325</v>
      </c>
      <c r="C5257" s="7" t="s">
        <v>9326</v>
      </c>
      <c r="D5257" s="1" t="str">
        <f>IFERROR(__xludf.DUMMYFUNCTION("GOOGLETRANSLATE(A5257 , ""auto"", ""ar"")"),"هذا هو المال")</f>
        <v>هذا هو المال</v>
      </c>
    </row>
    <row r="5258" ht="15.75" customHeight="1">
      <c r="A5258" s="6" t="s">
        <v>9327</v>
      </c>
      <c r="B5258" s="6" t="s">
        <v>9328</v>
      </c>
      <c r="C5258" s="7" t="s">
        <v>9329</v>
      </c>
      <c r="D5258" s="1" t="str">
        <f>IFERROR(__xludf.DUMMYFUNCTION("GOOGLETRANSLATE(A5258 , ""auto"", ""ar"")"),"أنا ذاهب للخارج")</f>
        <v>أنا ذاهب للخارج</v>
      </c>
    </row>
    <row r="5259" ht="15.75" customHeight="1">
      <c r="A5259" s="6" t="s">
        <v>9309</v>
      </c>
      <c r="B5259" s="6" t="s">
        <v>9330</v>
      </c>
      <c r="C5259" s="7" t="s">
        <v>9331</v>
      </c>
      <c r="D5259" s="1" t="str">
        <f>IFERROR(__xludf.DUMMYFUNCTION("GOOGLETRANSLATE(A5259 , ""auto"", ""ar"")"),"ما مشكلتك؟")</f>
        <v>ما مشكلتك؟</v>
      </c>
    </row>
    <row r="5260" ht="15.75" customHeight="1">
      <c r="A5260" s="6" t="s">
        <v>9332</v>
      </c>
      <c r="B5260" s="6" t="s">
        <v>9333</v>
      </c>
      <c r="C5260" s="7" t="s">
        <v>9334</v>
      </c>
      <c r="D5260" s="1" t="str">
        <f>IFERROR(__xludf.DUMMYFUNCTION("GOOGLETRANSLATE(A5260 , ""auto"", ""ar"")"),"مستحيل")</f>
        <v>مستحيل</v>
      </c>
    </row>
    <row r="5261" ht="15.75" customHeight="1">
      <c r="A5261" s="6" t="s">
        <v>9335</v>
      </c>
      <c r="B5261" s="6" t="s">
        <v>9336</v>
      </c>
      <c r="C5261" s="7" t="s">
        <v>9337</v>
      </c>
      <c r="D5261" s="1" t="str">
        <f>IFERROR(__xludf.DUMMYFUNCTION("GOOGLETRANSLATE(A5261 , ""auto"", ""ar"")"),"لكن لا")</f>
        <v>لكن لا</v>
      </c>
    </row>
    <row r="5262" ht="15.75" customHeight="1">
      <c r="A5262" s="6" t="s">
        <v>9338</v>
      </c>
      <c r="B5262" s="6" t="s">
        <v>9339</v>
      </c>
      <c r="C5262" s="7" t="s">
        <v>9340</v>
      </c>
      <c r="D5262" s="1" t="str">
        <f>IFERROR(__xludf.DUMMYFUNCTION("GOOGLETRANSLATE(A5262 , ""auto"", ""ar"")"),"بدون جهد")</f>
        <v>بدون جهد</v>
      </c>
    </row>
    <row r="5263" ht="15.75" customHeight="1">
      <c r="A5263" s="6" t="s">
        <v>9341</v>
      </c>
      <c r="B5263" s="6" t="s">
        <v>9342</v>
      </c>
      <c r="C5263" s="7" t="s">
        <v>2184</v>
      </c>
      <c r="D5263" s="1" t="str">
        <f>IFERROR(__xludf.DUMMYFUNCTION("GOOGLETRANSLATE(A5263 , ""auto"", ""ar"")"),"تمام")</f>
        <v>تمام</v>
      </c>
    </row>
    <row r="5264" ht="15.75" customHeight="1">
      <c r="A5264" s="6" t="s">
        <v>9343</v>
      </c>
      <c r="B5264" s="6" t="s">
        <v>9344</v>
      </c>
      <c r="C5264" s="7" t="s">
        <v>9345</v>
      </c>
      <c r="D5264" s="1" t="str">
        <f>IFERROR(__xludf.DUMMYFUNCTION("GOOGLETRANSLATE(A5264 , ""auto"", ""ar"")"),"هل هناك مشكلة؟")</f>
        <v>هل هناك مشكلة؟</v>
      </c>
    </row>
    <row r="5265" ht="15.75" customHeight="1">
      <c r="A5265" s="6" t="s">
        <v>9346</v>
      </c>
      <c r="B5265" s="6" t="s">
        <v>9347</v>
      </c>
      <c r="C5265" s="7" t="s">
        <v>9348</v>
      </c>
      <c r="D5265" s="1" t="str">
        <f>IFERROR(__xludf.DUMMYFUNCTION("GOOGLETRANSLATE(A5265 , ""auto"", ""ar"")"),"تهانينا لكم")</f>
        <v>تهانينا لكم</v>
      </c>
    </row>
    <row r="5266" ht="15.75" customHeight="1">
      <c r="A5266" s="6" t="s">
        <v>9349</v>
      </c>
      <c r="B5266" s="6" t="s">
        <v>9350</v>
      </c>
      <c r="C5266" s="7" t="s">
        <v>9351</v>
      </c>
      <c r="D5266" s="1" t="str">
        <f>IFERROR(__xludf.DUMMYFUNCTION("GOOGLETRANSLATE(A5266 , ""auto"", ""ar"")"),"هل من أحد هناك؟")</f>
        <v>هل من أحد هناك؟</v>
      </c>
    </row>
    <row r="5267" ht="15.75" customHeight="1">
      <c r="A5267" s="6" t="s">
        <v>9352</v>
      </c>
      <c r="B5267" s="6" t="s">
        <v>9353</v>
      </c>
      <c r="C5267" s="7" t="s">
        <v>9354</v>
      </c>
      <c r="D5267" s="1" t="str">
        <f>IFERROR(__xludf.DUMMYFUNCTION("GOOGLETRANSLATE(A5267 , ""auto"", ""ar"")"),"يجب أن تكون شجاعا")</f>
        <v>يجب أن تكون شجاعا</v>
      </c>
    </row>
    <row r="5268" ht="15.75" customHeight="1">
      <c r="A5268" s="6" t="s">
        <v>9355</v>
      </c>
      <c r="B5268" s="6" t="s">
        <v>9356</v>
      </c>
      <c r="C5268" s="7" t="s">
        <v>9357</v>
      </c>
      <c r="D5268" s="1" t="str">
        <f>IFERROR(__xludf.DUMMYFUNCTION("GOOGLETRANSLATE(A5268 , ""auto"", ""ar"")"),"يجب أن تكون هادئًا")</f>
        <v>يجب أن تكون هادئًا</v>
      </c>
    </row>
    <row r="5269" ht="15.75" customHeight="1">
      <c r="A5269" s="6" t="s">
        <v>9358</v>
      </c>
      <c r="B5269" s="6" t="s">
        <v>9359</v>
      </c>
      <c r="C5269" s="7" t="s">
        <v>9360</v>
      </c>
      <c r="D5269" s="1" t="str">
        <f>IFERROR(__xludf.DUMMYFUNCTION("GOOGLETRANSLATE(A5269 , ""auto"", ""ar"")"),"حظ سعيد")</f>
        <v>حظ سعيد</v>
      </c>
    </row>
    <row r="5270" ht="15.75" customHeight="1">
      <c r="A5270" s="6" t="s">
        <v>9361</v>
      </c>
      <c r="B5270" s="6" t="s">
        <v>9362</v>
      </c>
      <c r="C5270" s="7" t="s">
        <v>9363</v>
      </c>
      <c r="D5270" s="1" t="str">
        <f>IFERROR(__xludf.DUMMYFUNCTION("GOOGLETRANSLATE(A5270 , ""auto"", ""ar"")"),"نعم ، هناك")</f>
        <v>نعم ، هناك</v>
      </c>
    </row>
    <row r="5271" ht="15.75" customHeight="1">
      <c r="A5271" s="6" t="s">
        <v>9364</v>
      </c>
      <c r="B5271" s="6" t="s">
        <v>9365</v>
      </c>
      <c r="C5271" s="7" t="s">
        <v>9366</v>
      </c>
      <c r="D5271" s="1" t="str">
        <f>IFERROR(__xludf.DUMMYFUNCTION("GOOGLETRANSLATE(A5271 , ""auto"", ""ar"")"),"نعم من الله")</f>
        <v>نعم من الله</v>
      </c>
    </row>
    <row r="5272" ht="15.75" customHeight="1">
      <c r="A5272" s="6" t="s">
        <v>9367</v>
      </c>
      <c r="B5272" s="6" t="s">
        <v>9368</v>
      </c>
      <c r="C5272" s="7" t="s">
        <v>9369</v>
      </c>
      <c r="D5272" s="1" t="str">
        <f>IFERROR(__xludf.DUMMYFUNCTION("GOOGLETRANSLATE(A5272 , ""auto"", ""ar"")"),"هل نلعب؟")</f>
        <v>هل نلعب؟</v>
      </c>
    </row>
    <row r="5273" ht="15.75" customHeight="1">
      <c r="A5273" s="6" t="s">
        <v>9370</v>
      </c>
      <c r="B5273" s="6" t="s">
        <v>9371</v>
      </c>
      <c r="C5273" s="7" t="s">
        <v>9372</v>
      </c>
      <c r="D5273" s="1" t="str">
        <f>IFERROR(__xludf.DUMMYFUNCTION("GOOGLETRANSLATE(A5273 , ""auto"", ""ar"")"),"انظر ، ليس هناك")</f>
        <v>انظر ، ليس هناك</v>
      </c>
    </row>
    <row r="5274" ht="15.75" customHeight="1">
      <c r="A5274" s="6" t="s">
        <v>9373</v>
      </c>
      <c r="B5274" s="6" t="s">
        <v>9374</v>
      </c>
      <c r="C5274" s="7" t="s">
        <v>9375</v>
      </c>
      <c r="D5274" s="1" t="str">
        <f>IFERROR(__xludf.DUMMYFUNCTION("GOOGLETRANSLATE(A5274 , ""auto"", ""ar"")"),"ماذا تفعل؟")</f>
        <v>ماذا تفعل؟</v>
      </c>
    </row>
    <row r="5275" ht="15.75" customHeight="1">
      <c r="A5275" s="6" t="s">
        <v>8084</v>
      </c>
      <c r="B5275" s="6" t="s">
        <v>9376</v>
      </c>
      <c r="C5275" s="7" t="s">
        <v>9377</v>
      </c>
      <c r="D5275" s="1" t="str">
        <f>IFERROR(__xludf.DUMMYFUNCTION("GOOGLETRANSLATE(A5275 , ""auto"", ""ar"")"),"نعم")</f>
        <v>نعم</v>
      </c>
    </row>
    <row r="5276" ht="15.75" customHeight="1">
      <c r="A5276" s="6" t="s">
        <v>8089</v>
      </c>
      <c r="B5276" s="6" t="s">
        <v>4854</v>
      </c>
      <c r="C5276" s="7" t="s">
        <v>5033</v>
      </c>
      <c r="D5276" s="1" t="str">
        <f>IFERROR(__xludf.DUMMYFUNCTION("GOOGLETRANSLATE(A5276 , ""auto"", ""ar"")"),"لا")</f>
        <v>لا</v>
      </c>
    </row>
    <row r="5277" ht="15.75" customHeight="1">
      <c r="A5277" s="6" t="s">
        <v>9341</v>
      </c>
      <c r="B5277" s="6" t="s">
        <v>9378</v>
      </c>
      <c r="C5277" s="7" t="s">
        <v>9379</v>
      </c>
      <c r="D5277" s="1" t="str">
        <f>IFERROR(__xludf.DUMMYFUNCTION("GOOGLETRANSLATE(A5277 , ""auto"", ""ar"")"),"تمام")</f>
        <v>تمام</v>
      </c>
    </row>
    <row r="5278" ht="15.75" customHeight="1">
      <c r="A5278" s="6" t="s">
        <v>9380</v>
      </c>
      <c r="B5278" s="6" t="s">
        <v>9381</v>
      </c>
      <c r="C5278" s="7" t="s">
        <v>9382</v>
      </c>
      <c r="D5278" s="1" t="str">
        <f>IFERROR(__xludf.DUMMYFUNCTION("GOOGLETRANSLATE(A5278 , ""auto"", ""ar"")"),"ما هذا؟")</f>
        <v>ما هذا؟</v>
      </c>
    </row>
    <row r="5279" ht="15.75" customHeight="1">
      <c r="A5279" s="6" t="s">
        <v>9383</v>
      </c>
      <c r="B5279" s="6" t="s">
        <v>9384</v>
      </c>
      <c r="C5279" s="7" t="s">
        <v>9246</v>
      </c>
      <c r="D5279" s="1" t="str">
        <f>IFERROR(__xludf.DUMMYFUNCTION("GOOGLETRANSLATE(A5279 , ""auto"", ""ar"")"),"من هذا؟")</f>
        <v>من هذا؟</v>
      </c>
    </row>
    <row r="5280" ht="15.75" customHeight="1">
      <c r="A5280" s="6" t="s">
        <v>9385</v>
      </c>
      <c r="B5280" s="6" t="s">
        <v>9386</v>
      </c>
      <c r="C5280" s="7" t="s">
        <v>9387</v>
      </c>
      <c r="D5280" s="1" t="str">
        <f>IFERROR(__xludf.DUMMYFUNCTION("GOOGLETRANSLATE(A5280 , ""auto"", ""ar"")"),"لماذا؟")</f>
        <v>لماذا؟</v>
      </c>
    </row>
    <row r="5281" ht="15.75" customHeight="1">
      <c r="A5281" s="6" t="s">
        <v>9388</v>
      </c>
      <c r="B5281" s="6" t="s">
        <v>9389</v>
      </c>
      <c r="C5281" s="7" t="s">
        <v>9390</v>
      </c>
      <c r="D5281" s="1" t="str">
        <f>IFERROR(__xludf.DUMMYFUNCTION("GOOGLETRANSLATE(A5281 , ""auto"", ""ar"")"),"كيف حالك؟")</f>
        <v>كيف حالك؟</v>
      </c>
    </row>
    <row r="5282" ht="15.75" customHeight="1">
      <c r="A5282" s="6" t="s">
        <v>9391</v>
      </c>
      <c r="B5282" s="6" t="s">
        <v>9392</v>
      </c>
      <c r="C5282" s="7" t="s">
        <v>9393</v>
      </c>
      <c r="D5282" s="1" t="str">
        <f>IFERROR(__xludf.DUMMYFUNCTION("GOOGLETRANSLATE(A5282 , ""auto"", ""ar"")"),"اعذرني")</f>
        <v>اعذرني</v>
      </c>
    </row>
    <row r="5283" ht="15.75" customHeight="1">
      <c r="A5283" s="6" t="s">
        <v>9394</v>
      </c>
      <c r="B5283" s="6" t="s">
        <v>9395</v>
      </c>
      <c r="C5283" s="7" t="s">
        <v>8069</v>
      </c>
      <c r="D5283" s="1" t="str">
        <f>IFERROR(__xludf.DUMMYFUNCTION("GOOGLETRANSLATE(A5283 , ""auto"", ""ar"")"),"شكرًا لك")</f>
        <v>شكرًا لك</v>
      </c>
    </row>
    <row r="5284" ht="15.75" customHeight="1">
      <c r="A5284" s="6" t="s">
        <v>9396</v>
      </c>
      <c r="B5284" s="6" t="s">
        <v>9397</v>
      </c>
      <c r="C5284" s="7" t="s">
        <v>9398</v>
      </c>
      <c r="D5284" s="1" t="str">
        <f>IFERROR(__xludf.DUMMYFUNCTION("GOOGLETRANSLATE(A5284 , ""auto"", ""ar"")"),"على الرحب والسعة")</f>
        <v>على الرحب والسعة</v>
      </c>
    </row>
    <row r="5285" ht="15.75" customHeight="1">
      <c r="A5285" s="6" t="s">
        <v>9399</v>
      </c>
      <c r="B5285" s="6" t="s">
        <v>9400</v>
      </c>
      <c r="C5285" s="7" t="s">
        <v>9401</v>
      </c>
      <c r="D5285" s="1" t="str">
        <f>IFERROR(__xludf.DUMMYFUNCTION("GOOGLETRANSLATE(A5285 , ""auto"", ""ar"")"),"لو سمحت")</f>
        <v>لو سمحت</v>
      </c>
    </row>
    <row r="5286" ht="15.75" customHeight="1">
      <c r="A5286" s="6" t="s">
        <v>9402</v>
      </c>
      <c r="B5286" s="6" t="s">
        <v>9403</v>
      </c>
      <c r="C5286" s="7" t="s">
        <v>3218</v>
      </c>
      <c r="D5286" s="1" t="str">
        <f>IFERROR(__xludf.DUMMYFUNCTION("GOOGLETRANSLATE(A5286 , ""auto"", ""ar"")"),"صباح الخير")</f>
        <v>صباح الخير</v>
      </c>
    </row>
    <row r="5287" ht="15.75" customHeight="1">
      <c r="A5287" s="6" t="s">
        <v>8076</v>
      </c>
      <c r="B5287" s="6" t="s">
        <v>9404</v>
      </c>
      <c r="C5287" s="7" t="s">
        <v>9405</v>
      </c>
      <c r="D5287" s="1" t="str">
        <f>IFERROR(__xludf.DUMMYFUNCTION("GOOGLETRANSLATE(A5287 , ""auto"", ""ar"")"),"مساء الخير")</f>
        <v>مساء الخير</v>
      </c>
    </row>
    <row r="5288" ht="15.75" customHeight="1">
      <c r="A5288" s="6" t="s">
        <v>9406</v>
      </c>
      <c r="B5288" s="6" t="s">
        <v>9407</v>
      </c>
      <c r="C5288" s="7" t="s">
        <v>3223</v>
      </c>
      <c r="D5288" s="1" t="str">
        <f>IFERROR(__xludf.DUMMYFUNCTION("GOOGLETRANSLATE(A5288 , ""auto"", ""ar"")"),"طاب مساؤك")</f>
        <v>طاب مساؤك</v>
      </c>
    </row>
    <row r="5289" ht="15.75" customHeight="1">
      <c r="A5289" s="6" t="s">
        <v>8817</v>
      </c>
      <c r="B5289" s="6" t="s">
        <v>9408</v>
      </c>
      <c r="C5289" s="7" t="s">
        <v>9409</v>
      </c>
      <c r="D5289" s="1" t="str">
        <f>IFERROR(__xludf.DUMMYFUNCTION("GOOGLETRANSLATE(A5289 , ""auto"", ""ar"")"),"أراك غدا")</f>
        <v>أراك غدا</v>
      </c>
    </row>
    <row r="5290" ht="15.75" customHeight="1">
      <c r="A5290" s="6" t="s">
        <v>9410</v>
      </c>
      <c r="B5290" s="6" t="s">
        <v>9411</v>
      </c>
      <c r="C5290" s="7" t="s">
        <v>9412</v>
      </c>
      <c r="D5290" s="1" t="str">
        <f>IFERROR(__xludf.DUMMYFUNCTION("GOOGLETRANSLATE(A5290 , ""auto"", ""ar"")"),"اراك قريبا")</f>
        <v>اراك قريبا</v>
      </c>
    </row>
    <row r="5291" ht="15.75" customHeight="1">
      <c r="A5291" s="6" t="s">
        <v>9413</v>
      </c>
      <c r="B5291" s="6" t="s">
        <v>9411</v>
      </c>
      <c r="C5291" s="7" t="s">
        <v>9412</v>
      </c>
      <c r="D5291" s="1" t="str">
        <f>IFERROR(__xludf.DUMMYFUNCTION("GOOGLETRANSLATE(A5291 , ""auto"", ""ar"")"),"لاحقاً")</f>
        <v>لاحقاً</v>
      </c>
    </row>
    <row r="5292" ht="15.75" customHeight="1">
      <c r="A5292" s="6" t="s">
        <v>9399</v>
      </c>
      <c r="B5292" s="6" t="s">
        <v>9400</v>
      </c>
      <c r="C5292" s="7" t="s">
        <v>9401</v>
      </c>
      <c r="D5292" s="1" t="str">
        <f>IFERROR(__xludf.DUMMYFUNCTION("GOOGLETRANSLATE(A5292 , ""auto"", ""ar"")"),"لو سمحت")</f>
        <v>لو سمحت</v>
      </c>
    </row>
    <row r="5293" ht="15.75" customHeight="1">
      <c r="A5293" s="6" t="s">
        <v>9414</v>
      </c>
      <c r="B5293" s="6" t="s">
        <v>9415</v>
      </c>
      <c r="C5293" s="7" t="s">
        <v>637</v>
      </c>
      <c r="D5293" s="1" t="str">
        <f>IFERROR(__xludf.DUMMYFUNCTION("GOOGLETRANSLATE(A5293 , ""auto"", ""ar"")"),"لا بأس")</f>
        <v>لا بأس</v>
      </c>
    </row>
    <row r="5294" ht="15.75" customHeight="1">
      <c r="A5294" s="6" t="s">
        <v>9416</v>
      </c>
      <c r="B5294" s="6" t="s">
        <v>9417</v>
      </c>
      <c r="C5294" s="7" t="s">
        <v>9418</v>
      </c>
      <c r="D5294" s="1" t="str">
        <f>IFERROR(__xludf.DUMMYFUNCTION("GOOGLETRANSLATE(A5294 , ""auto"", ""ar"")"),"جيد جدًا")</f>
        <v>جيد جدًا</v>
      </c>
    </row>
    <row r="5295" ht="15.75" customHeight="1">
      <c r="A5295" s="6" t="s">
        <v>9419</v>
      </c>
      <c r="B5295" s="6" t="s">
        <v>9420</v>
      </c>
      <c r="C5295" s="7" t="s">
        <v>9421</v>
      </c>
      <c r="D5295" s="1" t="str">
        <f>IFERROR(__xludf.DUMMYFUNCTION("GOOGLETRANSLATE(A5295 , ""auto"", ""ar"")"),"ليس سيئًا")</f>
        <v>ليس سيئًا</v>
      </c>
    </row>
    <row r="5296" ht="15.75" customHeight="1">
      <c r="A5296" s="6" t="s">
        <v>9422</v>
      </c>
      <c r="B5296" s="6" t="s">
        <v>9423</v>
      </c>
      <c r="C5296" s="7" t="s">
        <v>9424</v>
      </c>
      <c r="D5296" s="1" t="str">
        <f>IFERROR(__xludf.DUMMYFUNCTION("GOOGLETRANSLATE(A5296 , ""auto"", ""ar"")"),"بالطبع")</f>
        <v>بالطبع</v>
      </c>
    </row>
    <row r="5297" ht="15.75" customHeight="1">
      <c r="A5297" s="6" t="s">
        <v>9425</v>
      </c>
      <c r="B5297" s="6" t="s">
        <v>9426</v>
      </c>
      <c r="C5297" s="7" t="s">
        <v>9427</v>
      </c>
      <c r="D5297" s="1" t="str">
        <f>IFERROR(__xludf.DUMMYFUNCTION("GOOGLETRANSLATE(A5297 , ""auto"", ""ar"")"),"ربما")</f>
        <v>ربما</v>
      </c>
    </row>
    <row r="5298" ht="15.75" customHeight="1">
      <c r="A5298" s="6" t="s">
        <v>9428</v>
      </c>
      <c r="B5298" s="6" t="s">
        <v>9429</v>
      </c>
      <c r="C5298" s="7" t="s">
        <v>9430</v>
      </c>
      <c r="D5298" s="1" t="str">
        <f>IFERROR(__xludf.DUMMYFUNCTION("GOOGLETRANSLATE(A5298 , ""auto"", ""ar"")"),"ربما")</f>
        <v>ربما</v>
      </c>
    </row>
    <row r="5299" ht="15.75" customHeight="1">
      <c r="A5299" s="6" t="s">
        <v>9431</v>
      </c>
      <c r="B5299" s="6" t="s">
        <v>9432</v>
      </c>
      <c r="C5299" s="7" t="s">
        <v>9433</v>
      </c>
      <c r="D5299" s="1" t="str">
        <f>IFERROR(__xludf.DUMMYFUNCTION("GOOGLETRANSLATE(A5299 , ""auto"", ""ar"")"),"انه ممكن")</f>
        <v>انه ممكن</v>
      </c>
    </row>
    <row r="5300" ht="15.75" customHeight="1">
      <c r="A5300" s="6" t="s">
        <v>9434</v>
      </c>
      <c r="B5300" s="6" t="s">
        <v>9435</v>
      </c>
      <c r="C5300" s="7" t="s">
        <v>9436</v>
      </c>
      <c r="D5300" s="1" t="str">
        <f>IFERROR(__xludf.DUMMYFUNCTION("GOOGLETRANSLATE(A5300 , ""auto"", ""ar"")"),"مستحيل")</f>
        <v>مستحيل</v>
      </c>
    </row>
    <row r="5301" ht="15.75" customHeight="1">
      <c r="A5301" s="6" t="s">
        <v>9437</v>
      </c>
      <c r="B5301" s="6" t="s">
        <v>9438</v>
      </c>
      <c r="C5301" s="7" t="s">
        <v>9439</v>
      </c>
      <c r="D5301" s="1" t="str">
        <f>IFERROR(__xludf.DUMMYFUNCTION("GOOGLETRANSLATE(A5301 , ""auto"", ""ar"")"),"ببطء")</f>
        <v>ببطء</v>
      </c>
    </row>
    <row r="5302" ht="15.75" customHeight="1">
      <c r="A5302" s="6" t="s">
        <v>9440</v>
      </c>
      <c r="B5302" s="6" t="s">
        <v>9441</v>
      </c>
      <c r="C5302" s="7" t="s">
        <v>9442</v>
      </c>
      <c r="D5302" s="1" t="str">
        <f>IFERROR(__xludf.DUMMYFUNCTION("GOOGLETRANSLATE(A5302 , ""auto"", ""ar"")"),"بسرعة")</f>
        <v>بسرعة</v>
      </c>
    </row>
    <row r="5303" ht="15.75" customHeight="1">
      <c r="A5303" s="6" t="s">
        <v>8920</v>
      </c>
      <c r="B5303" s="6" t="s">
        <v>9443</v>
      </c>
      <c r="C5303" s="7" t="s">
        <v>9444</v>
      </c>
      <c r="D5303" s="1" t="str">
        <f>IFERROR(__xludf.DUMMYFUNCTION("GOOGLETRANSLATE(A5303 , ""auto"", ""ar"")"),"نعم بالطبع")</f>
        <v>نعم بالطبع</v>
      </c>
    </row>
    <row r="5304" ht="15.75" customHeight="1">
      <c r="A5304" s="6" t="s">
        <v>9445</v>
      </c>
      <c r="B5304" s="6" t="s">
        <v>9446</v>
      </c>
      <c r="C5304" s="7" t="s">
        <v>9447</v>
      </c>
      <c r="D5304" s="1" t="str">
        <f>IFERROR(__xludf.DUMMYFUNCTION("GOOGLETRANSLATE(A5304 , ""auto"", ""ar"")"),"لا ، ليس على الإطلاق")</f>
        <v>لا ، ليس على الإطلاق</v>
      </c>
    </row>
    <row r="5305" ht="15.75" customHeight="1">
      <c r="A5305" s="6" t="s">
        <v>8116</v>
      </c>
      <c r="B5305" s="6" t="s">
        <v>9448</v>
      </c>
      <c r="C5305" s="7" t="s">
        <v>9449</v>
      </c>
      <c r="D5305" s="1" t="str">
        <f>IFERROR(__xludf.DUMMYFUNCTION("GOOGLETRANSLATE(A5305 , ""auto"", ""ar"")"),"لا أعرف")</f>
        <v>لا أعرف</v>
      </c>
    </row>
    <row r="5306" ht="15.75" customHeight="1">
      <c r="A5306" s="6" t="s">
        <v>9450</v>
      </c>
      <c r="B5306" s="6" t="s">
        <v>9451</v>
      </c>
      <c r="C5306" s="7" t="s">
        <v>9452</v>
      </c>
      <c r="D5306" s="1" t="str">
        <f>IFERROR(__xludf.DUMMYFUNCTION("GOOGLETRANSLATE(A5306 , ""auto"", ""ar"")"),"أنا جائع")</f>
        <v>أنا جائع</v>
      </c>
    </row>
    <row r="5307" ht="15.75" customHeight="1">
      <c r="A5307" s="6" t="s">
        <v>9453</v>
      </c>
      <c r="B5307" s="6" t="s">
        <v>9454</v>
      </c>
      <c r="C5307" s="7" t="s">
        <v>9455</v>
      </c>
      <c r="D5307" s="1" t="str">
        <f>IFERROR(__xludf.DUMMYFUNCTION("GOOGLETRANSLATE(A5307 , ""auto"", ""ar"")"),"عطشان")</f>
        <v>عطشان</v>
      </c>
    </row>
    <row r="5308" ht="15.75" customHeight="1">
      <c r="A5308" s="6" t="s">
        <v>9456</v>
      </c>
      <c r="B5308" s="6" t="s">
        <v>9457</v>
      </c>
      <c r="C5308" s="7" t="s">
        <v>9458</v>
      </c>
      <c r="D5308" s="1" t="str">
        <f>IFERROR(__xludf.DUMMYFUNCTION("GOOGLETRANSLATE(A5308 , ""auto"", ""ar"")"),"أنا متعب")</f>
        <v>أنا متعب</v>
      </c>
    </row>
    <row r="5309" ht="15.75" customHeight="1">
      <c r="A5309" s="6" t="s">
        <v>9241</v>
      </c>
      <c r="B5309" s="6" t="s">
        <v>9459</v>
      </c>
      <c r="C5309" s="7" t="s">
        <v>9460</v>
      </c>
      <c r="D5309" s="1" t="str">
        <f>IFERROR(__xludf.DUMMYFUNCTION("GOOGLETRANSLATE(A5309 , ""auto"", ""ar"")"),"يغلبني النعاس")</f>
        <v>يغلبني النعاس</v>
      </c>
    </row>
    <row r="5310" ht="15.75" customHeight="1">
      <c r="A5310" s="6" t="s">
        <v>8541</v>
      </c>
      <c r="B5310" s="6" t="s">
        <v>9461</v>
      </c>
      <c r="C5310" s="7" t="s">
        <v>9462</v>
      </c>
      <c r="D5310" s="1" t="str">
        <f>IFERROR(__xludf.DUMMYFUNCTION("GOOGLETRANSLATE(A5310 , ""auto"", ""ar"")"),"أحبك")</f>
        <v>أحبك</v>
      </c>
    </row>
    <row r="5311" ht="15.75" customHeight="1">
      <c r="A5311" s="6" t="s">
        <v>9463</v>
      </c>
      <c r="B5311" s="6" t="s">
        <v>9464</v>
      </c>
      <c r="C5311" s="7" t="s">
        <v>9465</v>
      </c>
      <c r="D5311" s="1" t="str">
        <f>IFERROR(__xludf.DUMMYFUNCTION("GOOGLETRANSLATE(A5311 , ""auto"", ""ar"")"),"احبك كثيراً")</f>
        <v>احبك كثيراً</v>
      </c>
    </row>
    <row r="5312" ht="15.75" customHeight="1">
      <c r="A5312" s="6" t="s">
        <v>9358</v>
      </c>
      <c r="B5312" s="6" t="s">
        <v>9466</v>
      </c>
      <c r="C5312" s="7" t="s">
        <v>9467</v>
      </c>
      <c r="D5312" s="1" t="str">
        <f>IFERROR(__xludf.DUMMYFUNCTION("GOOGLETRANSLATE(A5312 , ""auto"", ""ar"")"),"حظ سعيد")</f>
        <v>حظ سعيد</v>
      </c>
    </row>
    <row r="5313" ht="15.75" customHeight="1">
      <c r="A5313" s="6" t="s">
        <v>9468</v>
      </c>
      <c r="B5313" s="6" t="s">
        <v>9469</v>
      </c>
      <c r="C5313" s="7" t="s">
        <v>9470</v>
      </c>
      <c r="D5313" s="1" t="str">
        <f>IFERROR(__xludf.DUMMYFUNCTION("GOOGLETRANSLATE(A5313 , ""auto"", ""ar"")"),"احظى برحلة جيدة")</f>
        <v>احظى برحلة جيدة</v>
      </c>
    </row>
    <row r="5314" ht="15.75" customHeight="1">
      <c r="A5314" s="6" t="s">
        <v>9471</v>
      </c>
      <c r="B5314" s="6" t="s">
        <v>8134</v>
      </c>
      <c r="C5314" s="7" t="s">
        <v>812</v>
      </c>
      <c r="D5314" s="1" t="str">
        <f>IFERROR(__xludf.DUMMYFUNCTION("GOOGLETRANSLATE(A5314 , ""auto"", ""ar"")"),"تهانينا")</f>
        <v>تهانينا</v>
      </c>
    </row>
    <row r="5315" ht="15.75" customHeight="1">
      <c r="A5315" s="6" t="s">
        <v>9472</v>
      </c>
      <c r="B5315" s="6" t="s">
        <v>9473</v>
      </c>
      <c r="C5315" s="7" t="s">
        <v>3416</v>
      </c>
      <c r="D5315" s="1" t="str">
        <f>IFERROR(__xludf.DUMMYFUNCTION("GOOGLETRANSLATE(A5315 , ""auto"", ""ar"")"),"عيد ميلاد سعيد")</f>
        <v>عيد ميلاد سعيد</v>
      </c>
    </row>
    <row r="5316" ht="15.75" customHeight="1">
      <c r="A5316" s="6" t="s">
        <v>9474</v>
      </c>
      <c r="B5316" s="6" t="s">
        <v>9475</v>
      </c>
      <c r="C5316" s="7" t="s">
        <v>9476</v>
      </c>
      <c r="D5316" s="1" t="str">
        <f>IFERROR(__xludf.DUMMYFUNCTION("GOOGLETRANSLATE(A5316 , ""auto"", ""ar"")"),"صحة")</f>
        <v>صحة</v>
      </c>
    </row>
    <row r="5317" ht="15.75" customHeight="1">
      <c r="A5317" s="6" t="s">
        <v>9247</v>
      </c>
      <c r="B5317" s="6" t="s">
        <v>9477</v>
      </c>
      <c r="C5317" s="7" t="s">
        <v>8679</v>
      </c>
      <c r="D5317" s="1" t="str">
        <f>IFERROR(__xludf.DUMMYFUNCTION("GOOGLETRANSLATE(A5317 , ""auto"", ""ar"")"),"هتافات")</f>
        <v>هتافات</v>
      </c>
    </row>
    <row r="5318" ht="15.75" customHeight="1">
      <c r="A5318" s="6" t="s">
        <v>9478</v>
      </c>
      <c r="B5318" s="6" t="s">
        <v>9479</v>
      </c>
      <c r="C5318" s="7" t="s">
        <v>9480</v>
      </c>
      <c r="D5318" s="1" t="str">
        <f>IFERROR(__xludf.DUMMYFUNCTION("GOOGLETRANSLATE(A5318 , ""auto"", ""ar"")"),"أهلاً")</f>
        <v>أهلاً</v>
      </c>
    </row>
    <row r="5319" ht="15.75" customHeight="1">
      <c r="A5319" s="6" t="s">
        <v>8079</v>
      </c>
      <c r="B5319" s="6" t="s">
        <v>9481</v>
      </c>
      <c r="C5319" s="7" t="s">
        <v>9482</v>
      </c>
      <c r="D5319" s="1" t="str">
        <f>IFERROR(__xludf.DUMMYFUNCTION("GOOGLETRANSLATE(A5319 , ""auto"", ""ar"")"),"مع السلامة")</f>
        <v>مع السلامة</v>
      </c>
    </row>
    <row r="5320" ht="15.75" customHeight="1">
      <c r="A5320" s="6" t="s">
        <v>9483</v>
      </c>
      <c r="B5320" s="6" t="s">
        <v>9484</v>
      </c>
      <c r="C5320" s="7" t="s">
        <v>9485</v>
      </c>
      <c r="D5320" s="1" t="str">
        <f>IFERROR(__xludf.DUMMYFUNCTION("GOOGLETRANSLATE(A5320 , ""auto"", ""ar"")"),"أتمنى لك وجبة شهية")</f>
        <v>أتمنى لك وجبة شهية</v>
      </c>
    </row>
    <row r="5321" ht="15.75" customHeight="1">
      <c r="A5321" s="6" t="s">
        <v>9388</v>
      </c>
      <c r="B5321" s="6" t="s">
        <v>9486</v>
      </c>
      <c r="C5321" s="7" t="s">
        <v>9487</v>
      </c>
      <c r="D5321" s="1" t="str">
        <f>IFERROR(__xludf.DUMMYFUNCTION("GOOGLETRANSLATE(A5321 , ""auto"", ""ar"")"),"كيف حالك؟")</f>
        <v>كيف حالك؟</v>
      </c>
    </row>
    <row r="5322" ht="15.75" customHeight="1">
      <c r="A5322" s="6" t="s">
        <v>9488</v>
      </c>
      <c r="B5322" s="6" t="s">
        <v>9489</v>
      </c>
      <c r="C5322" s="7" t="s">
        <v>9490</v>
      </c>
      <c r="D5322" s="1" t="str">
        <f>IFERROR(__xludf.DUMMYFUNCTION("GOOGLETRANSLATE(A5322 , ""auto"", ""ar"")"),"بارك الله فيك")</f>
        <v>بارك الله فيك</v>
      </c>
    </row>
    <row r="5323" ht="15.75" customHeight="1">
      <c r="A5323" s="6" t="s">
        <v>9491</v>
      </c>
      <c r="B5323" s="6" t="s">
        <v>9492</v>
      </c>
      <c r="C5323" s="7" t="s">
        <v>9493</v>
      </c>
      <c r="D5323" s="1" t="str">
        <f>IFERROR(__xludf.DUMMYFUNCTION("GOOGLETRANSLATE(A5323 , ""auto"", ""ar"")"),"اعتنِ بنفسك")</f>
        <v>اعتنِ بنفسك</v>
      </c>
    </row>
    <row r="5324" ht="15.75" customHeight="1">
      <c r="A5324" s="6" t="s">
        <v>9494</v>
      </c>
      <c r="B5324" s="6" t="s">
        <v>9495</v>
      </c>
      <c r="C5324" s="7" t="s">
        <v>9496</v>
      </c>
      <c r="D5324" s="1" t="str">
        <f>IFERROR(__xludf.DUMMYFUNCTION("GOOGLETRANSLATE(A5324 , ""auto"", ""ar"")"),"أراك المرة القادمة")</f>
        <v>أراك المرة القادمة</v>
      </c>
    </row>
    <row r="5325" ht="15.75" customHeight="1">
      <c r="A5325" s="6" t="s">
        <v>9497</v>
      </c>
      <c r="B5325" s="6" t="s">
        <v>9498</v>
      </c>
      <c r="C5325" s="7" t="s">
        <v>9499</v>
      </c>
      <c r="D5325" s="1" t="str">
        <f>IFERROR(__xludf.DUMMYFUNCTION("GOOGLETRANSLATE(A5325 , ""auto"", ""ar"")"),"لا مشكلة")</f>
        <v>لا مشكلة</v>
      </c>
    </row>
    <row r="5326" ht="15.75" customHeight="1">
      <c r="A5326" s="6" t="s">
        <v>9500</v>
      </c>
      <c r="B5326" s="6" t="s">
        <v>9501</v>
      </c>
      <c r="C5326" s="7" t="s">
        <v>9502</v>
      </c>
      <c r="D5326" s="1" t="str">
        <f>IFERROR(__xludf.DUMMYFUNCTION("GOOGLETRANSLATE(A5326 , ""auto"", ""ar"")"),"أنا آسف")</f>
        <v>أنا آسف</v>
      </c>
    </row>
    <row r="5327" ht="15.75" customHeight="1">
      <c r="A5327" s="6" t="s">
        <v>9503</v>
      </c>
      <c r="B5327" s="6" t="s">
        <v>9504</v>
      </c>
      <c r="C5327" s="7" t="s">
        <v>9505</v>
      </c>
      <c r="D5327" s="1" t="str">
        <f>IFERROR(__xludf.DUMMYFUNCTION("GOOGLETRANSLATE(A5327 , ""auto"", ""ar"")"),"ماذا جرى؟")</f>
        <v>ماذا جرى؟</v>
      </c>
    </row>
    <row r="5328" ht="15.75" customHeight="1">
      <c r="A5328" s="6" t="s">
        <v>9506</v>
      </c>
      <c r="B5328" s="6" t="s">
        <v>9507</v>
      </c>
      <c r="C5328" s="7" t="s">
        <v>9508</v>
      </c>
      <c r="D5328" s="1" t="str">
        <f>IFERROR(__xludf.DUMMYFUNCTION("GOOGLETRANSLATE(A5328 , ""auto"", ""ar"")"),"أنا هنا")</f>
        <v>أنا هنا</v>
      </c>
    </row>
    <row r="5329" ht="15.75" customHeight="1">
      <c r="A5329" s="6" t="s">
        <v>9509</v>
      </c>
      <c r="B5329" s="6" t="s">
        <v>9510</v>
      </c>
      <c r="C5329" s="7" t="s">
        <v>9511</v>
      </c>
      <c r="D5329" s="1" t="str">
        <f>IFERROR(__xludf.DUMMYFUNCTION("GOOGLETRANSLATE(A5329 , ""auto"", ""ar"")"),"ليست مشكلة")</f>
        <v>ليست مشكلة</v>
      </c>
    </row>
    <row r="5330" ht="15.75" customHeight="1">
      <c r="A5330" s="6" t="s">
        <v>8110</v>
      </c>
      <c r="B5330" s="6" t="s">
        <v>9512</v>
      </c>
      <c r="C5330" s="7" t="s">
        <v>8112</v>
      </c>
      <c r="D5330" s="1" t="str">
        <f>IFERROR(__xludf.DUMMYFUNCTION("GOOGLETRANSLATE(A5330 , ""auto"", ""ar"")"),"لا أفهم")</f>
        <v>لا أفهم</v>
      </c>
    </row>
    <row r="5331" ht="15.75" customHeight="1">
      <c r="A5331" s="6" t="s">
        <v>9513</v>
      </c>
      <c r="B5331" s="6" t="s">
        <v>9514</v>
      </c>
      <c r="C5331" s="7" t="s">
        <v>9515</v>
      </c>
      <c r="D5331" s="1" t="str">
        <f>IFERROR(__xludf.DUMMYFUNCTION("GOOGLETRANSLATE(A5331 , ""auto"", ""ar"")"),"انه صعب")</f>
        <v>انه صعب</v>
      </c>
    </row>
    <row r="5332" ht="15.75" customHeight="1">
      <c r="A5332" s="6" t="s">
        <v>9516</v>
      </c>
      <c r="B5332" s="6" t="s">
        <v>9517</v>
      </c>
      <c r="C5332" s="7" t="s">
        <v>9518</v>
      </c>
      <c r="D5332" s="1" t="str">
        <f>IFERROR(__xludf.DUMMYFUNCTION("GOOGLETRANSLATE(A5332 , ""auto"", ""ar"")"),"تعال معي")</f>
        <v>تعال معي</v>
      </c>
    </row>
    <row r="5333" ht="15.75" customHeight="1">
      <c r="A5333" s="6" t="s">
        <v>9519</v>
      </c>
      <c r="B5333" s="6" t="s">
        <v>9520</v>
      </c>
      <c r="C5333" s="7" t="s">
        <v>9521</v>
      </c>
      <c r="D5333" s="1" t="str">
        <f>IFERROR(__xludf.DUMMYFUNCTION("GOOGLETRANSLATE(A5333 , ""auto"", ""ar"")"),"كم ثمن؟")</f>
        <v>كم ثمن؟</v>
      </c>
    </row>
    <row r="5334" ht="15.75" customHeight="1">
      <c r="A5334" s="6" t="s">
        <v>9522</v>
      </c>
      <c r="B5334" s="6" t="s">
        <v>9523</v>
      </c>
      <c r="C5334" s="7" t="s">
        <v>9524</v>
      </c>
      <c r="D5334" s="1" t="str">
        <f>IFERROR(__xludf.DUMMYFUNCTION("GOOGLETRANSLATE(A5334 , ""auto"", ""ar"")"),"هذا يكفي")</f>
        <v>هذا يكفي</v>
      </c>
    </row>
    <row r="5335" ht="15.75" customHeight="1">
      <c r="A5335" s="6" t="s">
        <v>9525</v>
      </c>
      <c r="B5335" s="6" t="s">
        <v>9526</v>
      </c>
      <c r="C5335" s="7" t="s">
        <v>9527</v>
      </c>
      <c r="D5335" s="1" t="str">
        <f>IFERROR(__xludf.DUMMYFUNCTION("GOOGLETRANSLATE(A5335 , ""auto"", ""ar"")"),"أنا مشغول")</f>
        <v>أنا مشغول</v>
      </c>
    </row>
    <row r="5336" ht="15.75" customHeight="1">
      <c r="A5336" s="6" t="s">
        <v>9160</v>
      </c>
      <c r="B5336" s="6" t="s">
        <v>9528</v>
      </c>
      <c r="C5336" s="7" t="s">
        <v>9529</v>
      </c>
      <c r="D5336" s="1" t="str">
        <f>IFERROR(__xludf.DUMMYFUNCTION("GOOGLETRANSLATE(A5336 , ""auto"", ""ar"")"),"أنا تائه")</f>
        <v>أنا تائه</v>
      </c>
    </row>
    <row r="5337" ht="15.75" customHeight="1">
      <c r="A5337" s="6" t="s">
        <v>9530</v>
      </c>
      <c r="B5337" s="6" t="s">
        <v>9531</v>
      </c>
      <c r="C5337" s="7" t="s">
        <v>9532</v>
      </c>
      <c r="D5337" s="1" t="str">
        <f>IFERROR(__xludf.DUMMYFUNCTION("GOOGLETRANSLATE(A5337 , ""auto"", ""ar"")"),"لست متأكد")</f>
        <v>لست متأكد</v>
      </c>
    </row>
    <row r="5338" ht="15.75" customHeight="1">
      <c r="A5338" s="6" t="s">
        <v>9533</v>
      </c>
      <c r="B5338" s="6" t="s">
        <v>9534</v>
      </c>
      <c r="C5338" s="7" t="s">
        <v>9535</v>
      </c>
      <c r="D5338" s="1" t="str">
        <f>IFERROR(__xludf.DUMMYFUNCTION("GOOGLETRANSLATE(A5338 , ""auto"", ""ar"")"),"انا مستعجل")</f>
        <v>انا مستعجل</v>
      </c>
    </row>
    <row r="5339" ht="15.75" customHeight="1">
      <c r="A5339" s="6" t="s">
        <v>9503</v>
      </c>
      <c r="B5339" s="6" t="s">
        <v>9536</v>
      </c>
      <c r="C5339" s="7" t="s">
        <v>9537</v>
      </c>
      <c r="D5339" s="1" t="str">
        <f>IFERROR(__xludf.DUMMYFUNCTION("GOOGLETRANSLATE(A5339 , ""auto"", ""ar"")"),"ماذا جرى؟")</f>
        <v>ماذا جرى؟</v>
      </c>
    </row>
    <row r="5340" ht="15.75" customHeight="1">
      <c r="A5340" s="6" t="s">
        <v>9538</v>
      </c>
      <c r="B5340" s="6" t="s">
        <v>9539</v>
      </c>
      <c r="C5340" s="7" t="s">
        <v>9540</v>
      </c>
      <c r="D5340" s="1" t="str">
        <f>IFERROR(__xludf.DUMMYFUNCTION("GOOGLETRANSLATE(A5340 , ""auto"", ""ar"")"),"إلى أين تذهب؟")</f>
        <v>إلى أين تذهب؟</v>
      </c>
    </row>
    <row r="5341" ht="15.75" customHeight="1">
      <c r="A5341" s="6" t="s">
        <v>9541</v>
      </c>
      <c r="B5341" s="6" t="s">
        <v>9542</v>
      </c>
      <c r="C5341" s="7" t="s">
        <v>9543</v>
      </c>
      <c r="D5341" s="1" t="str">
        <f>IFERROR(__xludf.DUMMYFUNCTION("GOOGLETRANSLATE(A5341 , ""auto"", ""ar"")"),"أنا قادم")</f>
        <v>أنا قادم</v>
      </c>
    </row>
    <row r="5342" ht="15.75" customHeight="1">
      <c r="A5342" s="6" t="s">
        <v>9544</v>
      </c>
      <c r="B5342" s="6" t="s">
        <v>9545</v>
      </c>
      <c r="C5342" s="7" t="s">
        <v>9546</v>
      </c>
      <c r="D5342" s="1" t="str">
        <f>IFERROR(__xludf.DUMMYFUNCTION("GOOGLETRANSLATE(A5342 , ""auto"", ""ar"")"),"سوف اتصل بك لاحقا")</f>
        <v>سوف اتصل بك لاحقا</v>
      </c>
    </row>
    <row r="5343" ht="15.75" customHeight="1">
      <c r="A5343" s="6" t="s">
        <v>9547</v>
      </c>
      <c r="B5343" s="6" t="s">
        <v>9548</v>
      </c>
      <c r="C5343" s="7" t="s">
        <v>9549</v>
      </c>
      <c r="D5343" s="1" t="str">
        <f>IFERROR(__xludf.DUMMYFUNCTION("GOOGLETRANSLATE(A5343 , ""auto"", ""ar"")"),"أي ساعة؟")</f>
        <v>أي ساعة؟</v>
      </c>
    </row>
    <row r="5344" ht="15.75" customHeight="1">
      <c r="A5344" s="6" t="s">
        <v>9550</v>
      </c>
      <c r="B5344" s="6" t="s">
        <v>9551</v>
      </c>
      <c r="C5344" s="7" t="s">
        <v>9552</v>
      </c>
      <c r="D5344" s="1" t="str">
        <f>IFERROR(__xludf.DUMMYFUNCTION("GOOGLETRANSLATE(A5344 , ""auto"", ""ar"")"),"أنا آسف ، لا أستطيع")</f>
        <v>أنا آسف ، لا أستطيع</v>
      </c>
    </row>
    <row r="5345" ht="15.75" customHeight="1">
      <c r="A5345" s="6" t="s">
        <v>9553</v>
      </c>
      <c r="B5345" s="6" t="s">
        <v>9554</v>
      </c>
      <c r="C5345" s="7" t="s">
        <v>9555</v>
      </c>
      <c r="D5345" s="1" t="str">
        <f>IFERROR(__xludf.DUMMYFUNCTION("GOOGLETRANSLATE(A5345 , ""auto"", ""ar"")"),"أنا لست على ما يرام")</f>
        <v>أنا لست على ما يرام</v>
      </c>
    </row>
    <row r="5346" ht="15.75" customHeight="1">
      <c r="A5346" s="6" t="s">
        <v>9556</v>
      </c>
      <c r="B5346" s="6" t="s">
        <v>9557</v>
      </c>
      <c r="C5346" s="7" t="s">
        <v>9558</v>
      </c>
      <c r="D5346" s="1" t="str">
        <f>IFERROR(__xludf.DUMMYFUNCTION("GOOGLETRANSLATE(A5346 , ""auto"", ""ar"")"),"لا تقلق")</f>
        <v>لا تقلق</v>
      </c>
    </row>
    <row r="5347" ht="15.75" customHeight="1">
      <c r="A5347" s="6" t="s">
        <v>9396</v>
      </c>
      <c r="B5347" s="6" t="s">
        <v>9559</v>
      </c>
      <c r="C5347" s="7" t="s">
        <v>9560</v>
      </c>
      <c r="D5347" s="1" t="str">
        <f>IFERROR(__xludf.DUMMYFUNCTION("GOOGLETRANSLATE(A5347 , ""auto"", ""ar"")"),"على الرحب والسعة")</f>
        <v>على الرحب والسعة</v>
      </c>
    </row>
    <row r="5348" ht="15.75" customHeight="1">
      <c r="A5348" s="6" t="s">
        <v>9561</v>
      </c>
      <c r="B5348" s="6" t="s">
        <v>9562</v>
      </c>
      <c r="C5348" s="7" t="s">
        <v>9563</v>
      </c>
      <c r="D5348" s="1" t="str">
        <f>IFERROR(__xludf.DUMMYFUNCTION("GOOGLETRANSLATE(A5348 , ""auto"", ""ar"")"),"انه غالى جدا")</f>
        <v>انه غالى جدا</v>
      </c>
    </row>
    <row r="5349" ht="15.75" customHeight="1">
      <c r="A5349" s="6" t="s">
        <v>9564</v>
      </c>
      <c r="B5349" s="6" t="s">
        <v>9565</v>
      </c>
      <c r="C5349" s="7" t="s">
        <v>9566</v>
      </c>
      <c r="D5349" s="1" t="str">
        <f>IFERROR(__xludf.DUMMYFUNCTION("GOOGLETRANSLATE(A5349 , ""auto"", ""ar"")"),"انها رخيصة جدا")</f>
        <v>انها رخيصة جدا</v>
      </c>
    </row>
    <row r="5350" ht="15.75" customHeight="1">
      <c r="A5350" s="6" t="s">
        <v>9567</v>
      </c>
      <c r="B5350" s="6" t="s">
        <v>9568</v>
      </c>
      <c r="C5350" s="7" t="s">
        <v>9569</v>
      </c>
      <c r="D5350" s="1" t="str">
        <f>IFERROR(__xludf.DUMMYFUNCTION("GOOGLETRANSLATE(A5350 , ""auto"", ""ar"")"),"انها بعيدة جدا")</f>
        <v>انها بعيدة جدا</v>
      </c>
    </row>
    <row r="5351" ht="15.75" customHeight="1">
      <c r="A5351" s="6" t="s">
        <v>9570</v>
      </c>
      <c r="B5351" s="6" t="s">
        <v>9571</v>
      </c>
      <c r="C5351" s="7" t="s">
        <v>9572</v>
      </c>
      <c r="D5351" s="1" t="str">
        <f>IFERROR(__xludf.DUMMYFUNCTION("GOOGLETRANSLATE(A5351 , ""auto"", ""ar"")"),"انها قريبة جدا")</f>
        <v>انها قريبة جدا</v>
      </c>
    </row>
    <row r="5352" ht="15.75" customHeight="1">
      <c r="A5352" s="6" t="s">
        <v>9573</v>
      </c>
      <c r="B5352" s="6" t="s">
        <v>9574</v>
      </c>
      <c r="C5352" s="7" t="s">
        <v>9575</v>
      </c>
      <c r="D5352" s="1" t="str">
        <f>IFERROR(__xludf.DUMMYFUNCTION("GOOGLETRANSLATE(A5352 , ""auto"", ""ar"")"),"سأعود حالا")</f>
        <v>سأعود حالا</v>
      </c>
    </row>
    <row r="5353" ht="15.75" customHeight="1">
      <c r="A5353" s="6" t="s">
        <v>9576</v>
      </c>
      <c r="B5353" s="6" t="s">
        <v>9577</v>
      </c>
      <c r="C5353" s="7" t="s">
        <v>9578</v>
      </c>
      <c r="D5353" s="1" t="str">
        <f>IFERROR(__xludf.DUMMYFUNCTION("GOOGLETRANSLATE(A5353 , ""auto"", ""ar"")"),"هل تحتاج مساعدة؟")</f>
        <v>هل تحتاج مساعدة؟</v>
      </c>
    </row>
    <row r="5354" ht="15.75" customHeight="1">
      <c r="A5354" s="6" t="s">
        <v>9579</v>
      </c>
      <c r="B5354" s="6" t="s">
        <v>9580</v>
      </c>
      <c r="C5354" s="7" t="s">
        <v>9581</v>
      </c>
      <c r="D5354" s="1" t="str">
        <f>IFERROR(__xludf.DUMMYFUNCTION("GOOGLETRANSLATE(A5354 , ""auto"", ""ar"")"),"انا في الطريق")</f>
        <v>انا في الطريق</v>
      </c>
    </row>
    <row r="5355" ht="15.75" customHeight="1">
      <c r="A5355" s="6" t="s">
        <v>9582</v>
      </c>
      <c r="B5355" s="6" t="s">
        <v>9583</v>
      </c>
      <c r="C5355" s="7" t="s">
        <v>9584</v>
      </c>
      <c r="D5355" s="1" t="str">
        <f>IFERROR(__xludf.DUMMYFUNCTION("GOOGLETRANSLATE(A5355 , ""auto"", ""ar"")"),"إنه لذيذ")</f>
        <v>إنه لذيذ</v>
      </c>
    </row>
    <row r="5356" ht="15.75" customHeight="1">
      <c r="A5356" s="6" t="s">
        <v>9585</v>
      </c>
      <c r="B5356" s="6" t="s">
        <v>9586</v>
      </c>
      <c r="C5356" s="7" t="s">
        <v>9587</v>
      </c>
      <c r="D5356" s="1" t="str">
        <f>IFERROR(__xludf.DUMMYFUNCTION("GOOGLETRANSLATE(A5356 , ""auto"", ""ar"")"),"إنه فظيع")</f>
        <v>إنه فظيع</v>
      </c>
    </row>
    <row r="5357" ht="15.75" customHeight="1">
      <c r="A5357" s="6" t="s">
        <v>8116</v>
      </c>
      <c r="B5357" s="6" t="s">
        <v>9588</v>
      </c>
      <c r="C5357" s="7" t="s">
        <v>9589</v>
      </c>
      <c r="D5357" s="1" t="str">
        <f>IFERROR(__xludf.DUMMYFUNCTION("GOOGLETRANSLATE(A5357 , ""auto"", ""ar"")"),"لا أعرف")</f>
        <v>لا أعرف</v>
      </c>
    </row>
    <row r="5358" ht="15.75" customHeight="1">
      <c r="A5358" s="6" t="s">
        <v>9590</v>
      </c>
      <c r="B5358" s="6" t="s">
        <v>9591</v>
      </c>
      <c r="C5358" s="7" t="s">
        <v>9592</v>
      </c>
      <c r="D5358" s="1" t="str">
        <f>IFERROR(__xludf.DUMMYFUNCTION("GOOGLETRANSLATE(A5358 , ""auto"", ""ar"")"),"إنه حار جدا")</f>
        <v>إنه حار جدا</v>
      </c>
    </row>
    <row r="5359" ht="15.75" customHeight="1">
      <c r="A5359" s="6" t="s">
        <v>9593</v>
      </c>
      <c r="B5359" s="6" t="s">
        <v>9594</v>
      </c>
      <c r="C5359" s="7" t="s">
        <v>9595</v>
      </c>
      <c r="D5359" s="1" t="str">
        <f>IFERROR(__xludf.DUMMYFUNCTION("GOOGLETRANSLATE(A5359 , ""auto"", ""ar"")"),"الجو بارد جدا")</f>
        <v>الجو بارد جدا</v>
      </c>
    </row>
    <row r="5360" ht="15.75" customHeight="1">
      <c r="A5360" s="6" t="s">
        <v>9450</v>
      </c>
      <c r="B5360" s="6" t="s">
        <v>9596</v>
      </c>
      <c r="C5360" s="7" t="s">
        <v>9597</v>
      </c>
      <c r="D5360" s="1" t="str">
        <f>IFERROR(__xludf.DUMMYFUNCTION("GOOGLETRANSLATE(A5360 , ""auto"", ""ar"")"),"أنا جائع")</f>
        <v>أنا جائع</v>
      </c>
    </row>
    <row r="5361" ht="15.75" customHeight="1">
      <c r="A5361" s="6" t="s">
        <v>9453</v>
      </c>
      <c r="B5361" s="6" t="s">
        <v>9598</v>
      </c>
      <c r="C5361" s="7" t="s">
        <v>9599</v>
      </c>
      <c r="D5361" s="1" t="str">
        <f>IFERROR(__xludf.DUMMYFUNCTION("GOOGLETRANSLATE(A5361 , ""auto"", ""ar"")"),"عطشان")</f>
        <v>عطشان</v>
      </c>
    </row>
    <row r="5362" ht="15.75" customHeight="1">
      <c r="A5362" s="6" t="s">
        <v>9456</v>
      </c>
      <c r="B5362" s="6" t="s">
        <v>9600</v>
      </c>
      <c r="C5362" s="7" t="s">
        <v>9601</v>
      </c>
      <c r="D5362" s="1" t="str">
        <f>IFERROR(__xludf.DUMMYFUNCTION("GOOGLETRANSLATE(A5362 , ""auto"", ""ar"")"),"أنا متعب")</f>
        <v>أنا متعب</v>
      </c>
    </row>
    <row r="5363" ht="15.75" customHeight="1">
      <c r="A5363" s="6" t="s">
        <v>9602</v>
      </c>
      <c r="B5363" s="6" t="s">
        <v>9603</v>
      </c>
      <c r="C5363" s="7" t="s">
        <v>9604</v>
      </c>
      <c r="D5363" s="1" t="str">
        <f>IFERROR(__xludf.DUMMYFUNCTION("GOOGLETRANSLATE(A5363 , ""auto"", ""ar"")"),"أنا بردان")</f>
        <v>أنا بردان</v>
      </c>
    </row>
    <row r="5364" ht="15.75" customHeight="1">
      <c r="A5364" s="6" t="s">
        <v>9605</v>
      </c>
      <c r="B5364" s="6" t="s">
        <v>9606</v>
      </c>
      <c r="C5364" s="7" t="s">
        <v>9607</v>
      </c>
      <c r="D5364" s="1" t="str">
        <f>IFERROR(__xludf.DUMMYFUNCTION("GOOGLETRANSLATE(A5364 , ""auto"", ""ar"")"),"أنا حار")</f>
        <v>أنا حار</v>
      </c>
    </row>
    <row r="5365" ht="15.75" customHeight="1">
      <c r="A5365" s="6" t="s">
        <v>9608</v>
      </c>
      <c r="B5365" s="6" t="s">
        <v>9609</v>
      </c>
      <c r="C5365" s="7" t="s">
        <v>9610</v>
      </c>
      <c r="D5365" s="1" t="str">
        <f>IFERROR(__xludf.DUMMYFUNCTION("GOOGLETRANSLATE(A5365 , ""auto"", ""ar"")"),"أنا أشعر بالملل")</f>
        <v>أنا أشعر بالملل</v>
      </c>
    </row>
    <row r="5366" ht="15.75" customHeight="1">
      <c r="A5366" s="6" t="s">
        <v>9611</v>
      </c>
      <c r="B5366" s="6" t="s">
        <v>9612</v>
      </c>
      <c r="C5366" s="7" t="s">
        <v>9613</v>
      </c>
      <c r="D5366" s="1" t="str">
        <f>IFERROR(__xludf.DUMMYFUNCTION("GOOGLETRANSLATE(A5366 , ""auto"", ""ar"")"),"أنا مريض")</f>
        <v>أنا مريض</v>
      </c>
    </row>
    <row r="5367" ht="15.75" customHeight="1">
      <c r="A5367" s="6" t="s">
        <v>9614</v>
      </c>
      <c r="B5367" s="6" t="s">
        <v>9615</v>
      </c>
      <c r="C5367" s="7" t="s">
        <v>9616</v>
      </c>
      <c r="D5367" s="1" t="str">
        <f>IFERROR(__xludf.DUMMYFUNCTION("GOOGLETRANSLATE(A5367 , ""auto"", ""ar"")"),"أنا سعيد")</f>
        <v>أنا سعيد</v>
      </c>
    </row>
    <row r="5368" ht="15.75" customHeight="1">
      <c r="A5368" s="6" t="s">
        <v>9617</v>
      </c>
      <c r="B5368" s="6" t="s">
        <v>9618</v>
      </c>
      <c r="C5368" s="7" t="s">
        <v>9619</v>
      </c>
      <c r="D5368" s="1" t="str">
        <f>IFERROR(__xludf.DUMMYFUNCTION("GOOGLETRANSLATE(A5368 , ""auto"", ""ar"")"),"أنا حزين")</f>
        <v>أنا حزين</v>
      </c>
    </row>
    <row r="5369" ht="15.75" customHeight="1">
      <c r="A5369" s="6" t="s">
        <v>9620</v>
      </c>
      <c r="B5369" s="6" t="s">
        <v>9621</v>
      </c>
      <c r="C5369" s="7" t="s">
        <v>9622</v>
      </c>
      <c r="D5369" s="1" t="str">
        <f>IFERROR(__xludf.DUMMYFUNCTION("GOOGLETRANSLATE(A5369 , ""auto"", ""ar"")"),"انا غاضب")</f>
        <v>انا غاضب</v>
      </c>
    </row>
    <row r="5370" ht="15.75" customHeight="1">
      <c r="A5370" s="6" t="s">
        <v>9623</v>
      </c>
      <c r="B5370" s="6" t="s">
        <v>9624</v>
      </c>
      <c r="C5370" s="7" t="s">
        <v>9625</v>
      </c>
      <c r="D5370" s="1" t="str">
        <f>IFERROR(__xludf.DUMMYFUNCTION("GOOGLETRANSLATE(A5370 , ""auto"", ""ar"")"),"أنا خائف")</f>
        <v>أنا خائف</v>
      </c>
    </row>
    <row r="5371" ht="15.75" customHeight="1">
      <c r="A5371" s="6" t="s">
        <v>9626</v>
      </c>
      <c r="B5371" s="6" t="s">
        <v>9627</v>
      </c>
      <c r="C5371" s="7" t="s">
        <v>9628</v>
      </c>
      <c r="D5371" s="1" t="str">
        <f>IFERROR(__xludf.DUMMYFUNCTION("GOOGLETRANSLATE(A5371 , ""auto"", ""ar"")"),"انا قلق")</f>
        <v>انا قلق</v>
      </c>
    </row>
    <row r="5372" ht="15.75" customHeight="1">
      <c r="A5372" s="6" t="s">
        <v>9629</v>
      </c>
      <c r="B5372" s="6" t="s">
        <v>9630</v>
      </c>
      <c r="C5372" s="7" t="s">
        <v>9631</v>
      </c>
      <c r="D5372" s="1" t="str">
        <f>IFERROR(__xludf.DUMMYFUNCTION("GOOGLETRANSLATE(A5372 , ""auto"", ""ar"")"),"أنا مرتاح")</f>
        <v>أنا مرتاح</v>
      </c>
    </row>
    <row r="5373" ht="15.75" customHeight="1">
      <c r="A5373" s="6" t="s">
        <v>9632</v>
      </c>
      <c r="B5373" s="6" t="s">
        <v>9633</v>
      </c>
      <c r="C5373" s="7" t="s">
        <v>9634</v>
      </c>
      <c r="D5373" s="1" t="str">
        <f>IFERROR(__xludf.DUMMYFUNCTION("GOOGLETRANSLATE(A5373 , ""auto"", ""ar"")"),"أنا هادئ")</f>
        <v>أنا هادئ</v>
      </c>
    </row>
    <row r="5374" ht="15.75" customHeight="1">
      <c r="A5374" s="6" t="s">
        <v>9635</v>
      </c>
      <c r="B5374" s="6" t="s">
        <v>9636</v>
      </c>
      <c r="C5374" s="7" t="s">
        <v>9637</v>
      </c>
      <c r="D5374" s="1" t="str">
        <f>IFERROR(__xludf.DUMMYFUNCTION("GOOGLETRANSLATE(A5374 , ""auto"", ""ar"")"),"انا مضغوط")</f>
        <v>انا مضغوط</v>
      </c>
    </row>
    <row r="5375" ht="15.75" customHeight="1">
      <c r="A5375" s="6" t="s">
        <v>9638</v>
      </c>
      <c r="B5375" s="6" t="s">
        <v>9639</v>
      </c>
      <c r="C5375" s="7" t="s">
        <v>9640</v>
      </c>
      <c r="D5375" s="1" t="str">
        <f>IFERROR(__xludf.DUMMYFUNCTION("GOOGLETRANSLATE(A5375 , ""auto"", ""ar"")"),".أنا مرتبك")</f>
        <v>.أنا مرتبك</v>
      </c>
    </row>
    <row r="5376" ht="15.75" customHeight="1">
      <c r="A5376" s="6" t="s">
        <v>9160</v>
      </c>
      <c r="B5376" s="6" t="s">
        <v>9600</v>
      </c>
      <c r="C5376" s="7" t="s">
        <v>9641</v>
      </c>
      <c r="D5376" s="1" t="str">
        <f>IFERROR(__xludf.DUMMYFUNCTION("GOOGLETRANSLATE(A5376 , ""auto"", ""ar"")"),"أنا تائه")</f>
        <v>أنا تائه</v>
      </c>
    </row>
    <row r="5377" ht="15.75" customHeight="1">
      <c r="A5377" s="6" t="s">
        <v>9525</v>
      </c>
      <c r="B5377" s="6" t="s">
        <v>9642</v>
      </c>
      <c r="C5377" s="7" t="s">
        <v>9643</v>
      </c>
      <c r="D5377" s="1" t="str">
        <f>IFERROR(__xludf.DUMMYFUNCTION("GOOGLETRANSLATE(A5377 , ""auto"", ""ar"")"),"أنا مشغول")</f>
        <v>أنا مشغول</v>
      </c>
    </row>
    <row r="5378" ht="15.75" customHeight="1">
      <c r="A5378" s="6" t="s">
        <v>9533</v>
      </c>
      <c r="B5378" s="6" t="s">
        <v>9644</v>
      </c>
      <c r="C5378" s="7" t="s">
        <v>9645</v>
      </c>
      <c r="D5378" s="1" t="str">
        <f>IFERROR(__xludf.DUMMYFUNCTION("GOOGLETRANSLATE(A5378 , ""auto"", ""ar"")"),"انا مستعجل")</f>
        <v>انا مستعجل</v>
      </c>
    </row>
    <row r="5379" ht="15.75" customHeight="1">
      <c r="A5379" s="6" t="s">
        <v>9646</v>
      </c>
      <c r="B5379" s="6" t="s">
        <v>9647</v>
      </c>
      <c r="C5379" s="7" t="s">
        <v>9648</v>
      </c>
      <c r="D5379" s="1" t="str">
        <f>IFERROR(__xludf.DUMMYFUNCTION("GOOGLETRANSLATE(A5379 , ""auto"", ""ar"")"),"أنا في مزاج جيد")</f>
        <v>أنا في مزاج جيد</v>
      </c>
    </row>
    <row r="5380" ht="15.75" customHeight="1">
      <c r="A5380" s="6" t="s">
        <v>9649</v>
      </c>
      <c r="B5380" s="6" t="s">
        <v>9650</v>
      </c>
      <c r="C5380" s="7" t="s">
        <v>9651</v>
      </c>
      <c r="D5380" s="1" t="str">
        <f>IFERROR(__xludf.DUMMYFUNCTION("GOOGLETRANSLATE(A5380 , ""auto"", ""ar"")"),"أنا في مزاج سيء")</f>
        <v>أنا في مزاج سيء</v>
      </c>
    </row>
    <row r="5381" ht="15.75" customHeight="1">
      <c r="A5381" s="6" t="s">
        <v>9533</v>
      </c>
      <c r="B5381" s="6" t="s">
        <v>9644</v>
      </c>
      <c r="C5381" s="7" t="s">
        <v>9645</v>
      </c>
      <c r="D5381" s="1" t="str">
        <f>IFERROR(__xludf.DUMMYFUNCTION("GOOGLETRANSLATE(A5381 , ""auto"", ""ar"")"),"انا مستعجل")</f>
        <v>انا مستعجل</v>
      </c>
    </row>
    <row r="5382" ht="15.75" customHeight="1">
      <c r="A5382" s="6" t="s">
        <v>9646</v>
      </c>
      <c r="B5382" s="6" t="s">
        <v>9647</v>
      </c>
      <c r="C5382" s="7" t="s">
        <v>9648</v>
      </c>
      <c r="D5382" s="1" t="str">
        <f>IFERROR(__xludf.DUMMYFUNCTION("GOOGLETRANSLATE(A5382 , ""auto"", ""ar"")"),"أنا في مزاج جيد")</f>
        <v>أنا في مزاج جيد</v>
      </c>
    </row>
    <row r="5383" ht="15.75" customHeight="1">
      <c r="A5383" s="6" t="s">
        <v>9649</v>
      </c>
      <c r="B5383" s="6" t="s">
        <v>9650</v>
      </c>
      <c r="C5383" s="7" t="s">
        <v>9651</v>
      </c>
      <c r="D5383" s="1" t="str">
        <f>IFERROR(__xludf.DUMMYFUNCTION("GOOGLETRANSLATE(A5383 , ""auto"", ""ar"")"),"أنا في مزاج سيء")</f>
        <v>أنا في مزاج سيء</v>
      </c>
    </row>
    <row r="5384" ht="15.75" customHeight="1">
      <c r="A5384" s="6" t="s">
        <v>9533</v>
      </c>
      <c r="B5384" s="6" t="s">
        <v>9644</v>
      </c>
      <c r="C5384" s="7" t="s">
        <v>9645</v>
      </c>
      <c r="D5384" s="1" t="str">
        <f>IFERROR(__xludf.DUMMYFUNCTION("GOOGLETRANSLATE(A5384 , ""auto"", ""ar"")"),"انا مستعجل")</f>
        <v>انا مستعجل</v>
      </c>
    </row>
    <row r="5385" ht="15.75" customHeight="1">
      <c r="A5385" s="6" t="s">
        <v>9646</v>
      </c>
      <c r="B5385" s="6" t="s">
        <v>9647</v>
      </c>
      <c r="C5385" s="7" t="s">
        <v>9648</v>
      </c>
      <c r="D5385" s="1" t="str">
        <f>IFERROR(__xludf.DUMMYFUNCTION("GOOGLETRANSLATE(A5385 , ""auto"", ""ar"")"),"أنا في مزاج جيد")</f>
        <v>أنا في مزاج جيد</v>
      </c>
    </row>
    <row r="5386" ht="15.75" customHeight="1">
      <c r="A5386" s="6" t="s">
        <v>9649</v>
      </c>
      <c r="B5386" s="6" t="s">
        <v>9650</v>
      </c>
      <c r="C5386" s="7" t="s">
        <v>9651</v>
      </c>
      <c r="D5386" s="1" t="str">
        <f>IFERROR(__xludf.DUMMYFUNCTION("GOOGLETRANSLATE(A5386 , ""auto"", ""ar"")"),"أنا في مزاج سيء")</f>
        <v>أنا في مزاج سيء</v>
      </c>
    </row>
    <row r="5387" ht="15.75" customHeight="1">
      <c r="A5387" s="6" t="s">
        <v>9533</v>
      </c>
      <c r="B5387" s="6" t="s">
        <v>9644</v>
      </c>
      <c r="C5387" s="7" t="s">
        <v>9645</v>
      </c>
      <c r="D5387" s="1" t="str">
        <f>IFERROR(__xludf.DUMMYFUNCTION("GOOGLETRANSLATE(A5387 , ""auto"", ""ar"")"),"انا مستعجل")</f>
        <v>انا مستعجل</v>
      </c>
    </row>
    <row r="5388" ht="15.75" customHeight="1">
      <c r="A5388" s="6" t="s">
        <v>9646</v>
      </c>
      <c r="B5388" s="6" t="s">
        <v>9647</v>
      </c>
      <c r="C5388" s="7" t="s">
        <v>9648</v>
      </c>
      <c r="D5388" s="1" t="str">
        <f>IFERROR(__xludf.DUMMYFUNCTION("GOOGLETRANSLATE(A5388 , ""auto"", ""ar"")"),"أنا في مزاج جيد")</f>
        <v>أنا في مزاج جيد</v>
      </c>
    </row>
    <row r="5389" ht="15.75" customHeight="1">
      <c r="A5389" s="6" t="s">
        <v>9649</v>
      </c>
      <c r="B5389" s="6" t="s">
        <v>9650</v>
      </c>
      <c r="C5389" s="7" t="s">
        <v>9651</v>
      </c>
      <c r="D5389" s="1" t="str">
        <f>IFERROR(__xludf.DUMMYFUNCTION("GOOGLETRANSLATE(A5389 , ""auto"", ""ar"")"),"أنا في مزاج سيء")</f>
        <v>أنا في مزاج سيء</v>
      </c>
    </row>
    <row r="5390" ht="15.75" customHeight="1">
      <c r="A5390" s="6" t="s">
        <v>9533</v>
      </c>
      <c r="B5390" s="6" t="s">
        <v>9644</v>
      </c>
      <c r="C5390" s="7" t="s">
        <v>9645</v>
      </c>
      <c r="D5390" s="1" t="str">
        <f>IFERROR(__xludf.DUMMYFUNCTION("GOOGLETRANSLATE(A5390 , ""auto"", ""ar"")"),"انا مستعجل")</f>
        <v>انا مستعجل</v>
      </c>
    </row>
    <row r="5391" ht="15.75" customHeight="1">
      <c r="A5391" s="10" t="s">
        <v>9652</v>
      </c>
      <c r="B5391" s="6" t="s">
        <v>9653</v>
      </c>
      <c r="C5391" s="7" t="s">
        <v>9654</v>
      </c>
      <c r="D5391" s="1" t="str">
        <f>IFERROR(__xludf.DUMMYFUNCTION("GOOGLETRANSLATE(A5391 , ""auto"", ""ar"")"),"أعتقد أن جيراني يعتقدون أنني أريد أن أؤذيهم")</f>
        <v>أعتقد أن جيراني يعتقدون أنني أريد أن أؤذيهم</v>
      </c>
    </row>
    <row r="5392" ht="15.75" customHeight="1">
      <c r="A5392" s="10" t="s">
        <v>9655</v>
      </c>
      <c r="B5392" s="6" t="s">
        <v>9656</v>
      </c>
      <c r="C5392" s="7" t="s">
        <v>9657</v>
      </c>
      <c r="D5392" s="1" t="str">
        <f>IFERROR(__xludf.DUMMYFUNCTION("GOOGLETRANSLATE(A5392 , ""auto"", ""ar"")"),"لذلك أخشى أن أبقى في المنزل ومحاولة تقديم أقل ضوضاء")</f>
        <v>لذلك أخشى أن أبقى في المنزل ومحاولة تقديم أقل ضوضاء</v>
      </c>
    </row>
    <row r="5393" ht="15.75" customHeight="1">
      <c r="A5393" s="10" t="s">
        <v>9658</v>
      </c>
      <c r="B5393" s="6" t="s">
        <v>9659</v>
      </c>
      <c r="C5393" s="7" t="s">
        <v>9660</v>
      </c>
      <c r="D5393" s="1" t="str">
        <f>IFERROR(__xludf.DUMMYFUNCTION("GOOGLETRANSLATE(A5393 , ""auto"", ""ar"")"),"لكنها متعبة")</f>
        <v>لكنها متعبة</v>
      </c>
    </row>
    <row r="5394" ht="15.75" customHeight="1">
      <c r="A5394" s="10" t="s">
        <v>9661</v>
      </c>
      <c r="B5394" s="6" t="s">
        <v>9662</v>
      </c>
      <c r="C5394" s="7" t="s">
        <v>9663</v>
      </c>
      <c r="D5394" s="1" t="str">
        <f>IFERROR(__xludf.DUMMYFUNCTION("GOOGLETRANSLATE(A5394 , ""auto"", ""ar"")"),"أنا لا أنتمي إلى أي مكان ، كما تعلم.")</f>
        <v>أنا لا أنتمي إلى أي مكان ، كما تعلم.</v>
      </c>
    </row>
    <row r="5395" ht="15.75" customHeight="1">
      <c r="A5395" s="10" t="s">
        <v>9664</v>
      </c>
      <c r="B5395" s="6" t="s">
        <v>9665</v>
      </c>
      <c r="C5395" s="7" t="s">
        <v>9666</v>
      </c>
      <c r="D5395" s="1" t="str">
        <f>IFERROR(__xludf.DUMMYFUNCTION("GOOGLETRANSLATE(A5395 , ""auto"", ""ar"")"),"أنا متأكد من أن هناك مكانًا مناسبًا له.")</f>
        <v>أنا متأكد من أن هناك مكانًا مناسبًا له.</v>
      </c>
    </row>
    <row r="5396" ht="15.75" customHeight="1">
      <c r="A5396" s="10" t="s">
        <v>9667</v>
      </c>
      <c r="B5396" s="6" t="s">
        <v>9668</v>
      </c>
      <c r="C5396" s="7" t="s">
        <v>9669</v>
      </c>
      <c r="D5396" s="1" t="str">
        <f>IFERROR(__xludf.DUMMYFUNCTION("GOOGLETRANSLATE(A5396 , ""auto"", ""ar"")"),"هل شعرت دائما بهذا؟")</f>
        <v>هل شعرت دائما بهذا؟</v>
      </c>
    </row>
    <row r="5397" ht="15.75" customHeight="1">
      <c r="A5397" s="10" t="s">
        <v>9670</v>
      </c>
      <c r="B5397" s="6" t="s">
        <v>9671</v>
      </c>
      <c r="C5397" s="7" t="s">
        <v>9672</v>
      </c>
      <c r="D5397" s="1" t="str">
        <f>IFERROR(__xludf.DUMMYFUNCTION("GOOGLETRANSLATE(A5397 , ""auto"", ""ar"")"),"لكنني أعتقد أنه يزداد صعوبة بالنسبة لي في الوقت المناسب")</f>
        <v>لكنني أعتقد أنه يزداد صعوبة بالنسبة لي في الوقت المناسب</v>
      </c>
    </row>
    <row r="5398" ht="15.75" customHeight="1">
      <c r="A5398" s="10" t="s">
        <v>9673</v>
      </c>
      <c r="B5398" s="6" t="s">
        <v>9674</v>
      </c>
      <c r="C5398" s="7" t="s">
        <v>9675</v>
      </c>
      <c r="D5398" s="1" t="str">
        <f>IFERROR(__xludf.DUMMYFUNCTION("GOOGLETRANSLATE(A5398 , ""auto"", ""ar"")"),"بالإضافة إلى ذلك ، جيراني الجدد غريبون.")</f>
        <v>بالإضافة إلى ذلك ، جيراني الجدد غريبون.</v>
      </c>
    </row>
    <row r="5399" ht="15.75" customHeight="1">
      <c r="A5399" s="10" t="s">
        <v>9676</v>
      </c>
      <c r="B5399" s="6" t="s">
        <v>9677</v>
      </c>
      <c r="C5399" s="7" t="s">
        <v>9678</v>
      </c>
      <c r="D5399" s="1" t="str">
        <f>IFERROR(__xludf.DUMMYFUNCTION("GOOGLETRANSLATE(A5399 , ""auto"", ""ar"")"),"ينظرون إلي دائمًا بنظرة غريبة")</f>
        <v>ينظرون إلي دائمًا بنظرة غريبة</v>
      </c>
    </row>
    <row r="5400" ht="15.75" customHeight="1">
      <c r="A5400" s="10" t="s">
        <v>9679</v>
      </c>
      <c r="B5400" s="6" t="s">
        <v>9680</v>
      </c>
      <c r="C5400" s="7" t="s">
        <v>9681</v>
      </c>
      <c r="D5400" s="1" t="str">
        <f>IFERROR(__xludf.DUMMYFUNCTION("GOOGLETRANSLATE(A5400 , ""auto"", ""ar"")"),"أعتقد أنهم يستمعون إلى ما أفعله من خلال الجدران")</f>
        <v>أعتقد أنهم يستمعون إلى ما أفعله من خلال الجدران</v>
      </c>
    </row>
    <row r="5401" ht="15.75" customHeight="1">
      <c r="A5401" s="10" t="s">
        <v>9682</v>
      </c>
      <c r="B5401" s="6" t="s">
        <v>9683</v>
      </c>
      <c r="C5401" s="7" t="s">
        <v>9684</v>
      </c>
      <c r="D5401" s="1" t="str">
        <f>IFERROR(__xludf.DUMMYFUNCTION("GOOGLETRANSLATE(A5401 , ""auto"", ""ar"")"),"هل تستمع إليهم عبر الجدران أيضًا؟")</f>
        <v>هل تستمع إليهم عبر الجدران أيضًا؟</v>
      </c>
    </row>
    <row r="5402" ht="15.75" customHeight="1">
      <c r="A5402" s="6" t="s">
        <v>9685</v>
      </c>
      <c r="B5402" s="6" t="s">
        <v>9686</v>
      </c>
      <c r="C5402" s="7" t="s">
        <v>9687</v>
      </c>
      <c r="D5402" s="1" t="str">
        <f>IFERROR(__xludf.DUMMYFUNCTION("GOOGLETRANSLATE(A5402 , ""auto"", ""ar"")"),"حسنًا ، شكرًا على وقتك ، أنا آسف لأنني أزعجتك")</f>
        <v>حسنًا ، شكرًا على وقتك ، أنا آسف لأنني أزعجتك</v>
      </c>
    </row>
    <row r="5403" ht="15.75" customHeight="1">
      <c r="A5403" s="6" t="s">
        <v>9688</v>
      </c>
      <c r="B5403" s="6" t="s">
        <v>9689</v>
      </c>
      <c r="C5403" s="7" t="s">
        <v>9690</v>
      </c>
      <c r="D5403" s="1" t="str">
        <f>IFERROR(__xludf.DUMMYFUNCTION("GOOGLETRANSLATE(A5403 , ""auto"", ""ar"")"),"وأنا آسف لأنني آسف دائمًا ...")</f>
        <v>وأنا آسف لأنني آسف دائمًا ...</v>
      </c>
    </row>
    <row r="5404" ht="15.75" customHeight="1">
      <c r="A5404" s="6" t="s">
        <v>9500</v>
      </c>
      <c r="B5404" s="6" t="s">
        <v>8108</v>
      </c>
      <c r="C5404" s="7" t="s">
        <v>9691</v>
      </c>
      <c r="D5404" s="1" t="str">
        <f>IFERROR(__xludf.DUMMYFUNCTION("GOOGLETRANSLATE(A5404 , ""auto"", ""ar"")"),"أنا آسف")</f>
        <v>أنا آسف</v>
      </c>
    </row>
    <row r="5405" ht="15.75" customHeight="1">
      <c r="A5405" s="6" t="s">
        <v>9692</v>
      </c>
      <c r="B5405" s="6" t="s">
        <v>9693</v>
      </c>
      <c r="C5405" s="7" t="s">
        <v>9694</v>
      </c>
      <c r="D5405" s="1" t="str">
        <f>IFERROR(__xludf.DUMMYFUNCTION("GOOGLETRANSLATE(A5405 , ""auto"", ""ar"")"),"صباح الخير يا سيدتي.")</f>
        <v>صباح الخير يا سيدتي.</v>
      </c>
    </row>
    <row r="5406" ht="15.75" customHeight="1">
      <c r="A5406" s="6" t="s">
        <v>9695</v>
      </c>
      <c r="B5406" s="6" t="s">
        <v>9696</v>
      </c>
      <c r="C5406" s="7" t="s">
        <v>9697</v>
      </c>
      <c r="D5406" s="1" t="str">
        <f>IFERROR(__xludf.DUMMYFUNCTION("GOOGLETRANSLATE(A5406 , ""auto"", ""ar"")"),"أواجه صعوبة في فهم الصعاب")</f>
        <v>أواجه صعوبة في فهم الصعاب</v>
      </c>
    </row>
    <row r="5407" ht="15.75" customHeight="1">
      <c r="A5407" s="6" t="s">
        <v>9698</v>
      </c>
      <c r="B5407" s="6" t="s">
        <v>9699</v>
      </c>
      <c r="C5407" s="7" t="s">
        <v>9700</v>
      </c>
      <c r="D5407" s="1" t="str">
        <f>IFERROR(__xludf.DUMMYFUNCTION("GOOGLETRANSLATE(A5407 , ""auto"", ""ar"")"),"إنه أمر معقد للغاية بالنسبة لي ، لقد تم فقط الأدب حتى الآن!")</f>
        <v>إنه أمر معقد للغاية بالنسبة لي ، لقد تم فقط الأدب حتى الآن!</v>
      </c>
    </row>
    <row r="5408" ht="15.75" customHeight="1">
      <c r="A5408" s="6" t="s">
        <v>9701</v>
      </c>
      <c r="B5408" s="6" t="s">
        <v>9702</v>
      </c>
      <c r="C5408" s="7" t="s">
        <v>9703</v>
      </c>
      <c r="D5408" s="1" t="str">
        <f>IFERROR(__xludf.DUMMYFUNCTION("GOOGLETRANSLATE(A5408 , ""auto"", ""ar"")"),"ساعدني من فضلك!")</f>
        <v>ساعدني من فضلك!</v>
      </c>
    </row>
    <row r="5409" ht="15.75" customHeight="1">
      <c r="A5409" s="6" t="s">
        <v>9704</v>
      </c>
      <c r="B5409" s="6" t="s">
        <v>9705</v>
      </c>
      <c r="C5409" s="7" t="s">
        <v>9706</v>
      </c>
      <c r="D5409" s="1" t="str">
        <f>IFERROR(__xludf.DUMMYFUNCTION("GOOGLETRANSLATE(A5409 , ""auto"", ""ar"")"),"حسنًا ، أنا مدرس للغة الإنجليزية ، لذلك لست متأكدًا من أنني سأساعد كثيرًا ...")</f>
        <v>حسنًا ، أنا مدرس للغة الإنجليزية ، لذلك لست متأكدًا من أنني سأساعد كثيرًا ...</v>
      </c>
    </row>
    <row r="5410" ht="15.75" customHeight="1">
      <c r="A5410" s="6" t="s">
        <v>9707</v>
      </c>
      <c r="B5410" s="6" t="s">
        <v>9708</v>
      </c>
      <c r="C5410" s="7" t="s">
        <v>9709</v>
      </c>
      <c r="D5410" s="1" t="str">
        <f>IFERROR(__xludf.DUMMYFUNCTION("GOOGLETRANSLATE(A5410 , ""auto"", ""ar"")"),"ألا تحب السيد جيمسون؟")</f>
        <v>ألا تحب السيد جيمسون؟</v>
      </c>
    </row>
    <row r="5411" ht="15.75" customHeight="1">
      <c r="A5411" s="6" t="s">
        <v>9710</v>
      </c>
      <c r="B5411" s="6" t="s">
        <v>9711</v>
      </c>
      <c r="C5411" s="7" t="s">
        <v>9712</v>
      </c>
      <c r="D5411" s="1" t="str">
        <f>IFERROR(__xludf.DUMMYFUNCTION("GOOGLETRANSLATE(A5411 , ""auto"", ""ar"")"),"إنه مدرس الرياضيات الخاص بك ، أليس كذلك؟")</f>
        <v>إنه مدرس الرياضيات الخاص بك ، أليس كذلك؟</v>
      </c>
    </row>
    <row r="5412" ht="15.75" customHeight="1">
      <c r="A5412" s="6" t="s">
        <v>9713</v>
      </c>
      <c r="B5412" s="6" t="s">
        <v>9714</v>
      </c>
      <c r="C5412" s="7" t="s">
        <v>9715</v>
      </c>
      <c r="D5412" s="1" t="str">
        <f>IFERROR(__xludf.DUMMYFUNCTION("GOOGLETRANSLATE(A5412 , ""auto"", ""ar"")"),"يجب علي التفهم")</f>
        <v>يجب علي التفهم</v>
      </c>
    </row>
    <row r="5413" ht="15.75" customHeight="1">
      <c r="A5413" s="6" t="s">
        <v>9716</v>
      </c>
      <c r="B5413" s="6" t="s">
        <v>9717</v>
      </c>
      <c r="C5413" s="7" t="s">
        <v>9718</v>
      </c>
      <c r="D5413" s="1" t="str">
        <f>IFERROR(__xludf.DUMMYFUNCTION("GOOGLETRANSLATE(A5413 , ""auto"", ""ar"")"),"يمكنه في بعض الأحيان أن يصادف كصاحب مخيف بعض الشيء")</f>
        <v>يمكنه في بعض الأحيان أن يصادف كصاحب مخيف بعض الشيء</v>
      </c>
    </row>
    <row r="5414" ht="15.75" customHeight="1">
      <c r="A5414" s="6" t="s">
        <v>9719</v>
      </c>
      <c r="B5414" s="6" t="s">
        <v>9720</v>
      </c>
      <c r="C5414" s="7" t="s">
        <v>9721</v>
      </c>
      <c r="D5414" s="1" t="str">
        <f>IFERROR(__xludf.DUMMYFUNCTION("GOOGLETRANSLATE(A5414 , ""auto"", ""ar"")"),"ابدأ بإخباري بما تفهمه")</f>
        <v>ابدأ بإخباري بما تفهمه</v>
      </c>
    </row>
    <row r="5415" ht="15.75" customHeight="1">
      <c r="A5415" s="6" t="s">
        <v>9722</v>
      </c>
      <c r="B5415" s="6" t="s">
        <v>9723</v>
      </c>
      <c r="C5415" s="7" t="s">
        <v>9724</v>
      </c>
      <c r="D5415" s="1" t="str">
        <f>IFERROR(__xludf.DUMMYFUNCTION("GOOGLETRANSLATE(A5415 , ""auto"", ""ar"")"),"أعلم أنك مدرس للغة الإنجليزية")</f>
        <v>أعلم أنك مدرس للغة الإنجليزية</v>
      </c>
    </row>
    <row r="5416" ht="15.75" customHeight="1">
      <c r="A5416" s="6" t="s">
        <v>9725</v>
      </c>
      <c r="B5416" s="6" t="s">
        <v>9726</v>
      </c>
      <c r="C5416" s="7" t="s">
        <v>9727</v>
      </c>
      <c r="D5416" s="1" t="str">
        <f>IFERROR(__xludf.DUMMYFUNCTION("GOOGLETRANSLATE(A5416 , ""auto"", ""ar"")"),"لكن السيد حوسام هو الفتوة!")</f>
        <v>لكن السيد حوسام هو الفتوة!</v>
      </c>
    </row>
    <row r="5417" ht="15.75" customHeight="1">
      <c r="A5417" s="6" t="s">
        <v>9728</v>
      </c>
      <c r="B5417" s="6" t="s">
        <v>9729</v>
      </c>
      <c r="C5417" s="7" t="s">
        <v>9730</v>
      </c>
      <c r="D5417" s="1" t="str">
        <f>IFERROR(__xludf.DUMMYFUNCTION("GOOGLETRANSLATE(A5417 , ""auto"", ""ar"")"),"كل ما يفعله هو وضعنا ، وتذكرنا بأنه متفوق فكريًا")</f>
        <v>كل ما يفعله هو وضعنا ، وتذكرنا بأنه متفوق فكريًا</v>
      </c>
    </row>
    <row r="5418" ht="15.75" customHeight="1">
      <c r="A5418" s="6" t="s">
        <v>9731</v>
      </c>
      <c r="B5418" s="6" t="s">
        <v>9732</v>
      </c>
      <c r="C5418" s="7" t="s">
        <v>9733</v>
      </c>
      <c r="D5418" s="1" t="str">
        <f>IFERROR(__xludf.DUMMYFUNCTION("GOOGLETRANSLATE(A5418 , ""auto"", ""ar"")"),"أنا غير قادر على اتخاذ ذلك بعد الآن")</f>
        <v>أنا غير قادر على اتخاذ ذلك بعد الآن</v>
      </c>
    </row>
    <row r="5419" ht="15.75" customHeight="1">
      <c r="A5419" s="6" t="s">
        <v>9734</v>
      </c>
      <c r="B5419" s="6" t="s">
        <v>9735</v>
      </c>
      <c r="C5419" s="7" t="s">
        <v>9736</v>
      </c>
      <c r="D5419" s="1" t="str">
        <f>IFERROR(__xludf.DUMMYFUNCTION("GOOGLETRANSLATE(A5419 , ""auto"", ""ar"")"),"انا لست الوحيد")</f>
        <v>انا لست الوحيد</v>
      </c>
    </row>
    <row r="5420" ht="15.75" customHeight="1">
      <c r="A5420" s="6" t="s">
        <v>9737</v>
      </c>
      <c r="B5420" s="6" t="s">
        <v>9738</v>
      </c>
      <c r="C5420" s="7" t="s">
        <v>9739</v>
      </c>
      <c r="D5420" s="1" t="str">
        <f>IFERROR(__xludf.DUMMYFUNCTION("GOOGLETRANSLATE(A5420 , ""auto"", ""ar"")"),"علاوة على ذلك ، يستمر في مضايقة أصدقائي")</f>
        <v>علاوة على ذلك ، يستمر في مضايقة أصدقائي</v>
      </c>
    </row>
    <row r="5421" ht="15.75" customHeight="1">
      <c r="A5421" s="6" t="s">
        <v>9740</v>
      </c>
      <c r="B5421" s="6" t="s">
        <v>9741</v>
      </c>
      <c r="C5421" s="7" t="s">
        <v>9742</v>
      </c>
      <c r="D5421" s="1" t="str">
        <f>IFERROR(__xludf.DUMMYFUNCTION("GOOGLETRANSLATE(A5421 , ""auto"", ""ar"")"),"يا عزيزي")</f>
        <v>يا عزيزي</v>
      </c>
    </row>
    <row r="5422" ht="15.75" customHeight="1">
      <c r="A5422" s="6" t="s">
        <v>9743</v>
      </c>
      <c r="B5422" s="6" t="s">
        <v>9744</v>
      </c>
      <c r="C5422" s="7" t="s">
        <v>9745</v>
      </c>
      <c r="D5422" s="1" t="str">
        <f>IFERROR(__xludf.DUMMYFUNCTION("GOOGLETRANSLATE(A5422 , ""auto"", ""ar"")"),"ربما نحتاج إلى مناقشة مناسبة حول ذلك في مرحلة ما")</f>
        <v>ربما نحتاج إلى مناقشة مناسبة حول ذلك في مرحلة ما</v>
      </c>
    </row>
    <row r="5423" ht="15.75" customHeight="1">
      <c r="A5423" s="6" t="s">
        <v>9746</v>
      </c>
      <c r="B5423" s="6" t="s">
        <v>9747</v>
      </c>
      <c r="C5423" s="7" t="s">
        <v>9748</v>
      </c>
      <c r="D5423" s="1" t="str">
        <f>IFERROR(__xludf.DUMMYFUNCTION("GOOGLETRANSLATE(A5423 , ""auto"", ""ar"")"),"هل اتصلت بأي شخص في ذلك؟")</f>
        <v>هل اتصلت بأي شخص في ذلك؟</v>
      </c>
    </row>
    <row r="5424" ht="15.75" customHeight="1">
      <c r="A5424" s="6" t="s">
        <v>9749</v>
      </c>
      <c r="B5424" s="6" t="s">
        <v>9750</v>
      </c>
      <c r="C5424" s="7" t="s">
        <v>9751</v>
      </c>
      <c r="D5424" s="1" t="str">
        <f>IFERROR(__xludf.DUMMYFUNCTION("GOOGLETRANSLATE(A5424 , ""auto"", ""ar"")"),"يوجد مستشار مدرسة في الموقع كل يوم ثلاثاء")</f>
        <v>يوجد مستشار مدرسة في الموقع كل يوم ثلاثاء</v>
      </c>
    </row>
    <row r="5425" ht="15.75" customHeight="1">
      <c r="A5425" s="6" t="s">
        <v>9752</v>
      </c>
      <c r="B5425" s="6" t="s">
        <v>9753</v>
      </c>
      <c r="C5425" s="7" t="s">
        <v>9754</v>
      </c>
      <c r="D5425" s="1" t="str">
        <f>IFERROR(__xludf.DUMMYFUNCTION("GOOGLETRANSLATE(A5425 , ""auto"", ""ar"")"),"هذا هو الشيء")</f>
        <v>هذا هو الشيء</v>
      </c>
    </row>
    <row r="5426" ht="15.75" customHeight="1">
      <c r="A5426" s="6" t="s">
        <v>9752</v>
      </c>
      <c r="B5426" s="6" t="s">
        <v>9755</v>
      </c>
      <c r="C5426" s="7" t="s">
        <v>9756</v>
      </c>
      <c r="D5426" s="1" t="str">
        <f>IFERROR(__xludf.DUMMYFUNCTION("GOOGLETRANSLATE(A5426 , ""auto"", ""ar"")"),"هذا هو الشيء")</f>
        <v>هذا هو الشيء</v>
      </c>
    </row>
    <row r="5427" ht="15.75" customHeight="1">
      <c r="A5427" s="6" t="s">
        <v>9757</v>
      </c>
      <c r="B5427" s="6" t="s">
        <v>9758</v>
      </c>
      <c r="C5427" s="7" t="s">
        <v>9759</v>
      </c>
      <c r="D5427" s="1" t="str">
        <f>IFERROR(__xludf.DUMMYFUNCTION("GOOGLETRANSLATE(A5427 , ""auto"", ""ar"")"),"إنهم يتآمرون معًا حتى لا يتركوا أي من المعلومات يفلت")</f>
        <v>إنهم يتآمرون معًا حتى لا يتركوا أي من المعلومات يفلت</v>
      </c>
    </row>
    <row r="5428" ht="15.75" customHeight="1">
      <c r="A5428" s="6" t="s">
        <v>9760</v>
      </c>
      <c r="B5428" s="6" t="s">
        <v>9761</v>
      </c>
      <c r="C5428" s="7" t="s">
        <v>9762</v>
      </c>
      <c r="D5428" s="1" t="str">
        <f>IFERROR(__xludf.DUMMYFUNCTION("GOOGLETRANSLATE(A5428 , ""auto"", ""ar"")"),"مجرد التحدث معك يضعني في خطر شديد")</f>
        <v>مجرد التحدث معك يضعني في خطر شديد</v>
      </c>
    </row>
    <row r="5429" ht="15.75" customHeight="1">
      <c r="A5429" s="6" t="s">
        <v>9763</v>
      </c>
      <c r="B5429" s="6" t="s">
        <v>9764</v>
      </c>
      <c r="C5429" s="7" t="s">
        <v>9765</v>
      </c>
      <c r="D5429" s="1" t="str">
        <f>IFERROR(__xludf.DUMMYFUNCTION("GOOGLETRANSLATE(A5429 , ""auto"", ""ar"")"),"مجرد التحدث معك يمكن أن يعرضني للخطر")</f>
        <v>مجرد التحدث معك يمكن أن يعرضني للخطر</v>
      </c>
    </row>
    <row r="5430" ht="15.75" customHeight="1">
      <c r="A5430" s="6" t="s">
        <v>9766</v>
      </c>
      <c r="B5430" s="6" t="s">
        <v>9767</v>
      </c>
      <c r="C5430" s="7" t="s">
        <v>9768</v>
      </c>
      <c r="D5430" s="1" t="str">
        <f>IFERROR(__xludf.DUMMYFUNCTION("GOOGLETRANSLATE(A5430 , ""auto"", ""ar"")"),"أنا حقًا لم أكن أعرف أنه كان هذا خطيرًا")</f>
        <v>أنا حقًا لم أكن أعرف أنه كان هذا خطيرًا</v>
      </c>
    </row>
    <row r="5431" ht="15.75" customHeight="1">
      <c r="A5431" s="6" t="s">
        <v>9769</v>
      </c>
      <c r="B5431" s="6" t="s">
        <v>9770</v>
      </c>
      <c r="C5431" s="7" t="s">
        <v>9771</v>
      </c>
      <c r="D5431" s="1" t="str">
        <f>IFERROR(__xludf.DUMMYFUNCTION("GOOGLETRANSLATE(A5431 , ""auto"", ""ar"")"),"لا تقلق ، سنفعل شيئًا حيال ذلك")</f>
        <v>لا تقلق ، سنفعل شيئًا حيال ذلك</v>
      </c>
    </row>
    <row r="5432" ht="15.75" customHeight="1">
      <c r="A5432" s="6" t="s">
        <v>9772</v>
      </c>
      <c r="B5432" s="6" t="s">
        <v>9773</v>
      </c>
      <c r="C5432" s="7" t="s">
        <v>9774</v>
      </c>
      <c r="D5432" s="1" t="str">
        <f>IFERROR(__xludf.DUMMYFUNCTION("GOOGLETRANSLATE(A5432 , ""auto"", ""ar"")"),"ولا تخف أبدًا من التحدث عنها")</f>
        <v>ولا تخف أبدًا من التحدث عنها</v>
      </c>
    </row>
    <row r="5433" ht="15.75" customHeight="1">
      <c r="A5433" s="6" t="s">
        <v>9775</v>
      </c>
      <c r="B5433" s="6" t="s">
        <v>9776</v>
      </c>
      <c r="C5433" s="7" t="s">
        <v>9777</v>
      </c>
      <c r="D5433" s="1" t="str">
        <f>IFERROR(__xludf.DUMMYFUNCTION("GOOGLETRANSLATE(A5433 , ""auto"", ""ar"")"),"منذ متى كان يحدث؟")</f>
        <v>منذ متى كان يحدث؟</v>
      </c>
    </row>
    <row r="5434" ht="15.75" customHeight="1">
      <c r="A5434" s="6" t="s">
        <v>9775</v>
      </c>
      <c r="B5434" s="6" t="s">
        <v>9778</v>
      </c>
      <c r="C5434" s="7" t="s">
        <v>9779</v>
      </c>
      <c r="D5434" s="1" t="str">
        <f>IFERROR(__xludf.DUMMYFUNCTION("GOOGLETRANSLATE(A5434 , ""auto"", ""ar"")"),"منذ متى كان يحدث؟")</f>
        <v>منذ متى كان يحدث؟</v>
      </c>
    </row>
    <row r="5435" ht="15.75" customHeight="1">
      <c r="A5435" s="6" t="s">
        <v>9775</v>
      </c>
      <c r="B5435" s="6" t="s">
        <v>9780</v>
      </c>
      <c r="C5435" s="7" t="s">
        <v>9781</v>
      </c>
      <c r="D5435" s="1" t="str">
        <f>IFERROR(__xludf.DUMMYFUNCTION("GOOGLETRANSLATE(A5435 , ""auto"", ""ar"")"),"منذ متى كان يحدث؟")</f>
        <v>منذ متى كان يحدث؟</v>
      </c>
    </row>
    <row r="5436" ht="15.75" customHeight="1">
      <c r="A5436" s="6" t="s">
        <v>9782</v>
      </c>
      <c r="B5436" s="6" t="s">
        <v>9783</v>
      </c>
      <c r="C5436" s="7" t="s">
        <v>9784</v>
      </c>
      <c r="D5436" s="1" t="str">
        <f>IFERROR(__xludf.DUMMYFUNCTION("GOOGLETRANSLATE(A5436 , ""auto"", ""ar"")"),"لقد كان يحدث منذ تجرأ على إخباره أن مساره يسير بسرعة كبيرة")</f>
        <v>لقد كان يحدث منذ تجرأ على إخباره أن مساره يسير بسرعة كبيرة</v>
      </c>
    </row>
    <row r="5437" ht="15.75" customHeight="1">
      <c r="A5437" s="6" t="s">
        <v>9785</v>
      </c>
      <c r="B5437" s="11" t="s">
        <v>9786</v>
      </c>
      <c r="C5437" s="7" t="s">
        <v>9787</v>
      </c>
      <c r="D5437" s="1" t="str">
        <f>IFERROR(__xludf.DUMMYFUNCTION("GOOGLETRANSLATE(A5437 , ""auto"", ""ar"")"),"لديه الكثير من الأنا ولا يمكنه تحمل تناقض")</f>
        <v>لديه الكثير من الأنا ولا يمكنه تحمل تناقض</v>
      </c>
    </row>
    <row r="5438" ht="15.75" customHeight="1">
      <c r="A5438" s="6" t="s">
        <v>9788</v>
      </c>
      <c r="B5438" s="6" t="s">
        <v>9789</v>
      </c>
      <c r="C5438" s="7" t="s">
        <v>9790</v>
      </c>
      <c r="D5438" s="1" t="str">
        <f>IFERROR(__xludf.DUMMYFUNCTION("GOOGLETRANSLATE(A5438 , ""auto"", ""ar"")"),"نظرًا لأنه صديق مع عضو المجلس ، فإنه ينتقم")</f>
        <v>نظرًا لأنه صديق مع عضو المجلس ، فإنه ينتقم</v>
      </c>
    </row>
    <row r="5439" ht="15.75" customHeight="1">
      <c r="A5439" s="6" t="s">
        <v>9791</v>
      </c>
      <c r="B5439" s="6" t="s">
        <v>9792</v>
      </c>
      <c r="C5439" s="7" t="s">
        <v>9793</v>
      </c>
      <c r="D5439" s="1" t="str">
        <f>IFERROR(__xludf.DUMMYFUNCTION("GOOGLETRANSLATE(A5439 , ""auto"", ""ar"")"),"ومع ذلك ، الآن بعد أن أدرك قوته ، يلاحق أصدقائي أيضًا لأنهم فتيات")</f>
        <v>ومع ذلك ، الآن بعد أن أدرك قوته ، يلاحق أصدقائي أيضًا لأنهم فتيات</v>
      </c>
    </row>
    <row r="5440" ht="15.75" customHeight="1">
      <c r="A5440" s="6" t="s">
        <v>9794</v>
      </c>
      <c r="B5440" s="6" t="s">
        <v>9795</v>
      </c>
      <c r="C5440" s="7" t="s">
        <v>9796</v>
      </c>
      <c r="D5440" s="1" t="str">
        <f>IFERROR(__xludf.DUMMYFUNCTION("GOOGLETRANSLATE(A5440 , ""auto"", ""ar"")"),"الآن يكرهونني لأنهم يعتقدون أنه خطأي")</f>
        <v>الآن يكرهونني لأنهم يعتقدون أنه خطأي</v>
      </c>
    </row>
    <row r="5441" ht="15.75" customHeight="1">
      <c r="A5441" s="6" t="s">
        <v>9797</v>
      </c>
      <c r="B5441" s="6" t="s">
        <v>9798</v>
      </c>
      <c r="C5441" s="7" t="s">
        <v>9799</v>
      </c>
      <c r="D5441" s="1" t="str">
        <f>IFERROR(__xludf.DUMMYFUNCTION("GOOGLETRANSLATE(A5441 , ""auto"", ""ar"")"),"عزيزي")</f>
        <v>عزيزي</v>
      </c>
    </row>
    <row r="5442" ht="15.75" customHeight="1">
      <c r="A5442" s="6" t="s">
        <v>9800</v>
      </c>
      <c r="B5442" s="6" t="s">
        <v>9801</v>
      </c>
      <c r="C5442" s="7" t="s">
        <v>9802</v>
      </c>
      <c r="D5442" s="1" t="str">
        <f>IFERROR(__xludf.DUMMYFUNCTION("GOOGLETRANSLATE(A5442 , ""auto"", ""ar"")"),"هذا يبدو حقا جادا")</f>
        <v>هذا يبدو حقا جادا</v>
      </c>
    </row>
    <row r="5443" ht="15.75" customHeight="1">
      <c r="A5443" s="6" t="s">
        <v>9803</v>
      </c>
      <c r="B5443" s="6" t="s">
        <v>9804</v>
      </c>
      <c r="C5443" s="7" t="s">
        <v>9805</v>
      </c>
      <c r="D5443" s="1" t="str">
        <f>IFERROR(__xludf.DUMMYFUNCTION("GOOGLETRANSLATE(A5443 , ""auto"", ""ar"")"),"سأضطر إلى تنظيم اجتماع لمناقشة هذا")</f>
        <v>سأضطر إلى تنظيم اجتماع لمناقشة هذا</v>
      </c>
    </row>
    <row r="5444" ht="15.75" customHeight="1">
      <c r="A5444" s="6" t="s">
        <v>9806</v>
      </c>
      <c r="B5444" s="6" t="s">
        <v>9807</v>
      </c>
      <c r="C5444" s="7" t="s">
        <v>9808</v>
      </c>
      <c r="D5444" s="1" t="str">
        <f>IFERROR(__xludf.DUMMYFUNCTION("GOOGLETRANSLATE(A5444 , ""auto"", ""ar"")"),"هذا يحتاج إلى حل بسرعة")</f>
        <v>هذا يحتاج إلى حل بسرعة</v>
      </c>
    </row>
    <row r="5445" ht="15.75" customHeight="1">
      <c r="A5445" s="6" t="s">
        <v>9809</v>
      </c>
      <c r="B5445" s="6" t="s">
        <v>9810</v>
      </c>
      <c r="C5445" s="7" t="s">
        <v>9811</v>
      </c>
      <c r="D5445" s="1" t="str">
        <f>IFERROR(__xludf.DUMMYFUNCTION("GOOGLETRANSLATE(A5445 , ""auto"", ""ar"")"),"سأتحدث إلى الرأس وأرى ما يمكننا القيام به للتحقيق")</f>
        <v>سأتحدث إلى الرأس وأرى ما يمكننا القيام به للتحقيق</v>
      </c>
    </row>
    <row r="5446" ht="15.75" customHeight="1">
      <c r="A5446" s="6" t="s">
        <v>9812</v>
      </c>
      <c r="B5446" s="6" t="s">
        <v>9813</v>
      </c>
      <c r="C5446" s="7" t="s">
        <v>9814</v>
      </c>
      <c r="D5446" s="1" t="str">
        <f>IFERROR(__xludf.DUMMYFUNCTION("GOOGLETRANSLATE(A5446 , ""auto"", ""ar"")"),"سأخبرك")</f>
        <v>سأخبرك</v>
      </c>
    </row>
    <row r="5447" ht="15.75" customHeight="1">
      <c r="A5447" s="6" t="s">
        <v>9812</v>
      </c>
      <c r="B5447" s="6" t="s">
        <v>9815</v>
      </c>
      <c r="C5447" s="7" t="s">
        <v>9816</v>
      </c>
      <c r="D5447" s="1" t="str">
        <f>IFERROR(__xludf.DUMMYFUNCTION("GOOGLETRANSLATE(A5447 , ""auto"", ""ar"")"),"سأخبرك")</f>
        <v>سأخبرك</v>
      </c>
    </row>
    <row r="5448" ht="15.75" customHeight="1">
      <c r="A5448" s="6" t="s">
        <v>9812</v>
      </c>
      <c r="B5448" s="6" t="s">
        <v>9817</v>
      </c>
      <c r="C5448" s="7" t="s">
        <v>9818</v>
      </c>
      <c r="D5448" s="1" t="str">
        <f>IFERROR(__xludf.DUMMYFUNCTION("GOOGLETRANSLATE(A5448 , ""auto"", ""ar"")"),"سأخبرك")</f>
        <v>سأخبرك</v>
      </c>
    </row>
    <row r="5449" ht="15.75" customHeight="1">
      <c r="A5449" s="6" t="s">
        <v>9812</v>
      </c>
      <c r="B5449" s="6" t="s">
        <v>9819</v>
      </c>
      <c r="C5449" s="7" t="s">
        <v>9820</v>
      </c>
      <c r="D5449" s="1" t="str">
        <f>IFERROR(__xludf.DUMMYFUNCTION("GOOGLETRANSLATE(A5449 , ""auto"", ""ar"")"),"سأخبرك")</f>
        <v>سأخبرك</v>
      </c>
    </row>
    <row r="5450" ht="15.75" customHeight="1">
      <c r="A5450" s="6" t="s">
        <v>9821</v>
      </c>
      <c r="B5450" s="6" t="s">
        <v>9822</v>
      </c>
      <c r="C5450" s="7" t="s">
        <v>9823</v>
      </c>
      <c r="D5450" s="1" t="str">
        <f>IFERROR(__xludf.DUMMYFUNCTION("GOOGLETRANSLATE(A5450 , ""auto"", ""ar"")"),"ولا تقلق ، سأفعل ذلك بسرعة!")</f>
        <v>ولا تقلق ، سأفعل ذلك بسرعة!</v>
      </c>
    </row>
    <row r="5451" ht="15.75" customHeight="1">
      <c r="A5451" s="6" t="s">
        <v>9824</v>
      </c>
      <c r="B5451" s="6" t="s">
        <v>9825</v>
      </c>
      <c r="C5451" s="7" t="s">
        <v>9826</v>
      </c>
      <c r="D5451" s="1" t="str">
        <f>IFERROR(__xludf.DUMMYFUNCTION("GOOGLETRANSLATE(A5451 , ""auto"", ""ar"")"),"شكراً جزيلاً!")</f>
        <v>شكراً جزيلاً!</v>
      </c>
    </row>
    <row r="5452" ht="15.75" customHeight="1">
      <c r="A5452" s="6" t="s">
        <v>9827</v>
      </c>
      <c r="B5452" s="6" t="s">
        <v>9828</v>
      </c>
      <c r="C5452" s="7" t="s">
        <v>9829</v>
      </c>
      <c r="D5452" s="1" t="str">
        <f>IFERROR(__xludf.DUMMYFUNCTION("GOOGLETRANSLATE(A5452 , ""auto"", ""ar"")"),"آمل أن يتمكن من التعفن في السجن لبقية حياته")</f>
        <v>آمل أن يتمكن من التعفن في السجن لبقية حياته</v>
      </c>
    </row>
    <row r="5453" ht="15.75" customHeight="1">
      <c r="A5453" s="6" t="s">
        <v>9830</v>
      </c>
      <c r="B5453" s="6" t="s">
        <v>9831</v>
      </c>
      <c r="C5453" s="7" t="s">
        <v>9832</v>
      </c>
      <c r="D5453" s="1" t="str">
        <f>IFERROR(__xludf.DUMMYFUNCTION("GOOGLETRANSLATE(A5453 , ""auto"", ""ar"")"),"سوف يؤكل من قبل الفئران")</f>
        <v>سوف يؤكل من قبل الفئران</v>
      </c>
    </row>
    <row r="5454" ht="15.75" customHeight="1">
      <c r="A5454" s="6" t="s">
        <v>9833</v>
      </c>
      <c r="B5454" s="6" t="s">
        <v>9834</v>
      </c>
      <c r="C5454" s="7" t="s">
        <v>9835</v>
      </c>
      <c r="D5454" s="1" t="str">
        <f>IFERROR(__xludf.DUMMYFUNCTION("GOOGLETRANSLATE(A5454 , ""auto"", ""ar"")"),"لذلك دوا ، كيف حالك اليوم؟")</f>
        <v>لذلك دوا ، كيف حالك اليوم؟</v>
      </c>
    </row>
    <row r="5455" ht="15.75" customHeight="1">
      <c r="A5455" s="6" t="s">
        <v>9836</v>
      </c>
      <c r="B5455" s="6" t="s">
        <v>9837</v>
      </c>
      <c r="C5455" s="7" t="s">
        <v>9838</v>
      </c>
      <c r="D5455" s="1" t="str">
        <f>IFERROR(__xludf.DUMMYFUNCTION("GOOGLETRANSLATE(A5455 , ""auto"", ""ar"")"),"لذا ، لذا ، ولكن أفضل بكثير من الأمس ، شكرًا لك")</f>
        <v>لذا ، لذا ، ولكن أفضل بكثير من الأمس ، شكرًا لك</v>
      </c>
    </row>
    <row r="5456" ht="15.75" customHeight="1">
      <c r="A5456" s="6" t="s">
        <v>9839</v>
      </c>
      <c r="B5456" s="6" t="s">
        <v>9840</v>
      </c>
      <c r="C5456" s="7" t="s">
        <v>9841</v>
      </c>
      <c r="D5456" s="1" t="str">
        <f>IFERROR(__xludf.DUMMYFUNCTION("GOOGLETRANSLATE(A5456 , ""auto"", ""ar"")"),"كيف حال هؤلاء الأحفاد الجميلين لك؟")</f>
        <v>كيف حال هؤلاء الأحفاد الجميلين لك؟</v>
      </c>
    </row>
    <row r="5457" ht="15.75" customHeight="1">
      <c r="A5457" s="6" t="s">
        <v>9842</v>
      </c>
      <c r="B5457" s="6" t="s">
        <v>9843</v>
      </c>
      <c r="C5457" s="7" t="s">
        <v>9844</v>
      </c>
      <c r="D5457" s="1" t="str">
        <f>IFERROR(__xludf.DUMMYFUNCTION("GOOGLETRANSLATE(A5457 , ""auto"", ""ar"")"),"ثلاثة الآن أو هل أنا أخطر!")</f>
        <v>ثلاثة الآن أو هل أنا أخطر!</v>
      </c>
    </row>
    <row r="5458" ht="15.75" customHeight="1">
      <c r="A5458" s="6" t="s">
        <v>9845</v>
      </c>
      <c r="B5458" s="6" t="s">
        <v>9846</v>
      </c>
      <c r="C5458" s="7" t="s">
        <v>9847</v>
      </c>
      <c r="D5458" s="1" t="str">
        <f>IFERROR(__xludf.DUMMYFUNCTION("GOOGLETRANSLATE(A5458 , ""auto"", ""ar"")"),"جيد!")</f>
        <v>جيد!</v>
      </c>
    </row>
    <row r="5459" ht="15.75" customHeight="1">
      <c r="A5459" s="6" t="s">
        <v>9848</v>
      </c>
      <c r="B5459" s="6" t="s">
        <v>9849</v>
      </c>
      <c r="C5459" s="7" t="s">
        <v>9850</v>
      </c>
      <c r="D5459" s="1" t="str">
        <f>IFERROR(__xludf.DUMMYFUNCTION("GOOGLETRANSLATE(A5459 , ""auto"", ""ar"")"),"إنها مجرد كل هذه الآلام الصغيرة")</f>
        <v>إنها مجرد كل هذه الآلام الصغيرة</v>
      </c>
    </row>
    <row r="5460" ht="15.75" customHeight="1">
      <c r="A5460" s="6" t="s">
        <v>9851</v>
      </c>
      <c r="B5460" s="6" t="s">
        <v>9852</v>
      </c>
      <c r="C5460" s="7" t="s">
        <v>9853</v>
      </c>
      <c r="D5460" s="1" t="str">
        <f>IFERROR(__xludf.DUMMYFUNCTION("GOOGLETRANSLATE(A5460 , ""auto"", ""ar"")"),"لا تجعل الحياة سهلة!")</f>
        <v>لا تجعل الحياة سهلة!</v>
      </c>
    </row>
    <row r="5461" ht="15.75" customHeight="1">
      <c r="A5461" s="6" t="s">
        <v>9854</v>
      </c>
      <c r="B5461" s="6" t="s">
        <v>9855</v>
      </c>
      <c r="C5461" s="7" t="s">
        <v>9856</v>
      </c>
      <c r="D5461" s="1" t="str">
        <f>IFERROR(__xludf.DUMMYFUNCTION("GOOGLETRANSLATE(A5461 , ""auto"", ""ar"")"),"أحفادي بخير")</f>
        <v>أحفادي بخير</v>
      </c>
    </row>
    <row r="5462" ht="15.75" customHeight="1">
      <c r="A5462" s="6" t="s">
        <v>9857</v>
      </c>
      <c r="B5462" s="6" t="s">
        <v>9858</v>
      </c>
      <c r="C5462" s="7" t="s">
        <v>9859</v>
      </c>
      <c r="D5462" s="1" t="str">
        <f>IFERROR(__xludf.DUMMYFUNCTION("GOOGLETRANSLATE(A5462 , ""auto"", ""ar"")"),"آخر واحد ، ابنة تشيهاب")</f>
        <v>آخر واحد ، ابنة تشيهاب</v>
      </c>
    </row>
    <row r="5463" ht="15.75" customHeight="1">
      <c r="A5463" s="6" t="s">
        <v>9860</v>
      </c>
      <c r="B5463" s="6" t="s">
        <v>9861</v>
      </c>
      <c r="C5463" s="7" t="s">
        <v>9862</v>
      </c>
      <c r="D5463" s="1" t="str">
        <f>IFERROR(__xludf.DUMMYFUNCTION("GOOGLETRANSLATE(A5463 , ""auto"", ""ar"")"),"ابنتي الثانية")</f>
        <v>ابنتي الثانية</v>
      </c>
    </row>
    <row r="5464" ht="15.75" customHeight="1">
      <c r="A5464" s="6" t="s">
        <v>9863</v>
      </c>
      <c r="B5464" s="6" t="s">
        <v>9864</v>
      </c>
      <c r="C5464" s="7" t="s">
        <v>9865</v>
      </c>
      <c r="D5464" s="1" t="str">
        <f>IFERROR(__xludf.DUMMYFUNCTION("GOOGLETRANSLATE(A5464 , ""auto"", ""ar"")"),"لقد اتخذت للتو خطواتها الأولى!")</f>
        <v>لقد اتخذت للتو خطواتها الأولى!</v>
      </c>
    </row>
    <row r="5465" ht="15.75" customHeight="1">
      <c r="A5465" s="6" t="s">
        <v>9866</v>
      </c>
      <c r="B5465" s="6" t="s">
        <v>9867</v>
      </c>
      <c r="C5465" s="7" t="s">
        <v>9868</v>
      </c>
      <c r="D5465" s="1" t="str">
        <f>IFERROR(__xludf.DUMMYFUNCTION("GOOGLETRANSLATE(A5465 , ""auto"", ""ar"")"),"كوالد ليس من المفترض أن يكون لديك مفضلات")</f>
        <v>كوالد ليس من المفترض أن يكون لديك مفضلات</v>
      </c>
    </row>
    <row r="5466" ht="15.75" customHeight="1">
      <c r="A5466" s="6" t="s">
        <v>9869</v>
      </c>
      <c r="B5466" s="6" t="s">
        <v>9870</v>
      </c>
      <c r="C5466" s="7" t="s">
        <v>9871</v>
      </c>
      <c r="D5466" s="1" t="str">
        <f>IFERROR(__xludf.DUMMYFUNCTION("GOOGLETRANSLATE(A5466 , ""auto"", ""ar"")"),"لكن Jmiaa كانت ابنة جميلة")</f>
        <v>لكن Jmiaa كانت ابنة جميلة</v>
      </c>
    </row>
    <row r="5467" ht="15.75" customHeight="1">
      <c r="A5467" s="6" t="s">
        <v>9872</v>
      </c>
      <c r="B5467" s="6" t="s">
        <v>9873</v>
      </c>
      <c r="C5467" s="7" t="s">
        <v>9874</v>
      </c>
      <c r="D5467" s="1" t="str">
        <f>IFERROR(__xludf.DUMMYFUNCTION("GOOGLETRANSLATE(A5467 , ""auto"", ""ar"")"),"أظن أن طفلها جميل كما هي")</f>
        <v>أظن أن طفلها جميل كما هي</v>
      </c>
    </row>
    <row r="5468" ht="15.75" customHeight="1">
      <c r="A5468" s="6" t="s">
        <v>9875</v>
      </c>
      <c r="B5468" s="6" t="s">
        <v>9876</v>
      </c>
      <c r="C5468" s="7" t="s">
        <v>9877</v>
      </c>
      <c r="D5468" s="1" t="str">
        <f>IFERROR(__xludf.DUMMYFUNCTION("GOOGLETRANSLATE(A5468 , ""auto"", ""ar"")"),"هل أحضرت أي صور فوتوغرافية؟")</f>
        <v>هل أحضرت أي صور فوتوغرافية؟</v>
      </c>
    </row>
    <row r="5469" ht="15.75" customHeight="1">
      <c r="A5469" s="6" t="s">
        <v>9878</v>
      </c>
      <c r="B5469" s="6" t="s">
        <v>9879</v>
      </c>
      <c r="C5469" s="7" t="s">
        <v>9880</v>
      </c>
      <c r="D5469" s="1" t="str">
        <f>IFERROR(__xludf.DUMMYFUNCTION("GOOGLETRANSLATE(A5469 , ""auto"", ""ar"")"),"آلام ، لا تتحدث معي عن الآلام")</f>
        <v>آلام ، لا تتحدث معي عن الآلام</v>
      </c>
    </row>
    <row r="5470" ht="15.75" customHeight="1">
      <c r="A5470" s="6" t="s">
        <v>9881</v>
      </c>
      <c r="B5470" s="6" t="s">
        <v>9882</v>
      </c>
      <c r="C5470" s="7" t="s">
        <v>9883</v>
      </c>
      <c r="D5470" s="1" t="str">
        <f>IFERROR(__xludf.DUMMYFUNCTION("GOOGLETRANSLATE(A5470 , ""auto"", ""ar"")"),"بالكاد أستطيع المشي هذه الأيام")</f>
        <v>بالكاد أستطيع المشي هذه الأيام</v>
      </c>
    </row>
    <row r="5471" ht="15.75" customHeight="1">
      <c r="A5471" s="6" t="s">
        <v>9884</v>
      </c>
      <c r="B5471" s="6" t="s">
        <v>9885</v>
      </c>
      <c r="C5471" s="7" t="s">
        <v>9886</v>
      </c>
      <c r="D5471" s="1" t="str">
        <f>IFERROR(__xludf.DUMMYFUNCTION("GOOGLETRANSLATE(A5471 , ""auto"", ""ar"")"),"آه كيف أفهمك!")</f>
        <v>آه كيف أفهمك!</v>
      </c>
    </row>
    <row r="5472" ht="15.75" customHeight="1">
      <c r="A5472" s="6" t="s">
        <v>9887</v>
      </c>
      <c r="B5472" s="6" t="s">
        <v>9888</v>
      </c>
      <c r="C5472" s="7" t="s">
        <v>9889</v>
      </c>
      <c r="D5472" s="1" t="str">
        <f>IFERROR(__xludf.DUMMYFUNCTION("GOOGLETRANSLATE(A5472 , ""auto"", ""ar"")"),"صحيح أن ماريون كانت دائمًا الفتاة الصغيرة للجميع ... مثل أوليفر ، أليس كذلك؟")</f>
        <v>صحيح أن ماريون كانت دائمًا الفتاة الصغيرة للجميع ... مثل أوليفر ، أليس كذلك؟</v>
      </c>
    </row>
    <row r="5473" ht="15.75" customHeight="1">
      <c r="A5473" s="6" t="s">
        <v>9890</v>
      </c>
      <c r="B5473" s="6" t="s">
        <v>9891</v>
      </c>
      <c r="C5473" s="7" t="s">
        <v>9892</v>
      </c>
      <c r="D5473" s="1" t="str">
        <f>IFERROR(__xludf.DUMMYFUNCTION("GOOGLETRANSLATE(A5473 , ""auto"", ""ar"")"),"ليس لدي أي صور معي")</f>
        <v>ليس لدي أي صور معي</v>
      </c>
    </row>
    <row r="5474" ht="15.75" customHeight="1">
      <c r="A5474" s="6" t="s">
        <v>9893</v>
      </c>
      <c r="B5474" s="6" t="s">
        <v>9894</v>
      </c>
      <c r="C5474" s="7" t="s">
        <v>9895</v>
      </c>
      <c r="D5474" s="1" t="str">
        <f>IFERROR(__xludf.DUMMYFUNCTION("GOOGLETRANSLATE(A5474 , ""auto"", ""ar"")"),"أنت تعرف ، التكنولوجيا وأنا ...")</f>
        <v>أنت تعرف ، التكنولوجيا وأنا ...</v>
      </c>
    </row>
    <row r="5475" ht="15.75" customHeight="1">
      <c r="A5475" s="6" t="s">
        <v>9896</v>
      </c>
      <c r="B5475" s="6" t="s">
        <v>9897</v>
      </c>
      <c r="C5475" s="7" t="s">
        <v>9898</v>
      </c>
      <c r="D5475" s="1" t="str">
        <f>IFERROR(__xludf.DUMMYFUNCTION("GOOGLETRANSLATE(A5475 , ""auto"", ""ar"")"),"أعطاني أطفالي قرصًا")</f>
        <v>أعطاني أطفالي قرصًا</v>
      </c>
    </row>
    <row r="5476" ht="15.75" customHeight="1">
      <c r="A5476" s="6" t="s">
        <v>9899</v>
      </c>
      <c r="B5476" s="6" t="s">
        <v>9900</v>
      </c>
      <c r="C5476" s="7" t="s">
        <v>9901</v>
      </c>
      <c r="D5476" s="1" t="str">
        <f>IFERROR(__xludf.DUMMYFUNCTION("GOOGLETRANSLATE(A5476 , ""auto"", ""ar"")"),"لكني لا أعرف ماذا أفعل به!")</f>
        <v>لكني لا أعرف ماذا أفعل به!</v>
      </c>
    </row>
    <row r="5477" ht="15.75" customHeight="1">
      <c r="A5477" s="6" t="s">
        <v>9902</v>
      </c>
      <c r="B5477" s="11" t="s">
        <v>9903</v>
      </c>
      <c r="C5477" s="7" t="s">
        <v>9904</v>
      </c>
      <c r="D5477" s="1" t="str">
        <f>IFERROR(__xludf.DUMMYFUNCTION("GOOGLETRANSLATE(A5477 , ""auto"", ""ar"")"),"لالتهاب المفاصل ، لحسن الحظ ، أنت هنا ، أليس كذلك؟")</f>
        <v>لالتهاب المفاصل ، لحسن الحظ ، أنت هنا ، أليس كذلك؟</v>
      </c>
    </row>
    <row r="5478" ht="15.75" customHeight="1">
      <c r="A5478" s="6" t="s">
        <v>9905</v>
      </c>
      <c r="B5478" s="6" t="s">
        <v>9906</v>
      </c>
      <c r="C5478" s="7" t="s">
        <v>9907</v>
      </c>
      <c r="D5478" s="1" t="str">
        <f>IFERROR(__xludf.DUMMYFUNCTION("GOOGLETRANSLATE(A5478 , ""auto"", ""ar"")"),"يبدو أن الموظفين يهتمون للغاية")</f>
        <v>يبدو أن الموظفين يهتمون للغاية</v>
      </c>
    </row>
    <row r="5479" ht="15.75" customHeight="1">
      <c r="A5479" s="6" t="s">
        <v>9908</v>
      </c>
      <c r="B5479" s="6" t="s">
        <v>9909</v>
      </c>
      <c r="C5479" s="7" t="s">
        <v>9910</v>
      </c>
      <c r="D5479" s="1" t="str">
        <f>IFERROR(__xludf.DUMMYFUNCTION("GOOGLETRANSLATE(A5479 , ""auto"", ""ar"")"),"أعطاني يانيس قرصًا في عيد ميلادي")</f>
        <v>أعطاني يانيس قرصًا في عيد ميلادي</v>
      </c>
    </row>
    <row r="5480" ht="15.75" customHeight="1">
      <c r="A5480" s="6" t="s">
        <v>9911</v>
      </c>
      <c r="B5480" s="6" t="s">
        <v>9912</v>
      </c>
      <c r="C5480" s="7" t="s">
        <v>9913</v>
      </c>
      <c r="D5480" s="1" t="str">
        <f>IFERROR(__xludf.DUMMYFUNCTION("GOOGLETRANSLATE(A5480 , ""auto"", ""ar"")"),"أستخدمه لمشاهدة التلفزيون وقراءة الكتب")</f>
        <v>أستخدمه لمشاهدة التلفزيون وقراءة الكتب</v>
      </c>
    </row>
    <row r="5481" ht="15.75" customHeight="1">
      <c r="A5481" s="6" t="s">
        <v>9914</v>
      </c>
      <c r="B5481" s="6" t="s">
        <v>9915</v>
      </c>
      <c r="C5481" s="7" t="s">
        <v>9916</v>
      </c>
      <c r="D5481" s="1" t="str">
        <f>IFERROR(__xludf.DUMMYFUNCTION("GOOGLETRANSLATE(A5481 , ""auto"", ""ar"")"),"لقد أوضح لي كيف يعمل")</f>
        <v>لقد أوضح لي كيف يعمل</v>
      </c>
    </row>
    <row r="5482" ht="15.75" customHeight="1">
      <c r="A5482" s="6" t="s">
        <v>9917</v>
      </c>
      <c r="B5482" s="6" t="s">
        <v>9918</v>
      </c>
      <c r="C5482" s="7" t="s">
        <v>9919</v>
      </c>
      <c r="D5482" s="1" t="str">
        <f>IFERROR(__xludf.DUMMYFUNCTION("GOOGLETRANSLATE(A5482 , ""auto"", ""ar"")"),"ولكن إذا علقت الفتيات هنا ، فسوف يساعدني دائمًا")</f>
        <v>ولكن إذا علقت الفتيات هنا ، فسوف يساعدني دائمًا</v>
      </c>
    </row>
    <row r="5483" ht="15.75" customHeight="1">
      <c r="A5483" s="6" t="s">
        <v>9920</v>
      </c>
      <c r="B5483" s="6" t="s">
        <v>9921</v>
      </c>
      <c r="C5483" s="7" t="s">
        <v>9922</v>
      </c>
      <c r="D5483" s="1" t="str">
        <f>IFERROR(__xludf.DUMMYFUNCTION("GOOGLETRANSLATE(A5483 , ""auto"", ""ar"")"),"هم لطفاء جدا")</f>
        <v>هم لطفاء جدا</v>
      </c>
    </row>
    <row r="5484" ht="15.75" customHeight="1">
      <c r="A5484" s="6" t="s">
        <v>9923</v>
      </c>
      <c r="B5484" s="6" t="s">
        <v>9924</v>
      </c>
      <c r="C5484" s="7" t="s">
        <v>9925</v>
      </c>
      <c r="D5484" s="1" t="str">
        <f>IFERROR(__xludf.DUMMYFUNCTION("GOOGLETRANSLATE(A5484 , ""auto"", ""ar"")"),"آه ، يجب أن تكون أكثر ذكاءً مني بعد ذلك!")</f>
        <v>آه ، يجب أن تكون أكثر ذكاءً مني بعد ذلك!</v>
      </c>
    </row>
    <row r="5485" ht="15.75" customHeight="1">
      <c r="A5485" s="6" t="s">
        <v>9926</v>
      </c>
      <c r="B5485" s="6" t="s">
        <v>9927</v>
      </c>
      <c r="C5485" s="7" t="s">
        <v>9928</v>
      </c>
      <c r="D5485" s="1" t="str">
        <f>IFERROR(__xludf.DUMMYFUNCTION("GOOGLETRANSLATE(A5485 , ""auto"", ""ar"")"),"غالبًا ما يريني أطفالي كيفية تشغيله وحتى كيفية كتابة رسائل البريد الإلكتروني ، ولكن ...")</f>
        <v>غالبًا ما يريني أطفالي كيفية تشغيله وحتى كيفية كتابة رسائل البريد الإلكتروني ، ولكن ...</v>
      </c>
    </row>
    <row r="5486" ht="15.75" customHeight="1">
      <c r="A5486" s="6" t="s">
        <v>9929</v>
      </c>
      <c r="B5486" s="6" t="s">
        <v>9930</v>
      </c>
      <c r="C5486" s="7" t="s">
        <v>9931</v>
      </c>
      <c r="D5486" s="1" t="str">
        <f>IFERROR(__xludf.DUMMYFUNCTION("GOOGLETRANSLATE(A5486 , ""auto"", ""ar"")"),"برأسي الفقير ، إنه صعب للغاية!")</f>
        <v>برأسي الفقير ، إنه صعب للغاية!</v>
      </c>
    </row>
    <row r="5487" ht="15.75" customHeight="1">
      <c r="A5487" s="6" t="s">
        <v>9932</v>
      </c>
      <c r="B5487" s="6" t="s">
        <v>9933</v>
      </c>
      <c r="C5487" s="7" t="s">
        <v>9934</v>
      </c>
      <c r="D5487" s="1" t="str">
        <f>IFERROR(__xludf.DUMMYFUNCTION("GOOGLETRANSLATE(A5487 , ""auto"", ""ar"")"),"الشباب يذهبون بسرعة!")</f>
        <v>الشباب يذهبون بسرعة!</v>
      </c>
    </row>
    <row r="5488" ht="15.75" customHeight="1">
      <c r="A5488" s="6" t="s">
        <v>9935</v>
      </c>
      <c r="B5488" s="6" t="s">
        <v>9936</v>
      </c>
      <c r="C5488" s="7" t="s">
        <v>9937</v>
      </c>
      <c r="D5488" s="1" t="str">
        <f>IFERROR(__xludf.DUMMYFUNCTION("GOOGLETRANSLATE(A5488 , ""auto"", ""ar"")"),"كل شيء يجب أن يسير بسرعة بالنسبة لهم ...")</f>
        <v>كل شيء يجب أن يسير بسرعة بالنسبة لهم ...</v>
      </c>
    </row>
    <row r="5489" ht="15.75" customHeight="1">
      <c r="A5489" s="6" t="s">
        <v>9938</v>
      </c>
      <c r="B5489" s="6" t="s">
        <v>9939</v>
      </c>
      <c r="C5489" s="7" t="s">
        <v>9940</v>
      </c>
      <c r="D5489" s="1" t="str">
        <f>IFERROR(__xludf.DUMMYFUNCTION("GOOGLETRANSLATE(A5489 , ""auto"", ""ar"")"),"أمضى لوبنا الأعمار التي تريني كيفية تشغيله ، وشحنها ، وكيفية إرسال رسائل البريد الإلكتروني")</f>
        <v>أمضى لوبنا الأعمار التي تريني كيفية تشغيله ، وشحنها ، وكيفية إرسال رسائل البريد الإلكتروني</v>
      </c>
    </row>
    <row r="5490" ht="15.75" customHeight="1">
      <c r="A5490" s="6" t="s">
        <v>9941</v>
      </c>
      <c r="B5490" s="6" t="s">
        <v>9942</v>
      </c>
      <c r="C5490" s="7" t="s">
        <v>9943</v>
      </c>
      <c r="D5490" s="1" t="str">
        <f>IFERROR(__xludf.DUMMYFUNCTION("GOOGLETRANSLATE(A5490 , ""auto"", ""ar"")"),"مشاهدة YouTube ، والاستماع إلى الراديو ، إنها سهلة")</f>
        <v>مشاهدة YouTube ، والاستماع إلى الراديو ، إنها سهلة</v>
      </c>
    </row>
    <row r="5491" ht="15.75" customHeight="1">
      <c r="A5491" s="6" t="s">
        <v>9944</v>
      </c>
      <c r="B5491" s="6" t="s">
        <v>9945</v>
      </c>
      <c r="C5491" s="7" t="s">
        <v>9946</v>
      </c>
      <c r="D5491" s="1" t="str">
        <f>IFERROR(__xludf.DUMMYFUNCTION("GOOGLETRANSLATE(A5491 , ""auto"", ""ar"")"),"لا بد لي من الحصول على شخص ما لتنزيل الكتب من أجلي")</f>
        <v>لا بد لي من الحصول على شخص ما لتنزيل الكتب من أجلي</v>
      </c>
    </row>
    <row r="5492" ht="15.75" customHeight="1">
      <c r="A5492" s="6" t="s">
        <v>9947</v>
      </c>
      <c r="B5492" s="6" t="s">
        <v>9948</v>
      </c>
      <c r="C5492" s="7" t="s">
        <v>9949</v>
      </c>
      <c r="D5492" s="1" t="str">
        <f>IFERROR(__xludf.DUMMYFUNCTION("GOOGLETRANSLATE(A5492 , ""auto"", ""ar"")"),"يجب عليك تجربة هذا")</f>
        <v>يجب عليك تجربة هذا</v>
      </c>
    </row>
    <row r="5493" ht="15.75" customHeight="1">
      <c r="A5493" s="6" t="s">
        <v>9950</v>
      </c>
      <c r="B5493" s="6" t="s">
        <v>9951</v>
      </c>
      <c r="C5493" s="7" t="s">
        <v>9952</v>
      </c>
      <c r="D5493" s="1" t="str">
        <f>IFERROR(__xludf.DUMMYFUNCTION("GOOGLETRANSLATE(A5493 , ""auto"", ""ar"")"),"يمكنك ضبط حجم الخط بحيث يكون من الأسهل بكثير على عيوننا القديمة قراءة الطباعة")</f>
        <v>يمكنك ضبط حجم الخط بحيث يكون من الأسهل بكثير على عيوننا القديمة قراءة الطباعة</v>
      </c>
    </row>
    <row r="5494" ht="15.75" customHeight="1">
      <c r="A5494" s="6" t="s">
        <v>9953</v>
      </c>
      <c r="B5494" s="6" t="s">
        <v>9954</v>
      </c>
      <c r="C5494" s="7" t="s">
        <v>9955</v>
      </c>
      <c r="D5494" s="1" t="str">
        <f>IFERROR(__xludf.DUMMYFUNCTION("GOOGLETRANSLATE(A5494 , ""auto"", ""ar"")"),"حسنًا ، إذا قلت ذلك ، فسأمسك!")</f>
        <v>حسنًا ، إذا قلت ذلك ، فسأمسك!</v>
      </c>
    </row>
    <row r="5495" ht="15.75" customHeight="1">
      <c r="A5495" s="6" t="s">
        <v>9956</v>
      </c>
      <c r="B5495" s="6" t="s">
        <v>9957</v>
      </c>
      <c r="C5495" s="7" t="s">
        <v>9958</v>
      </c>
      <c r="D5495" s="1" t="str">
        <f>IFERROR(__xludf.DUMMYFUNCTION("GOOGLETRANSLATE(A5495 , ""auto"", ""ar"")"),"ومع ذلك ، نحن نعيش في الأوقات المجنونة ، المجنونة!")</f>
        <v>ومع ذلك ، نحن نعيش في الأوقات المجنونة ، المجنونة!</v>
      </c>
    </row>
    <row r="5496" ht="15.75" customHeight="1">
      <c r="A5496" s="6" t="s">
        <v>9959</v>
      </c>
      <c r="B5496" s="6" t="s">
        <v>9960</v>
      </c>
      <c r="C5496" s="7" t="s">
        <v>9961</v>
      </c>
      <c r="D5496" s="1" t="str">
        <f>IFERROR(__xludf.DUMMYFUNCTION("GOOGLETRANSLATE(A5496 , ""auto"", ""ar"")"),"كل شيء يحدث بسرعة كبيرة!")</f>
        <v>كل شيء يحدث بسرعة كبيرة!</v>
      </c>
    </row>
    <row r="5497" ht="15.75" customHeight="1">
      <c r="A5497" s="6" t="s">
        <v>9962</v>
      </c>
      <c r="B5497" s="6" t="s">
        <v>9963</v>
      </c>
      <c r="C5497" s="7" t="s">
        <v>9964</v>
      </c>
      <c r="D5497" s="1" t="str">
        <f>IFERROR(__xludf.DUMMYFUNCTION("GOOGLETRANSLATE(A5497 , ""auto"", ""ar"")"),"أخيرا!")</f>
        <v>أخيرا!</v>
      </c>
    </row>
    <row r="5498" ht="15.75" customHeight="1">
      <c r="A5498" s="6" t="s">
        <v>9965</v>
      </c>
      <c r="B5498" s="6" t="s">
        <v>9966</v>
      </c>
      <c r="C5498" s="7" t="s">
        <v>9967</v>
      </c>
      <c r="D5498" s="1" t="str">
        <f>IFERROR(__xludf.DUMMYFUNCTION("GOOGLETRANSLATE(A5498 , ""auto"", ""ar"")"),"عزيزي Ihssan ، سأضطر إلى تركك")</f>
        <v>عزيزي Ihssan ، سأضطر إلى تركك</v>
      </c>
    </row>
    <row r="5499" ht="15.75" customHeight="1">
      <c r="A5499" s="6" t="s">
        <v>9968</v>
      </c>
      <c r="B5499" s="6" t="s">
        <v>9969</v>
      </c>
      <c r="C5499" s="7" t="s">
        <v>9970</v>
      </c>
      <c r="D5499" s="1" t="str">
        <f>IFERROR(__xludf.DUMMYFUNCTION("GOOGLETRANSLATE(A5499 , ""auto"", ""ar"")"),"لدي موعد في طبيب الروماتيزم في الساعة 3:00!")</f>
        <v>لدي موعد في طبيب الروماتيزم في الساعة 3:00!</v>
      </c>
    </row>
    <row r="5500" ht="15.75" customHeight="1">
      <c r="A5500" s="6" t="s">
        <v>9971</v>
      </c>
      <c r="B5500" s="6" t="s">
        <v>9972</v>
      </c>
      <c r="C5500" s="7" t="s">
        <v>9973</v>
      </c>
      <c r="D5500" s="1" t="str">
        <f>IFERROR(__xludf.DUMMYFUNCTION("GOOGLETRANSLATE(A5500 , ""auto"", ""ar"")"),"بحلول الوقت الذي نصل فيه إلى هناك")</f>
        <v>بحلول الوقت الذي نصل فيه إلى هناك</v>
      </c>
    </row>
    <row r="5501" ht="15.75" customHeight="1">
      <c r="A5501" s="6" t="s">
        <v>9974</v>
      </c>
      <c r="B5501" s="6" t="s">
        <v>9975</v>
      </c>
      <c r="C5501" s="7" t="s">
        <v>9976</v>
      </c>
      <c r="D5501" s="1" t="str">
        <f>IFERROR(__xludf.DUMMYFUNCTION("GOOGLETRANSLATE(A5501 , ""auto"", ""ar"")"),"كما هو الحال دائما")</f>
        <v>كما هو الحال دائما</v>
      </c>
    </row>
    <row r="5502" ht="15.75" customHeight="1">
      <c r="A5502" s="6" t="s">
        <v>9977</v>
      </c>
      <c r="B5502" s="6" t="s">
        <v>9978</v>
      </c>
      <c r="C5502" s="7" t="s">
        <v>9979</v>
      </c>
      <c r="D5502" s="1" t="str">
        <f>IFERROR(__xludf.DUMMYFUNCTION("GOOGLETRANSLATE(A5502 , ""auto"", ""ar"")"),"لقد كان من دواعي سروري أن أراك")</f>
        <v>لقد كان من دواعي سروري أن أراك</v>
      </c>
    </row>
    <row r="5503" ht="15.75" customHeight="1">
      <c r="A5503" s="6" t="s">
        <v>9980</v>
      </c>
      <c r="B5503" s="6" t="s">
        <v>9981</v>
      </c>
      <c r="C5503" s="7" t="s">
        <v>9982</v>
      </c>
      <c r="D5503" s="1" t="str">
        <f>IFERROR(__xludf.DUMMYFUNCTION("GOOGLETRANSLATE(A5503 , ""auto"", ""ar"")"),"حظا سعيدا وابضرني مرة أخرى قريبا")</f>
        <v>حظا سعيدا وابضرني مرة أخرى قريبا</v>
      </c>
    </row>
    <row r="5504" ht="15.75" customHeight="1">
      <c r="A5504" s="6" t="s">
        <v>9983</v>
      </c>
      <c r="B5504" s="6" t="s">
        <v>9984</v>
      </c>
      <c r="C5504" s="7" t="s">
        <v>9985</v>
      </c>
      <c r="D5504" s="1" t="str">
        <f>IFERROR(__xludf.DUMMYFUNCTION("GOOGLETRANSLATE(A5504 , ""auto"", ""ar"")"),"في المرة القادمة أحضر تلك الصور")</f>
        <v>في المرة القادمة أحضر تلك الصور</v>
      </c>
    </row>
    <row r="5505" ht="15.75" customHeight="1">
      <c r="A5505" s="6" t="s">
        <v>9986</v>
      </c>
      <c r="B5505" s="6" t="s">
        <v>9987</v>
      </c>
      <c r="C5505" s="7" t="s">
        <v>9988</v>
      </c>
      <c r="D5505" s="1" t="str">
        <f>IFERROR(__xludf.DUMMYFUNCTION("GOOGLETRANSLATE(A5505 , ""auto"", ""ar"")"),"أوه ، وإذا كنت تستطيع حملها بعض العنب")</f>
        <v>أوه ، وإذا كنت تستطيع حملها بعض العنب</v>
      </c>
    </row>
    <row r="5506" ht="15.75" customHeight="1">
      <c r="A5506" s="6" t="s">
        <v>9989</v>
      </c>
      <c r="B5506" s="6" t="s">
        <v>9990</v>
      </c>
      <c r="C5506" s="7" t="s">
        <v>9991</v>
      </c>
      <c r="D5506" s="1" t="str">
        <f>IFERROR(__xludf.DUMMYFUNCTION("GOOGLETRANSLATE(A5506 , ""auto"", ""ar"")"),"صندوق من شوكولاتة الحليب وصحف الأحد")</f>
        <v>صندوق من شوكولاتة الحليب وصحف الأحد</v>
      </c>
    </row>
    <row r="5507" ht="15.75" customHeight="1">
      <c r="A5507" s="6" t="s">
        <v>9992</v>
      </c>
      <c r="B5507" s="6" t="s">
        <v>9993</v>
      </c>
      <c r="C5507" s="7" t="s">
        <v>9994</v>
      </c>
      <c r="D5507" s="1" t="str">
        <f>IFERROR(__xludf.DUMMYFUNCTION("GOOGLETRANSLATE(A5507 , ""auto"", ""ar"")"),"الحب للعائلة")</f>
        <v>الحب للعائلة</v>
      </c>
    </row>
    <row r="5508" ht="15.75" customHeight="1">
      <c r="A5508" s="6" t="s">
        <v>9995</v>
      </c>
      <c r="B5508" s="6" t="s">
        <v>9996</v>
      </c>
      <c r="C5508" s="7" t="s">
        <v>9997</v>
      </c>
      <c r="D5508" s="1" t="str">
        <f>IFERROR(__xludf.DUMMYFUNCTION("GOOGLETRANSLATE(A5508 , ""auto"", ""ar"")"),"استمر ، قل لي ما حدث")</f>
        <v>استمر ، قل لي ما حدث</v>
      </c>
    </row>
    <row r="5509" ht="15.75" customHeight="1">
      <c r="A5509" s="6" t="s">
        <v>9998</v>
      </c>
      <c r="B5509" s="6" t="s">
        <v>9999</v>
      </c>
      <c r="C5509" s="7" t="s">
        <v>10000</v>
      </c>
      <c r="D5509" s="1" t="str">
        <f>IFERROR(__xludf.DUMMYFUNCTION("GOOGLETRANSLATE(A5509 , ""auto"", ""ar"")"),"لماذا تنظر إلى أسفل في المقالب؟")</f>
        <v>لماذا تنظر إلى أسفل في المقالب؟</v>
      </c>
    </row>
    <row r="5510" ht="15.75" customHeight="1">
      <c r="A5510" s="6" t="s">
        <v>10001</v>
      </c>
      <c r="B5510" s="6" t="s">
        <v>10002</v>
      </c>
      <c r="C5510" s="7" t="s">
        <v>10003</v>
      </c>
      <c r="D5510" s="1" t="str">
        <f>IFERROR(__xludf.DUMMYFUNCTION("GOOGLETRANSLATE(A5510 , ""auto"", ""ar"")"),"كنت بخير حتى رأيت رأسك")</f>
        <v>كنت بخير حتى رأيت رأسك</v>
      </c>
    </row>
    <row r="5511" ht="15.75" customHeight="1">
      <c r="A5511" s="6" t="s">
        <v>10004</v>
      </c>
      <c r="B5511" s="6" t="s">
        <v>10005</v>
      </c>
      <c r="C5511" s="7" t="s">
        <v>10006</v>
      </c>
      <c r="D5511" s="1" t="str">
        <f>IFERROR(__xludf.DUMMYFUNCTION("GOOGLETRANSLATE(A5511 , ""auto"", ""ar"")"),"لا أستطيع الوقوف عليك بعد الآن")</f>
        <v>لا أستطيع الوقوف عليك بعد الآن</v>
      </c>
    </row>
    <row r="5512" ht="15.75" customHeight="1">
      <c r="A5512" s="6" t="s">
        <v>10007</v>
      </c>
      <c r="B5512" s="6" t="s">
        <v>10008</v>
      </c>
      <c r="C5512" s="7" t="s">
        <v>10009</v>
      </c>
      <c r="D5512" s="1" t="str">
        <f>IFERROR(__xludf.DUMMYFUNCTION("GOOGLETRANSLATE(A5512 , ""auto"", ""ar"")"),"رائع")</f>
        <v>رائع</v>
      </c>
    </row>
    <row r="5513" ht="15.75" customHeight="1">
      <c r="A5513" s="6" t="s">
        <v>10010</v>
      </c>
      <c r="B5513" s="6" t="s">
        <v>10011</v>
      </c>
      <c r="C5513" s="7" t="s">
        <v>10012</v>
      </c>
      <c r="D5513" s="1" t="str">
        <f>IFERROR(__xludf.DUMMYFUNCTION("GOOGLETRANSLATE(A5513 , ""auto"", ""ar"")"),"لم أتوقع هذا")</f>
        <v>لم أتوقع هذا</v>
      </c>
    </row>
    <row r="5514" ht="15.75" customHeight="1">
      <c r="A5514" s="6" t="s">
        <v>10013</v>
      </c>
      <c r="B5514" s="6" t="s">
        <v>10014</v>
      </c>
      <c r="C5514" s="7" t="s">
        <v>10015</v>
      </c>
      <c r="D5514" s="1" t="str">
        <f>IFERROR(__xludf.DUMMYFUNCTION("GOOGLETRANSLATE(A5514 , ""auto"", ""ar"")"),"ماذا فعلت؟")</f>
        <v>ماذا فعلت؟</v>
      </c>
    </row>
    <row r="5515" ht="15.75" customHeight="1">
      <c r="A5515" s="6" t="s">
        <v>10016</v>
      </c>
      <c r="B5515" s="6" t="s">
        <v>10017</v>
      </c>
      <c r="C5515" s="7" t="s">
        <v>10018</v>
      </c>
      <c r="D5515" s="1" t="str">
        <f>IFERROR(__xludf.DUMMYFUNCTION("GOOGLETRANSLATE(A5515 , ""auto"", ""ar"")"),"لقد رأيت كيف تتحدث معي")</f>
        <v>لقد رأيت كيف تتحدث معي</v>
      </c>
    </row>
    <row r="5516" ht="15.75" customHeight="1">
      <c r="A5516" s="6" t="s">
        <v>10019</v>
      </c>
      <c r="B5516" s="6" t="s">
        <v>10020</v>
      </c>
      <c r="C5516" s="7" t="s">
        <v>10021</v>
      </c>
      <c r="D5516" s="1" t="str">
        <f>IFERROR(__xludf.DUMMYFUNCTION("GOOGLETRANSLATE(A5516 , ""auto"", ""ar"")"),"أنت لست قادرًا حتى على قول ليلة سعيدة")</f>
        <v>أنت لست قادرًا حتى على قول ليلة سعيدة</v>
      </c>
    </row>
    <row r="5517" ht="15.75" customHeight="1">
      <c r="A5517" s="6" t="s">
        <v>10022</v>
      </c>
      <c r="B5517" s="6" t="s">
        <v>10023</v>
      </c>
      <c r="C5517" s="7" t="s">
        <v>10024</v>
      </c>
      <c r="D5517" s="1" t="str">
        <f>IFERROR(__xludf.DUMMYFUNCTION("GOOGLETRANSLATE(A5517 , ""auto"", ""ar"")"),"أطلب الاحترام المتبادل في الزواج")</f>
        <v>أطلب الاحترام المتبادل في الزواج</v>
      </c>
    </row>
    <row r="5518" ht="15.75" customHeight="1">
      <c r="A5518" s="6" t="s">
        <v>10025</v>
      </c>
      <c r="B5518" s="6" t="s">
        <v>10026</v>
      </c>
      <c r="C5518" s="7" t="s">
        <v>10027</v>
      </c>
      <c r="D5518" s="1" t="str">
        <f>IFERROR(__xludf.DUMMYFUNCTION("GOOGLETRANSLATE(A5518 , ""auto"", ""ar"")"),"معك دائمًا شارع في اتجاه واحد")</f>
        <v>معك دائمًا شارع في اتجاه واحد</v>
      </c>
    </row>
    <row r="5519" ht="15.75" customHeight="1">
      <c r="A5519" s="6" t="s">
        <v>10028</v>
      </c>
      <c r="B5519" s="6" t="s">
        <v>10029</v>
      </c>
      <c r="C5519" s="7" t="s">
        <v>10030</v>
      </c>
      <c r="D5519" s="1" t="str">
        <f>IFERROR(__xludf.DUMMYFUNCTION("GOOGLETRANSLATE(A5519 , ""auto"", ""ar"")"),"أنت تثير أعصابي وأدرك أنني سأكون أفضل منك بعيدًا عنك")</f>
        <v>أنت تثير أعصابي وأدرك أنني سأكون أفضل منك بعيدًا عنك</v>
      </c>
    </row>
    <row r="5520" ht="15.75" customHeight="1">
      <c r="A5520" s="6" t="s">
        <v>10031</v>
      </c>
      <c r="B5520" s="6" t="s">
        <v>10032</v>
      </c>
      <c r="C5520" s="7" t="s">
        <v>10033</v>
      </c>
      <c r="D5520" s="1" t="str">
        <f>IFERROR(__xludf.DUMMYFUNCTION("GOOGLETRANSLATE(A5520 , ""auto"", ""ar"")"),"منذ متى وأنت تشعر بهذا؟")</f>
        <v>منذ متى وأنت تشعر بهذا؟</v>
      </c>
    </row>
    <row r="5521" ht="15.75" customHeight="1">
      <c r="A5521" s="6" t="s">
        <v>10034</v>
      </c>
      <c r="B5521" s="6" t="s">
        <v>10035</v>
      </c>
      <c r="C5521" s="7" t="s">
        <v>10036</v>
      </c>
      <c r="D5521" s="1" t="str">
        <f>IFERROR(__xludf.DUMMYFUNCTION("GOOGLETRANSLATE(A5521 , ""auto"", ""ar"")"),"لماذا أحصل على انطباع هذه هي المرة الأولى التي ذكرت فيها أي شيء يحدث بيننا؟")</f>
        <v>لماذا أحصل على انطباع هذه هي المرة الأولى التي ذكرت فيها أي شيء يحدث بيننا؟</v>
      </c>
    </row>
    <row r="5522" ht="15.75" customHeight="1">
      <c r="A5522" s="6" t="s">
        <v>10037</v>
      </c>
      <c r="B5522" s="6" t="s">
        <v>10038</v>
      </c>
      <c r="C5522" s="7" t="s">
        <v>10039</v>
      </c>
      <c r="D5522" s="1" t="str">
        <f>IFERROR(__xludf.DUMMYFUNCTION("GOOGLETRANSLATE(A5522 , ""auto"", ""ar"")"),"أنا مثل لويس في أطفال السماء")</f>
        <v>أنا مثل لويس في أطفال السماء</v>
      </c>
    </row>
    <row r="5523" ht="15.75" customHeight="1">
      <c r="A5523" s="6" t="s">
        <v>8073</v>
      </c>
      <c r="B5523" s="6" t="s">
        <v>10040</v>
      </c>
      <c r="C5523" s="7" t="s">
        <v>7211</v>
      </c>
      <c r="D5523" s="1" t="str">
        <f>IFERROR(__xludf.DUMMYFUNCTION("GOOGLETRANSLATE(A5523 , ""auto"", ""ar"")"),"مرحبًا")</f>
        <v>مرحبًا</v>
      </c>
    </row>
    <row r="5524" ht="15.75" customHeight="1">
      <c r="A5524" s="6" t="s">
        <v>9388</v>
      </c>
      <c r="B5524" s="6" t="s">
        <v>10041</v>
      </c>
      <c r="C5524" s="7" t="s">
        <v>10042</v>
      </c>
      <c r="D5524" s="1" t="str">
        <f>IFERROR(__xludf.DUMMYFUNCTION("GOOGLETRANSLATE(A5524 , ""auto"", ""ar"")"),"كيف حالك؟")</f>
        <v>كيف حالك؟</v>
      </c>
    </row>
    <row r="5525" ht="15.75" customHeight="1">
      <c r="A5525" s="6" t="s">
        <v>9394</v>
      </c>
      <c r="B5525" s="6" t="s">
        <v>10043</v>
      </c>
      <c r="C5525" s="7" t="s">
        <v>8069</v>
      </c>
      <c r="D5525" s="1" t="str">
        <f>IFERROR(__xludf.DUMMYFUNCTION("GOOGLETRANSLATE(A5525 , ""auto"", ""ar"")"),"شكرًا لك")</f>
        <v>شكرًا لك</v>
      </c>
    </row>
    <row r="5526" ht="15.75" customHeight="1">
      <c r="A5526" s="6" t="s">
        <v>9399</v>
      </c>
      <c r="B5526" s="6" t="s">
        <v>10044</v>
      </c>
      <c r="C5526" s="7" t="s">
        <v>9401</v>
      </c>
      <c r="D5526" s="1" t="str">
        <f>IFERROR(__xludf.DUMMYFUNCTION("GOOGLETRANSLATE(A5526 , ""auto"", ""ar"")"),"لو سمحت")</f>
        <v>لو سمحت</v>
      </c>
    </row>
    <row r="5527" ht="15.75" customHeight="1">
      <c r="A5527" s="6" t="s">
        <v>9391</v>
      </c>
      <c r="B5527" s="6" t="s">
        <v>10045</v>
      </c>
      <c r="C5527" s="7" t="s">
        <v>10046</v>
      </c>
      <c r="D5527" s="1" t="str">
        <f>IFERROR(__xludf.DUMMYFUNCTION("GOOGLETRANSLATE(A5527 , ""auto"", ""ar"")"),"اعذرني")</f>
        <v>اعذرني</v>
      </c>
    </row>
    <row r="5528" ht="15.75" customHeight="1">
      <c r="A5528" s="6" t="s">
        <v>10047</v>
      </c>
      <c r="B5528" s="6" t="s">
        <v>10048</v>
      </c>
      <c r="C5528" s="7" t="s">
        <v>10049</v>
      </c>
      <c r="D5528" s="1" t="str">
        <f>IFERROR(__xludf.DUMMYFUNCTION("GOOGLETRANSLATE(A5528 , ""auto"", ""ar"")"),"هل تتكلم بالإنجليزية؟")</f>
        <v>هل تتكلم بالإنجليزية؟</v>
      </c>
    </row>
    <row r="5529" ht="15.75" customHeight="1">
      <c r="A5529" s="6" t="s">
        <v>10050</v>
      </c>
      <c r="B5529" s="6" t="s">
        <v>10051</v>
      </c>
      <c r="C5529" s="7" t="s">
        <v>10052</v>
      </c>
      <c r="D5529" s="1" t="str">
        <f>IFERROR(__xludf.DUMMYFUNCTION("GOOGLETRANSLATE(A5529 , ""auto"", ""ar"")"),"أين الحمام؟")</f>
        <v>أين الحمام؟</v>
      </c>
    </row>
    <row r="5530" ht="15.75" customHeight="1">
      <c r="A5530" s="6" t="s">
        <v>10053</v>
      </c>
      <c r="B5530" s="6" t="s">
        <v>10054</v>
      </c>
      <c r="C5530" s="7" t="s">
        <v>10055</v>
      </c>
      <c r="D5530" s="1" t="str">
        <f>IFERROR(__xludf.DUMMYFUNCTION("GOOGLETRANSLATE(A5530 , ""auto"", ""ar"")"),"كم ثمن هذا؟")</f>
        <v>كم ثمن هذا؟</v>
      </c>
    </row>
    <row r="5531" ht="15.75" customHeight="1">
      <c r="A5531" s="6" t="s">
        <v>8084</v>
      </c>
      <c r="B5531" s="6" t="s">
        <v>10056</v>
      </c>
      <c r="C5531" s="7" t="s">
        <v>7438</v>
      </c>
      <c r="D5531" s="1" t="str">
        <f>IFERROR(__xludf.DUMMYFUNCTION("GOOGLETRANSLATE(A5531 , ""auto"", ""ar"")"),"نعم")</f>
        <v>نعم</v>
      </c>
    </row>
    <row r="5532" ht="15.75" customHeight="1">
      <c r="A5532" s="6" t="s">
        <v>8089</v>
      </c>
      <c r="B5532" s="6" t="s">
        <v>10057</v>
      </c>
      <c r="C5532" s="7" t="s">
        <v>5033</v>
      </c>
      <c r="D5532" s="1" t="str">
        <f>IFERROR(__xludf.DUMMYFUNCTION("GOOGLETRANSLATE(A5532 , ""auto"", ""ar"")"),"لا")</f>
        <v>لا</v>
      </c>
    </row>
    <row r="5533" ht="15.75" customHeight="1">
      <c r="A5533" s="6" t="s">
        <v>10058</v>
      </c>
      <c r="B5533" s="6" t="s">
        <v>10059</v>
      </c>
      <c r="C5533" s="7" t="s">
        <v>10060</v>
      </c>
      <c r="D5533" s="1" t="str">
        <f>IFERROR(__xludf.DUMMYFUNCTION("GOOGLETRANSLATE(A5533 , ""auto"", ""ar"")"),"ليس عندي")</f>
        <v>ليس عندي</v>
      </c>
    </row>
    <row r="5534" ht="15.75" customHeight="1">
      <c r="A5534" s="6" t="s">
        <v>9425</v>
      </c>
      <c r="B5534" s="6" t="s">
        <v>10061</v>
      </c>
      <c r="C5534" s="7" t="s">
        <v>10062</v>
      </c>
      <c r="D5534" s="1" t="str">
        <f>IFERROR(__xludf.DUMMYFUNCTION("GOOGLETRANSLATE(A5534 , ""auto"", ""ar"")"),"ربما")</f>
        <v>ربما</v>
      </c>
    </row>
    <row r="5535" ht="15.75" customHeight="1">
      <c r="A5535" s="6" t="s">
        <v>10063</v>
      </c>
      <c r="B5535" s="6" t="s">
        <v>10064</v>
      </c>
      <c r="C5535" s="7" t="s">
        <v>10065</v>
      </c>
      <c r="D5535" s="1" t="str">
        <f>IFERROR(__xludf.DUMMYFUNCTION("GOOGLETRANSLATE(A5535 , ""auto"", ""ar"")"),"اتصل بي")</f>
        <v>اتصل بي</v>
      </c>
    </row>
    <row r="5536" ht="15.75" customHeight="1">
      <c r="A5536" s="6" t="s">
        <v>8110</v>
      </c>
      <c r="B5536" s="6" t="s">
        <v>10066</v>
      </c>
      <c r="C5536" s="7" t="s">
        <v>8112</v>
      </c>
      <c r="D5536" s="1" t="str">
        <f>IFERROR(__xludf.DUMMYFUNCTION("GOOGLETRANSLATE(A5536 , ""auto"", ""ar"")"),"لا أفهم")</f>
        <v>لا أفهم</v>
      </c>
    </row>
    <row r="5537" ht="15.75" customHeight="1">
      <c r="A5537" s="6" t="s">
        <v>10067</v>
      </c>
      <c r="B5537" s="6" t="s">
        <v>10068</v>
      </c>
      <c r="C5537" s="7" t="s">
        <v>10069</v>
      </c>
      <c r="D5537" s="1" t="str">
        <f>IFERROR(__xludf.DUMMYFUNCTION("GOOGLETRANSLATE(A5537 , ""auto"", ""ar"")"),"أريد أن أذهب إلى...")</f>
        <v>أريد أن أذهب إلى...</v>
      </c>
    </row>
    <row r="5538" ht="15.75" customHeight="1">
      <c r="A5538" s="6" t="s">
        <v>8314</v>
      </c>
      <c r="B5538" s="6" t="s">
        <v>10070</v>
      </c>
      <c r="C5538" s="7" t="s">
        <v>6927</v>
      </c>
      <c r="D5538" s="1" t="str">
        <f>IFERROR(__xludf.DUMMYFUNCTION("GOOGLETRANSLATE(A5538 , ""auto"", ""ar"")"),"اثنين")</f>
        <v>اثنين</v>
      </c>
    </row>
    <row r="5539" ht="15.75" customHeight="1">
      <c r="A5539" s="6" t="s">
        <v>8316</v>
      </c>
      <c r="B5539" s="6" t="s">
        <v>10071</v>
      </c>
      <c r="C5539" s="7" t="s">
        <v>10072</v>
      </c>
      <c r="D5539" s="1" t="str">
        <f>IFERROR(__xludf.DUMMYFUNCTION("GOOGLETRANSLATE(A5539 , ""auto"", ""ar"")"),"ثلاثة")</f>
        <v>ثلاثة</v>
      </c>
    </row>
    <row r="5540" ht="15.75" customHeight="1">
      <c r="A5540" s="6" t="s">
        <v>8234</v>
      </c>
      <c r="B5540" s="6" t="s">
        <v>10073</v>
      </c>
      <c r="C5540" s="7" t="s">
        <v>6723</v>
      </c>
      <c r="D5540" s="1" t="str">
        <f>IFERROR(__xludf.DUMMYFUNCTION("GOOGLETRANSLATE(A5540 , ""auto"", ""ar"")"),"اليوم")</f>
        <v>اليوم</v>
      </c>
    </row>
    <row r="5541" ht="15.75" customHeight="1">
      <c r="A5541" s="6" t="s">
        <v>10074</v>
      </c>
      <c r="B5541" s="6" t="s">
        <v>10075</v>
      </c>
      <c r="C5541" s="7" t="s">
        <v>4487</v>
      </c>
      <c r="D5541" s="1" t="str">
        <f>IFERROR(__xludf.DUMMYFUNCTION("GOOGLETRANSLATE(A5541 , ""auto"", ""ar"")"),"غداً")</f>
        <v>غداً</v>
      </c>
    </row>
    <row r="5542" ht="15.75" customHeight="1">
      <c r="A5542" s="6" t="s">
        <v>8237</v>
      </c>
      <c r="B5542" s="6" t="s">
        <v>10076</v>
      </c>
      <c r="C5542" s="7" t="s">
        <v>7441</v>
      </c>
      <c r="D5542" s="1" t="str">
        <f>IFERROR(__xludf.DUMMYFUNCTION("GOOGLETRANSLATE(A5542 , ""auto"", ""ar"")"),"أمس")</f>
        <v>أمس</v>
      </c>
    </row>
    <row r="5543" ht="15.75" customHeight="1">
      <c r="A5543" s="6" t="s">
        <v>7420</v>
      </c>
      <c r="B5543" s="6" t="s">
        <v>7421</v>
      </c>
      <c r="C5543" s="7" t="s">
        <v>7422</v>
      </c>
      <c r="D5543" s="1" t="str">
        <f>IFERROR(__xludf.DUMMYFUNCTION("GOOGLETRANSLATE(A5543 , ""auto"", ""ar"")"),"التثاؤب")</f>
        <v>التثاؤب</v>
      </c>
    </row>
    <row r="5544" ht="15.75" customHeight="1">
      <c r="A5544" s="6" t="s">
        <v>7423</v>
      </c>
      <c r="B5544" s="6" t="s">
        <v>7424</v>
      </c>
      <c r="C5544" s="7" t="s">
        <v>6381</v>
      </c>
      <c r="D5544" s="1" t="str">
        <f>IFERROR(__xludf.DUMMYFUNCTION("GOOGLETRANSLATE(A5544 , ""auto"", ""ar"")"),"سنة")</f>
        <v>سنة</v>
      </c>
    </row>
    <row r="5545" ht="15.75" customHeight="1">
      <c r="A5545" s="6" t="s">
        <v>7423</v>
      </c>
      <c r="B5545" s="6" t="s">
        <v>7425</v>
      </c>
      <c r="C5545" s="7" t="s">
        <v>7426</v>
      </c>
      <c r="D5545" s="1" t="str">
        <f>IFERROR(__xludf.DUMMYFUNCTION("GOOGLETRANSLATE(A5545 , ""auto"", ""ar"")"),"سنة")</f>
        <v>سنة</v>
      </c>
    </row>
    <row r="5546" ht="15.75" customHeight="1">
      <c r="A5546" s="12" t="s">
        <v>10077</v>
      </c>
      <c r="B5546" s="13" t="s">
        <v>10078</v>
      </c>
      <c r="C5546" s="14" t="s">
        <v>10079</v>
      </c>
      <c r="D5546" s="1" t="str">
        <f>IFERROR(__xludf.DUMMYFUNCTION("GOOGLETRANSLATE(A5546 , ""auto"", ""ar"")"),"مساء الخير!")</f>
        <v>مساء الخير!</v>
      </c>
    </row>
    <row r="5547" ht="15.75" customHeight="1">
      <c r="A5547" s="12" t="s">
        <v>10080</v>
      </c>
      <c r="B5547" s="13" t="s">
        <v>10081</v>
      </c>
      <c r="C5547" s="14" t="s">
        <v>10082</v>
      </c>
      <c r="D5547" s="1" t="str">
        <f>IFERROR(__xludf.DUMMYFUNCTION("GOOGLETRANSLATE(A5547 , ""auto"", ""ar"")"),"ماذا لديك على الضغط؟")</f>
        <v>ماذا لديك على الضغط؟</v>
      </c>
    </row>
    <row r="5548" ht="15.75" customHeight="1">
      <c r="A5548" s="12" t="s">
        <v>10083</v>
      </c>
      <c r="B5548" s="13" t="s">
        <v>10084</v>
      </c>
      <c r="C5548" s="14" t="s">
        <v>10085</v>
      </c>
      <c r="D5548" s="1" t="str">
        <f>IFERROR(__xludf.DUMMYFUNCTION("GOOGLETRANSLATE(A5548 , ""auto"", ""ar"")"),"على الضغط؟")</f>
        <v>على الضغط؟</v>
      </c>
    </row>
    <row r="5549" ht="15.75" customHeight="1">
      <c r="A5549" s="12" t="s">
        <v>10086</v>
      </c>
      <c r="B5549" s="13" t="s">
        <v>10087</v>
      </c>
      <c r="C5549" s="14" t="s">
        <v>10088</v>
      </c>
      <c r="D5549" s="1" t="str">
        <f>IFERROR(__xludf.DUMMYFUNCTION("GOOGLETRANSLATE(A5549 , ""auto"", ""ar"")"),"أنا لا أتابع.")</f>
        <v>أنا لا أتابع.</v>
      </c>
    </row>
    <row r="5550" ht="15.75" customHeight="1">
      <c r="A5550" s="12" t="s">
        <v>10089</v>
      </c>
      <c r="B5550" s="13" t="s">
        <v>10090</v>
      </c>
      <c r="C5550" s="14" t="s">
        <v>10091</v>
      </c>
      <c r="D5550" s="1" t="str">
        <f>IFERROR(__xludf.DUMMYFUNCTION("GOOGLETRANSLATE(A5550 , ""auto"", ""ar"")"),"أنا متوتر للغاية مع العمل في الوقت الحالي.")</f>
        <v>أنا متوتر للغاية مع العمل في الوقت الحالي.</v>
      </c>
    </row>
    <row r="5551" ht="15.75" customHeight="1">
      <c r="A5551" s="12" t="s">
        <v>10092</v>
      </c>
      <c r="B5551" s="13" t="s">
        <v>10093</v>
      </c>
      <c r="C5551" s="14" t="s">
        <v>10094</v>
      </c>
      <c r="D5551" s="1" t="str">
        <f>IFERROR(__xludf.DUMMYFUNCTION("GOOGLETRANSLATE(A5551 , ""auto"", ""ar"")"),"أنا متوتر للغاية الآن")</f>
        <v>أنا متوتر للغاية الآن</v>
      </c>
    </row>
    <row r="5552" ht="15.75" customHeight="1">
      <c r="A5552" s="12" t="s">
        <v>10095</v>
      </c>
      <c r="B5552" s="13" t="s">
        <v>10096</v>
      </c>
      <c r="C5552" s="14" t="s">
        <v>10097</v>
      </c>
      <c r="D5552" s="1" t="str">
        <f>IFERROR(__xludf.DUMMYFUNCTION("GOOGLETRANSLATE(A5552 , ""auto"", ""ar"")"),"هل هذا ما تعنيه؟")</f>
        <v>هل هذا ما تعنيه؟</v>
      </c>
    </row>
    <row r="5553" ht="15.75" customHeight="1">
      <c r="A5553" s="12" t="s">
        <v>10098</v>
      </c>
      <c r="B5553" s="13" t="s">
        <v>10099</v>
      </c>
      <c r="C5553" s="14" t="s">
        <v>10100</v>
      </c>
      <c r="D5553" s="1" t="str">
        <f>IFERROR(__xludf.DUMMYFUNCTION("GOOGLETRANSLATE(A5553 , ""auto"", ""ar"")"),"لا ، أردت فقط أن أسأل ما هي البيرة التي لديك")</f>
        <v>لا ، أردت فقط أن أسأل ما هي البيرة التي لديك</v>
      </c>
    </row>
    <row r="5554" ht="15.75" customHeight="1">
      <c r="A5554" s="12" t="s">
        <v>10101</v>
      </c>
      <c r="B5554" s="13" t="s">
        <v>10102</v>
      </c>
      <c r="C5554" s="14" t="s">
        <v>10103</v>
      </c>
      <c r="D5554" s="1" t="str">
        <f>IFERROR(__xludf.DUMMYFUNCTION("GOOGLETRANSLATE(A5554 , ""auto"", ""ar"")"),"إذا كان لديك النبيذ ، سأكون بخير أيضًا.")</f>
        <v>إذا كان لديك النبيذ ، سأكون بخير أيضًا.</v>
      </c>
    </row>
    <row r="5555" ht="15.75" customHeight="1">
      <c r="A5555" s="12" t="s">
        <v>10104</v>
      </c>
      <c r="B5555" s="13" t="s">
        <v>10104</v>
      </c>
      <c r="C5555" s="14" t="s">
        <v>10105</v>
      </c>
      <c r="D5555" s="1" t="str">
        <f>IFERROR(__xludf.DUMMYFUNCTION("GOOGLETRANSLATE(A5555 , ""auto"", ""ar"")"),"أوه!")</f>
        <v>أوه!</v>
      </c>
    </row>
    <row r="5556" ht="15.75" customHeight="1">
      <c r="A5556" s="12" t="s">
        <v>10106</v>
      </c>
      <c r="B5556" s="13" t="s">
        <v>10107</v>
      </c>
      <c r="C5556" s="14" t="s">
        <v>10108</v>
      </c>
      <c r="D5556" s="1" t="str">
        <f>IFERROR(__xludf.DUMMYFUNCTION("GOOGLETRANSLATE(A5556 , ""auto"", ""ar"")"),"آسف!")</f>
        <v>آسف!</v>
      </c>
    </row>
    <row r="5557" ht="15.75" customHeight="1">
      <c r="A5557" s="12" t="s">
        <v>10109</v>
      </c>
      <c r="B5557" s="13" t="s">
        <v>10110</v>
      </c>
      <c r="C5557" s="14" t="s">
        <v>10111</v>
      </c>
      <c r="D5557" s="1" t="str">
        <f>IFERROR(__xludf.DUMMYFUNCTION("GOOGLETRANSLATE(A5557 , ""auto"", ""ar"")"),"إنه مرير للغاية ولكنه منعش للغاية")</f>
        <v>إنه مرير للغاية ولكنه منعش للغاية</v>
      </c>
    </row>
    <row r="5558" ht="15.75" customHeight="1">
      <c r="A5558" s="12" t="s">
        <v>10112</v>
      </c>
      <c r="B5558" s="13" t="s">
        <v>10113</v>
      </c>
      <c r="C5558" s="14" t="s">
        <v>10114</v>
      </c>
      <c r="D5558" s="1" t="str">
        <f>IFERROR(__xludf.DUMMYFUNCTION("GOOGLETRANSLATE(A5558 , ""auto"", ""ar"")"),"لا أوصي باللحوم")</f>
        <v>لا أوصي باللحوم</v>
      </c>
    </row>
    <row r="5559" ht="15.75" customHeight="1">
      <c r="A5559" s="12" t="s">
        <v>10115</v>
      </c>
      <c r="B5559" s="13" t="s">
        <v>10116</v>
      </c>
      <c r="C5559" s="14" t="s">
        <v>10117</v>
      </c>
      <c r="D5559" s="1" t="str">
        <f>IFERROR(__xludf.DUMMYFUNCTION("GOOGLETRANSLATE(A5559 , ""auto"", ""ar"")"),"بعد كل شيء ، نحن متخصصون في البيرة")</f>
        <v>بعد كل شيء ، نحن متخصصون في البيرة</v>
      </c>
    </row>
    <row r="5560" ht="15.75" customHeight="1">
      <c r="A5560" s="12" t="s">
        <v>10118</v>
      </c>
      <c r="B5560" s="13" t="s">
        <v>10119</v>
      </c>
      <c r="C5560" s="14" t="s">
        <v>10120</v>
      </c>
      <c r="D5560" s="1" t="str">
        <f>IFERROR(__xludf.DUMMYFUNCTION("GOOGLETRANSLATE(A5560 , ""auto"", ""ar"")"),"ممتاز!")</f>
        <v>ممتاز!</v>
      </c>
    </row>
    <row r="5561" ht="15.75" customHeight="1">
      <c r="A5561" s="12" t="s">
        <v>10121</v>
      </c>
      <c r="B5561" s="13" t="s">
        <v>10122</v>
      </c>
      <c r="C5561" s="14" t="s">
        <v>10123</v>
      </c>
      <c r="D5561" s="1" t="str">
        <f>IFERROR(__xludf.DUMMYFUNCTION("GOOGLETRANSLATE(A5561 , ""auto"", ""ar"")"),"أحب الكثير من البيرة المريرة")</f>
        <v>أحب الكثير من البيرة المريرة</v>
      </c>
    </row>
    <row r="5562" ht="15.75" customHeight="1">
      <c r="A5562" s="12" t="s">
        <v>10124</v>
      </c>
      <c r="B5562" s="13" t="s">
        <v>10125</v>
      </c>
      <c r="C5562" s="14" t="s">
        <v>10126</v>
      </c>
      <c r="D5562" s="1" t="str">
        <f>IFERROR(__xludf.DUMMYFUNCTION("GOOGLETRANSLATE(A5562 , ""auto"", ""ar"")"),"هل يمكن أن تصب لي نصف لتر؟")</f>
        <v>هل يمكن أن تصب لي نصف لتر؟</v>
      </c>
    </row>
    <row r="5563" ht="15.75" customHeight="1">
      <c r="A5563" s="12" t="s">
        <v>10127</v>
      </c>
      <c r="B5563" s="13" t="s">
        <v>10128</v>
      </c>
      <c r="C5563" s="14" t="s">
        <v>10129</v>
      </c>
      <c r="D5563" s="1" t="str">
        <f>IFERROR(__xludf.DUMMYFUNCTION("GOOGLETRANSLATE(A5563 , ""auto"", ""ar"")"),"ثم سأحصل على لتر كامل!")</f>
        <v>ثم سأحصل على لتر كامل!</v>
      </c>
    </row>
    <row r="5564" ht="15.75" customHeight="1">
      <c r="A5564" s="12" t="s">
        <v>10130</v>
      </c>
      <c r="B5564" s="13" t="s">
        <v>10131</v>
      </c>
      <c r="C5564" s="14" t="s">
        <v>10132</v>
      </c>
      <c r="D5564" s="1" t="str">
        <f>IFERROR(__xludf.DUMMYFUNCTION("GOOGLETRANSLATE(A5564 , ""auto"", ""ar"")"),"ماذا عليك أن تأكل؟")</f>
        <v>ماذا عليك أن تأكل؟</v>
      </c>
    </row>
    <row r="5565" ht="15.75" customHeight="1">
      <c r="A5565" s="12" t="s">
        <v>10130</v>
      </c>
      <c r="B5565" s="13" t="s">
        <v>10133</v>
      </c>
      <c r="C5565" s="14" t="s">
        <v>10134</v>
      </c>
      <c r="D5565" s="1" t="str">
        <f>IFERROR(__xludf.DUMMYFUNCTION("GOOGLETRANSLATE(A5565 , ""auto"", ""ar"")"),"ماذا عليك أن تأكل؟")</f>
        <v>ماذا عليك أن تأكل؟</v>
      </c>
    </row>
    <row r="5566" ht="15.75" customHeight="1">
      <c r="A5566" s="12" t="s">
        <v>10130</v>
      </c>
      <c r="B5566" s="13" t="s">
        <v>10135</v>
      </c>
      <c r="C5566" s="14" t="s">
        <v>10136</v>
      </c>
      <c r="D5566" s="1" t="str">
        <f>IFERROR(__xludf.DUMMYFUNCTION("GOOGLETRANSLATE(A5566 , ""auto"", ""ar"")"),"ماذا عليك أن تأكل؟")</f>
        <v>ماذا عليك أن تأكل؟</v>
      </c>
    </row>
    <row r="5567" ht="15.75" customHeight="1">
      <c r="A5567" s="12" t="s">
        <v>10130</v>
      </c>
      <c r="B5567" s="13" t="s">
        <v>10137</v>
      </c>
      <c r="C5567" s="14" t="s">
        <v>10138</v>
      </c>
      <c r="D5567" s="1" t="str">
        <f>IFERROR(__xludf.DUMMYFUNCTION("GOOGLETRANSLATE(A5567 , ""auto"", ""ar"")"),"ماذا عليك أن تأكل؟")</f>
        <v>ماذا عليك أن تأكل؟</v>
      </c>
    </row>
    <row r="5568" ht="15.75" customHeight="1">
      <c r="A5568" s="12" t="s">
        <v>10139</v>
      </c>
      <c r="B5568" s="13" t="s">
        <v>10140</v>
      </c>
      <c r="C5568" s="14" t="s">
        <v>10141</v>
      </c>
      <c r="D5568" s="1" t="str">
        <f>IFERROR(__xludf.DUMMYFUNCTION("GOOGLETRANSLATE(A5568 , ""auto"", ""ar"")"),"تذكر ، اشرب بمسؤولية.")</f>
        <v>تذكر ، اشرب بمسؤولية.</v>
      </c>
    </row>
    <row r="5569" ht="15.75" customHeight="1">
      <c r="A5569" s="12" t="s">
        <v>10142</v>
      </c>
      <c r="B5569" s="13" t="s">
        <v>10143</v>
      </c>
      <c r="C5569" s="14" t="s">
        <v>10144</v>
      </c>
      <c r="D5569" s="1" t="str">
        <f>IFERROR(__xludf.DUMMYFUNCTION("GOOGLETRANSLATE(A5569 , ""auto"", ""ar"")"),"دعونا نأكل")</f>
        <v>دعونا نأكل</v>
      </c>
    </row>
    <row r="5570" ht="15.75" customHeight="1">
      <c r="A5570" s="12" t="s">
        <v>10142</v>
      </c>
      <c r="B5570" s="13" t="s">
        <v>10145</v>
      </c>
      <c r="C5570" s="14" t="s">
        <v>10146</v>
      </c>
      <c r="D5570" s="1" t="str">
        <f>IFERROR(__xludf.DUMMYFUNCTION("GOOGLETRANSLATE(A5570 , ""auto"", ""ar"")"),"دعونا نأكل")</f>
        <v>دعونا نأكل</v>
      </c>
    </row>
    <row r="5571" ht="15.75" customHeight="1">
      <c r="A5571" s="12" t="s">
        <v>10142</v>
      </c>
      <c r="B5571" s="13" t="s">
        <v>10147</v>
      </c>
      <c r="C5571" s="14" t="s">
        <v>10148</v>
      </c>
      <c r="D5571" s="1" t="str">
        <f>IFERROR(__xludf.DUMMYFUNCTION("GOOGLETRANSLATE(A5571 , ""auto"", ""ar"")"),"دعونا نأكل")</f>
        <v>دعونا نأكل</v>
      </c>
    </row>
    <row r="5572" ht="15.75" customHeight="1">
      <c r="A5572" s="12" t="s">
        <v>10149</v>
      </c>
      <c r="B5572" s="13" t="s">
        <v>10150</v>
      </c>
      <c r="C5572" s="14" t="s">
        <v>10151</v>
      </c>
      <c r="D5572" s="1" t="str">
        <f>IFERROR(__xludf.DUMMYFUNCTION("GOOGLETRANSLATE(A5572 , ""auto"", ""ar"")"),"دعنى ارى")</f>
        <v>دعنى ارى</v>
      </c>
    </row>
    <row r="5573" ht="15.75" customHeight="1">
      <c r="A5573" s="12" t="s">
        <v>10149</v>
      </c>
      <c r="B5573" s="13" t="s">
        <v>10152</v>
      </c>
      <c r="C5573" s="14" t="s">
        <v>10153</v>
      </c>
      <c r="D5573" s="1" t="str">
        <f>IFERROR(__xludf.DUMMYFUNCTION("GOOGLETRANSLATE(A5573 , ""auto"", ""ar"")"),"دعنى ارى")</f>
        <v>دعنى ارى</v>
      </c>
    </row>
    <row r="5574" ht="15.75" customHeight="1">
      <c r="A5574" s="12" t="s">
        <v>10149</v>
      </c>
      <c r="B5574" s="13" t="s">
        <v>10154</v>
      </c>
      <c r="C5574" s="14" t="s">
        <v>10155</v>
      </c>
      <c r="D5574" s="1" t="str">
        <f>IFERROR(__xludf.DUMMYFUNCTION("GOOGLETRANSLATE(A5574 , ""auto"", ""ar"")"),"دعنى ارى")</f>
        <v>دعنى ارى</v>
      </c>
    </row>
    <row r="5575" ht="15.75" customHeight="1">
      <c r="A5575" s="12" t="s">
        <v>10156</v>
      </c>
      <c r="B5575" s="13" t="s">
        <v>10157</v>
      </c>
      <c r="C5575" s="14" t="s">
        <v>10158</v>
      </c>
      <c r="D5575" s="1" t="str">
        <f>IFERROR(__xludf.DUMMYFUNCTION("GOOGLETRANSLATE(A5575 , ""auto"", ""ar"")"),"ستحتاج إلى شيء قوي لامتصاص كل تلك البيرة")</f>
        <v>ستحتاج إلى شيء قوي لامتصاص كل تلك البيرة</v>
      </c>
    </row>
    <row r="5576" ht="15.75" customHeight="1">
      <c r="A5576" s="12" t="s">
        <v>10159</v>
      </c>
      <c r="B5576" s="13" t="s">
        <v>10160</v>
      </c>
      <c r="C5576" s="14" t="s">
        <v>10161</v>
      </c>
      <c r="D5576" s="1" t="str">
        <f>IFERROR(__xludf.DUMMYFUNCTION("GOOGLETRANSLATE(A5576 , ""auto"", ""ar"")"),"يبدو أنك ستقضي ليلة كبيرة الليلة")</f>
        <v>يبدو أنك ستقضي ليلة كبيرة الليلة</v>
      </c>
    </row>
    <row r="5577" ht="15.75" customHeight="1">
      <c r="A5577" s="12" t="s">
        <v>10162</v>
      </c>
      <c r="B5577" s="13" t="s">
        <v>10163</v>
      </c>
      <c r="C5577" s="14" t="s">
        <v>10164</v>
      </c>
      <c r="D5577" s="1" t="str">
        <f>IFERROR(__xludf.DUMMYFUNCTION("GOOGLETRANSLATE(A5577 , ""auto"", ""ar"")"),"ما زلت مسؤولاً!")</f>
        <v>ما زلت مسؤولاً!</v>
      </c>
    </row>
    <row r="5578" ht="15.75" customHeight="1">
      <c r="A5578" s="12" t="s">
        <v>10165</v>
      </c>
      <c r="B5578" s="13" t="s">
        <v>10166</v>
      </c>
      <c r="C5578" s="14" t="s">
        <v>10167</v>
      </c>
      <c r="D5578" s="1" t="str">
        <f>IFERROR(__xludf.DUMMYFUNCTION("GOOGLETRANSLATE(A5578 , ""auto"", ""ar"")"),"سآخذ سيارة أجرة.")</f>
        <v>سآخذ سيارة أجرة.</v>
      </c>
    </row>
    <row r="5579" ht="15.75" customHeight="1">
      <c r="A5579" s="12" t="s">
        <v>10168</v>
      </c>
      <c r="B5579" s="13" t="s">
        <v>10169</v>
      </c>
      <c r="C5579" s="14" t="s">
        <v>10170</v>
      </c>
      <c r="D5579" s="1" t="str">
        <f>IFERROR(__xludf.DUMMYFUNCTION("GOOGLETRANSLATE(A5579 , ""auto"", ""ar"")"),"ماذا عن طبق برغرنا")</f>
        <v>ماذا عن طبق برغرنا</v>
      </c>
    </row>
    <row r="5580" ht="15.75" customHeight="1">
      <c r="A5580" s="12" t="s">
        <v>10171</v>
      </c>
      <c r="B5580" s="13" t="s">
        <v>10172</v>
      </c>
      <c r="C5580" s="14" t="s">
        <v>10173</v>
      </c>
      <c r="D5580" s="1" t="str">
        <f>IFERROR(__xludf.DUMMYFUNCTION("GOOGLETRANSLATE(A5580 , ""auto"", ""ar"")"),"يبدو جيدا؟")</f>
        <v>يبدو جيدا؟</v>
      </c>
    </row>
    <row r="5581" ht="15.75" customHeight="1">
      <c r="A5581" s="12" t="s">
        <v>10118</v>
      </c>
      <c r="B5581" s="13" t="s">
        <v>10174</v>
      </c>
      <c r="C5581" s="14" t="s">
        <v>10175</v>
      </c>
      <c r="D5581" s="1" t="str">
        <f>IFERROR(__xludf.DUMMYFUNCTION("GOOGLETRANSLATE(A5581 , ""auto"", ""ar"")"),"ممتاز!")</f>
        <v>ممتاز!</v>
      </c>
    </row>
    <row r="5582" ht="15.75" customHeight="1">
      <c r="A5582" s="12" t="s">
        <v>10176</v>
      </c>
      <c r="B5582" s="13" t="s">
        <v>10177</v>
      </c>
      <c r="C5582" s="14" t="s">
        <v>10178</v>
      </c>
      <c r="D5582" s="1" t="str">
        <f>IFERROR(__xludf.DUMMYFUNCTION("GOOGLETRANSLATE(A5582 , ""auto"", ""ar"")"),"مجموعة مختارة من 30 البرغر المصغرة")</f>
        <v>مجموعة مختارة من 30 البرغر المصغرة</v>
      </c>
    </row>
    <row r="5583" ht="15.75" customHeight="1">
      <c r="A5583" s="12" t="s">
        <v>10179</v>
      </c>
      <c r="B5583" s="13" t="s">
        <v>10180</v>
      </c>
      <c r="C5583" s="14" t="s">
        <v>10181</v>
      </c>
      <c r="D5583" s="1" t="str">
        <f>IFERROR(__xludf.DUMMYFUNCTION("GOOGLETRANSLATE(A5583 , ""auto"", ""ar"")"),"كل منها مع مجموعة فريدة من الجبن واللحوم")</f>
        <v>كل منها مع مجموعة فريدة من الجبن واللحوم</v>
      </c>
    </row>
    <row r="5584" ht="15.75" customHeight="1">
      <c r="A5584" s="12" t="s">
        <v>10182</v>
      </c>
      <c r="B5584" s="13" t="s">
        <v>10183</v>
      </c>
      <c r="C5584" s="14" t="s">
        <v>10184</v>
      </c>
      <c r="D5584" s="1" t="str">
        <f>IFERROR(__xludf.DUMMYFUNCTION("GOOGLETRANSLATE(A5584 , ""auto"", ""ar"")"),"لكني لا أحب البصل")</f>
        <v>لكني لا أحب البصل</v>
      </c>
    </row>
    <row r="5585" ht="15.75" customHeight="1">
      <c r="A5585" s="12" t="s">
        <v>10182</v>
      </c>
      <c r="B5585" s="13" t="s">
        <v>10185</v>
      </c>
      <c r="C5585" s="14" t="s">
        <v>10186</v>
      </c>
      <c r="D5585" s="1" t="str">
        <f>IFERROR(__xludf.DUMMYFUNCTION("GOOGLETRANSLATE(A5585 , ""auto"", ""ar"")"),"لكني لا أحب البصل")</f>
        <v>لكني لا أحب البصل</v>
      </c>
    </row>
    <row r="5586" ht="15.75" customHeight="1">
      <c r="A5586" s="12" t="s">
        <v>10187</v>
      </c>
      <c r="B5586" s="13" t="s">
        <v>10188</v>
      </c>
      <c r="C5586" s="14" t="s">
        <v>10189</v>
      </c>
      <c r="D5586" s="1" t="str">
        <f>IFERROR(__xludf.DUMMYFUNCTION("GOOGLETRANSLATE(A5586 , ""auto"", ""ar"")"),"هل لديك برغر بدون بصل؟")</f>
        <v>هل لديك برغر بدون بصل؟</v>
      </c>
    </row>
    <row r="5587" ht="15.75" customHeight="1">
      <c r="A5587" s="12" t="s">
        <v>10190</v>
      </c>
      <c r="B5587" s="13" t="s">
        <v>10191</v>
      </c>
      <c r="C5587" s="14" t="s">
        <v>10192</v>
      </c>
      <c r="D5587" s="1" t="str">
        <f>IFERROR(__xludf.DUMMYFUNCTION("GOOGLETRANSLATE(A5587 , ""auto"", ""ar"")"),"لا أريد أن أكون صعبًا")</f>
        <v>لا أريد أن أكون صعبًا</v>
      </c>
    </row>
    <row r="5588" ht="15.75" customHeight="1">
      <c r="A5588" s="12" t="s">
        <v>10193</v>
      </c>
      <c r="B5588" s="13" t="s">
        <v>10194</v>
      </c>
      <c r="C5588" s="14" t="s">
        <v>10195</v>
      </c>
      <c r="D5588" s="1" t="str">
        <f>IFERROR(__xludf.DUMMYFUNCTION("GOOGLETRANSLATE(A5588 , ""auto"", ""ar"")"),"يمكننا أن نفعل كل البرغر بدون بصل إذا كنت تفضل")</f>
        <v>يمكننا أن نفعل كل البرغر بدون بصل إذا كنت تفضل</v>
      </c>
    </row>
    <row r="5589" ht="15.75" customHeight="1">
      <c r="A5589" s="12" t="s">
        <v>10196</v>
      </c>
      <c r="B5589" s="13" t="s">
        <v>10197</v>
      </c>
      <c r="C5589" s="14" t="s">
        <v>10198</v>
      </c>
      <c r="D5589" s="1" t="str">
        <f>IFERROR(__xludf.DUMMYFUNCTION("GOOGLETRANSLATE(A5589 , ""auto"", ""ar"")"),"30 البرغر ، عقد البصل.")</f>
        <v>30 البرغر ، عقد البصل.</v>
      </c>
    </row>
    <row r="5590" ht="15.75" customHeight="1">
      <c r="A5590" s="12" t="s">
        <v>10199</v>
      </c>
      <c r="B5590" s="13" t="s">
        <v>10200</v>
      </c>
      <c r="C5590" s="14" t="s">
        <v>10201</v>
      </c>
      <c r="D5590" s="1" t="str">
        <f>IFERROR(__xludf.DUMMYFUNCTION("GOOGLETRANSLATE(A5590 , ""auto"", ""ar"")"),"سأضع الطلب من خلال")</f>
        <v>سأضع الطلب من خلال</v>
      </c>
    </row>
    <row r="5591" ht="15.75" customHeight="1">
      <c r="A5591" s="12" t="s">
        <v>10202</v>
      </c>
      <c r="B5591" s="13" t="s">
        <v>10203</v>
      </c>
      <c r="C5591" s="14" t="s">
        <v>10204</v>
      </c>
      <c r="D5591" s="1" t="str">
        <f>IFERROR(__xludf.DUMMYFUNCTION("GOOGLETRANSLATE(A5591 , ""auto"", ""ar"")"),"كما نقول ، العميل دائمًا على حق.")</f>
        <v>كما نقول ، العميل دائمًا على حق.</v>
      </c>
    </row>
    <row r="5592" ht="15.75" customHeight="1">
      <c r="A5592" s="12" t="s">
        <v>10202</v>
      </c>
      <c r="B5592" s="13" t="s">
        <v>10205</v>
      </c>
      <c r="C5592" s="14" t="s">
        <v>10206</v>
      </c>
      <c r="D5592" s="1" t="str">
        <f>IFERROR(__xludf.DUMMYFUNCTION("GOOGLETRANSLATE(A5592 , ""auto"", ""ar"")"),"كما نقول ، العميل دائمًا على حق.")</f>
        <v>كما نقول ، العميل دائمًا على حق.</v>
      </c>
    </row>
    <row r="5593" ht="15.75" customHeight="1">
      <c r="A5593" s="12" t="s">
        <v>10207</v>
      </c>
      <c r="B5593" s="13" t="s">
        <v>10208</v>
      </c>
      <c r="C5593" s="14" t="s">
        <v>10209</v>
      </c>
      <c r="D5593" s="1" t="str">
        <f>IFERROR(__xludf.DUMMYFUNCTION("GOOGLETRANSLATE(A5593 , ""auto"", ""ar"")"),"ضع الكثير من الجبن ، خاصة!")</f>
        <v>ضع الكثير من الجبن ، خاصة!</v>
      </c>
    </row>
    <row r="5594" ht="15.75" customHeight="1">
      <c r="A5594" s="12" t="s">
        <v>10210</v>
      </c>
      <c r="B5594" s="13" t="s">
        <v>10211</v>
      </c>
      <c r="C5594" s="14" t="s">
        <v>10212</v>
      </c>
      <c r="D5594" s="1" t="str">
        <f>IFERROR(__xludf.DUMMYFUNCTION("GOOGLETRANSLATE(A5594 , ""auto"", ""ar"")"),"سأحتاج إلى الكثير من الماء لتمرير كل تلك البطاطس")</f>
        <v>سأحتاج إلى الكثير من الماء لتمرير كل تلك البطاطس</v>
      </c>
    </row>
    <row r="5595" ht="15.75" customHeight="1">
      <c r="A5595" s="12" t="s">
        <v>10213</v>
      </c>
      <c r="B5595" s="13" t="s">
        <v>10214</v>
      </c>
      <c r="C5595" s="14" t="s">
        <v>10215</v>
      </c>
      <c r="D5595" s="1" t="str">
        <f>IFERROR(__xludf.DUMMYFUNCTION("GOOGLETRANSLATE(A5595 , ""auto"", ""ar"")"),"أحضر لي واحدة أخرى قريبًا.")</f>
        <v>أحضر لي واحدة أخرى قريبًا.</v>
      </c>
    </row>
    <row r="5596" ht="15.75" customHeight="1">
      <c r="A5596" s="12" t="s">
        <v>10216</v>
      </c>
      <c r="B5596" s="13" t="s">
        <v>10217</v>
      </c>
      <c r="C5596" s="14" t="s">
        <v>10218</v>
      </c>
      <c r="D5596" s="1" t="str">
        <f>IFERROR(__xludf.DUMMYFUNCTION("GOOGLETRANSLATE(A5596 , ""auto"", ""ar"")"),"صباح الخير يا دكتور")</f>
        <v>صباح الخير يا دكتور</v>
      </c>
    </row>
    <row r="5597" ht="15.75" customHeight="1">
      <c r="A5597" s="12" t="s">
        <v>10219</v>
      </c>
      <c r="B5597" s="13" t="s">
        <v>10220</v>
      </c>
      <c r="C5597" s="14" t="s">
        <v>10221</v>
      </c>
      <c r="D5597" s="1" t="str">
        <f>IFERROR(__xludf.DUMMYFUNCTION("GOOGLETRANSLATE(A5597 , ""auto"", ""ar"")"),"الآن أخبرني.")</f>
        <v>الآن أخبرني.</v>
      </c>
    </row>
    <row r="5598" ht="15.75" customHeight="1">
      <c r="A5598" s="12" t="s">
        <v>10222</v>
      </c>
      <c r="B5598" s="13" t="s">
        <v>10223</v>
      </c>
      <c r="C5598" s="14" t="s">
        <v>10224</v>
      </c>
      <c r="D5598" s="1" t="str">
        <f>IFERROR(__xludf.DUMMYFUNCTION("GOOGLETRANSLATE(A5598 , ""auto"", ""ar"")"),"ماذا كان يجري؟")</f>
        <v>ماذا كان يجري؟</v>
      </c>
    </row>
    <row r="5599" ht="15.75" customHeight="1">
      <c r="A5599" s="12" t="s">
        <v>10225</v>
      </c>
      <c r="B5599" s="13" t="s">
        <v>10226</v>
      </c>
      <c r="C5599" s="14" t="s">
        <v>10227</v>
      </c>
      <c r="D5599" s="1" t="str">
        <f>IFERROR(__xludf.DUMMYFUNCTION("GOOGLETRANSLATE(A5599 , ""auto"", ""ar"")"),"أحتاج لأن أتحدث إليك")</f>
        <v>أحتاج لأن أتحدث إليك</v>
      </c>
    </row>
    <row r="5600" ht="15.75" customHeight="1">
      <c r="A5600" s="12" t="s">
        <v>10228</v>
      </c>
      <c r="B5600" s="13" t="s">
        <v>10229</v>
      </c>
      <c r="C5600" s="14" t="s">
        <v>10230</v>
      </c>
      <c r="D5600" s="1" t="str">
        <f>IFERROR(__xludf.DUMMYFUNCTION("GOOGLETRANSLATE(A5600 , ""auto"", ""ar"")"),"هل يمكنني الجلوس في هذا الكرسي؟")</f>
        <v>هل يمكنني الجلوس في هذا الكرسي؟</v>
      </c>
    </row>
    <row r="5601" ht="15.75" customHeight="1">
      <c r="A5601" s="12" t="s">
        <v>10231</v>
      </c>
      <c r="B5601" s="13" t="s">
        <v>10232</v>
      </c>
      <c r="C5601" s="14" t="s">
        <v>10233</v>
      </c>
      <c r="D5601" s="1" t="str">
        <f>IFERROR(__xludf.DUMMYFUNCTION("GOOGLETRANSLATE(A5601 , ""auto"", ""ar"")"),"لا ، هذا لي.")</f>
        <v>لا ، هذا لي.</v>
      </c>
    </row>
    <row r="5602" ht="15.75" customHeight="1">
      <c r="A5602" s="12" t="s">
        <v>10234</v>
      </c>
      <c r="B5602" s="13" t="s">
        <v>10235</v>
      </c>
      <c r="C5602" s="14" t="s">
        <v>10236</v>
      </c>
      <c r="D5602" s="1" t="str">
        <f>IFERROR(__xludf.DUMMYFUNCTION("GOOGLETRANSLATE(A5602 , ""auto"", ""ar"")"),"ولكن يمكنك الجلوس في أي مكان آخر.")</f>
        <v>ولكن يمكنك الجلوس في أي مكان آخر.</v>
      </c>
    </row>
    <row r="5603" ht="15.75" customHeight="1">
      <c r="A5603" s="12" t="s">
        <v>10237</v>
      </c>
      <c r="B5603" s="13" t="s">
        <v>10238</v>
      </c>
      <c r="C5603" s="14" t="s">
        <v>10239</v>
      </c>
      <c r="D5603" s="1" t="str">
        <f>IFERROR(__xludf.DUMMYFUNCTION("GOOGLETRANSLATE(A5603 , ""auto"", ""ar"")"),"أو إذا كنت تفضل ذلك ، يمكنك الاستلقاء هناك")</f>
        <v>أو إذا كنت تفضل ذلك ، يمكنك الاستلقاء هناك</v>
      </c>
    </row>
    <row r="5604" ht="15.75" customHeight="1">
      <c r="A5604" s="12" t="s">
        <v>10240</v>
      </c>
      <c r="B5604" s="13" t="s">
        <v>10241</v>
      </c>
      <c r="C5604" s="14" t="s">
        <v>10242</v>
      </c>
      <c r="D5604" s="1" t="str">
        <f>IFERROR(__xludf.DUMMYFUNCTION("GOOGLETRANSLATE(A5604 , ""auto"", ""ar"")"),"بعض الناس يفضلون ذلك.")</f>
        <v>بعض الناس يفضلون ذلك.</v>
      </c>
    </row>
    <row r="5605" ht="15.75" customHeight="1">
      <c r="A5605" s="12" t="s">
        <v>10243</v>
      </c>
      <c r="B5605" s="13" t="s">
        <v>10244</v>
      </c>
      <c r="C5605" s="14" t="s">
        <v>10245</v>
      </c>
      <c r="D5605" s="1" t="str">
        <f>IFERROR(__xludf.DUMMYFUNCTION("GOOGLETRANSLATE(A5605 , ""auto"", ""ar"")"),"هل يمكنني الاستلقاء على هذه الأريكة؟")</f>
        <v>هل يمكنني الاستلقاء على هذه الأريكة؟</v>
      </c>
    </row>
    <row r="5606" ht="15.75" customHeight="1">
      <c r="A5606" s="12" t="s">
        <v>10243</v>
      </c>
      <c r="B5606" s="13" t="s">
        <v>10246</v>
      </c>
      <c r="C5606" s="14" t="s">
        <v>10247</v>
      </c>
      <c r="D5606" s="1" t="str">
        <f>IFERROR(__xludf.DUMMYFUNCTION("GOOGLETRANSLATE(A5606 , ""auto"", ""ar"")"),"هل يمكنني الاستلقاء على هذه الأريكة؟")</f>
        <v>هل يمكنني الاستلقاء على هذه الأريكة؟</v>
      </c>
    </row>
    <row r="5607" ht="15.75" customHeight="1">
      <c r="A5607" s="12" t="s">
        <v>10248</v>
      </c>
      <c r="B5607" s="13" t="s">
        <v>10249</v>
      </c>
      <c r="C5607" s="14" t="s">
        <v>10250</v>
      </c>
      <c r="D5607" s="1" t="str">
        <f>IFERROR(__xludf.DUMMYFUNCTION("GOOGLETRANSLATE(A5607 , ""auto"", ""ar"")"),"لا أريد أن أزعجك")</f>
        <v>لا أريد أن أزعجك</v>
      </c>
    </row>
    <row r="5608" ht="15.75" customHeight="1">
      <c r="A5608" s="12" t="s">
        <v>10251</v>
      </c>
      <c r="B5608" s="13" t="s">
        <v>10252</v>
      </c>
      <c r="C5608" s="14" t="s">
        <v>10253</v>
      </c>
      <c r="D5608" s="1" t="str">
        <f>IFERROR(__xludf.DUMMYFUNCTION("GOOGLETRANSLATE(A5608 , ""auto"", ""ar"")"),"يبدو نظيفًا وجديدًا")</f>
        <v>يبدو نظيفًا وجديدًا</v>
      </c>
    </row>
    <row r="5609" ht="15.75" customHeight="1">
      <c r="A5609" s="12" t="s">
        <v>10254</v>
      </c>
      <c r="B5609" s="13" t="s">
        <v>10255</v>
      </c>
      <c r="C5609" s="14" t="s">
        <v>10256</v>
      </c>
      <c r="D5609" s="1" t="str">
        <f>IFERROR(__xludf.DUMMYFUNCTION("GOOGLETRANSLATE(A5609 , ""auto"", ""ar"")"),"أنا قلق نوعًا ما بشأن الجلوس عليه")</f>
        <v>أنا قلق نوعًا ما بشأن الجلوس عليه</v>
      </c>
    </row>
    <row r="5610" ht="15.75" customHeight="1">
      <c r="A5610" s="12" t="s">
        <v>10257</v>
      </c>
      <c r="B5610" s="13" t="s">
        <v>10258</v>
      </c>
      <c r="C5610" s="14" t="s">
        <v>10259</v>
      </c>
      <c r="D5610" s="1" t="str">
        <f>IFERROR(__xludf.DUMMYFUNCTION("GOOGLETRANSLATE(A5610 , ""auto"", ""ar"")"),"لا أريد تدميره")</f>
        <v>لا أريد تدميره</v>
      </c>
    </row>
    <row r="5611" ht="15.75" customHeight="1">
      <c r="A5611" s="12" t="s">
        <v>10260</v>
      </c>
      <c r="B5611" s="13" t="s">
        <v>10261</v>
      </c>
      <c r="C5611" s="14" t="s">
        <v>10262</v>
      </c>
      <c r="D5611" s="1" t="str">
        <f>IFERROR(__xludf.DUMMYFUNCTION("GOOGLETRANSLATE(A5611 , ""auto"", ""ar"")"),"أعتقد أنه سيجعلني أشعر بتحسن في الوقوف")</f>
        <v>أعتقد أنه سيجعلني أشعر بتحسن في الوقوف</v>
      </c>
    </row>
    <row r="5612" ht="15.75" customHeight="1">
      <c r="A5612" s="12" t="s">
        <v>10263</v>
      </c>
      <c r="B5612" s="13" t="s">
        <v>10264</v>
      </c>
      <c r="C5612" s="14" t="s">
        <v>10265</v>
      </c>
      <c r="D5612" s="1" t="str">
        <f>IFERROR(__xludf.DUMMYFUNCTION("GOOGLETRANSLATE(A5612 , ""auto"", ""ar"")"),"هل تريد مني خلع حذائي؟")</f>
        <v>هل تريد مني خلع حذائي؟</v>
      </c>
    </row>
    <row r="5613" ht="15.75" customHeight="1">
      <c r="A5613" s="12" t="s">
        <v>10266</v>
      </c>
      <c r="B5613" s="13" t="s">
        <v>10267</v>
      </c>
      <c r="C5613" s="14" t="s">
        <v>10268</v>
      </c>
      <c r="D5613" s="1" t="str">
        <f>IFERROR(__xludf.DUMMYFUNCTION("GOOGLETRANSLATE(A5613 , ""auto"", ""ar"")"),"لاحظ مدى سوء شعور قدمي")</f>
        <v>لاحظ مدى سوء شعور قدمي</v>
      </c>
    </row>
    <row r="5614" ht="15.75" customHeight="1">
      <c r="A5614" s="12" t="s">
        <v>10269</v>
      </c>
      <c r="B5614" s="13" t="s">
        <v>10270</v>
      </c>
      <c r="C5614" s="14" t="s">
        <v>10271</v>
      </c>
      <c r="D5614" s="1" t="str">
        <f>IFERROR(__xludf.DUMMYFUNCTION("GOOGLETRANSLATE(A5614 , ""auto"", ""ar"")"),"لا أعرف الكثير من الأفضل")</f>
        <v>لا أعرف الكثير من الأفضل</v>
      </c>
    </row>
    <row r="5615" ht="15.75" customHeight="1">
      <c r="A5615" s="12" t="s">
        <v>10272</v>
      </c>
      <c r="B5615" s="13" t="s">
        <v>10273</v>
      </c>
      <c r="C5615" s="14" t="s">
        <v>10274</v>
      </c>
      <c r="D5615" s="1" t="str">
        <f>IFERROR(__xludf.DUMMYFUNCTION("GOOGLETRANSLATE(A5615 , ""auto"", ""ar"")"),"تهدئة من فضلك.")</f>
        <v>تهدئة من فضلك.</v>
      </c>
    </row>
    <row r="5616" ht="15.75" customHeight="1">
      <c r="A5616" s="12" t="s">
        <v>10275</v>
      </c>
      <c r="B5616" s="13" t="s">
        <v>10276</v>
      </c>
      <c r="C5616" s="14" t="s">
        <v>10277</v>
      </c>
      <c r="D5616" s="1" t="str">
        <f>IFERROR(__xludf.DUMMYFUNCTION("GOOGLETRANSLATE(A5616 , ""auto"", ""ar"")"),"من فضلك لا تقلق")</f>
        <v>من فضلك لا تقلق</v>
      </c>
    </row>
    <row r="5617" ht="15.75" customHeight="1">
      <c r="A5617" s="12" t="s">
        <v>10278</v>
      </c>
      <c r="B5617" s="13" t="s">
        <v>10279</v>
      </c>
      <c r="C5617" s="14" t="s">
        <v>10280</v>
      </c>
      <c r="D5617" s="1" t="str">
        <f>IFERROR(__xludf.DUMMYFUNCTION("GOOGLETRANSLATE(A5617 , ""auto"", ""ar"")"),"ألست أنت ساخن؟")</f>
        <v>ألست أنت ساخن؟</v>
      </c>
    </row>
    <row r="5618" ht="15.75" customHeight="1">
      <c r="A5618" s="12" t="s">
        <v>10281</v>
      </c>
      <c r="B5618" s="13" t="s">
        <v>10282</v>
      </c>
      <c r="C5618" s="14" t="s">
        <v>10283</v>
      </c>
      <c r="D5618" s="1" t="str">
        <f>IFERROR(__xludf.DUMMYFUNCTION("GOOGLETRANSLATE(A5618 , ""auto"", ""ar"")"),"من فضلك فقط اجعل نفسك في المنزل")</f>
        <v>من فضلك فقط اجعل نفسك في المنزل</v>
      </c>
    </row>
    <row r="5619" ht="15.75" customHeight="1">
      <c r="A5619" s="12" t="s">
        <v>10284</v>
      </c>
      <c r="B5619" s="13" t="s">
        <v>10285</v>
      </c>
      <c r="C5619" s="14" t="s">
        <v>10286</v>
      </c>
      <c r="D5619" s="1" t="str">
        <f>IFERROR(__xludf.DUMMYFUNCTION("GOOGLETRANSLATE(A5619 , ""auto"", ""ar"")"),"ولكن ليست هناك حاجة للذعر")</f>
        <v>ولكن ليست هناك حاجة للذعر</v>
      </c>
    </row>
    <row r="5620" ht="15.75" customHeight="1">
      <c r="A5620" s="12" t="s">
        <v>10287</v>
      </c>
      <c r="B5620" s="13" t="s">
        <v>10288</v>
      </c>
      <c r="C5620" s="14" t="s">
        <v>10289</v>
      </c>
      <c r="D5620" s="1" t="str">
        <f>IFERROR(__xludf.DUMMYFUNCTION("GOOGLETRANSLATE(A5620 , ""auto"", ""ar"")"),"لذا ، إذا كنت تشعر بالراحة ، فما الذي يحدث؟")</f>
        <v>لذا ، إذا كنت تشعر بالراحة ، فما الذي يحدث؟</v>
      </c>
    </row>
    <row r="5621" ht="15.75" customHeight="1">
      <c r="A5621" s="12" t="s">
        <v>9652</v>
      </c>
      <c r="B5621" s="13" t="s">
        <v>10290</v>
      </c>
      <c r="C5621" s="14" t="s">
        <v>9654</v>
      </c>
      <c r="D5621" s="1" t="str">
        <f>IFERROR(__xludf.DUMMYFUNCTION("GOOGLETRANSLATE(A5621 , ""auto"", ""ar"")"),"أعتقد أن جيراني يعتقدون أنني أريد أن أؤذيهم")</f>
        <v>أعتقد أن جيراني يعتقدون أنني أريد أن أؤذيهم</v>
      </c>
    </row>
    <row r="5622" ht="15.75" customHeight="1">
      <c r="A5622" s="12" t="s">
        <v>9655</v>
      </c>
      <c r="B5622" s="13" t="s">
        <v>10291</v>
      </c>
      <c r="C5622" s="14" t="s">
        <v>9657</v>
      </c>
      <c r="D5622" s="1" t="str">
        <f>IFERROR(__xludf.DUMMYFUNCTION("GOOGLETRANSLATE(A5622 , ""auto"", ""ar"")"),"لذلك أخشى أن أبقى في المنزل ومحاولة تقديم أقل ضوضاء")</f>
        <v>لذلك أخشى أن أبقى في المنزل ومحاولة تقديم أقل ضوضاء</v>
      </c>
    </row>
    <row r="5623" ht="15.75" customHeight="1">
      <c r="A5623" s="12" t="s">
        <v>9658</v>
      </c>
      <c r="B5623" s="13" t="s">
        <v>10292</v>
      </c>
      <c r="C5623" s="14" t="s">
        <v>9660</v>
      </c>
      <c r="D5623" s="1" t="str">
        <f>IFERROR(__xludf.DUMMYFUNCTION("GOOGLETRANSLATE(A5623 , ""auto"", ""ar"")"),"لكنها متعبة")</f>
        <v>لكنها متعبة</v>
      </c>
    </row>
    <row r="5624" ht="15.75" customHeight="1">
      <c r="A5624" s="12" t="s">
        <v>9661</v>
      </c>
      <c r="B5624" s="13" t="s">
        <v>10293</v>
      </c>
      <c r="C5624" s="14" t="s">
        <v>9663</v>
      </c>
      <c r="D5624" s="1" t="str">
        <f>IFERROR(__xludf.DUMMYFUNCTION("GOOGLETRANSLATE(A5624 , ""auto"", ""ar"")"),"أنا لا أنتمي إلى أي مكان ، كما تعلم.")</f>
        <v>أنا لا أنتمي إلى أي مكان ، كما تعلم.</v>
      </c>
    </row>
    <row r="5625" ht="15.75" customHeight="1">
      <c r="A5625" s="12" t="s">
        <v>9664</v>
      </c>
      <c r="B5625" s="13" t="s">
        <v>10294</v>
      </c>
      <c r="C5625" s="14" t="s">
        <v>9666</v>
      </c>
      <c r="D5625" s="1" t="str">
        <f>IFERROR(__xludf.DUMMYFUNCTION("GOOGLETRANSLATE(A5625 , ""auto"", ""ar"")"),"أنا متأكد من أن هناك مكانًا مناسبًا له.")</f>
        <v>أنا متأكد من أن هناك مكانًا مناسبًا له.</v>
      </c>
    </row>
    <row r="5626" ht="15.75" customHeight="1">
      <c r="A5626" s="12" t="s">
        <v>9667</v>
      </c>
      <c r="B5626" s="13" t="s">
        <v>10295</v>
      </c>
      <c r="C5626" s="14" t="s">
        <v>10296</v>
      </c>
      <c r="D5626" s="1" t="str">
        <f>IFERROR(__xludf.DUMMYFUNCTION("GOOGLETRANSLATE(A5626 , ""auto"", ""ar"")"),"هل شعرت دائما بهذا؟")</f>
        <v>هل شعرت دائما بهذا؟</v>
      </c>
    </row>
    <row r="5627" ht="15.75" customHeight="1">
      <c r="A5627" s="12" t="s">
        <v>9670</v>
      </c>
      <c r="B5627" s="13" t="s">
        <v>10297</v>
      </c>
      <c r="C5627" s="14" t="s">
        <v>9672</v>
      </c>
      <c r="D5627" s="1" t="str">
        <f>IFERROR(__xludf.DUMMYFUNCTION("GOOGLETRANSLATE(A5627 , ""auto"", ""ar"")"),"لكنني أعتقد أنه يزداد صعوبة بالنسبة لي في الوقت المناسب")</f>
        <v>لكنني أعتقد أنه يزداد صعوبة بالنسبة لي في الوقت المناسب</v>
      </c>
    </row>
    <row r="5628" ht="15.75" customHeight="1">
      <c r="A5628" s="12" t="s">
        <v>9673</v>
      </c>
      <c r="B5628" s="13" t="s">
        <v>10298</v>
      </c>
      <c r="C5628" s="14" t="s">
        <v>9675</v>
      </c>
      <c r="D5628" s="1" t="str">
        <f>IFERROR(__xludf.DUMMYFUNCTION("GOOGLETRANSLATE(A5628 , ""auto"", ""ar"")"),"بالإضافة إلى ذلك ، جيراني الجدد غريبون.")</f>
        <v>بالإضافة إلى ذلك ، جيراني الجدد غريبون.</v>
      </c>
    </row>
    <row r="5629" ht="15.75" customHeight="1">
      <c r="A5629" s="12" t="s">
        <v>9676</v>
      </c>
      <c r="B5629" s="13" t="s">
        <v>10299</v>
      </c>
      <c r="C5629" s="14" t="s">
        <v>9678</v>
      </c>
      <c r="D5629" s="1" t="str">
        <f>IFERROR(__xludf.DUMMYFUNCTION("GOOGLETRANSLATE(A5629 , ""auto"", ""ar"")"),"ينظرون إلي دائمًا بنظرة غريبة")</f>
        <v>ينظرون إلي دائمًا بنظرة غريبة</v>
      </c>
    </row>
    <row r="5630" ht="15.75" customHeight="1">
      <c r="A5630" s="12" t="s">
        <v>9679</v>
      </c>
      <c r="B5630" s="13" t="s">
        <v>10300</v>
      </c>
      <c r="C5630" s="14" t="s">
        <v>9681</v>
      </c>
      <c r="D5630" s="1" t="str">
        <f>IFERROR(__xludf.DUMMYFUNCTION("GOOGLETRANSLATE(A5630 , ""auto"", ""ar"")"),"أعتقد أنهم يستمعون إلى ما أفعله من خلال الجدران")</f>
        <v>أعتقد أنهم يستمعون إلى ما أفعله من خلال الجدران</v>
      </c>
    </row>
    <row r="5631" ht="15.75" customHeight="1">
      <c r="A5631" s="12" t="s">
        <v>9682</v>
      </c>
      <c r="B5631" s="13" t="s">
        <v>10301</v>
      </c>
      <c r="C5631" s="14" t="s">
        <v>10302</v>
      </c>
      <c r="D5631" s="1" t="str">
        <f>IFERROR(__xludf.DUMMYFUNCTION("GOOGLETRANSLATE(A5631 , ""auto"", ""ar"")"),"هل تستمع إليهم عبر الجدران أيضًا؟")</f>
        <v>هل تستمع إليهم عبر الجدران أيضًا؟</v>
      </c>
    </row>
    <row r="5632" ht="15.75" customHeight="1">
      <c r="A5632" s="12" t="s">
        <v>10303</v>
      </c>
      <c r="B5632" s="13" t="s">
        <v>10304</v>
      </c>
      <c r="C5632" s="14" t="s">
        <v>10305</v>
      </c>
      <c r="D5632" s="1" t="str">
        <f>IFERROR(__xludf.DUMMYFUNCTION("GOOGLETRANSLATE(A5632 , ""auto"", ""ar"")"),"أوه ، لا ، سأكون خائفًا جدًا إذا اكتشفوا أنني كنت أستمع")</f>
        <v>أوه ، لا ، سأكون خائفًا جدًا إذا اكتشفوا أنني كنت أستمع</v>
      </c>
    </row>
    <row r="5633" ht="15.75" customHeight="1">
      <c r="A5633" s="12" t="s">
        <v>10306</v>
      </c>
      <c r="B5633" s="13" t="s">
        <v>10307</v>
      </c>
      <c r="C5633" s="14" t="s">
        <v>10308</v>
      </c>
      <c r="D5633" s="1" t="str">
        <f>IFERROR(__xludf.DUMMYFUNCTION("GOOGLETRANSLATE(A5633 , ""auto"", ""ar"")"),"لكني ما زلت أسمعهم")</f>
        <v>لكني ما زلت أسمعهم</v>
      </c>
    </row>
    <row r="5634" ht="15.75" customHeight="1">
      <c r="A5634" s="12" t="s">
        <v>10309</v>
      </c>
      <c r="B5634" s="13" t="s">
        <v>10310</v>
      </c>
      <c r="C5634" s="14" t="s">
        <v>10311</v>
      </c>
      <c r="D5634" s="1" t="str">
        <f>IFERROR(__xludf.DUMMYFUNCTION("GOOGLETRANSLATE(A5634 , ""auto"", ""ar"")"),"الجدران ليست سميكة")</f>
        <v>الجدران ليست سميكة</v>
      </c>
    </row>
    <row r="5635" ht="15.75" customHeight="1">
      <c r="A5635" s="12" t="s">
        <v>10312</v>
      </c>
      <c r="B5635" s="13" t="s">
        <v>10313</v>
      </c>
      <c r="C5635" s="14" t="s">
        <v>10314</v>
      </c>
      <c r="D5635" s="1" t="str">
        <f>IFERROR(__xludf.DUMMYFUNCTION("GOOGLETRANSLATE(A5635 , ""auto"", ""ar"")"),"لهذا السبب أشعر أنني أشاهد")</f>
        <v>لهذا السبب أشعر أنني أشاهد</v>
      </c>
    </row>
    <row r="5636" ht="15.75" customHeight="1">
      <c r="A5636" s="12" t="s">
        <v>10315</v>
      </c>
      <c r="B5636" s="13" t="s">
        <v>10316</v>
      </c>
      <c r="C5636" s="14" t="s">
        <v>10317</v>
      </c>
      <c r="D5636" s="1" t="str">
        <f>IFERROR(__xludf.DUMMYFUNCTION("GOOGLETRANSLATE(A5636 , ""auto"", ""ar"")"),"لكن ليس لدي المال للانتقال إلى المنزل")</f>
        <v>لكن ليس لدي المال للانتقال إلى المنزل</v>
      </c>
    </row>
    <row r="5637" ht="15.75" customHeight="1">
      <c r="A5637" s="12" t="s">
        <v>10318</v>
      </c>
      <c r="B5637" s="13" t="s">
        <v>10319</v>
      </c>
      <c r="C5637" s="14" t="s">
        <v>10320</v>
      </c>
      <c r="D5637" s="1" t="str">
        <f>IFERROR(__xludf.DUMMYFUNCTION("GOOGLETRANSLATE(A5637 , ""auto"", ""ar"")"),"أوه ، هل تعيش في شقة في الوقت الحالي؟")</f>
        <v>أوه ، هل تعيش في شقة في الوقت الحالي؟</v>
      </c>
    </row>
    <row r="5638" ht="15.75" customHeight="1">
      <c r="A5638" s="12" t="s">
        <v>10321</v>
      </c>
      <c r="B5638" s="13" t="s">
        <v>10322</v>
      </c>
      <c r="C5638" s="14" t="s">
        <v>10323</v>
      </c>
      <c r="D5638" s="1" t="str">
        <f>IFERROR(__xludf.DUMMYFUNCTION("GOOGLETRANSLATE(A5638 , ""auto"", ""ar"")"),"نعم ، فعلت ، ألم أخبرك في وقت سابق؟")</f>
        <v>نعم ، فعلت ، ألم أخبرك في وقت سابق؟</v>
      </c>
    </row>
    <row r="5639" ht="15.75" customHeight="1">
      <c r="A5639" s="12" t="s">
        <v>10324</v>
      </c>
      <c r="B5639" s="13" t="s">
        <v>10325</v>
      </c>
      <c r="C5639" s="14" t="s">
        <v>10326</v>
      </c>
      <c r="D5639" s="1" t="str">
        <f>IFERROR(__xludf.DUMMYFUNCTION("GOOGLETRANSLATE(A5639 , ""auto"", ""ar"")"),"أنا آسف.")</f>
        <v>أنا آسف.</v>
      </c>
    </row>
    <row r="5640" ht="15.75" customHeight="1">
      <c r="A5640" s="12" t="s">
        <v>10327</v>
      </c>
      <c r="B5640" s="13" t="s">
        <v>10328</v>
      </c>
      <c r="C5640" s="14" t="s">
        <v>10329</v>
      </c>
      <c r="D5640" s="1" t="str">
        <f>IFERROR(__xludf.DUMMYFUNCTION("GOOGLETRANSLATE(A5640 , ""auto"", ""ar"")"),"ربما فعلت")</f>
        <v>ربما فعلت</v>
      </c>
    </row>
    <row r="5641" ht="15.75" customHeight="1">
      <c r="A5641" s="12" t="s">
        <v>10330</v>
      </c>
      <c r="B5641" s="13" t="s">
        <v>10331</v>
      </c>
      <c r="C5641" s="14" t="s">
        <v>10332</v>
      </c>
      <c r="D5641" s="1" t="str">
        <f>IFERROR(__xludf.DUMMYFUNCTION("GOOGLETRANSLATE(A5641 , ""auto"", ""ar"")"),"لا شكر على واجب.")</f>
        <v>لا شكر على واجب.</v>
      </c>
    </row>
    <row r="5642" ht="15.75" customHeight="1">
      <c r="A5642" s="12" t="s">
        <v>10333</v>
      </c>
      <c r="B5642" s="13" t="s">
        <v>10334</v>
      </c>
      <c r="C5642" s="14" t="s">
        <v>10335</v>
      </c>
      <c r="D5642" s="1" t="str">
        <f>IFERROR(__xludf.DUMMYFUNCTION("GOOGLETRANSLATE(A5642 , ""auto"", ""ar"")"),"لكنك لم تواجه مشاكل مع الجيران القدامى بعد ذلك؟")</f>
        <v>لكنك لم تواجه مشاكل مع الجيران القدامى بعد ذلك؟</v>
      </c>
    </row>
    <row r="5643" ht="15.75" customHeight="1">
      <c r="A5643" s="12" t="s">
        <v>10336</v>
      </c>
      <c r="B5643" s="13" t="s">
        <v>10337</v>
      </c>
      <c r="C5643" s="14" t="s">
        <v>10338</v>
      </c>
      <c r="D5643" s="1" t="str">
        <f>IFERROR(__xludf.DUMMYFUNCTION("GOOGLETRANSLATE(A5643 , ""auto"", ""ar"")"),"كانت شخصًا عجوزًا لم يسمع أي شيء ولا يصدر أي ضجيج")</f>
        <v>كانت شخصًا عجوزًا لم يسمع أي شيء ولا يصدر أي ضجيج</v>
      </c>
    </row>
    <row r="5644" ht="15.75" customHeight="1">
      <c r="A5644" s="12" t="s">
        <v>10339</v>
      </c>
      <c r="B5644" s="13" t="s">
        <v>10340</v>
      </c>
      <c r="C5644" s="14" t="s">
        <v>10341</v>
      </c>
      <c r="D5644" s="1" t="str">
        <f>IFERROR(__xludf.DUMMYFUNCTION("GOOGLETRANSLATE(A5644 , ""auto"", ""ar"")"),"لم أشعر في المنزل")</f>
        <v>لم أشعر في المنزل</v>
      </c>
    </row>
    <row r="5645" ht="15.75" customHeight="1">
      <c r="A5645" s="12" t="s">
        <v>10342</v>
      </c>
      <c r="B5645" s="13" t="s">
        <v>10343</v>
      </c>
      <c r="C5645" s="14" t="s">
        <v>10344</v>
      </c>
      <c r="D5645" s="1" t="str">
        <f>IFERROR(__xludf.DUMMYFUNCTION("GOOGLETRANSLATE(A5645 , ""auto"", ""ar"")"),"حسنًا ، سيعطينا ذلك أساسًا جيدًا للبدء في المرة القادمة")</f>
        <v>حسنًا ، سيعطينا ذلك أساسًا جيدًا للبدء في المرة القادمة</v>
      </c>
    </row>
    <row r="5646" ht="15.75" customHeight="1">
      <c r="A5646" s="12" t="s">
        <v>10345</v>
      </c>
      <c r="B5646" s="13" t="s">
        <v>10346</v>
      </c>
      <c r="C5646" s="14" t="s">
        <v>10347</v>
      </c>
      <c r="D5646" s="1" t="str">
        <f>IFERROR(__xludf.DUMMYFUNCTION("GOOGLETRANSLATE(A5646 , ""auto"", ""ar"")"),"أخشى أن وقتنا قد انتهى اليوم")</f>
        <v>أخشى أن وقتنا قد انتهى اليوم</v>
      </c>
    </row>
    <row r="5647" ht="15.75" customHeight="1">
      <c r="A5647" s="12" t="s">
        <v>10348</v>
      </c>
      <c r="B5647" s="13" t="s">
        <v>10349</v>
      </c>
      <c r="C5647" s="14" t="s">
        <v>10350</v>
      </c>
      <c r="D5647" s="1" t="str">
        <f>IFERROR(__xludf.DUMMYFUNCTION("GOOGLETRANSLATE(A5647 , ""auto"", ""ar"")"),"لدي الكثير من المرضى الآخرين لرؤيته")</f>
        <v>لدي الكثير من المرضى الآخرين لرؤيته</v>
      </c>
    </row>
    <row r="5648" ht="15.75" customHeight="1">
      <c r="A5648" s="12" t="s">
        <v>10351</v>
      </c>
      <c r="B5648" s="13" t="s">
        <v>10352</v>
      </c>
      <c r="C5648" s="14" t="s">
        <v>10353</v>
      </c>
      <c r="D5648" s="1" t="str">
        <f>IFERROR(__xludf.DUMMYFUNCTION("GOOGLETRANSLATE(A5648 , ""auto"", ""ar"")"),"وتاريخ وقت الغداء هذا!")</f>
        <v>وتاريخ وقت الغداء هذا!</v>
      </c>
    </row>
    <row r="5649" ht="15.75" customHeight="1">
      <c r="A5649" s="12" t="s">
        <v>10354</v>
      </c>
      <c r="B5649" s="13" t="s">
        <v>10355</v>
      </c>
      <c r="C5649" s="14" t="s">
        <v>10356</v>
      </c>
      <c r="D5649" s="1" t="str">
        <f>IFERROR(__xludf.DUMMYFUNCTION("GOOGLETRANSLATE(A5649 , ""auto"", ""ar"")"),"يرجى تسجيل الخروج في الاستقبال عند المغادرة")</f>
        <v>يرجى تسجيل الخروج في الاستقبال عند المغادرة</v>
      </c>
    </row>
    <row r="5650" ht="15.75" customHeight="1">
      <c r="A5650" s="12" t="s">
        <v>9685</v>
      </c>
      <c r="B5650" s="13" t="s">
        <v>10357</v>
      </c>
      <c r="C5650" s="14" t="s">
        <v>10358</v>
      </c>
      <c r="D5650" s="1" t="str">
        <f>IFERROR(__xludf.DUMMYFUNCTION("GOOGLETRANSLATE(A5650 , ""auto"", ""ar"")"),"حسنًا ، شكرًا على وقتك ، أنا آسف لأنني أزعجتك")</f>
        <v>حسنًا ، شكرًا على وقتك ، أنا آسف لأنني أزعجتك</v>
      </c>
    </row>
    <row r="5651" ht="15.75" customHeight="1">
      <c r="A5651" s="12" t="s">
        <v>9688</v>
      </c>
      <c r="B5651" s="13" t="s">
        <v>10359</v>
      </c>
      <c r="C5651" s="14" t="s">
        <v>9690</v>
      </c>
      <c r="D5651" s="1" t="str">
        <f>IFERROR(__xludf.DUMMYFUNCTION("GOOGLETRANSLATE(A5651 , ""auto"", ""ar"")"),"وأنا آسف لأنني آسف دائمًا ...")</f>
        <v>وأنا آسف لأنني آسف دائمًا ...</v>
      </c>
    </row>
    <row r="5652" ht="15.75" customHeight="1">
      <c r="A5652" s="12" t="s">
        <v>9500</v>
      </c>
      <c r="B5652" s="13" t="s">
        <v>10360</v>
      </c>
      <c r="C5652" s="14" t="s">
        <v>9691</v>
      </c>
      <c r="D5652" s="1" t="str">
        <f>IFERROR(__xludf.DUMMYFUNCTION("GOOGLETRANSLATE(A5652 , ""auto"", ""ar"")"),"أنا آسف")</f>
        <v>أنا آسف</v>
      </c>
    </row>
    <row r="5653" ht="15.75" customHeight="1">
      <c r="A5653" s="12" t="s">
        <v>9692</v>
      </c>
      <c r="B5653" s="13" t="s">
        <v>10361</v>
      </c>
      <c r="C5653" s="14" t="s">
        <v>9694</v>
      </c>
      <c r="D5653" s="1" t="str">
        <f>IFERROR(__xludf.DUMMYFUNCTION("GOOGLETRANSLATE(A5653 , ""auto"", ""ar"")"),"صباح الخير يا سيدتي.")</f>
        <v>صباح الخير يا سيدتي.</v>
      </c>
    </row>
    <row r="5654" ht="15.75" customHeight="1">
      <c r="A5654" s="12" t="s">
        <v>9695</v>
      </c>
      <c r="B5654" s="13" t="s">
        <v>10362</v>
      </c>
      <c r="C5654" s="14" t="s">
        <v>9697</v>
      </c>
      <c r="D5654" s="1" t="str">
        <f>IFERROR(__xludf.DUMMYFUNCTION("GOOGLETRANSLATE(A5654 , ""auto"", ""ar"")"),"أواجه صعوبة في فهم الصعاب")</f>
        <v>أواجه صعوبة في فهم الصعاب</v>
      </c>
    </row>
    <row r="5655" ht="15.75" customHeight="1">
      <c r="A5655" s="12" t="s">
        <v>9698</v>
      </c>
      <c r="B5655" s="13" t="s">
        <v>10363</v>
      </c>
      <c r="C5655" s="14" t="s">
        <v>9700</v>
      </c>
      <c r="D5655" s="1" t="str">
        <f>IFERROR(__xludf.DUMMYFUNCTION("GOOGLETRANSLATE(A5655 , ""auto"", ""ar"")"),"إنه أمر معقد للغاية بالنسبة لي ، لقد تم فقط الأدب حتى الآن!")</f>
        <v>إنه أمر معقد للغاية بالنسبة لي ، لقد تم فقط الأدب حتى الآن!</v>
      </c>
    </row>
    <row r="5656" ht="15.75" customHeight="1">
      <c r="A5656" s="12" t="s">
        <v>9701</v>
      </c>
      <c r="B5656" s="13" t="s">
        <v>10364</v>
      </c>
      <c r="C5656" s="14" t="s">
        <v>9703</v>
      </c>
      <c r="D5656" s="1" t="str">
        <f>IFERROR(__xludf.DUMMYFUNCTION("GOOGLETRANSLATE(A5656 , ""auto"", ""ar"")"),"ساعدني من فضلك!")</f>
        <v>ساعدني من فضلك!</v>
      </c>
    </row>
    <row r="5657" ht="15.75" customHeight="1">
      <c r="A5657" s="12" t="s">
        <v>9704</v>
      </c>
      <c r="B5657" s="13" t="s">
        <v>10365</v>
      </c>
      <c r="C5657" s="14" t="s">
        <v>9706</v>
      </c>
      <c r="D5657" s="1" t="str">
        <f>IFERROR(__xludf.DUMMYFUNCTION("GOOGLETRANSLATE(A5657 , ""auto"", ""ar"")"),"حسنًا ، أنا مدرس للغة الإنجليزية ، لذلك لست متأكدًا من أنني سأساعد كثيرًا ...")</f>
        <v>حسنًا ، أنا مدرس للغة الإنجليزية ، لذلك لست متأكدًا من أنني سأساعد كثيرًا ...</v>
      </c>
    </row>
    <row r="5658" ht="15.75" customHeight="1">
      <c r="A5658" s="12" t="s">
        <v>9707</v>
      </c>
      <c r="B5658" s="13" t="s">
        <v>10366</v>
      </c>
      <c r="C5658" s="14" t="s">
        <v>10367</v>
      </c>
      <c r="D5658" s="1" t="str">
        <f>IFERROR(__xludf.DUMMYFUNCTION("GOOGLETRANSLATE(A5658 , ""auto"", ""ar"")"),"ألا تحب السيد جيمسون؟")</f>
        <v>ألا تحب السيد جيمسون؟</v>
      </c>
    </row>
    <row r="5659" ht="15.75" customHeight="1">
      <c r="A5659" s="12" t="s">
        <v>9710</v>
      </c>
      <c r="B5659" s="13" t="s">
        <v>10368</v>
      </c>
      <c r="C5659" s="14" t="s">
        <v>10369</v>
      </c>
      <c r="D5659" s="1" t="str">
        <f>IFERROR(__xludf.DUMMYFUNCTION("GOOGLETRANSLATE(A5659 , ""auto"", ""ar"")"),"إنه مدرس الرياضيات الخاص بك ، أليس كذلك؟")</f>
        <v>إنه مدرس الرياضيات الخاص بك ، أليس كذلك؟</v>
      </c>
    </row>
    <row r="5660" ht="15.75" customHeight="1">
      <c r="A5660" s="12" t="s">
        <v>9713</v>
      </c>
      <c r="B5660" s="13" t="s">
        <v>10370</v>
      </c>
      <c r="C5660" s="14" t="s">
        <v>9715</v>
      </c>
      <c r="D5660" s="1" t="str">
        <f>IFERROR(__xludf.DUMMYFUNCTION("GOOGLETRANSLATE(A5660 , ""auto"", ""ar"")"),"يجب علي التفهم")</f>
        <v>يجب علي التفهم</v>
      </c>
    </row>
    <row r="5661" ht="15.75" customHeight="1">
      <c r="A5661" s="12" t="s">
        <v>9716</v>
      </c>
      <c r="B5661" s="13" t="s">
        <v>10371</v>
      </c>
      <c r="C5661" s="14" t="s">
        <v>9718</v>
      </c>
      <c r="D5661" s="1" t="str">
        <f>IFERROR(__xludf.DUMMYFUNCTION("GOOGLETRANSLATE(A5661 , ""auto"", ""ar"")"),"يمكنه في بعض الأحيان أن يصادف كصاحب مخيف بعض الشيء")</f>
        <v>يمكنه في بعض الأحيان أن يصادف كصاحب مخيف بعض الشيء</v>
      </c>
    </row>
    <row r="5662" ht="15.75" customHeight="1">
      <c r="A5662" s="12" t="s">
        <v>9719</v>
      </c>
      <c r="B5662" s="13" t="s">
        <v>10372</v>
      </c>
      <c r="C5662" s="14" t="s">
        <v>9721</v>
      </c>
      <c r="D5662" s="1" t="str">
        <f>IFERROR(__xludf.DUMMYFUNCTION("GOOGLETRANSLATE(A5662 , ""auto"", ""ar"")"),"ابدأ بإخباري بما تفهمه")</f>
        <v>ابدأ بإخباري بما تفهمه</v>
      </c>
    </row>
    <row r="5663" ht="15.75" customHeight="1">
      <c r="A5663" s="12" t="s">
        <v>9722</v>
      </c>
      <c r="B5663" s="13" t="s">
        <v>10373</v>
      </c>
      <c r="C5663" s="14" t="s">
        <v>9724</v>
      </c>
      <c r="D5663" s="1" t="str">
        <f>IFERROR(__xludf.DUMMYFUNCTION("GOOGLETRANSLATE(A5663 , ""auto"", ""ar"")"),"أعلم أنك مدرس للغة الإنجليزية")</f>
        <v>أعلم أنك مدرس للغة الإنجليزية</v>
      </c>
    </row>
    <row r="5664" ht="15.75" customHeight="1">
      <c r="A5664" s="12" t="s">
        <v>9725</v>
      </c>
      <c r="B5664" s="13" t="s">
        <v>10374</v>
      </c>
      <c r="C5664" s="14" t="s">
        <v>9727</v>
      </c>
      <c r="D5664" s="1" t="str">
        <f>IFERROR(__xludf.DUMMYFUNCTION("GOOGLETRANSLATE(A5664 , ""auto"", ""ar"")"),"لكن السيد حوسام هو الفتوة!")</f>
        <v>لكن السيد حوسام هو الفتوة!</v>
      </c>
    </row>
    <row r="5665" ht="15.75" customHeight="1">
      <c r="A5665" s="12" t="s">
        <v>9728</v>
      </c>
      <c r="B5665" s="13" t="s">
        <v>10375</v>
      </c>
      <c r="C5665" s="14" t="s">
        <v>9730</v>
      </c>
      <c r="D5665" s="1" t="str">
        <f>IFERROR(__xludf.DUMMYFUNCTION("GOOGLETRANSLATE(A5665 , ""auto"", ""ar"")"),"كل ما يفعله هو وضعنا ، وتذكرنا بأنه متفوق فكريًا")</f>
        <v>كل ما يفعله هو وضعنا ، وتذكرنا بأنه متفوق فكريًا</v>
      </c>
    </row>
    <row r="5666" ht="15.75" customHeight="1">
      <c r="A5666" s="12" t="s">
        <v>9731</v>
      </c>
      <c r="B5666" s="13" t="s">
        <v>10376</v>
      </c>
      <c r="C5666" s="14" t="s">
        <v>9733</v>
      </c>
      <c r="D5666" s="1" t="str">
        <f>IFERROR(__xludf.DUMMYFUNCTION("GOOGLETRANSLATE(A5666 , ""auto"", ""ar"")"),"أنا غير قادر على اتخاذ ذلك بعد الآن")</f>
        <v>أنا غير قادر على اتخاذ ذلك بعد الآن</v>
      </c>
    </row>
    <row r="5667" ht="15.75" customHeight="1">
      <c r="A5667" s="12" t="s">
        <v>9734</v>
      </c>
      <c r="B5667" s="13" t="s">
        <v>10377</v>
      </c>
      <c r="C5667" s="14" t="s">
        <v>9736</v>
      </c>
      <c r="D5667" s="1" t="str">
        <f>IFERROR(__xludf.DUMMYFUNCTION("GOOGLETRANSLATE(A5667 , ""auto"", ""ar"")"),"انا لست الوحيد")</f>
        <v>انا لست الوحيد</v>
      </c>
    </row>
    <row r="5668" ht="15.75" customHeight="1">
      <c r="A5668" s="12" t="s">
        <v>9737</v>
      </c>
      <c r="B5668" s="13" t="s">
        <v>10378</v>
      </c>
      <c r="C5668" s="14" t="s">
        <v>9739</v>
      </c>
      <c r="D5668" s="1" t="str">
        <f>IFERROR(__xludf.DUMMYFUNCTION("GOOGLETRANSLATE(A5668 , ""auto"", ""ar"")"),"علاوة على ذلك ، يستمر في مضايقة أصدقائي")</f>
        <v>علاوة على ذلك ، يستمر في مضايقة أصدقائي</v>
      </c>
    </row>
    <row r="5669" ht="15.75" customHeight="1">
      <c r="A5669" s="12" t="s">
        <v>9740</v>
      </c>
      <c r="B5669" s="13" t="s">
        <v>10379</v>
      </c>
      <c r="C5669" s="14" t="s">
        <v>9742</v>
      </c>
      <c r="D5669" s="1" t="str">
        <f>IFERROR(__xludf.DUMMYFUNCTION("GOOGLETRANSLATE(A5669 , ""auto"", ""ar"")"),"يا عزيزي")</f>
        <v>يا عزيزي</v>
      </c>
    </row>
    <row r="5670" ht="15.75" customHeight="1">
      <c r="A5670" s="12" t="s">
        <v>9743</v>
      </c>
      <c r="B5670" s="13" t="s">
        <v>10380</v>
      </c>
      <c r="C5670" s="14" t="s">
        <v>9745</v>
      </c>
      <c r="D5670" s="1" t="str">
        <f>IFERROR(__xludf.DUMMYFUNCTION("GOOGLETRANSLATE(A5670 , ""auto"", ""ar"")"),"ربما نحتاج إلى مناقشة مناسبة حول ذلك في مرحلة ما")</f>
        <v>ربما نحتاج إلى مناقشة مناسبة حول ذلك في مرحلة ما</v>
      </c>
    </row>
    <row r="5671" ht="15.75" customHeight="1">
      <c r="A5671" s="12" t="s">
        <v>9746</v>
      </c>
      <c r="B5671" s="13" t="s">
        <v>10381</v>
      </c>
      <c r="C5671" s="14" t="s">
        <v>10382</v>
      </c>
      <c r="D5671" s="1" t="str">
        <f>IFERROR(__xludf.DUMMYFUNCTION("GOOGLETRANSLATE(A5671 , ""auto"", ""ar"")"),"هل اتصلت بأي شخص في ذلك؟")</f>
        <v>هل اتصلت بأي شخص في ذلك؟</v>
      </c>
    </row>
    <row r="5672" ht="15.75" customHeight="1">
      <c r="A5672" s="12" t="s">
        <v>9749</v>
      </c>
      <c r="B5672" s="13" t="s">
        <v>10383</v>
      </c>
      <c r="C5672" s="14" t="s">
        <v>9751</v>
      </c>
      <c r="D5672" s="1" t="str">
        <f>IFERROR(__xludf.DUMMYFUNCTION("GOOGLETRANSLATE(A5672 , ""auto"", ""ar"")"),"يوجد مستشار مدرسة في الموقع كل يوم ثلاثاء")</f>
        <v>يوجد مستشار مدرسة في الموقع كل يوم ثلاثاء</v>
      </c>
    </row>
    <row r="5673" ht="15.75" customHeight="1">
      <c r="A5673" s="12" t="s">
        <v>9752</v>
      </c>
      <c r="B5673" s="13" t="s">
        <v>10384</v>
      </c>
      <c r="C5673" s="14" t="s">
        <v>9754</v>
      </c>
      <c r="D5673" s="1" t="str">
        <f>IFERROR(__xludf.DUMMYFUNCTION("GOOGLETRANSLATE(A5673 , ""auto"", ""ar"")"),"هذا هو الشيء")</f>
        <v>هذا هو الشيء</v>
      </c>
    </row>
    <row r="5674" ht="15.75" customHeight="1">
      <c r="A5674" s="12" t="s">
        <v>9752</v>
      </c>
      <c r="B5674" s="13" t="s">
        <v>10385</v>
      </c>
      <c r="C5674" s="14" t="s">
        <v>9756</v>
      </c>
      <c r="D5674" s="1" t="str">
        <f>IFERROR(__xludf.DUMMYFUNCTION("GOOGLETRANSLATE(A5674 , ""auto"", ""ar"")"),"هذا هو الشيء")</f>
        <v>هذا هو الشيء</v>
      </c>
    </row>
    <row r="5675" ht="15.75" customHeight="1">
      <c r="A5675" s="12" t="s">
        <v>9757</v>
      </c>
      <c r="B5675" s="13" t="s">
        <v>10386</v>
      </c>
      <c r="C5675" s="14" t="s">
        <v>9759</v>
      </c>
      <c r="D5675" s="1" t="str">
        <f>IFERROR(__xludf.DUMMYFUNCTION("GOOGLETRANSLATE(A5675 , ""auto"", ""ar"")"),"إنهم يتآمرون معًا حتى لا يتركوا أي من المعلومات يفلت")</f>
        <v>إنهم يتآمرون معًا حتى لا يتركوا أي من المعلومات يفلت</v>
      </c>
    </row>
    <row r="5676" ht="15.75" customHeight="1">
      <c r="A5676" s="12" t="s">
        <v>9760</v>
      </c>
      <c r="B5676" s="13" t="s">
        <v>10387</v>
      </c>
      <c r="C5676" s="14" t="s">
        <v>9762</v>
      </c>
      <c r="D5676" s="1" t="str">
        <f>IFERROR(__xludf.DUMMYFUNCTION("GOOGLETRANSLATE(A5676 , ""auto"", ""ar"")"),"مجرد التحدث معك يضعني في خطر شديد")</f>
        <v>مجرد التحدث معك يضعني في خطر شديد</v>
      </c>
    </row>
    <row r="5677" ht="15.75" customHeight="1">
      <c r="A5677" s="12" t="s">
        <v>9763</v>
      </c>
      <c r="B5677" s="13" t="s">
        <v>10388</v>
      </c>
      <c r="C5677" s="14" t="s">
        <v>9765</v>
      </c>
      <c r="D5677" s="1" t="str">
        <f>IFERROR(__xludf.DUMMYFUNCTION("GOOGLETRANSLATE(A5677 , ""auto"", ""ar"")"),"مجرد التحدث معك يمكن أن يعرضني للخطر")</f>
        <v>مجرد التحدث معك يمكن أن يعرضني للخطر</v>
      </c>
    </row>
    <row r="5678" ht="15.75" customHeight="1">
      <c r="A5678" s="12" t="s">
        <v>9766</v>
      </c>
      <c r="B5678" s="13" t="s">
        <v>10389</v>
      </c>
      <c r="C5678" s="14" t="s">
        <v>9768</v>
      </c>
      <c r="D5678" s="1" t="str">
        <f>IFERROR(__xludf.DUMMYFUNCTION("GOOGLETRANSLATE(A5678 , ""auto"", ""ar"")"),"أنا حقًا لم أكن أعرف أنه كان هذا خطيرًا")</f>
        <v>أنا حقًا لم أكن أعرف أنه كان هذا خطيرًا</v>
      </c>
    </row>
    <row r="5679" ht="15.75" customHeight="1">
      <c r="A5679" s="12" t="s">
        <v>9769</v>
      </c>
      <c r="B5679" s="13" t="s">
        <v>10390</v>
      </c>
      <c r="C5679" s="14" t="s">
        <v>9771</v>
      </c>
      <c r="D5679" s="1" t="str">
        <f>IFERROR(__xludf.DUMMYFUNCTION("GOOGLETRANSLATE(A5679 , ""auto"", ""ar"")"),"لا تقلق ، سنفعل شيئًا حيال ذلك")</f>
        <v>لا تقلق ، سنفعل شيئًا حيال ذلك</v>
      </c>
    </row>
    <row r="5680" ht="15.75" customHeight="1">
      <c r="A5680" s="12" t="s">
        <v>9772</v>
      </c>
      <c r="B5680" s="13" t="s">
        <v>10391</v>
      </c>
      <c r="C5680" s="14" t="s">
        <v>9774</v>
      </c>
      <c r="D5680" s="1" t="str">
        <f>IFERROR(__xludf.DUMMYFUNCTION("GOOGLETRANSLATE(A5680 , ""auto"", ""ar"")"),"ولا تخف أبدًا من التحدث عنها")</f>
        <v>ولا تخف أبدًا من التحدث عنها</v>
      </c>
    </row>
    <row r="5681" ht="15.75" customHeight="1">
      <c r="A5681" s="12" t="s">
        <v>9775</v>
      </c>
      <c r="B5681" s="13" t="s">
        <v>10392</v>
      </c>
      <c r="C5681" s="14" t="s">
        <v>9777</v>
      </c>
      <c r="D5681" s="1" t="str">
        <f>IFERROR(__xludf.DUMMYFUNCTION("GOOGLETRANSLATE(A5681 , ""auto"", ""ar"")"),"منذ متى كان يحدث؟")</f>
        <v>منذ متى كان يحدث؟</v>
      </c>
    </row>
    <row r="5682" ht="15.75" customHeight="1">
      <c r="A5682" s="12" t="s">
        <v>9775</v>
      </c>
      <c r="B5682" s="13" t="s">
        <v>10393</v>
      </c>
      <c r="C5682" s="14" t="s">
        <v>9779</v>
      </c>
      <c r="D5682" s="1" t="str">
        <f>IFERROR(__xludf.DUMMYFUNCTION("GOOGLETRANSLATE(A5682 , ""auto"", ""ar"")"),"منذ متى كان يحدث؟")</f>
        <v>منذ متى كان يحدث؟</v>
      </c>
    </row>
    <row r="5683" ht="15.75" customHeight="1">
      <c r="A5683" s="12" t="s">
        <v>9775</v>
      </c>
      <c r="B5683" s="13" t="s">
        <v>10394</v>
      </c>
      <c r="C5683" s="14" t="s">
        <v>9781</v>
      </c>
      <c r="D5683" s="1" t="str">
        <f>IFERROR(__xludf.DUMMYFUNCTION("GOOGLETRANSLATE(A5683 , ""auto"", ""ar"")"),"منذ متى كان يحدث؟")</f>
        <v>منذ متى كان يحدث؟</v>
      </c>
    </row>
    <row r="5684" ht="15.75" customHeight="1">
      <c r="A5684" s="12" t="s">
        <v>9782</v>
      </c>
      <c r="B5684" s="13" t="s">
        <v>10395</v>
      </c>
      <c r="C5684" s="14" t="s">
        <v>9784</v>
      </c>
      <c r="D5684" s="1" t="str">
        <f>IFERROR(__xludf.DUMMYFUNCTION("GOOGLETRANSLATE(A5684 , ""auto"", ""ar"")"),"لقد كان يحدث منذ تجرأ على إخباره أن مساره يسير بسرعة كبيرة")</f>
        <v>لقد كان يحدث منذ تجرأ على إخباره أن مساره يسير بسرعة كبيرة</v>
      </c>
    </row>
    <row r="5685" ht="15.75" customHeight="1">
      <c r="A5685" s="12" t="s">
        <v>9785</v>
      </c>
      <c r="B5685" s="13" t="s">
        <v>10396</v>
      </c>
      <c r="C5685" s="14" t="s">
        <v>9787</v>
      </c>
      <c r="D5685" s="1" t="str">
        <f>IFERROR(__xludf.DUMMYFUNCTION("GOOGLETRANSLATE(A5685 , ""auto"", ""ar"")"),"لديه الكثير من الأنا ولا يمكنه تحمل تناقض")</f>
        <v>لديه الكثير من الأنا ولا يمكنه تحمل تناقض</v>
      </c>
    </row>
    <row r="5686" ht="15.75" customHeight="1">
      <c r="A5686" s="12" t="s">
        <v>9788</v>
      </c>
      <c r="B5686" s="13" t="s">
        <v>10397</v>
      </c>
      <c r="C5686" s="14" t="s">
        <v>9790</v>
      </c>
      <c r="D5686" s="1" t="str">
        <f>IFERROR(__xludf.DUMMYFUNCTION("GOOGLETRANSLATE(A5686 , ""auto"", ""ar"")"),"نظرًا لأنه صديق مع عضو المجلس ، فإنه ينتقم")</f>
        <v>نظرًا لأنه صديق مع عضو المجلس ، فإنه ينتقم</v>
      </c>
    </row>
    <row r="5687" ht="15.75" customHeight="1">
      <c r="A5687" s="12" t="s">
        <v>9791</v>
      </c>
      <c r="B5687" s="13" t="s">
        <v>10398</v>
      </c>
      <c r="C5687" s="14" t="s">
        <v>9793</v>
      </c>
      <c r="D5687" s="1" t="str">
        <f>IFERROR(__xludf.DUMMYFUNCTION("GOOGLETRANSLATE(A5687 , ""auto"", ""ar"")"),"ومع ذلك ، الآن بعد أن أدرك قوته ، يلاحق أصدقائي أيضًا لأنهم فتيات")</f>
        <v>ومع ذلك ، الآن بعد أن أدرك قوته ، يلاحق أصدقائي أيضًا لأنهم فتيات</v>
      </c>
    </row>
    <row r="5688" ht="15.75" customHeight="1">
      <c r="A5688" s="12" t="s">
        <v>9794</v>
      </c>
      <c r="B5688" s="13" t="s">
        <v>10399</v>
      </c>
      <c r="C5688" s="14" t="s">
        <v>9796</v>
      </c>
      <c r="D5688" s="1" t="str">
        <f>IFERROR(__xludf.DUMMYFUNCTION("GOOGLETRANSLATE(A5688 , ""auto"", ""ar"")"),"الآن يكرهونني لأنهم يعتقدون أنه خطأي")</f>
        <v>الآن يكرهونني لأنهم يعتقدون أنه خطأي</v>
      </c>
    </row>
    <row r="5689" ht="15.75" customHeight="1">
      <c r="A5689" s="12" t="s">
        <v>9797</v>
      </c>
      <c r="B5689" s="13" t="s">
        <v>9798</v>
      </c>
      <c r="C5689" s="14" t="s">
        <v>9799</v>
      </c>
      <c r="D5689" s="1" t="str">
        <f>IFERROR(__xludf.DUMMYFUNCTION("GOOGLETRANSLATE(A5689 , ""auto"", ""ar"")"),"عزيزي")</f>
        <v>عزيزي</v>
      </c>
    </row>
    <row r="5690" ht="15.75" customHeight="1">
      <c r="A5690" s="12" t="s">
        <v>9800</v>
      </c>
      <c r="B5690" s="13" t="s">
        <v>10400</v>
      </c>
      <c r="C5690" s="14" t="s">
        <v>9802</v>
      </c>
      <c r="D5690" s="1" t="str">
        <f>IFERROR(__xludf.DUMMYFUNCTION("GOOGLETRANSLATE(A5690 , ""auto"", ""ar"")"),"هذا يبدو حقا جادا")</f>
        <v>هذا يبدو حقا جادا</v>
      </c>
    </row>
    <row r="5691" ht="15.75" customHeight="1">
      <c r="A5691" s="12" t="s">
        <v>9803</v>
      </c>
      <c r="B5691" s="13" t="s">
        <v>10401</v>
      </c>
      <c r="C5691" s="14" t="s">
        <v>9805</v>
      </c>
      <c r="D5691" s="1" t="str">
        <f>IFERROR(__xludf.DUMMYFUNCTION("GOOGLETRANSLATE(A5691 , ""auto"", ""ar"")"),"سأضطر إلى تنظيم اجتماع لمناقشة هذا")</f>
        <v>سأضطر إلى تنظيم اجتماع لمناقشة هذا</v>
      </c>
    </row>
    <row r="5692" ht="15.75" customHeight="1">
      <c r="A5692" s="12" t="s">
        <v>9806</v>
      </c>
      <c r="B5692" s="13" t="s">
        <v>10402</v>
      </c>
      <c r="C5692" s="14" t="s">
        <v>9808</v>
      </c>
      <c r="D5692" s="1" t="str">
        <f>IFERROR(__xludf.DUMMYFUNCTION("GOOGLETRANSLATE(A5692 , ""auto"", ""ar"")"),"هذا يحتاج إلى حل بسرعة")</f>
        <v>هذا يحتاج إلى حل بسرعة</v>
      </c>
    </row>
    <row r="5693" ht="15.75" customHeight="1">
      <c r="A5693" s="12" t="s">
        <v>9809</v>
      </c>
      <c r="B5693" s="13" t="s">
        <v>10403</v>
      </c>
      <c r="C5693" s="14" t="s">
        <v>9811</v>
      </c>
      <c r="D5693" s="1" t="str">
        <f>IFERROR(__xludf.DUMMYFUNCTION("GOOGLETRANSLATE(A5693 , ""auto"", ""ar"")"),"سأتحدث إلى الرأس وأرى ما يمكننا القيام به للتحقيق")</f>
        <v>سأتحدث إلى الرأس وأرى ما يمكننا القيام به للتحقيق</v>
      </c>
    </row>
    <row r="5694" ht="15.75" customHeight="1">
      <c r="A5694" s="12" t="s">
        <v>9812</v>
      </c>
      <c r="B5694" s="13" t="s">
        <v>9813</v>
      </c>
      <c r="C5694" s="14" t="s">
        <v>9814</v>
      </c>
      <c r="D5694" s="1" t="str">
        <f>IFERROR(__xludf.DUMMYFUNCTION("GOOGLETRANSLATE(A5694 , ""auto"", ""ar"")"),"سأخبرك")</f>
        <v>سأخبرك</v>
      </c>
    </row>
    <row r="5695" ht="15.75" customHeight="1">
      <c r="A5695" s="12" t="s">
        <v>9812</v>
      </c>
      <c r="B5695" s="13" t="s">
        <v>10404</v>
      </c>
      <c r="C5695" s="14" t="s">
        <v>9816</v>
      </c>
      <c r="D5695" s="1" t="str">
        <f>IFERROR(__xludf.DUMMYFUNCTION("GOOGLETRANSLATE(A5695 , ""auto"", ""ar"")"),"سأخبرك")</f>
        <v>سأخبرك</v>
      </c>
    </row>
    <row r="5696" ht="15.75" customHeight="1">
      <c r="A5696" s="12" t="s">
        <v>9812</v>
      </c>
      <c r="B5696" s="13" t="s">
        <v>10405</v>
      </c>
      <c r="C5696" s="14" t="s">
        <v>9818</v>
      </c>
      <c r="D5696" s="1" t="str">
        <f>IFERROR(__xludf.DUMMYFUNCTION("GOOGLETRANSLATE(A5696 , ""auto"", ""ar"")"),"سأخبرك")</f>
        <v>سأخبرك</v>
      </c>
    </row>
    <row r="5697" ht="15.75" customHeight="1">
      <c r="A5697" s="12" t="s">
        <v>9812</v>
      </c>
      <c r="B5697" s="13" t="s">
        <v>10406</v>
      </c>
      <c r="C5697" s="14" t="s">
        <v>9820</v>
      </c>
      <c r="D5697" s="1" t="str">
        <f>IFERROR(__xludf.DUMMYFUNCTION("GOOGLETRANSLATE(A5697 , ""auto"", ""ar"")"),"سأخبرك")</f>
        <v>سأخبرك</v>
      </c>
    </row>
    <row r="5698" ht="15.75" customHeight="1">
      <c r="A5698" s="12" t="s">
        <v>9821</v>
      </c>
      <c r="B5698" s="13" t="s">
        <v>10407</v>
      </c>
      <c r="C5698" s="14" t="s">
        <v>9823</v>
      </c>
      <c r="D5698" s="1" t="str">
        <f>IFERROR(__xludf.DUMMYFUNCTION("GOOGLETRANSLATE(A5698 , ""auto"", ""ar"")"),"ولا تقلق ، سأفعل ذلك بسرعة!")</f>
        <v>ولا تقلق ، سأفعل ذلك بسرعة!</v>
      </c>
    </row>
    <row r="5699" ht="15.75" customHeight="1">
      <c r="A5699" s="12" t="s">
        <v>9824</v>
      </c>
      <c r="B5699" s="13" t="s">
        <v>10408</v>
      </c>
      <c r="C5699" s="14" t="s">
        <v>9826</v>
      </c>
      <c r="D5699" s="1" t="str">
        <f>IFERROR(__xludf.DUMMYFUNCTION("GOOGLETRANSLATE(A5699 , ""auto"", ""ar"")"),"شكراً جزيلاً!")</f>
        <v>شكراً جزيلاً!</v>
      </c>
    </row>
    <row r="5700" ht="15.75" customHeight="1">
      <c r="A5700" s="12" t="s">
        <v>9827</v>
      </c>
      <c r="B5700" s="13" t="s">
        <v>10409</v>
      </c>
      <c r="C5700" s="14" t="s">
        <v>9829</v>
      </c>
      <c r="D5700" s="1" t="str">
        <f>IFERROR(__xludf.DUMMYFUNCTION("GOOGLETRANSLATE(A5700 , ""auto"", ""ar"")"),"آمل أن يتمكن من التعفن في السجن لبقية حياته")</f>
        <v>آمل أن يتمكن من التعفن في السجن لبقية حياته</v>
      </c>
    </row>
    <row r="5701" ht="15.75" customHeight="1">
      <c r="A5701" s="12" t="s">
        <v>9830</v>
      </c>
      <c r="B5701" s="13" t="s">
        <v>10410</v>
      </c>
      <c r="C5701" s="14" t="s">
        <v>9832</v>
      </c>
      <c r="D5701" s="1" t="str">
        <f>IFERROR(__xludf.DUMMYFUNCTION("GOOGLETRANSLATE(A5701 , ""auto"", ""ar"")"),"سوف يؤكل من قبل الفئران")</f>
        <v>سوف يؤكل من قبل الفئران</v>
      </c>
    </row>
    <row r="5702" ht="15.75" customHeight="1">
      <c r="A5702" s="12" t="s">
        <v>9833</v>
      </c>
      <c r="B5702" s="13" t="s">
        <v>10411</v>
      </c>
      <c r="C5702" s="14" t="s">
        <v>9835</v>
      </c>
      <c r="D5702" s="1" t="str">
        <f>IFERROR(__xludf.DUMMYFUNCTION("GOOGLETRANSLATE(A5702 , ""auto"", ""ar"")"),"لذلك دوا ، كيف حالك اليوم؟")</f>
        <v>لذلك دوا ، كيف حالك اليوم؟</v>
      </c>
    </row>
    <row r="5703" ht="15.75" customHeight="1">
      <c r="A5703" s="12" t="s">
        <v>9836</v>
      </c>
      <c r="B5703" s="13" t="s">
        <v>10412</v>
      </c>
      <c r="C5703" s="14" t="s">
        <v>9838</v>
      </c>
      <c r="D5703" s="1" t="str">
        <f>IFERROR(__xludf.DUMMYFUNCTION("GOOGLETRANSLATE(A5703 , ""auto"", ""ar"")"),"لذا ، لذا ، ولكن أفضل بكثير من الأمس ، شكرًا لك")</f>
        <v>لذا ، لذا ، ولكن أفضل بكثير من الأمس ، شكرًا لك</v>
      </c>
    </row>
    <row r="5704" ht="15.75" customHeight="1">
      <c r="A5704" s="12" t="s">
        <v>9839</v>
      </c>
      <c r="B5704" s="13" t="s">
        <v>10413</v>
      </c>
      <c r="C5704" s="14" t="s">
        <v>10414</v>
      </c>
      <c r="D5704" s="1" t="str">
        <f>IFERROR(__xludf.DUMMYFUNCTION("GOOGLETRANSLATE(A5704 , ""auto"", ""ar"")"),"كيف حال هؤلاء الأحفاد الجميلين لك؟")</f>
        <v>كيف حال هؤلاء الأحفاد الجميلين لك؟</v>
      </c>
    </row>
    <row r="5705" ht="15.75" customHeight="1">
      <c r="A5705" s="12" t="s">
        <v>9842</v>
      </c>
      <c r="B5705" s="13" t="s">
        <v>10415</v>
      </c>
      <c r="C5705" s="14" t="s">
        <v>9844</v>
      </c>
      <c r="D5705" s="1" t="str">
        <f>IFERROR(__xludf.DUMMYFUNCTION("GOOGLETRANSLATE(A5705 , ""auto"", ""ar"")"),"ثلاثة الآن أو هل أنا أخطر!")</f>
        <v>ثلاثة الآن أو هل أنا أخطر!</v>
      </c>
    </row>
    <row r="5706" ht="15.75" customHeight="1">
      <c r="A5706" s="12" t="s">
        <v>9845</v>
      </c>
      <c r="B5706" s="13" t="s">
        <v>10416</v>
      </c>
      <c r="C5706" s="14" t="s">
        <v>9847</v>
      </c>
      <c r="D5706" s="1" t="str">
        <f>IFERROR(__xludf.DUMMYFUNCTION("GOOGLETRANSLATE(A5706 , ""auto"", ""ar"")"),"جيد!")</f>
        <v>جيد!</v>
      </c>
    </row>
    <row r="5707" ht="15.75" customHeight="1">
      <c r="A5707" s="12" t="s">
        <v>9848</v>
      </c>
      <c r="B5707" s="13" t="s">
        <v>10417</v>
      </c>
      <c r="C5707" s="14" t="s">
        <v>9850</v>
      </c>
      <c r="D5707" s="1" t="str">
        <f>IFERROR(__xludf.DUMMYFUNCTION("GOOGLETRANSLATE(A5707 , ""auto"", ""ar"")"),"إنها مجرد كل هذه الآلام الصغيرة")</f>
        <v>إنها مجرد كل هذه الآلام الصغيرة</v>
      </c>
    </row>
    <row r="5708" ht="15.75" customHeight="1">
      <c r="A5708" s="12" t="s">
        <v>9851</v>
      </c>
      <c r="B5708" s="13" t="s">
        <v>10418</v>
      </c>
      <c r="C5708" s="14" t="s">
        <v>9853</v>
      </c>
      <c r="D5708" s="1" t="str">
        <f>IFERROR(__xludf.DUMMYFUNCTION("GOOGLETRANSLATE(A5708 , ""auto"", ""ar"")"),"لا تجعل الحياة سهلة!")</f>
        <v>لا تجعل الحياة سهلة!</v>
      </c>
    </row>
    <row r="5709" ht="15.75" customHeight="1">
      <c r="A5709" s="12" t="s">
        <v>9854</v>
      </c>
      <c r="B5709" s="13" t="s">
        <v>10419</v>
      </c>
      <c r="C5709" s="14" t="s">
        <v>9856</v>
      </c>
      <c r="D5709" s="1" t="str">
        <f>IFERROR(__xludf.DUMMYFUNCTION("GOOGLETRANSLATE(A5709 , ""auto"", ""ar"")"),"أحفادي بخير")</f>
        <v>أحفادي بخير</v>
      </c>
    </row>
    <row r="5710" ht="15.75" customHeight="1">
      <c r="A5710" s="12" t="s">
        <v>9857</v>
      </c>
      <c r="B5710" s="13" t="s">
        <v>10420</v>
      </c>
      <c r="C5710" s="14" t="s">
        <v>9859</v>
      </c>
      <c r="D5710" s="1" t="str">
        <f>IFERROR(__xludf.DUMMYFUNCTION("GOOGLETRANSLATE(A5710 , ""auto"", ""ar"")"),"آخر واحد ، ابنة تشيهاب")</f>
        <v>آخر واحد ، ابنة تشيهاب</v>
      </c>
    </row>
    <row r="5711" ht="15.75" customHeight="1">
      <c r="A5711" s="12" t="s">
        <v>9860</v>
      </c>
      <c r="B5711" s="13" t="s">
        <v>9861</v>
      </c>
      <c r="C5711" s="14" t="s">
        <v>9862</v>
      </c>
      <c r="D5711" s="1" t="str">
        <f>IFERROR(__xludf.DUMMYFUNCTION("GOOGLETRANSLATE(A5711 , ""auto"", ""ar"")"),"ابنتي الثانية")</f>
        <v>ابنتي الثانية</v>
      </c>
    </row>
    <row r="5712" ht="15.75" customHeight="1">
      <c r="A5712" s="12" t="s">
        <v>9863</v>
      </c>
      <c r="B5712" s="13" t="s">
        <v>10421</v>
      </c>
      <c r="C5712" s="14" t="s">
        <v>9865</v>
      </c>
      <c r="D5712" s="1" t="str">
        <f>IFERROR(__xludf.DUMMYFUNCTION("GOOGLETRANSLATE(A5712 , ""auto"", ""ar"")"),"لقد اتخذت للتو خطواتها الأولى!")</f>
        <v>لقد اتخذت للتو خطواتها الأولى!</v>
      </c>
    </row>
    <row r="5713" ht="15.75" customHeight="1">
      <c r="A5713" s="12" t="s">
        <v>9866</v>
      </c>
      <c r="B5713" s="13" t="s">
        <v>10422</v>
      </c>
      <c r="C5713" s="14" t="s">
        <v>9868</v>
      </c>
      <c r="D5713" s="1" t="str">
        <f>IFERROR(__xludf.DUMMYFUNCTION("GOOGLETRANSLATE(A5713 , ""auto"", ""ar"")"),"كوالد ليس من المفترض أن يكون لديك مفضلات")</f>
        <v>كوالد ليس من المفترض أن يكون لديك مفضلات</v>
      </c>
    </row>
    <row r="5714" ht="15.75" customHeight="1">
      <c r="A5714" s="12" t="s">
        <v>9869</v>
      </c>
      <c r="B5714" s="13" t="s">
        <v>10423</v>
      </c>
      <c r="C5714" s="14" t="s">
        <v>9871</v>
      </c>
      <c r="D5714" s="1" t="str">
        <f>IFERROR(__xludf.DUMMYFUNCTION("GOOGLETRANSLATE(A5714 , ""auto"", ""ar"")"),"لكن Jmiaa كانت ابنة جميلة")</f>
        <v>لكن Jmiaa كانت ابنة جميلة</v>
      </c>
    </row>
    <row r="5715" ht="15.75" customHeight="1">
      <c r="A5715" s="12" t="s">
        <v>9872</v>
      </c>
      <c r="B5715" s="13" t="s">
        <v>10424</v>
      </c>
      <c r="C5715" s="14" t="s">
        <v>9874</v>
      </c>
      <c r="D5715" s="1" t="str">
        <f>IFERROR(__xludf.DUMMYFUNCTION("GOOGLETRANSLATE(A5715 , ""auto"", ""ar"")"),"أظن أن طفلها جميل كما هي")</f>
        <v>أظن أن طفلها جميل كما هي</v>
      </c>
    </row>
    <row r="5716" ht="15.75" customHeight="1">
      <c r="A5716" s="12" t="s">
        <v>9875</v>
      </c>
      <c r="B5716" s="13" t="s">
        <v>10425</v>
      </c>
      <c r="C5716" s="14" t="s">
        <v>10426</v>
      </c>
      <c r="D5716" s="1" t="str">
        <f>IFERROR(__xludf.DUMMYFUNCTION("GOOGLETRANSLATE(A5716 , ""auto"", ""ar"")"),"هل أحضرت أي صور فوتوغرافية؟")</f>
        <v>هل أحضرت أي صور فوتوغرافية؟</v>
      </c>
    </row>
    <row r="5717" ht="15.75" customHeight="1">
      <c r="A5717" s="12" t="s">
        <v>9878</v>
      </c>
      <c r="B5717" s="13" t="s">
        <v>10427</v>
      </c>
      <c r="C5717" s="14" t="s">
        <v>9880</v>
      </c>
      <c r="D5717" s="1" t="str">
        <f>IFERROR(__xludf.DUMMYFUNCTION("GOOGLETRANSLATE(A5717 , ""auto"", ""ar"")"),"آلام ، لا تتحدث معي عن الآلام")</f>
        <v>آلام ، لا تتحدث معي عن الآلام</v>
      </c>
    </row>
    <row r="5718" ht="15.75" customHeight="1">
      <c r="A5718" s="12" t="s">
        <v>9881</v>
      </c>
      <c r="B5718" s="13" t="s">
        <v>10428</v>
      </c>
      <c r="C5718" s="14" t="s">
        <v>9883</v>
      </c>
      <c r="D5718" s="1" t="str">
        <f>IFERROR(__xludf.DUMMYFUNCTION("GOOGLETRANSLATE(A5718 , ""auto"", ""ar"")"),"بالكاد أستطيع المشي هذه الأيام")</f>
        <v>بالكاد أستطيع المشي هذه الأيام</v>
      </c>
    </row>
    <row r="5719" ht="15.75" customHeight="1">
      <c r="A5719" s="12" t="s">
        <v>9884</v>
      </c>
      <c r="B5719" s="13" t="s">
        <v>10429</v>
      </c>
      <c r="C5719" s="14" t="s">
        <v>9886</v>
      </c>
      <c r="D5719" s="1" t="str">
        <f>IFERROR(__xludf.DUMMYFUNCTION("GOOGLETRANSLATE(A5719 , ""auto"", ""ar"")"),"آه كيف أفهمك!")</f>
        <v>آه كيف أفهمك!</v>
      </c>
    </row>
    <row r="5720" ht="15.75" customHeight="1">
      <c r="A5720" s="12" t="s">
        <v>9887</v>
      </c>
      <c r="B5720" s="13" t="s">
        <v>10430</v>
      </c>
      <c r="C5720" s="14" t="s">
        <v>10431</v>
      </c>
      <c r="D5720" s="1" t="str">
        <f>IFERROR(__xludf.DUMMYFUNCTION("GOOGLETRANSLATE(A5720 , ""auto"", ""ar"")"),"صحيح أن ماريون كانت دائمًا الفتاة الصغيرة للجميع ... مثل أوليفر ، أليس كذلك؟")</f>
        <v>صحيح أن ماريون كانت دائمًا الفتاة الصغيرة للجميع ... مثل أوليفر ، أليس كذلك؟</v>
      </c>
    </row>
    <row r="5721" ht="15.75" customHeight="1">
      <c r="A5721" s="12" t="s">
        <v>9890</v>
      </c>
      <c r="B5721" s="13" t="s">
        <v>10432</v>
      </c>
      <c r="C5721" s="14" t="s">
        <v>9892</v>
      </c>
      <c r="D5721" s="1" t="str">
        <f>IFERROR(__xludf.DUMMYFUNCTION("GOOGLETRANSLATE(A5721 , ""auto"", ""ar"")"),"ليس لدي أي صور معي")</f>
        <v>ليس لدي أي صور معي</v>
      </c>
    </row>
    <row r="5722" ht="15.75" customHeight="1">
      <c r="A5722" s="12" t="s">
        <v>9893</v>
      </c>
      <c r="B5722" s="13" t="s">
        <v>10433</v>
      </c>
      <c r="C5722" s="14" t="s">
        <v>9895</v>
      </c>
      <c r="D5722" s="1" t="str">
        <f>IFERROR(__xludf.DUMMYFUNCTION("GOOGLETRANSLATE(A5722 , ""auto"", ""ar"")"),"أنت تعرف ، التكنولوجيا وأنا ...")</f>
        <v>أنت تعرف ، التكنولوجيا وأنا ...</v>
      </c>
    </row>
    <row r="5723" ht="15.75" customHeight="1">
      <c r="A5723" s="12" t="s">
        <v>9896</v>
      </c>
      <c r="B5723" s="13" t="s">
        <v>10434</v>
      </c>
      <c r="C5723" s="14" t="s">
        <v>9898</v>
      </c>
      <c r="D5723" s="1" t="str">
        <f>IFERROR(__xludf.DUMMYFUNCTION("GOOGLETRANSLATE(A5723 , ""auto"", ""ar"")"),"أعطاني أطفالي قرصًا")</f>
        <v>أعطاني أطفالي قرصًا</v>
      </c>
    </row>
    <row r="5724" ht="15.75" customHeight="1">
      <c r="A5724" s="12" t="s">
        <v>9899</v>
      </c>
      <c r="B5724" s="13" t="s">
        <v>10435</v>
      </c>
      <c r="C5724" s="14" t="s">
        <v>9901</v>
      </c>
      <c r="D5724" s="1" t="str">
        <f>IFERROR(__xludf.DUMMYFUNCTION("GOOGLETRANSLATE(A5724 , ""auto"", ""ar"")"),"لكني لا أعرف ماذا أفعل به!")</f>
        <v>لكني لا أعرف ماذا أفعل به!</v>
      </c>
    </row>
    <row r="5725" ht="15.75" customHeight="1">
      <c r="A5725" s="12" t="s">
        <v>9902</v>
      </c>
      <c r="B5725" s="13" t="s">
        <v>10436</v>
      </c>
      <c r="C5725" s="14" t="s">
        <v>10437</v>
      </c>
      <c r="D5725" s="1" t="str">
        <f>IFERROR(__xludf.DUMMYFUNCTION("GOOGLETRANSLATE(A5725 , ""auto"", ""ar"")"),"لالتهاب المفاصل ، لحسن الحظ ، أنت هنا ، أليس كذلك؟")</f>
        <v>لالتهاب المفاصل ، لحسن الحظ ، أنت هنا ، أليس كذلك؟</v>
      </c>
    </row>
    <row r="5726" ht="15.75" customHeight="1">
      <c r="A5726" s="12" t="s">
        <v>9905</v>
      </c>
      <c r="B5726" s="13" t="s">
        <v>10438</v>
      </c>
      <c r="C5726" s="14" t="s">
        <v>9907</v>
      </c>
      <c r="D5726" s="1" t="str">
        <f>IFERROR(__xludf.DUMMYFUNCTION("GOOGLETRANSLATE(A5726 , ""auto"", ""ar"")"),"يبدو أن الموظفين يهتمون للغاية")</f>
        <v>يبدو أن الموظفين يهتمون للغاية</v>
      </c>
    </row>
    <row r="5727" ht="15.75" customHeight="1">
      <c r="A5727" s="12" t="s">
        <v>9908</v>
      </c>
      <c r="B5727" s="13" t="s">
        <v>10439</v>
      </c>
      <c r="C5727" s="14" t="s">
        <v>9910</v>
      </c>
      <c r="D5727" s="1" t="str">
        <f>IFERROR(__xludf.DUMMYFUNCTION("GOOGLETRANSLATE(A5727 , ""auto"", ""ar"")"),"أعطاني يانيس قرصًا في عيد ميلادي")</f>
        <v>أعطاني يانيس قرصًا في عيد ميلادي</v>
      </c>
    </row>
    <row r="5728" ht="15.75" customHeight="1">
      <c r="A5728" s="12" t="s">
        <v>9911</v>
      </c>
      <c r="B5728" s="13" t="s">
        <v>10440</v>
      </c>
      <c r="C5728" s="14" t="s">
        <v>9913</v>
      </c>
      <c r="D5728" s="1" t="str">
        <f>IFERROR(__xludf.DUMMYFUNCTION("GOOGLETRANSLATE(A5728 , ""auto"", ""ar"")"),"أستخدمه لمشاهدة التلفزيون وقراءة الكتب")</f>
        <v>أستخدمه لمشاهدة التلفزيون وقراءة الكتب</v>
      </c>
    </row>
    <row r="5729" ht="15.75" customHeight="1">
      <c r="A5729" s="12" t="s">
        <v>9914</v>
      </c>
      <c r="B5729" s="13" t="s">
        <v>10441</v>
      </c>
      <c r="C5729" s="14" t="s">
        <v>9916</v>
      </c>
      <c r="D5729" s="1" t="str">
        <f>IFERROR(__xludf.DUMMYFUNCTION("GOOGLETRANSLATE(A5729 , ""auto"", ""ar"")"),"لقد أوضح لي كيف يعمل")</f>
        <v>لقد أوضح لي كيف يعمل</v>
      </c>
    </row>
    <row r="5730" ht="15.75" customHeight="1">
      <c r="A5730" s="12" t="s">
        <v>9917</v>
      </c>
      <c r="B5730" s="13" t="s">
        <v>10442</v>
      </c>
      <c r="C5730" s="14" t="s">
        <v>9919</v>
      </c>
      <c r="D5730" s="1" t="str">
        <f>IFERROR(__xludf.DUMMYFUNCTION("GOOGLETRANSLATE(A5730 , ""auto"", ""ar"")"),"ولكن إذا علقت الفتيات هنا ، فسوف يساعدني دائمًا")</f>
        <v>ولكن إذا علقت الفتيات هنا ، فسوف يساعدني دائمًا</v>
      </c>
    </row>
    <row r="5731" ht="15.75" customHeight="1">
      <c r="A5731" s="12" t="s">
        <v>9920</v>
      </c>
      <c r="B5731" s="13" t="s">
        <v>10443</v>
      </c>
      <c r="C5731" s="14" t="s">
        <v>9922</v>
      </c>
      <c r="D5731" s="1" t="str">
        <f>IFERROR(__xludf.DUMMYFUNCTION("GOOGLETRANSLATE(A5731 , ""auto"", ""ar"")"),"هم لطفاء جدا")</f>
        <v>هم لطفاء جدا</v>
      </c>
    </row>
    <row r="5732" ht="15.75" customHeight="1">
      <c r="A5732" s="12" t="s">
        <v>9923</v>
      </c>
      <c r="B5732" s="13" t="s">
        <v>10444</v>
      </c>
      <c r="C5732" s="14" t="s">
        <v>9925</v>
      </c>
      <c r="D5732" s="1" t="str">
        <f>IFERROR(__xludf.DUMMYFUNCTION("GOOGLETRANSLATE(A5732 , ""auto"", ""ar"")"),"آه ، يجب أن تكون أكثر ذكاءً مني بعد ذلك!")</f>
        <v>آه ، يجب أن تكون أكثر ذكاءً مني بعد ذلك!</v>
      </c>
    </row>
    <row r="5733" ht="15.75" customHeight="1">
      <c r="A5733" s="12" t="s">
        <v>9926</v>
      </c>
      <c r="B5733" s="13" t="s">
        <v>10445</v>
      </c>
      <c r="C5733" s="14" t="s">
        <v>9928</v>
      </c>
      <c r="D5733" s="1" t="str">
        <f>IFERROR(__xludf.DUMMYFUNCTION("GOOGLETRANSLATE(A5733 , ""auto"", ""ar"")"),"غالبًا ما يريني أطفالي كيفية تشغيله وحتى كيفية كتابة رسائل البريد الإلكتروني ، ولكن ...")</f>
        <v>غالبًا ما يريني أطفالي كيفية تشغيله وحتى كيفية كتابة رسائل البريد الإلكتروني ، ولكن ...</v>
      </c>
    </row>
    <row r="5734" ht="15.75" customHeight="1">
      <c r="A5734" s="12" t="s">
        <v>9929</v>
      </c>
      <c r="B5734" s="13" t="s">
        <v>10446</v>
      </c>
      <c r="C5734" s="14" t="s">
        <v>9931</v>
      </c>
      <c r="D5734" s="1" t="str">
        <f>IFERROR(__xludf.DUMMYFUNCTION("GOOGLETRANSLATE(A5734 , ""auto"", ""ar"")"),"برأسي الفقير ، إنه صعب للغاية!")</f>
        <v>برأسي الفقير ، إنه صعب للغاية!</v>
      </c>
    </row>
    <row r="5735" ht="15.75" customHeight="1">
      <c r="A5735" s="12" t="s">
        <v>9932</v>
      </c>
      <c r="B5735" s="13" t="s">
        <v>10447</v>
      </c>
      <c r="C5735" s="14" t="s">
        <v>9934</v>
      </c>
      <c r="D5735" s="1" t="str">
        <f>IFERROR(__xludf.DUMMYFUNCTION("GOOGLETRANSLATE(A5735 , ""auto"", ""ar"")"),"الشباب يذهبون بسرعة!")</f>
        <v>الشباب يذهبون بسرعة!</v>
      </c>
    </row>
    <row r="5736" ht="15.75" customHeight="1">
      <c r="A5736" s="12" t="s">
        <v>9935</v>
      </c>
      <c r="B5736" s="13" t="s">
        <v>10448</v>
      </c>
      <c r="C5736" s="14" t="s">
        <v>9937</v>
      </c>
      <c r="D5736" s="1" t="str">
        <f>IFERROR(__xludf.DUMMYFUNCTION("GOOGLETRANSLATE(A5736 , ""auto"", ""ar"")"),"كل شيء يجب أن يسير بسرعة بالنسبة لهم ...")</f>
        <v>كل شيء يجب أن يسير بسرعة بالنسبة لهم ...</v>
      </c>
    </row>
    <row r="5737" ht="15.75" customHeight="1">
      <c r="A5737" s="12" t="s">
        <v>9938</v>
      </c>
      <c r="B5737" s="13" t="s">
        <v>10449</v>
      </c>
      <c r="C5737" s="14" t="s">
        <v>9940</v>
      </c>
      <c r="D5737" s="1" t="str">
        <f>IFERROR(__xludf.DUMMYFUNCTION("GOOGLETRANSLATE(A5737 , ""auto"", ""ar"")"),"أمضى لوبنا الأعمار التي تريني كيفية تشغيله ، وشحنها ، وكيفية إرسال رسائل البريد الإلكتروني")</f>
        <v>أمضى لوبنا الأعمار التي تريني كيفية تشغيله ، وشحنها ، وكيفية إرسال رسائل البريد الإلكتروني</v>
      </c>
    </row>
    <row r="5738" ht="15.75" customHeight="1">
      <c r="A5738" s="12" t="s">
        <v>9941</v>
      </c>
      <c r="B5738" s="13" t="s">
        <v>10450</v>
      </c>
      <c r="C5738" s="14" t="s">
        <v>9943</v>
      </c>
      <c r="D5738" s="1" t="str">
        <f>IFERROR(__xludf.DUMMYFUNCTION("GOOGLETRANSLATE(A5738 , ""auto"", ""ar"")"),"مشاهدة YouTube ، والاستماع إلى الراديو ، إنها سهلة")</f>
        <v>مشاهدة YouTube ، والاستماع إلى الراديو ، إنها سهلة</v>
      </c>
    </row>
    <row r="5739" ht="15.75" customHeight="1">
      <c r="A5739" s="12" t="s">
        <v>9944</v>
      </c>
      <c r="B5739" s="13" t="s">
        <v>10451</v>
      </c>
      <c r="C5739" s="14" t="s">
        <v>9946</v>
      </c>
      <c r="D5739" s="1" t="str">
        <f>IFERROR(__xludf.DUMMYFUNCTION("GOOGLETRANSLATE(A5739 , ""auto"", ""ar"")"),"لا بد لي من الحصول على شخص ما لتنزيل الكتب من أجلي")</f>
        <v>لا بد لي من الحصول على شخص ما لتنزيل الكتب من أجلي</v>
      </c>
    </row>
    <row r="5740" ht="15.75" customHeight="1">
      <c r="A5740" s="12" t="s">
        <v>9947</v>
      </c>
      <c r="B5740" s="13" t="s">
        <v>10452</v>
      </c>
      <c r="C5740" s="14" t="s">
        <v>9949</v>
      </c>
      <c r="D5740" s="1" t="str">
        <f>IFERROR(__xludf.DUMMYFUNCTION("GOOGLETRANSLATE(A5740 , ""auto"", ""ar"")"),"يجب عليك تجربة هذا")</f>
        <v>يجب عليك تجربة هذا</v>
      </c>
    </row>
    <row r="5741" ht="15.75" customHeight="1">
      <c r="A5741" s="12" t="s">
        <v>9950</v>
      </c>
      <c r="B5741" s="13" t="s">
        <v>10453</v>
      </c>
      <c r="C5741" s="14" t="s">
        <v>9952</v>
      </c>
      <c r="D5741" s="1" t="str">
        <f>IFERROR(__xludf.DUMMYFUNCTION("GOOGLETRANSLATE(A5741 , ""auto"", ""ar"")"),"يمكنك ضبط حجم الخط بحيث يكون من الأسهل بكثير على عيوننا القديمة قراءة الطباعة")</f>
        <v>يمكنك ضبط حجم الخط بحيث يكون من الأسهل بكثير على عيوننا القديمة قراءة الطباعة</v>
      </c>
    </row>
    <row r="5742" ht="15.75" customHeight="1">
      <c r="A5742" s="12" t="s">
        <v>9953</v>
      </c>
      <c r="B5742" s="13" t="s">
        <v>10454</v>
      </c>
      <c r="C5742" s="14" t="s">
        <v>9955</v>
      </c>
      <c r="D5742" s="1" t="str">
        <f>IFERROR(__xludf.DUMMYFUNCTION("GOOGLETRANSLATE(A5742 , ""auto"", ""ar"")"),"حسنًا ، إذا قلت ذلك ، فسأمسك!")</f>
        <v>حسنًا ، إذا قلت ذلك ، فسأمسك!</v>
      </c>
    </row>
    <row r="5743" ht="15.75" customHeight="1">
      <c r="A5743" s="12" t="s">
        <v>9956</v>
      </c>
      <c r="B5743" s="13" t="s">
        <v>10455</v>
      </c>
      <c r="C5743" s="14" t="s">
        <v>9958</v>
      </c>
      <c r="D5743" s="1" t="str">
        <f>IFERROR(__xludf.DUMMYFUNCTION("GOOGLETRANSLATE(A5743 , ""auto"", ""ar"")"),"ومع ذلك ، نحن نعيش في الأوقات المجنونة ، المجنونة!")</f>
        <v>ومع ذلك ، نحن نعيش في الأوقات المجنونة ، المجنونة!</v>
      </c>
    </row>
    <row r="5744" ht="15.75" customHeight="1">
      <c r="A5744" s="12" t="s">
        <v>9959</v>
      </c>
      <c r="B5744" s="13" t="s">
        <v>10456</v>
      </c>
      <c r="C5744" s="14" t="s">
        <v>9961</v>
      </c>
      <c r="D5744" s="1" t="str">
        <f>IFERROR(__xludf.DUMMYFUNCTION("GOOGLETRANSLATE(A5744 , ""auto"", ""ar"")"),"كل شيء يحدث بسرعة كبيرة!")</f>
        <v>كل شيء يحدث بسرعة كبيرة!</v>
      </c>
    </row>
    <row r="5745" ht="15.75" customHeight="1">
      <c r="A5745" s="12" t="s">
        <v>9962</v>
      </c>
      <c r="B5745" s="13" t="s">
        <v>10457</v>
      </c>
      <c r="C5745" s="14" t="s">
        <v>9964</v>
      </c>
      <c r="D5745" s="1" t="str">
        <f>IFERROR(__xludf.DUMMYFUNCTION("GOOGLETRANSLATE(A5745 , ""auto"", ""ar"")"),"أخيرا!")</f>
        <v>أخيرا!</v>
      </c>
    </row>
    <row r="5746" ht="15.75" customHeight="1">
      <c r="A5746" s="12" t="s">
        <v>9965</v>
      </c>
      <c r="B5746" s="13" t="s">
        <v>10458</v>
      </c>
      <c r="C5746" s="14" t="s">
        <v>9967</v>
      </c>
      <c r="D5746" s="1" t="str">
        <f>IFERROR(__xludf.DUMMYFUNCTION("GOOGLETRANSLATE(A5746 , ""auto"", ""ar"")"),"عزيزي Ihssan ، سأضطر إلى تركك")</f>
        <v>عزيزي Ihssan ، سأضطر إلى تركك</v>
      </c>
    </row>
    <row r="5747" ht="15.75" customHeight="1">
      <c r="A5747" s="12" t="s">
        <v>9968</v>
      </c>
      <c r="B5747" s="13" t="s">
        <v>10459</v>
      </c>
      <c r="C5747" s="14" t="s">
        <v>9970</v>
      </c>
      <c r="D5747" s="1" t="str">
        <f>IFERROR(__xludf.DUMMYFUNCTION("GOOGLETRANSLATE(A5747 , ""auto"", ""ar"")"),"لدي موعد في طبيب الروماتيزم في الساعة 3:00!")</f>
        <v>لدي موعد في طبيب الروماتيزم في الساعة 3:00!</v>
      </c>
    </row>
    <row r="5748" ht="15.75" customHeight="1">
      <c r="A5748" s="12" t="s">
        <v>9971</v>
      </c>
      <c r="B5748" s="13" t="s">
        <v>10460</v>
      </c>
      <c r="C5748" s="14" t="s">
        <v>9973</v>
      </c>
      <c r="D5748" s="1" t="str">
        <f>IFERROR(__xludf.DUMMYFUNCTION("GOOGLETRANSLATE(A5748 , ""auto"", ""ar"")"),"بحلول الوقت الذي نصل فيه إلى هناك")</f>
        <v>بحلول الوقت الذي نصل فيه إلى هناك</v>
      </c>
    </row>
    <row r="5749" ht="15.75" customHeight="1">
      <c r="A5749" s="12" t="s">
        <v>9974</v>
      </c>
      <c r="B5749" s="13" t="s">
        <v>10461</v>
      </c>
      <c r="C5749" s="14" t="s">
        <v>9976</v>
      </c>
      <c r="D5749" s="1" t="str">
        <f>IFERROR(__xludf.DUMMYFUNCTION("GOOGLETRANSLATE(A5749 , ""auto"", ""ar"")"),"كما هو الحال دائما")</f>
        <v>كما هو الحال دائما</v>
      </c>
    </row>
    <row r="5750" ht="15.75" customHeight="1">
      <c r="A5750" s="12" t="s">
        <v>9977</v>
      </c>
      <c r="B5750" s="13" t="s">
        <v>10462</v>
      </c>
      <c r="C5750" s="14" t="s">
        <v>9979</v>
      </c>
      <c r="D5750" s="1" t="str">
        <f>IFERROR(__xludf.DUMMYFUNCTION("GOOGLETRANSLATE(A5750 , ""auto"", ""ar"")"),"لقد كان من دواعي سروري أن أراك")</f>
        <v>لقد كان من دواعي سروري أن أراك</v>
      </c>
    </row>
    <row r="5751" ht="15.75" customHeight="1">
      <c r="A5751" s="12" t="s">
        <v>9980</v>
      </c>
      <c r="B5751" s="13" t="s">
        <v>10463</v>
      </c>
      <c r="C5751" s="14" t="s">
        <v>9982</v>
      </c>
      <c r="D5751" s="1" t="str">
        <f>IFERROR(__xludf.DUMMYFUNCTION("GOOGLETRANSLATE(A5751 , ""auto"", ""ar"")"),"حظا سعيدا وابضرني مرة أخرى قريبا")</f>
        <v>حظا سعيدا وابضرني مرة أخرى قريبا</v>
      </c>
    </row>
    <row r="5752" ht="15.75" customHeight="1">
      <c r="A5752" s="12" t="s">
        <v>9983</v>
      </c>
      <c r="B5752" s="13" t="s">
        <v>10464</v>
      </c>
      <c r="C5752" s="14" t="s">
        <v>9985</v>
      </c>
      <c r="D5752" s="1" t="str">
        <f>IFERROR(__xludf.DUMMYFUNCTION("GOOGLETRANSLATE(A5752 , ""auto"", ""ar"")"),"في المرة القادمة أحضر تلك الصور")</f>
        <v>في المرة القادمة أحضر تلك الصور</v>
      </c>
    </row>
    <row r="5753" ht="15.75" customHeight="1">
      <c r="A5753" s="12" t="s">
        <v>9986</v>
      </c>
      <c r="B5753" s="13" t="s">
        <v>10465</v>
      </c>
      <c r="C5753" s="14" t="s">
        <v>9988</v>
      </c>
      <c r="D5753" s="1" t="str">
        <f>IFERROR(__xludf.DUMMYFUNCTION("GOOGLETRANSLATE(A5753 , ""auto"", ""ar"")"),"أوه ، وإذا كنت تستطيع حملها بعض العنب")</f>
        <v>أوه ، وإذا كنت تستطيع حملها بعض العنب</v>
      </c>
    </row>
    <row r="5754" ht="15.75" customHeight="1">
      <c r="A5754" s="12" t="s">
        <v>9989</v>
      </c>
      <c r="B5754" s="13" t="s">
        <v>10466</v>
      </c>
      <c r="C5754" s="14" t="s">
        <v>9991</v>
      </c>
      <c r="D5754" s="1" t="str">
        <f>IFERROR(__xludf.DUMMYFUNCTION("GOOGLETRANSLATE(A5754 , ""auto"", ""ar"")"),"صندوق من شوكولاتة الحليب وصحف الأحد")</f>
        <v>صندوق من شوكولاتة الحليب وصحف الأحد</v>
      </c>
    </row>
    <row r="5755" ht="15.75" customHeight="1">
      <c r="A5755" s="12" t="s">
        <v>9992</v>
      </c>
      <c r="B5755" s="13" t="s">
        <v>10467</v>
      </c>
      <c r="C5755" s="14" t="s">
        <v>9994</v>
      </c>
      <c r="D5755" s="1" t="str">
        <f>IFERROR(__xludf.DUMMYFUNCTION("GOOGLETRANSLATE(A5755 , ""auto"", ""ar"")"),"الحب للعائلة")</f>
        <v>الحب للعائلة</v>
      </c>
    </row>
    <row r="5756" ht="15.75" customHeight="1">
      <c r="A5756" s="12" t="s">
        <v>9995</v>
      </c>
      <c r="B5756" s="13" t="s">
        <v>10468</v>
      </c>
      <c r="C5756" s="14" t="s">
        <v>9997</v>
      </c>
      <c r="D5756" s="1" t="str">
        <f>IFERROR(__xludf.DUMMYFUNCTION("GOOGLETRANSLATE(A5756 , ""auto"", ""ar"")"),"استمر ، قل لي ما حدث")</f>
        <v>استمر ، قل لي ما حدث</v>
      </c>
    </row>
    <row r="5757" ht="15.75" customHeight="1">
      <c r="A5757" s="12" t="s">
        <v>9998</v>
      </c>
      <c r="B5757" s="13" t="s">
        <v>10469</v>
      </c>
      <c r="C5757" s="14" t="s">
        <v>10470</v>
      </c>
      <c r="D5757" s="1" t="str">
        <f>IFERROR(__xludf.DUMMYFUNCTION("GOOGLETRANSLATE(A5757 , ""auto"", ""ar"")"),"لماذا تنظر إلى أسفل في المقالب؟")</f>
        <v>لماذا تنظر إلى أسفل في المقالب؟</v>
      </c>
    </row>
    <row r="5758" ht="15.75" customHeight="1">
      <c r="A5758" s="12" t="s">
        <v>10001</v>
      </c>
      <c r="B5758" s="13" t="s">
        <v>10471</v>
      </c>
      <c r="C5758" s="14" t="s">
        <v>10003</v>
      </c>
      <c r="D5758" s="1" t="str">
        <f>IFERROR(__xludf.DUMMYFUNCTION("GOOGLETRANSLATE(A5758 , ""auto"", ""ar"")"),"كنت بخير حتى رأيت رأسك")</f>
        <v>كنت بخير حتى رأيت رأسك</v>
      </c>
    </row>
    <row r="5759" ht="15.75" customHeight="1">
      <c r="A5759" s="12" t="s">
        <v>10004</v>
      </c>
      <c r="B5759" s="13" t="s">
        <v>10472</v>
      </c>
      <c r="C5759" s="14" t="s">
        <v>10006</v>
      </c>
      <c r="D5759" s="1" t="str">
        <f>IFERROR(__xludf.DUMMYFUNCTION("GOOGLETRANSLATE(A5759 , ""auto"", ""ar"")"),"لا أستطيع الوقوف عليك بعد الآن")</f>
        <v>لا أستطيع الوقوف عليك بعد الآن</v>
      </c>
    </row>
    <row r="5760" ht="15.75" customHeight="1">
      <c r="A5760" s="12" t="s">
        <v>10007</v>
      </c>
      <c r="B5760" s="13" t="s">
        <v>10007</v>
      </c>
      <c r="C5760" s="14" t="s">
        <v>10009</v>
      </c>
      <c r="D5760" s="1" t="str">
        <f>IFERROR(__xludf.DUMMYFUNCTION("GOOGLETRANSLATE(A5760 , ""auto"", ""ar"")"),"رائع")</f>
        <v>رائع</v>
      </c>
    </row>
    <row r="5761" ht="15.75" customHeight="1">
      <c r="A5761" s="12" t="s">
        <v>10010</v>
      </c>
      <c r="B5761" s="13" t="s">
        <v>10473</v>
      </c>
      <c r="C5761" s="14" t="s">
        <v>10012</v>
      </c>
      <c r="D5761" s="1" t="str">
        <f>IFERROR(__xludf.DUMMYFUNCTION("GOOGLETRANSLATE(A5761 , ""auto"", ""ar"")"),"لم أتوقع هذا")</f>
        <v>لم أتوقع هذا</v>
      </c>
    </row>
    <row r="5762" ht="15.75" customHeight="1">
      <c r="A5762" s="12" t="s">
        <v>10013</v>
      </c>
      <c r="B5762" s="13" t="s">
        <v>10474</v>
      </c>
      <c r="C5762" s="14" t="s">
        <v>10475</v>
      </c>
      <c r="D5762" s="1" t="str">
        <f>IFERROR(__xludf.DUMMYFUNCTION("GOOGLETRANSLATE(A5762 , ""auto"", ""ar"")"),"ماذا فعلت؟")</f>
        <v>ماذا فعلت؟</v>
      </c>
    </row>
    <row r="5763" ht="15.75" customHeight="1">
      <c r="A5763" s="12" t="s">
        <v>10016</v>
      </c>
      <c r="B5763" s="13" t="s">
        <v>10476</v>
      </c>
      <c r="C5763" s="14" t="s">
        <v>10018</v>
      </c>
      <c r="D5763" s="1" t="str">
        <f>IFERROR(__xludf.DUMMYFUNCTION("GOOGLETRANSLATE(A5763 , ""auto"", ""ar"")"),"لقد رأيت كيف تتحدث معي")</f>
        <v>لقد رأيت كيف تتحدث معي</v>
      </c>
    </row>
    <row r="5764" ht="15.75" customHeight="1">
      <c r="A5764" s="12" t="s">
        <v>10019</v>
      </c>
      <c r="B5764" s="13" t="s">
        <v>10477</v>
      </c>
      <c r="C5764" s="14" t="s">
        <v>10021</v>
      </c>
      <c r="D5764" s="1" t="str">
        <f>IFERROR(__xludf.DUMMYFUNCTION("GOOGLETRANSLATE(A5764 , ""auto"", ""ar"")"),"أنت لست قادرًا حتى على قول ليلة سعيدة")</f>
        <v>أنت لست قادرًا حتى على قول ليلة سعيدة</v>
      </c>
    </row>
    <row r="5765" ht="15.75" customHeight="1">
      <c r="A5765" s="12" t="s">
        <v>10022</v>
      </c>
      <c r="B5765" s="13" t="s">
        <v>10478</v>
      </c>
      <c r="C5765" s="14" t="s">
        <v>10024</v>
      </c>
      <c r="D5765" s="1" t="str">
        <f>IFERROR(__xludf.DUMMYFUNCTION("GOOGLETRANSLATE(A5765 , ""auto"", ""ar"")"),"أطلب الاحترام المتبادل في الزواج")</f>
        <v>أطلب الاحترام المتبادل في الزواج</v>
      </c>
    </row>
    <row r="5766" ht="15.75" customHeight="1">
      <c r="A5766" s="12" t="s">
        <v>10025</v>
      </c>
      <c r="B5766" s="13" t="s">
        <v>10479</v>
      </c>
      <c r="C5766" s="14" t="s">
        <v>10027</v>
      </c>
      <c r="D5766" s="1" t="str">
        <f>IFERROR(__xludf.DUMMYFUNCTION("GOOGLETRANSLATE(A5766 , ""auto"", ""ar"")"),"معك دائمًا شارع في اتجاه واحد")</f>
        <v>معك دائمًا شارع في اتجاه واحد</v>
      </c>
    </row>
    <row r="5767" ht="15.75" customHeight="1">
      <c r="A5767" s="12" t="s">
        <v>10028</v>
      </c>
      <c r="B5767" s="13" t="s">
        <v>10480</v>
      </c>
      <c r="C5767" s="14" t="s">
        <v>10030</v>
      </c>
      <c r="D5767" s="1" t="str">
        <f>IFERROR(__xludf.DUMMYFUNCTION("GOOGLETRANSLATE(A5767 , ""auto"", ""ar"")"),"أنت تثير أعصابي وأدرك أنني سأكون أفضل منك بعيدًا عنك")</f>
        <v>أنت تثير أعصابي وأدرك أنني سأكون أفضل منك بعيدًا عنك</v>
      </c>
    </row>
    <row r="5768" ht="15.75" customHeight="1">
      <c r="A5768" s="12" t="s">
        <v>10031</v>
      </c>
      <c r="B5768" s="13" t="s">
        <v>10481</v>
      </c>
      <c r="C5768" s="14" t="s">
        <v>10482</v>
      </c>
      <c r="D5768" s="1" t="str">
        <f>IFERROR(__xludf.DUMMYFUNCTION("GOOGLETRANSLATE(A5768 , ""auto"", ""ar"")"),"منذ متى وأنت تشعر بهذا؟")</f>
        <v>منذ متى وأنت تشعر بهذا؟</v>
      </c>
    </row>
    <row r="5769" ht="15.75" customHeight="1">
      <c r="A5769" s="12" t="s">
        <v>10034</v>
      </c>
      <c r="B5769" s="13" t="s">
        <v>10483</v>
      </c>
      <c r="C5769" s="14" t="s">
        <v>10484</v>
      </c>
      <c r="D5769" s="1" t="str">
        <f>IFERROR(__xludf.DUMMYFUNCTION("GOOGLETRANSLATE(A5769 , ""auto"", ""ar"")"),"لماذا أحصل على انطباع هذه هي المرة الأولى التي ذكرت فيها أي شيء يحدث بيننا؟")</f>
        <v>لماذا أحصل على انطباع هذه هي المرة الأولى التي ذكرت فيها أي شيء يحدث بيننا؟</v>
      </c>
    </row>
    <row r="5770" ht="15.75" customHeight="1">
      <c r="A5770" s="12" t="s">
        <v>10037</v>
      </c>
      <c r="B5770" s="13" t="s">
        <v>10485</v>
      </c>
      <c r="C5770" s="14" t="s">
        <v>10039</v>
      </c>
      <c r="D5770" s="1" t="str">
        <f>IFERROR(__xludf.DUMMYFUNCTION("GOOGLETRANSLATE(A5770 , ""auto"", ""ar"")"),"أنا مثل لويس في أطفال السماء")</f>
        <v>أنا مثل لويس في أطفال السماء</v>
      </c>
    </row>
    <row r="5771" ht="15.75" customHeight="1">
      <c r="A5771" s="12" t="s">
        <v>10486</v>
      </c>
      <c r="B5771" s="13" t="s">
        <v>10487</v>
      </c>
      <c r="C5771" s="14" t="s">
        <v>10488</v>
      </c>
      <c r="D5771" s="1" t="str">
        <f>IFERROR(__xludf.DUMMYFUNCTION("GOOGLETRANSLATE(A5771 , ""auto"", ""ar"")"),"عندما يخبر Chouaib أنه يحتاج إلى تغيير في الهواء")</f>
        <v>عندما يخبر Chouaib أنه يحتاج إلى تغيير في الهواء</v>
      </c>
    </row>
    <row r="5772" ht="15.75" customHeight="1">
      <c r="A5772" s="12" t="s">
        <v>10489</v>
      </c>
      <c r="B5772" s="13" t="s">
        <v>10490</v>
      </c>
      <c r="C5772" s="14" t="s">
        <v>10491</v>
      </c>
      <c r="D5772" s="1" t="str">
        <f>IFERROR(__xludf.DUMMYFUNCTION("GOOGLETRANSLATE(A5772 , ""auto"", ""ar"")"),"تتذكر هذا المشهد الجميل")</f>
        <v>تتذكر هذا المشهد الجميل</v>
      </c>
    </row>
    <row r="5773" ht="15.75" customHeight="1">
      <c r="A5773" s="12" t="s">
        <v>10492</v>
      </c>
      <c r="B5773" s="13" t="s">
        <v>10493</v>
      </c>
      <c r="C5773" s="14" t="s">
        <v>10494</v>
      </c>
      <c r="D5773" s="1" t="str">
        <f>IFERROR(__xludf.DUMMYFUNCTION("GOOGLETRANSLATE(A5773 , ""auto"", ""ar"")"),"رأينا ذلك باللغة الفرنسية")</f>
        <v>رأينا ذلك باللغة الفرنسية</v>
      </c>
    </row>
    <row r="5774" ht="15.75" customHeight="1">
      <c r="A5774" s="12" t="s">
        <v>10495</v>
      </c>
      <c r="B5774" s="13" t="s">
        <v>10496</v>
      </c>
      <c r="C5774" s="14" t="s">
        <v>10497</v>
      </c>
      <c r="D5774" s="1" t="str">
        <f>IFERROR(__xludf.DUMMYFUNCTION("GOOGLETRANSLATE(A5774 , ""auto"", ""ar"")"),"ليس لدي أي فكرة عما تتحدث عنه")</f>
        <v>ليس لدي أي فكرة عما تتحدث عنه</v>
      </c>
    </row>
    <row r="5775" ht="15.75" customHeight="1">
      <c r="A5775" s="12" t="s">
        <v>10495</v>
      </c>
      <c r="B5775" s="13" t="s">
        <v>10498</v>
      </c>
      <c r="C5775" s="14" t="s">
        <v>10499</v>
      </c>
      <c r="D5775" s="1" t="str">
        <f>IFERROR(__xludf.DUMMYFUNCTION("GOOGLETRANSLATE(A5775 , ""auto"", ""ar"")"),"ليس لدي أي فكرة عما تتحدث عنه")</f>
        <v>ليس لدي أي فكرة عما تتحدث عنه</v>
      </c>
    </row>
    <row r="5776" ht="15.75" customHeight="1">
      <c r="A5776" s="12" t="s">
        <v>10500</v>
      </c>
      <c r="B5776" s="13" t="s">
        <v>10501</v>
      </c>
      <c r="C5776" s="14" t="s">
        <v>10502</v>
      </c>
      <c r="D5776" s="1" t="str">
        <f>IFERROR(__xludf.DUMMYFUNCTION("GOOGLETRANSLATE(A5776 , ""auto"", ""ar"")"),"لكن ، سأذهب معك في هذا")</f>
        <v>لكن ، سأذهب معك في هذا</v>
      </c>
    </row>
    <row r="5777" ht="15.75" customHeight="1">
      <c r="A5777" s="12" t="s">
        <v>10503</v>
      </c>
      <c r="B5777" s="13" t="s">
        <v>10504</v>
      </c>
      <c r="C5777" s="14" t="s">
        <v>10505</v>
      </c>
      <c r="D5777" s="1" t="str">
        <f>IFERROR(__xludf.DUMMYFUNCTION("GOOGLETRANSLATE(A5777 , ""auto"", ""ar"")"),"سأفترض أنه قد تراجعت للتو")</f>
        <v>سأفترض أنه قد تراجعت للتو</v>
      </c>
    </row>
    <row r="5778" ht="15.75" customHeight="1">
      <c r="A5778" s="12" t="s">
        <v>10506</v>
      </c>
      <c r="B5778" s="13" t="s">
        <v>10507</v>
      </c>
      <c r="C5778" s="14" t="s">
        <v>10508</v>
      </c>
      <c r="D5778" s="1" t="str">
        <f>IFERROR(__xludf.DUMMYFUNCTION("GOOGLETRANSLATE(A5778 , ""auto"", ""ar"")"),"لذا ، نعم ، بالتأكيد أتذكر فيلمك الغبي")</f>
        <v>لذا ، نعم ، بالتأكيد أتذكر فيلمك الغبي</v>
      </c>
    </row>
    <row r="5779" ht="15.75" customHeight="1">
      <c r="A5779" s="12" t="s">
        <v>10509</v>
      </c>
      <c r="B5779" s="13" t="s">
        <v>10510</v>
      </c>
      <c r="C5779" s="14" t="s">
        <v>10511</v>
      </c>
      <c r="D5779" s="1" t="str">
        <f>IFERROR(__xludf.DUMMYFUNCTION("GOOGLETRANSLATE(A5779 , ""auto"", ""ar"")"),"ربما امتص")</f>
        <v>ربما امتص</v>
      </c>
    </row>
    <row r="5780" ht="15.75" customHeight="1">
      <c r="A5780" s="12" t="s">
        <v>10512</v>
      </c>
      <c r="B5780" s="13" t="s">
        <v>10513</v>
      </c>
      <c r="C5780" s="14" t="s">
        <v>10514</v>
      </c>
      <c r="D5780" s="1" t="str">
        <f>IFERROR(__xludf.DUMMYFUNCTION("GOOGLETRANSLATE(A5780 , ""auto"", ""ar"")"),"ولهذا السبب لا أستطيع تذكرها")</f>
        <v>ولهذا السبب لا أستطيع تذكرها</v>
      </c>
    </row>
    <row r="5781" ht="15.75" customHeight="1">
      <c r="A5781" s="12" t="s">
        <v>10515</v>
      </c>
      <c r="B5781" s="13" t="s">
        <v>10516</v>
      </c>
      <c r="C5781" s="14" t="s">
        <v>10517</v>
      </c>
      <c r="D5781" s="1" t="str">
        <f>IFERROR(__xludf.DUMMYFUNCTION("GOOGLETRANSLATE(A5781 , ""auto"", ""ar"")"),"لم أحب الأفلام الفرنسية على أي حال")</f>
        <v>لم أحب الأفلام الفرنسية على أي حال</v>
      </c>
    </row>
    <row r="5782" ht="15.75" customHeight="1">
      <c r="A5782" s="12" t="s">
        <v>10518</v>
      </c>
      <c r="B5782" s="13" t="s">
        <v>10519</v>
      </c>
      <c r="C5782" s="14" t="s">
        <v>10520</v>
      </c>
      <c r="D5782" s="1" t="str">
        <f>IFERROR(__xludf.DUMMYFUNCTION("GOOGLETRANSLATE(A5782 , ""auto"", ""ar"")"),"إنهم مستقلون ومملونون للغاية")</f>
        <v>إنهم مستقلون ومملونون للغاية</v>
      </c>
    </row>
    <row r="5783" ht="15.75" customHeight="1">
      <c r="A5783" s="12" t="s">
        <v>10521</v>
      </c>
      <c r="B5783" s="13" t="s">
        <v>10522</v>
      </c>
      <c r="C5783" s="14" t="s">
        <v>10523</v>
      </c>
      <c r="D5783" s="1" t="str">
        <f>IFERROR(__xludf.DUMMYFUNCTION("GOOGLETRANSLATE(A5783 , ""auto"", ""ar"")"),"حفنة من الناس التركيز على أنفسهم")</f>
        <v>حفنة من الناس التركيز على أنفسهم</v>
      </c>
    </row>
    <row r="5784" ht="15.75" customHeight="1">
      <c r="A5784" s="12" t="s">
        <v>10524</v>
      </c>
      <c r="B5784" s="13" t="s">
        <v>10525</v>
      </c>
      <c r="C5784" s="14" t="s">
        <v>10526</v>
      </c>
      <c r="D5784" s="1" t="str">
        <f>IFERROR(__xludf.DUMMYFUNCTION("GOOGLETRANSLATE(A5784 , ""auto"", ""ar"")"),"الغلاف الجوي الدقيق ، وليس الهواء ، لكنه هو نفسه")</f>
        <v>الغلاف الجوي الدقيق ، وليس الهواء ، لكنه هو نفسه</v>
      </c>
    </row>
    <row r="5785" ht="15.75" customHeight="1">
      <c r="A5785" s="12" t="s">
        <v>10527</v>
      </c>
      <c r="B5785" s="13" t="s">
        <v>10528</v>
      </c>
      <c r="C5785" s="14" t="s">
        <v>10529</v>
      </c>
      <c r="D5785" s="1" t="str">
        <f>IFERROR(__xludf.DUMMYFUNCTION("GOOGLETRANSLATE(A5785 , ""auto"", ""ar"")"),"أنا اختناق على جانبك")</f>
        <v>أنا اختناق على جانبك</v>
      </c>
    </row>
    <row r="5786" ht="15.75" customHeight="1">
      <c r="A5786" s="12" t="s">
        <v>10530</v>
      </c>
      <c r="B5786" s="13" t="s">
        <v>10531</v>
      </c>
      <c r="C5786" s="14" t="s">
        <v>10532</v>
      </c>
      <c r="D5786" s="1" t="str">
        <f>IFERROR(__xludf.DUMMYFUNCTION("GOOGLETRANSLATE(A5786 , ""auto"", ""ar"")"),"أنت بدائي ، غبي ، غير قادر على النمو")</f>
        <v>أنت بدائي ، غبي ، غير قادر على النمو</v>
      </c>
    </row>
    <row r="5787" ht="15.75" customHeight="1">
      <c r="A5787" s="12" t="s">
        <v>10533</v>
      </c>
      <c r="B5787" s="13" t="s">
        <v>10534</v>
      </c>
      <c r="C5787" s="14" t="s">
        <v>10535</v>
      </c>
      <c r="D5787" s="1" t="str">
        <f>IFERROR(__xludf.DUMMYFUNCTION("GOOGLETRANSLATE(A5787 , ""auto"", ""ar"")"),"في عمرك ، تعيش في عالم من المانجا والرسوم الكاريكاتورية ، مثيرة للشفقة")</f>
        <v>في عمرك ، تعيش في عالم من المانجا والرسوم الكاريكاتورية ، مثيرة للشفقة</v>
      </c>
    </row>
    <row r="5788" ht="15.75" customHeight="1">
      <c r="A5788" s="12" t="s">
        <v>10536</v>
      </c>
      <c r="B5788" s="13" t="s">
        <v>10537</v>
      </c>
      <c r="C5788" s="14" t="s">
        <v>10538</v>
      </c>
      <c r="D5788" s="1" t="str">
        <f>IFERROR(__xludf.DUMMYFUNCTION("GOOGLETRANSLATE(A5788 , ""auto"", ""ar"")"),"أحتاج إلى التحفيز الفكري")</f>
        <v>أحتاج إلى التحفيز الفكري</v>
      </c>
    </row>
    <row r="5789" ht="15.75" customHeight="1">
      <c r="A5789" s="12" t="s">
        <v>10539</v>
      </c>
      <c r="B5789" s="13" t="s">
        <v>10540</v>
      </c>
      <c r="C5789" s="14" t="s">
        <v>10541</v>
      </c>
      <c r="D5789" s="1" t="str">
        <f>IFERROR(__xludf.DUMMYFUNCTION("GOOGLETRANSLATE(A5789 , ""auto"", ""ar"")"),"يحتاج إلى تحفيز عاطفي")</f>
        <v>يحتاج إلى تحفيز عاطفي</v>
      </c>
    </row>
    <row r="5790" ht="15.75" customHeight="1">
      <c r="A5790" s="12" t="s">
        <v>10542</v>
      </c>
      <c r="B5790" s="13" t="s">
        <v>10543</v>
      </c>
      <c r="C5790" s="14" t="s">
        <v>10544</v>
      </c>
      <c r="D5790" s="1" t="str">
        <f>IFERROR(__xludf.DUMMYFUNCTION("GOOGLETRANSLATE(A5790 , ""auto"", ""ar"")"),"لا نعيش بجوار مهووس متخلف وجذاب لا يفكر إلا في ألعاب الفيديو الخاصة به ومانجا")</f>
        <v>لا نعيش بجوار مهووس متخلف وجذاب لا يفكر إلا في ألعاب الفيديو الخاصة به ومانجا</v>
      </c>
    </row>
    <row r="5791" ht="15.75" customHeight="1">
      <c r="A5791" s="12" t="s">
        <v>10545</v>
      </c>
      <c r="B5791" s="13" t="s">
        <v>10546</v>
      </c>
      <c r="C5791" s="14" t="s">
        <v>10547</v>
      </c>
      <c r="D5791" s="1" t="str">
        <f>IFERROR(__xludf.DUMMYFUNCTION("GOOGLETRANSLATE(A5791 , ""auto"", ""ar"")"),"فعلت خطأ مطبعي")</f>
        <v>فعلت خطأ مطبعي</v>
      </c>
    </row>
    <row r="5792" ht="15.75" customHeight="1">
      <c r="A5792" s="12" t="s">
        <v>10548</v>
      </c>
      <c r="B5792" s="13" t="s">
        <v>10549</v>
      </c>
      <c r="C5792" s="14" t="s">
        <v>10550</v>
      </c>
      <c r="D5792" s="1" t="str">
        <f>IFERROR(__xludf.DUMMYFUNCTION("GOOGLETRANSLATE(A5792 , ""auto"", ""ar"")"),"في عمرك تعيش في عالم من المانجا والرسوم الكاريكاتورية أمر مثير للشفقة")</f>
        <v>في عمرك تعيش في عالم من المانجا والرسوم الكاريكاتورية أمر مثير للشفقة</v>
      </c>
    </row>
    <row r="5793" ht="15.75" customHeight="1">
      <c r="A5793" s="12" t="s">
        <v>10551</v>
      </c>
      <c r="B5793" s="13" t="s">
        <v>10552</v>
      </c>
      <c r="C5793" s="14" t="s">
        <v>10553</v>
      </c>
      <c r="D5793" s="1" t="str">
        <f>IFERROR(__xludf.DUMMYFUNCTION("GOOGLETRANSLATE(A5793 , ""auto"", ""ar"")"),"حسنًا ، انظر إليك")</f>
        <v>حسنًا ، انظر إليك</v>
      </c>
    </row>
    <row r="5794" ht="15.75" customHeight="1">
      <c r="A5794" s="12" t="s">
        <v>10554</v>
      </c>
      <c r="B5794" s="13" t="s">
        <v>10555</v>
      </c>
      <c r="C5794" s="14" t="s">
        <v>10556</v>
      </c>
      <c r="D5794" s="1" t="str">
        <f>IFERROR(__xludf.DUMMYFUNCTION("GOOGLETRANSLATE(A5794 , ""auto"", ""ar"")"),"ماذا عنك تنطلق من حصانك الفكري العالي والعودة إلى الواقع لبعض الوقت")</f>
        <v>ماذا عنك تنطلق من حصانك الفكري العالي والعودة إلى الواقع لبعض الوقت</v>
      </c>
    </row>
    <row r="5795" ht="15.75" customHeight="1">
      <c r="A5795" s="12" t="s">
        <v>10557</v>
      </c>
      <c r="B5795" s="13" t="s">
        <v>10558</v>
      </c>
      <c r="C5795" s="14" t="s">
        <v>10559</v>
      </c>
      <c r="D5795" s="1" t="str">
        <f>IFERROR(__xludf.DUMMYFUNCTION("GOOGLETRANSLATE(A5795 , ""auto"", ""ar"")"),"بفضل عملي المانجا ، يمكنني دفع ثمن فصول الفن الغبية")</f>
        <v>بفضل عملي المانجا ، يمكنني دفع ثمن فصول الفن الغبية</v>
      </c>
    </row>
    <row r="5796" ht="15.75" customHeight="1">
      <c r="A5796" s="12" t="s">
        <v>10560</v>
      </c>
      <c r="B5796" s="13" t="s">
        <v>10561</v>
      </c>
      <c r="C5796" s="14" t="s">
        <v>10562</v>
      </c>
      <c r="D5796" s="1" t="str">
        <f>IFERROR(__xludf.DUMMYFUNCTION("GOOGLETRANSLATE(A5796 , ""auto"", ""ar"")"),"إنه المكان الذي تذهب إليه لعدة أيام إلى معارضك الفنية")</f>
        <v>إنه المكان الذي تذهب إليه لعدة أيام إلى معارضك الفنية</v>
      </c>
    </row>
    <row r="5797" ht="15.75" customHeight="1">
      <c r="A5797" s="12" t="s">
        <v>10563</v>
      </c>
      <c r="B5797" s="13" t="s">
        <v>10564</v>
      </c>
      <c r="C5797" s="14" t="s">
        <v>10565</v>
      </c>
      <c r="D5797" s="1" t="str">
        <f>IFERROR(__xludf.DUMMYFUNCTION("GOOGLETRANSLATE(A5797 , ""auto"", ""ar"")"),"الأشخاص الوحيدون الذين يشترون لوحاتك السيئة")</f>
        <v>الأشخاص الوحيدون الذين يشترون لوحاتك السيئة</v>
      </c>
    </row>
    <row r="5798" ht="15.75" customHeight="1">
      <c r="A5798" s="12" t="s">
        <v>10566</v>
      </c>
      <c r="B5798" s="13" t="s">
        <v>10567</v>
      </c>
      <c r="C5798" s="14" t="s">
        <v>10568</v>
      </c>
      <c r="D5798" s="1" t="str">
        <f>IFERROR(__xludf.DUMMYFUNCTION("GOOGLETRANSLATE(A5798 , ""auto"", ""ar"")"),"هذا لأنهم يشعرون بالشفقة عليك")</f>
        <v>هذا لأنهم يشعرون بالشفقة عليك</v>
      </c>
    </row>
    <row r="5799" ht="15.75" customHeight="1">
      <c r="A5799" s="12" t="s">
        <v>10569</v>
      </c>
      <c r="B5799" s="13" t="s">
        <v>10570</v>
      </c>
      <c r="C5799" s="14" t="s">
        <v>10571</v>
      </c>
      <c r="D5799" s="1" t="str">
        <f>IFERROR(__xludf.DUMMYFUNCTION("GOOGLETRANSLATE(A5799 , ""auto"", ""ar"")"),"تماما مثلما فعلت والدتك عندما اشترت صورتك الأولى")</f>
        <v>تماما مثلما فعلت والدتك عندما اشترت صورتك الأولى</v>
      </c>
    </row>
    <row r="5800" ht="15.75" customHeight="1">
      <c r="A5800" s="12" t="s">
        <v>10572</v>
      </c>
      <c r="B5800" s="13" t="s">
        <v>10573</v>
      </c>
      <c r="C5800" s="14" t="s">
        <v>10574</v>
      </c>
      <c r="D5800" s="1" t="str">
        <f>IFERROR(__xludf.DUMMYFUNCTION("GOOGLETRANSLATE(A5800 , ""auto"", ""ar"")"),"إذا كان هذا ما يمكنك أن تسميه حتى")</f>
        <v>إذا كان هذا ما يمكنك أن تسميه حتى</v>
      </c>
    </row>
    <row r="5801" ht="15.75" customHeight="1">
      <c r="A5801" s="12" t="s">
        <v>10575</v>
      </c>
      <c r="B5801" s="13" t="s">
        <v>10576</v>
      </c>
      <c r="C5801" s="14" t="s">
        <v>10577</v>
      </c>
      <c r="D5801" s="1" t="str">
        <f>IFERROR(__xludf.DUMMYFUNCTION("GOOGLETRANSLATE(A5801 , ""auto"", ""ar"")"),"كان أفضل من أي شيء يمكن أن تفعله على الإطلاق")</f>
        <v>كان أفضل من أي شيء يمكن أن تفعله على الإطلاق</v>
      </c>
    </row>
    <row r="5802" ht="15.75" customHeight="1">
      <c r="A5802" s="12" t="s">
        <v>10578</v>
      </c>
      <c r="B5802" s="13" t="s">
        <v>10579</v>
      </c>
      <c r="C5802" s="14" t="s">
        <v>10580</v>
      </c>
      <c r="D5802" s="1" t="str">
        <f>IFERROR(__xludf.DUMMYFUNCTION("GOOGLETRANSLATE(A5802 , ""auto"", ""ar"")"),"أحتاج إلى رجل حقيقي يمكنه رعاية شريكه")</f>
        <v>أحتاج إلى رجل حقيقي يمكنه رعاية شريكه</v>
      </c>
    </row>
    <row r="5803" ht="15.75" customHeight="1">
      <c r="A5803" s="12" t="s">
        <v>10581</v>
      </c>
      <c r="B5803" s="13" t="s">
        <v>10582</v>
      </c>
      <c r="C5803" s="14" t="s">
        <v>10583</v>
      </c>
      <c r="D5803" s="1" t="str">
        <f>IFERROR(__xludf.DUMMYFUNCTION("GOOGLETRANSLATE(A5803 , ""auto"", ""ar"")"),"أنت بالفعل معاق بالبعد")</f>
        <v>أنت بالفعل معاق بالبعد</v>
      </c>
    </row>
    <row r="5804" ht="15.75" customHeight="1">
      <c r="A5804" s="12" t="s">
        <v>10584</v>
      </c>
      <c r="B5804" s="13" t="s">
        <v>10585</v>
      </c>
      <c r="C5804" s="14" t="s">
        <v>10586</v>
      </c>
      <c r="D5804" s="1" t="str">
        <f>IFERROR(__xludf.DUMMYFUNCTION("GOOGLETRANSLATE(A5804 , ""auto"", ""ar"")"),"ولا تضيف إليها")</f>
        <v>ولا تضيف إليها</v>
      </c>
    </row>
    <row r="5805" ht="15.75" customHeight="1">
      <c r="A5805" s="12" t="s">
        <v>10587</v>
      </c>
      <c r="B5805" s="13" t="s">
        <v>10588</v>
      </c>
      <c r="C5805" s="14" t="s">
        <v>10589</v>
      </c>
      <c r="D5805" s="1" t="str">
        <f>IFERROR(__xludf.DUMMYFUNCTION("GOOGLETRANSLATE(A5805 , ""auto"", ""ar"")"),"انظر من الذي يتكلم")</f>
        <v>انظر من الذي يتكلم</v>
      </c>
    </row>
    <row r="5806" ht="15.75" customHeight="1">
      <c r="A5806" s="12" t="s">
        <v>10590</v>
      </c>
      <c r="B5806" s="13" t="s">
        <v>10591</v>
      </c>
      <c r="C5806" s="14" t="s">
        <v>10592</v>
      </c>
      <c r="D5806" s="1" t="str">
        <f>IFERROR(__xludf.DUMMYFUNCTION("GOOGLETRANSLATE(A5806 , ""auto"", ""ar"")"),"أنت تثير اشمئزازي")</f>
        <v>أنت تثير اشمئزازي</v>
      </c>
    </row>
    <row r="5807" ht="15.75" customHeight="1">
      <c r="A5807" s="12" t="s">
        <v>10593</v>
      </c>
      <c r="B5807" s="13" t="s">
        <v>10594</v>
      </c>
      <c r="C5807" s="14" t="s">
        <v>10595</v>
      </c>
      <c r="D5807" s="1" t="str">
        <f>IFERROR(__xludf.DUMMYFUNCTION("GOOGLETRANSLATE(A5807 , ""auto"", ""ar"")"),"حاولت أن أسمعك")</f>
        <v>حاولت أن أسمعك</v>
      </c>
    </row>
    <row r="5808" ht="15.75" customHeight="1">
      <c r="A5808" s="12" t="s">
        <v>10596</v>
      </c>
      <c r="B5808" s="13" t="s">
        <v>10597</v>
      </c>
      <c r="C5808" s="14" t="s">
        <v>10598</v>
      </c>
      <c r="D5808" s="1" t="str">
        <f>IFERROR(__xludf.DUMMYFUNCTION("GOOGLETRANSLATE(A5808 , ""auto"", ""ar"")"),"لكنك جئت لي للتو")</f>
        <v>لكنك جئت لي للتو</v>
      </c>
    </row>
    <row r="5809" ht="15.75" customHeight="1">
      <c r="A5809" s="12" t="s">
        <v>10599</v>
      </c>
      <c r="B5809" s="13" t="s">
        <v>10600</v>
      </c>
      <c r="C5809" s="14" t="s">
        <v>10601</v>
      </c>
      <c r="D5809" s="1" t="str">
        <f>IFERROR(__xludf.DUMMYFUNCTION("GOOGLETRANSLATE(A5809 , ""auto"", ""ar"")"),"لقد انتهيت منك")</f>
        <v>لقد انتهيت منك</v>
      </c>
    </row>
    <row r="5810" ht="15.75" customHeight="1">
      <c r="A5810" s="12" t="s">
        <v>10602</v>
      </c>
      <c r="B5810" s="13" t="s">
        <v>10603</v>
      </c>
      <c r="C5810" s="14" t="s">
        <v>10604</v>
      </c>
      <c r="D5810" s="1" t="str">
        <f>IFERROR(__xludf.DUMMYFUNCTION("GOOGLETRANSLATE(A5810 , ""auto"", ""ar"")"),"استمتع بالحياة")</f>
        <v>استمتع بالحياة</v>
      </c>
    </row>
    <row r="5811" ht="15.75" customHeight="1">
      <c r="A5811" s="12" t="s">
        <v>10605</v>
      </c>
      <c r="B5811" s="13" t="s">
        <v>10606</v>
      </c>
      <c r="C5811" s="14" t="s">
        <v>10607</v>
      </c>
      <c r="D5811" s="1" t="str">
        <f>IFERROR(__xludf.DUMMYFUNCTION("GOOGLETRANSLATE(A5811 , ""auto"", ""ar"")"),"انها جولي!")</f>
        <v>انها جولي!</v>
      </c>
    </row>
    <row r="5812" ht="15.75" customHeight="1">
      <c r="A5812" s="12" t="s">
        <v>10608</v>
      </c>
      <c r="B5812" s="13" t="s">
        <v>10609</v>
      </c>
      <c r="C5812" s="14" t="s">
        <v>10610</v>
      </c>
      <c r="D5812" s="1" t="str">
        <f>IFERROR(__xludf.DUMMYFUNCTION("GOOGLETRANSLATE(A5812 , ""auto"", ""ar"")"),"كنت أتصل بك عن عيد ميلادي")</f>
        <v>كنت أتصل بك عن عيد ميلادي</v>
      </c>
    </row>
    <row r="5813" ht="15.75" customHeight="1">
      <c r="A5813" s="12" t="s">
        <v>10611</v>
      </c>
      <c r="B5813" s="13" t="s">
        <v>10612</v>
      </c>
      <c r="C5813" s="14" t="s">
        <v>10613</v>
      </c>
      <c r="D5813" s="1" t="str">
        <f>IFERROR(__xludf.DUMMYFUNCTION("GOOGLETRANSLATE(A5813 , ""auto"", ""ar"")"),"كما تعلمون ، يوم السبت في حفلتي")</f>
        <v>كما تعلمون ، يوم السبت في حفلتي</v>
      </c>
    </row>
    <row r="5814" ht="15.75" customHeight="1">
      <c r="A5814" s="12" t="s">
        <v>10614</v>
      </c>
      <c r="B5814" s="13" t="s">
        <v>10615</v>
      </c>
      <c r="C5814" s="14" t="s">
        <v>10616</v>
      </c>
      <c r="D5814" s="1" t="str">
        <f>IFERROR(__xludf.DUMMYFUNCTION("GOOGLETRANSLATE(A5814 , ""auto"", ""ar"")"),"عرضت مساعدتي في المنظمة")</f>
        <v>عرضت مساعدتي في المنظمة</v>
      </c>
    </row>
    <row r="5815" ht="15.75" customHeight="1">
      <c r="A5815" s="12" t="s">
        <v>10617</v>
      </c>
      <c r="B5815" s="13" t="s">
        <v>10618</v>
      </c>
      <c r="C5815" s="14" t="s">
        <v>10619</v>
      </c>
      <c r="D5815" s="1" t="str">
        <f>IFERROR(__xludf.DUMMYFUNCTION("GOOGLETRANSLATE(A5815 , ""auto"", ""ar"")"),"في الواقع ، أود ذلك")</f>
        <v>في الواقع ، أود ذلك</v>
      </c>
    </row>
    <row r="5816" ht="15.75" customHeight="1">
      <c r="A5816" s="12" t="s">
        <v>10617</v>
      </c>
      <c r="B5816" s="13" t="s">
        <v>10620</v>
      </c>
      <c r="C5816" s="14" t="s">
        <v>10621</v>
      </c>
      <c r="D5816" s="1" t="str">
        <f>IFERROR(__xludf.DUMMYFUNCTION("GOOGLETRANSLATE(A5816 , ""auto"", ""ar"")"),"في الواقع ، أود ذلك")</f>
        <v>في الواقع ، أود ذلك</v>
      </c>
    </row>
    <row r="5817" ht="15.75" customHeight="1">
      <c r="A5817" s="12" t="s">
        <v>10622</v>
      </c>
      <c r="B5817" s="13" t="s">
        <v>10623</v>
      </c>
      <c r="C5817" s="14" t="s">
        <v>10624</v>
      </c>
      <c r="D5817" s="1" t="str">
        <f>IFERROR(__xludf.DUMMYFUNCTION("GOOGLETRANSLATE(A5817 , ""auto"", ""ar"")"),"إنه يتحول إلى جحيم حفلة!")</f>
        <v>إنه يتحول إلى جحيم حفلة!</v>
      </c>
    </row>
    <row r="5818" ht="15.75" customHeight="1">
      <c r="A5818" s="12" t="s">
        <v>10625</v>
      </c>
      <c r="B5818" s="13" t="s">
        <v>10626</v>
      </c>
      <c r="C5818" s="14" t="s">
        <v>10627</v>
      </c>
      <c r="D5818" s="1" t="str">
        <f>IFERROR(__xludf.DUMMYFUNCTION("GOOGLETRANSLATE(A5818 , ""auto"", ""ar"")"),"في أي وقت تريدني أن آتي؟")</f>
        <v>في أي وقت تريدني أن آتي؟</v>
      </c>
    </row>
    <row r="5819" ht="15.75" customHeight="1">
      <c r="A5819" s="12" t="s">
        <v>10628</v>
      </c>
      <c r="B5819" s="13" t="s">
        <v>10629</v>
      </c>
      <c r="C5819" s="14" t="s">
        <v>10630</v>
      </c>
      <c r="D5819" s="1" t="str">
        <f>IFERROR(__xludf.DUMMYFUNCTION("GOOGLETRANSLATE(A5819 , ""auto"", ""ar"")"),"إذا كان بإمكاننا أن يكون لدينا موعد قبل ساعتين ، فلن يكون الأمر سيئًا")</f>
        <v>إذا كان بإمكاننا أن يكون لدينا موعد قبل ساعتين ، فلن يكون الأمر سيئًا</v>
      </c>
    </row>
    <row r="5820" ht="15.75" customHeight="1">
      <c r="A5820" s="12" t="s">
        <v>10631</v>
      </c>
      <c r="B5820" s="13" t="s">
        <v>10632</v>
      </c>
      <c r="C5820" s="14" t="s">
        <v>10633</v>
      </c>
      <c r="D5820" s="1" t="str">
        <f>IFERROR(__xludf.DUMMYFUNCTION("GOOGLETRANSLATE(A5820 , ""auto"", ""ar"")"),"والمشروبات أيضًا")</f>
        <v>والمشروبات أيضًا</v>
      </c>
    </row>
    <row r="5821" ht="15.75" customHeight="1">
      <c r="A5821" s="12" t="s">
        <v>10634</v>
      </c>
      <c r="B5821" s="13" t="s">
        <v>10635</v>
      </c>
      <c r="C5821" s="14" t="s">
        <v>10636</v>
      </c>
      <c r="D5821" s="1" t="str">
        <f>IFERROR(__xludf.DUMMYFUNCTION("GOOGLETRANSLATE(A5821 , ""auto"", ""ar"")"),"إما في الداخل ، أو في الحديقة ، يعتمد في الوقت المحدد")</f>
        <v>إما في الداخل ، أو في الحديقة ، يعتمد في الوقت المحدد</v>
      </c>
    </row>
    <row r="5822" ht="15.75" customHeight="1">
      <c r="A5822" s="12" t="s">
        <v>10637</v>
      </c>
      <c r="B5822" s="13" t="s">
        <v>10638</v>
      </c>
      <c r="C5822" s="14" t="s">
        <v>10639</v>
      </c>
      <c r="D5822" s="1" t="str">
        <f>IFERROR(__xludf.DUMMYFUNCTION("GOOGLETRANSLATE(A5822 , ""auto"", ""ar"")"),"يمكن أن يعتمد قليلاً على الطقس")</f>
        <v>يمكن أن يعتمد قليلاً على الطقس</v>
      </c>
    </row>
    <row r="5823" ht="15.75" customHeight="1">
      <c r="A5823" s="12" t="s">
        <v>10640</v>
      </c>
      <c r="B5823" s="13" t="s">
        <v>10641</v>
      </c>
      <c r="C5823" s="14" t="s">
        <v>10642</v>
      </c>
      <c r="D5823" s="1" t="str">
        <f>IFERROR(__xludf.DUMMYFUNCTION("GOOGLETRANSLATE(A5823 , ""auto"", ""ar"")"),"هل تعرف ما هو التوقع؟")</f>
        <v>هل تعرف ما هو التوقع؟</v>
      </c>
    </row>
    <row r="5824" ht="15.75" customHeight="1">
      <c r="A5824" s="12" t="s">
        <v>10643</v>
      </c>
      <c r="B5824" s="13" t="s">
        <v>10644</v>
      </c>
      <c r="C5824" s="14" t="s">
        <v>10645</v>
      </c>
      <c r="D5824" s="1" t="str">
        <f>IFERROR(__xludf.DUMMYFUNCTION("GOOGLETRANSLATE(A5824 , ""auto"", ""ar"")"),"هل أحضر تلك البالونات الجميلة معي؟")</f>
        <v>هل أحضر تلك البالونات الجميلة معي؟</v>
      </c>
    </row>
    <row r="5825" ht="15.75" customHeight="1">
      <c r="A5825" s="12" t="s">
        <v>10646</v>
      </c>
      <c r="B5825" s="13" t="s">
        <v>10647</v>
      </c>
      <c r="C5825" s="14" t="s">
        <v>10648</v>
      </c>
      <c r="D5825" s="1" t="str">
        <f>IFERROR(__xludf.DUMMYFUNCTION("GOOGLETRANSLATE(A5825 , ""auto"", ""ar"")"),"بالونات ، نعم ، لماذا لا!")</f>
        <v>بالونات ، نعم ، لماذا لا!</v>
      </c>
    </row>
    <row r="5826" ht="15.75" customHeight="1">
      <c r="A5826" s="12" t="s">
        <v>10649</v>
      </c>
      <c r="B5826" s="13" t="s">
        <v>10650</v>
      </c>
      <c r="C5826" s="14" t="s">
        <v>10651</v>
      </c>
      <c r="D5826" s="1" t="str">
        <f>IFERROR(__xludf.DUMMYFUNCTION("GOOGLETRANSLATE(A5826 , ""auto"", ""ar"")"),"يتغير الطقس كل يوم ، من الصعب التنبؤ")</f>
        <v>يتغير الطقس كل يوم ، من الصعب التنبؤ</v>
      </c>
    </row>
    <row r="5827" ht="15.75" customHeight="1">
      <c r="A5827" s="12" t="s">
        <v>10652</v>
      </c>
      <c r="B5827" s="13" t="s">
        <v>10653</v>
      </c>
      <c r="C5827" s="14" t="s">
        <v>10654</v>
      </c>
      <c r="D5827" s="1" t="str">
        <f>IFERROR(__xludf.DUMMYFUNCTION("GOOGLETRANSLATE(A5827 , ""auto"", ""ar"")"),"الناس دائما مثل هذا")</f>
        <v>الناس دائما مثل هذا</v>
      </c>
    </row>
    <row r="5828" ht="15.75" customHeight="1">
      <c r="A5828" s="12" t="s">
        <v>10655</v>
      </c>
      <c r="B5828" s="13" t="s">
        <v>10656</v>
      </c>
      <c r="C5828" s="14" t="s">
        <v>10657</v>
      </c>
      <c r="D5828" s="1" t="str">
        <f>IFERROR(__xludf.DUMMYFUNCTION("GOOGLETRANSLATE(A5828 , ""auto"", ""ar"")"),"لكن يمكنني حقًا استخدام بعض المساعدة في ارتدائه وإعداده")</f>
        <v>لكن يمكنني حقًا استخدام بعض المساعدة في ارتدائه وإعداده</v>
      </c>
    </row>
    <row r="5829" ht="15.75" customHeight="1">
      <c r="A5829" s="12" t="s">
        <v>10658</v>
      </c>
      <c r="B5829" s="13" t="s">
        <v>10659</v>
      </c>
      <c r="C5829" s="14" t="s">
        <v>10660</v>
      </c>
      <c r="D5829" s="1" t="str">
        <f>IFERROR(__xludf.DUMMYFUNCTION("GOOGLETRANSLATE(A5829 , ""auto"", ""ar"")"),"هل كنت تشرب بالفعل؟")</f>
        <v>هل كنت تشرب بالفعل؟</v>
      </c>
    </row>
    <row r="5830" ht="15.75" customHeight="1">
      <c r="A5830" s="12" t="s">
        <v>10661</v>
      </c>
      <c r="B5830" s="13" t="s">
        <v>10662</v>
      </c>
      <c r="C5830" s="14" t="s">
        <v>10663</v>
      </c>
      <c r="D5830" s="1" t="str">
        <f>IFERROR(__xludf.DUMMYFUNCTION("GOOGLETRANSLATE(A5830 , ""auto"", ""ar"")"),"سيكون أمرا رائعا")</f>
        <v>سيكون أمرا رائعا</v>
      </c>
    </row>
    <row r="5831" ht="15.75" customHeight="1">
      <c r="A5831" s="12" t="s">
        <v>10664</v>
      </c>
      <c r="B5831" s="13" t="s">
        <v>10665</v>
      </c>
      <c r="C5831" s="14" t="s">
        <v>10666</v>
      </c>
      <c r="D5831" s="1" t="str">
        <f>IFERROR(__xludf.DUMMYFUNCTION("GOOGLETRANSLATE(A5831 , ""auto"", ""ar"")"),"هناك عدد قليل من البحارة القادمين")</f>
        <v>هناك عدد قليل من البحارة القادمين</v>
      </c>
    </row>
    <row r="5832" ht="15.75" customHeight="1">
      <c r="A5832" s="12" t="s">
        <v>10667</v>
      </c>
      <c r="B5832" s="13" t="s">
        <v>10668</v>
      </c>
      <c r="C5832" s="14" t="s">
        <v>10669</v>
      </c>
      <c r="D5832" s="1" t="str">
        <f>IFERROR(__xludf.DUMMYFUNCTION("GOOGLETRANSLATE(A5832 , ""auto"", ""ar"")"),"هل أحضر بعض النبيذ الأحمر أو الأبيض؟")</f>
        <v>هل أحضر بعض النبيذ الأحمر أو الأبيض؟</v>
      </c>
    </row>
    <row r="5833" ht="15.75" customHeight="1">
      <c r="A5833" s="12" t="s">
        <v>10670</v>
      </c>
      <c r="B5833" s="13" t="s">
        <v>10671</v>
      </c>
      <c r="C5833" s="14" t="s">
        <v>10672</v>
      </c>
      <c r="D5833" s="1" t="str">
        <f>IFERROR(__xludf.DUMMYFUNCTION("GOOGLETRANSLATE(A5833 , ""auto"", ""ar"")"),"او كلاهما؟")</f>
        <v>او كلاهما؟</v>
      </c>
    </row>
    <row r="5834" ht="15.75" customHeight="1">
      <c r="A5834" s="12" t="s">
        <v>10673</v>
      </c>
      <c r="B5834" s="13" t="s">
        <v>10674</v>
      </c>
      <c r="C5834" s="14" t="s">
        <v>10675</v>
      </c>
      <c r="D5834" s="1" t="str">
        <f>IFERROR(__xludf.DUMMYFUNCTION("GOOGLETRANSLATE(A5834 , ""auto"", ""ar"")"),"كلاهما!")</f>
        <v>كلاهما!</v>
      </c>
    </row>
    <row r="5835" ht="15.75" customHeight="1">
      <c r="A5835" s="12" t="s">
        <v>10676</v>
      </c>
      <c r="B5835" s="13" t="s">
        <v>10677</v>
      </c>
      <c r="C5835" s="14" t="s">
        <v>10678</v>
      </c>
      <c r="D5835" s="1" t="str">
        <f>IFERROR(__xludf.DUMMYFUNCTION("GOOGLETRANSLATE(A5835 , ""auto"", ""ar"")"),"إذا كان هناك بحارة ، فستكون هناك مجموعة واسعة من المشروبات")</f>
        <v>إذا كان هناك بحارة ، فستكون هناك مجموعة واسعة من المشروبات</v>
      </c>
    </row>
    <row r="5836" ht="15.75" customHeight="1">
      <c r="A5836" s="12" t="s">
        <v>10679</v>
      </c>
      <c r="B5836" s="13" t="s">
        <v>10680</v>
      </c>
      <c r="C5836" s="14" t="s">
        <v>10681</v>
      </c>
      <c r="D5836" s="1" t="str">
        <f>IFERROR(__xludf.DUMMYFUNCTION("GOOGLETRANSLATE(A5836 , ""auto"", ""ar"")"),"هل تعتقد أننا سنحتاج إلى كتاب؟")</f>
        <v>هل تعتقد أننا سنحتاج إلى كتاب؟</v>
      </c>
    </row>
    <row r="5837" ht="15.75" customHeight="1">
      <c r="A5837" s="12" t="s">
        <v>10682</v>
      </c>
      <c r="B5837" s="13" t="s">
        <v>10683</v>
      </c>
      <c r="C5837" s="14" t="s">
        <v>10684</v>
      </c>
      <c r="D5837" s="1" t="str">
        <f>IFERROR(__xludf.DUMMYFUNCTION("GOOGLETRANSLATE(A5837 , ""auto"", ""ar"")"),"البيرة أمر لا بد منه للبحارة")</f>
        <v>البيرة أمر لا بد منه للبحارة</v>
      </c>
    </row>
    <row r="5838" ht="15.75" customHeight="1">
      <c r="A5838" s="12" t="s">
        <v>10685</v>
      </c>
      <c r="B5838" s="13" t="s">
        <v>10686</v>
      </c>
      <c r="C5838" s="14" t="s">
        <v>10687</v>
      </c>
      <c r="D5838" s="1" t="str">
        <f>IFERROR(__xludf.DUMMYFUNCTION("GOOGLETRANSLATE(A5838 , ""auto"", ""ar"")"),"لا نريد أن نزعجهم ونتسبب في تمرد")</f>
        <v>لا نريد أن نزعجهم ونتسبب في تمرد</v>
      </c>
    </row>
    <row r="5839" ht="15.75" customHeight="1">
      <c r="A5839" s="12" t="s">
        <v>10688</v>
      </c>
      <c r="B5839" s="13" t="s">
        <v>10689</v>
      </c>
      <c r="C5839" s="14" t="s">
        <v>10690</v>
      </c>
      <c r="D5839" s="1" t="str">
        <f>IFERROR(__xludf.DUMMYFUNCTION("GOOGLETRANSLATE(A5839 , ""auto"", ""ar"")"),"أنا أحب البحارة ...")</f>
        <v>أنا أحب البحارة ...</v>
      </c>
    </row>
    <row r="5840" ht="15.75" customHeight="1">
      <c r="A5840" s="12" t="s">
        <v>10691</v>
      </c>
      <c r="B5840" s="13" t="s">
        <v>10692</v>
      </c>
      <c r="C5840" s="14" t="s">
        <v>10693</v>
      </c>
      <c r="D5840" s="1" t="str">
        <f>IFERROR(__xludf.DUMMYFUNCTION("GOOGLETRANSLATE(A5840 , ""auto"", ""ar"")"),"لكننا سنضطر إلى الابتزاز لهم")</f>
        <v>لكننا سنضطر إلى الابتزاز لهم</v>
      </c>
    </row>
    <row r="5841" ht="15.75" customHeight="1">
      <c r="A5841" s="12" t="s">
        <v>10694</v>
      </c>
      <c r="B5841" s="13" t="s">
        <v>10695</v>
      </c>
      <c r="C5841" s="14" t="s">
        <v>10696</v>
      </c>
      <c r="D5841" s="1" t="str">
        <f>IFERROR(__xludf.DUMMYFUNCTION("GOOGLETRANSLATE(A5841 , ""auto"", ""ar"")"),"هل هم في البحرية التجارية ، أم أنهم بعض القراصنة؟")</f>
        <v>هل هم في البحرية التجارية ، أم أنهم بعض القراصنة؟</v>
      </c>
    </row>
    <row r="5842" ht="15.75" customHeight="1">
      <c r="A5842" s="12" t="s">
        <v>10697</v>
      </c>
      <c r="B5842" s="13" t="s">
        <v>10698</v>
      </c>
      <c r="C5842" s="14" t="s">
        <v>10699</v>
      </c>
      <c r="D5842" s="1" t="str">
        <f>IFERROR(__xludf.DUMMYFUNCTION("GOOGLETRANSLATE(A5842 , ""auto"", ""ar"")"),"القراصنة هم الأفضل")</f>
        <v>القراصنة هم الأفضل</v>
      </c>
    </row>
    <row r="5843" ht="15.75" customHeight="1">
      <c r="A5843" s="12" t="s">
        <v>10700</v>
      </c>
      <c r="B5843" s="13" t="s">
        <v>10701</v>
      </c>
      <c r="C5843" s="14" t="s">
        <v>10702</v>
      </c>
      <c r="D5843" s="1" t="str">
        <f>IFERROR(__xludf.DUMMYFUNCTION("GOOGLETRANSLATE(A5843 , ""auto"", ""ar"")"),"أنا أحب البحارة أيضا")</f>
        <v>أنا أحب البحارة أيضا</v>
      </c>
    </row>
    <row r="5844" ht="15.75" customHeight="1">
      <c r="A5844" s="12" t="s">
        <v>10703</v>
      </c>
      <c r="B5844" s="13" t="s">
        <v>10704</v>
      </c>
      <c r="C5844" s="14" t="s">
        <v>10705</v>
      </c>
      <c r="D5844" s="1" t="str">
        <f>IFERROR(__xludf.DUMMYFUNCTION("GOOGLETRANSLATE(A5844 , ""auto"", ""ar"")"),"يمكننا ابتزازهم في الغناء")</f>
        <v>يمكننا ابتزازهم في الغناء</v>
      </c>
    </row>
    <row r="5845" ht="15.75" customHeight="1">
      <c r="A5845" s="12" t="s">
        <v>10706</v>
      </c>
      <c r="B5845" s="13" t="s">
        <v>10707</v>
      </c>
      <c r="C5845" s="14" t="s">
        <v>10708</v>
      </c>
      <c r="D5845" s="1" t="str">
        <f>IFERROR(__xludf.DUMMYFUNCTION("GOOGLETRANSLATE(A5845 , ""auto"", ""ar"")"),"هناك واحد أعرفه مع الكثير من الوشم ، وتصحيح على عينيه ، وببغاء على كتفه")</f>
        <v>هناك واحد أعرفه مع الكثير من الوشم ، وتصحيح على عينيه ، وببغاء على كتفه</v>
      </c>
    </row>
    <row r="5846" ht="15.75" customHeight="1">
      <c r="A5846" s="12" t="s">
        <v>10709</v>
      </c>
      <c r="B5846" s="13" t="s">
        <v>10710</v>
      </c>
      <c r="C5846" s="14" t="s">
        <v>10711</v>
      </c>
      <c r="D5846" s="1" t="str">
        <f>IFERROR(__xludf.DUMMYFUNCTION("GOOGLETRANSLATE(A5846 , ""auto"", ""ar"")"),"ربما هو قرصان؟")</f>
        <v>ربما هو قرصان؟</v>
      </c>
    </row>
    <row r="5847" ht="15.75" customHeight="1">
      <c r="A5847" s="12" t="s">
        <v>10712</v>
      </c>
      <c r="B5847" s="13" t="s">
        <v>10713</v>
      </c>
      <c r="C5847" s="14" t="s">
        <v>10714</v>
      </c>
      <c r="D5847" s="1" t="str">
        <f>IFERROR(__xludf.DUMMYFUNCTION("GOOGLETRANSLATE(A5847 , ""auto"", ""ar"")"),"وسنرقص!")</f>
        <v>وسنرقص!</v>
      </c>
    </row>
    <row r="5848" ht="15.75" customHeight="1">
      <c r="A5848" s="12" t="s">
        <v>10715</v>
      </c>
      <c r="B5848" s="13" t="s">
        <v>10716</v>
      </c>
      <c r="C5848" s="14" t="s">
        <v>10717</v>
      </c>
      <c r="D5848" s="1" t="str">
        <f>IFERROR(__xludf.DUMMYFUNCTION("GOOGLETRANSLATE(A5848 , ""auto"", ""ar"")"),"في الواقع ، فإنه يعطيني الكثير من الأفكار حول تزيين الأزياء!")</f>
        <v>في الواقع ، فإنه يعطيني الكثير من الأفكار حول تزيين الأزياء!</v>
      </c>
    </row>
    <row r="5849" ht="15.75" customHeight="1">
      <c r="A5849" s="12" t="s">
        <v>10718</v>
      </c>
      <c r="B5849" s="13" t="s">
        <v>10719</v>
      </c>
      <c r="C5849" s="14" t="s">
        <v>10720</v>
      </c>
      <c r="D5849" s="1" t="str">
        <f>IFERROR(__xludf.DUMMYFUNCTION("GOOGLETRANSLATE(A5849 , ""auto"", ""ar"")"),"عليك أن تعرفني")</f>
        <v>عليك أن تعرفني</v>
      </c>
    </row>
    <row r="5850" ht="15.75" customHeight="1">
      <c r="A5850" s="12" t="s">
        <v>10721</v>
      </c>
      <c r="B5850" s="13" t="s">
        <v>10722</v>
      </c>
      <c r="C5850" s="14" t="s">
        <v>10723</v>
      </c>
      <c r="D5850" s="1" t="str">
        <f>IFERROR(__xludf.DUMMYFUNCTION("GOOGLETRANSLATE(A5850 , ""auto"", ""ar"")"),"لديه ببغاء؟")</f>
        <v>لديه ببغاء؟</v>
      </c>
    </row>
    <row r="5851" ht="15.75" customHeight="1">
      <c r="A5851" s="12" t="s">
        <v>10724</v>
      </c>
      <c r="B5851" s="13" t="s">
        <v>10725</v>
      </c>
      <c r="C5851" s="14" t="s">
        <v>10726</v>
      </c>
      <c r="D5851" s="1" t="str">
        <f>IFERROR(__xludf.DUMMYFUNCTION("GOOGLETRANSLATE(A5851 , ""auto"", ""ar"")"),"أنا أفضل الببغاوات مع الوشم")</f>
        <v>أنا أفضل الببغاوات مع الوشم</v>
      </c>
    </row>
    <row r="5852" ht="15.75" customHeight="1">
      <c r="A5852" s="12" t="s">
        <v>10727</v>
      </c>
      <c r="B5852" s="13" t="s">
        <v>10728</v>
      </c>
      <c r="C5852" s="14" t="s">
        <v>10729</v>
      </c>
      <c r="D5852" s="1" t="str">
        <f>IFERROR(__xludf.DUMMYFUNCTION("GOOGLETRANSLATE(A5852 , ""auto"", ""ar"")"),"حسنًا ، سألقي نظرة على الزخارف وأعاود الاتصال بك قبل الحفلة")</f>
        <v>حسنًا ، سألقي نظرة على الزخارف وأعاود الاتصال بك قبل الحفلة</v>
      </c>
    </row>
    <row r="5853" ht="15.75" customHeight="1">
      <c r="A5853" s="12" t="s">
        <v>10730</v>
      </c>
      <c r="B5853" s="13" t="s">
        <v>10731</v>
      </c>
      <c r="C5853" s="14" t="s">
        <v>10732</v>
      </c>
      <c r="D5853" s="1" t="str">
        <f>IFERROR(__xludf.DUMMYFUNCTION("GOOGLETRANSLATE(A5853 , ""auto"", ""ar"")"),"شكرا لمساعدتك!")</f>
        <v>شكرا لمساعدتك!</v>
      </c>
    </row>
    <row r="5854" ht="15.75" customHeight="1">
      <c r="A5854" s="12" t="s">
        <v>10733</v>
      </c>
      <c r="B5854" s="13" t="s">
        <v>10734</v>
      </c>
      <c r="C5854" s="14" t="s">
        <v>10735</v>
      </c>
      <c r="D5854" s="1" t="str">
        <f>IFERROR(__xludf.DUMMYFUNCTION("GOOGLETRANSLATE(A5854 , ""auto"", ""ar"")"),"وإذا حصلت على أي أفكار ، فلا تتردد في الاتصال بي مرة أخرى")</f>
        <v>وإذا حصلت على أي أفكار ، فلا تتردد في الاتصال بي مرة أخرى</v>
      </c>
    </row>
    <row r="5855" ht="15.75" customHeight="1">
      <c r="A5855" s="12" t="s">
        <v>10736</v>
      </c>
      <c r="B5855" s="13" t="s">
        <v>10737</v>
      </c>
      <c r="C5855" s="14" t="s">
        <v>10738</v>
      </c>
      <c r="D5855" s="1" t="str">
        <f>IFERROR(__xludf.DUMMYFUNCTION("GOOGLETRANSLATE(A5855 , ""auto"", ""ar"")"),"أنا سأذهب!")</f>
        <v>أنا سأذهب!</v>
      </c>
    </row>
    <row r="5856" ht="15.75" customHeight="1">
      <c r="A5856" s="12" t="s">
        <v>10736</v>
      </c>
      <c r="B5856" s="13" t="s">
        <v>10739</v>
      </c>
      <c r="C5856" s="14" t="s">
        <v>10740</v>
      </c>
      <c r="D5856" s="1" t="str">
        <f>IFERROR(__xludf.DUMMYFUNCTION("GOOGLETRANSLATE(A5856 , ""auto"", ""ar"")"),"أنا سأذهب!")</f>
        <v>أنا سأذهب!</v>
      </c>
    </row>
    <row r="5857" ht="15.75" customHeight="1">
      <c r="A5857" s="12" t="s">
        <v>10741</v>
      </c>
      <c r="B5857" s="13" t="s">
        <v>10742</v>
      </c>
      <c r="C5857" s="14" t="s">
        <v>10743</v>
      </c>
      <c r="D5857" s="1" t="str">
        <f>IFERROR(__xludf.DUMMYFUNCTION("GOOGLETRANSLATE(A5857 , ""auto"", ""ar"")"),"هل انت بخير يا عزيزتي")</f>
        <v>هل انت بخير يا عزيزتي</v>
      </c>
    </row>
    <row r="5858" ht="15.75" customHeight="1">
      <c r="A5858" s="12" t="s">
        <v>10741</v>
      </c>
      <c r="B5858" s="13" t="s">
        <v>10744</v>
      </c>
      <c r="C5858" s="14" t="s">
        <v>10745</v>
      </c>
      <c r="D5858" s="1" t="str">
        <f>IFERROR(__xludf.DUMMYFUNCTION("GOOGLETRANSLATE(A5858 , ""auto"", ""ar"")"),"هل انت بخير يا عزيزتي")</f>
        <v>هل انت بخير يا عزيزتي</v>
      </c>
    </row>
    <row r="5859" ht="15.75" customHeight="1">
      <c r="A5859" s="12" t="s">
        <v>10746</v>
      </c>
      <c r="B5859" s="13" t="s">
        <v>10747</v>
      </c>
      <c r="C5859" s="14" t="s">
        <v>10748</v>
      </c>
      <c r="D5859" s="1" t="str">
        <f>IFERROR(__xludf.DUMMYFUNCTION("GOOGLETRANSLATE(A5859 , ""auto"", ""ar"")"),"أنت لا تبدو وكأنك في مزاج جيد")</f>
        <v>أنت لا تبدو وكأنك في مزاج جيد</v>
      </c>
    </row>
    <row r="5860" ht="15.75" customHeight="1">
      <c r="A5860" s="12" t="s">
        <v>10749</v>
      </c>
      <c r="B5860" s="13" t="s">
        <v>10750</v>
      </c>
      <c r="C5860" s="14" t="s">
        <v>10751</v>
      </c>
      <c r="D5860" s="1" t="str">
        <f>IFERROR(__xludf.DUMMYFUNCTION("GOOGLETRANSLATE(A5860 , ""auto"", ""ar"")"),"لن تصدق اليوم الذي تلقيته")</f>
        <v>لن تصدق اليوم الذي تلقيته</v>
      </c>
    </row>
    <row r="5861" ht="15.75" customHeight="1">
      <c r="A5861" s="12" t="s">
        <v>10749</v>
      </c>
      <c r="B5861" s="13" t="s">
        <v>10752</v>
      </c>
      <c r="C5861" s="14" t="s">
        <v>10753</v>
      </c>
      <c r="D5861" s="1" t="str">
        <f>IFERROR(__xludf.DUMMYFUNCTION("GOOGLETRANSLATE(A5861 , ""auto"", ""ar"")"),"لن تصدق اليوم الذي تلقيته")</f>
        <v>لن تصدق اليوم الذي تلقيته</v>
      </c>
    </row>
    <row r="5862" ht="15.75" customHeight="1">
      <c r="A5862" s="12" t="s">
        <v>10754</v>
      </c>
      <c r="B5862" s="13" t="s">
        <v>10755</v>
      </c>
      <c r="C5862" s="14" t="s">
        <v>10756</v>
      </c>
      <c r="D5862" s="1" t="str">
        <f>IFERROR(__xludf.DUMMYFUNCTION("GOOGLETRANSLATE(A5862 , ""auto"", ""ar"")"),"لا أريد العودة إلى العمل مرة أخرى!")</f>
        <v>لا أريد العودة إلى العمل مرة أخرى!</v>
      </c>
    </row>
    <row r="5863" ht="15.75" customHeight="1">
      <c r="A5863" s="12" t="s">
        <v>10757</v>
      </c>
      <c r="B5863" s="13" t="s">
        <v>10758</v>
      </c>
      <c r="C5863" s="14" t="s">
        <v>10759</v>
      </c>
      <c r="D5863" s="1" t="str">
        <f>IFERROR(__xludf.DUMMYFUNCTION("GOOGLETRANSLATE(A5863 , ""auto"", ""ar"")"),"كل ما يمكن أن يحدث خطأ خطأ")</f>
        <v>كل ما يمكن أن يحدث خطأ خطأ</v>
      </c>
    </row>
    <row r="5864" ht="15.75" customHeight="1">
      <c r="A5864" s="12" t="s">
        <v>10760</v>
      </c>
      <c r="B5864" s="13" t="s">
        <v>10761</v>
      </c>
      <c r="C5864" s="14" t="s">
        <v>10762</v>
      </c>
      <c r="D5864" s="1" t="str">
        <f>IFERROR(__xludf.DUMMYFUNCTION("GOOGLETRANSLATE(A5864 , ""auto"", ""ar"")"),"أعني أنني حتى أن شعري عالق في التصوير!")</f>
        <v>أعني أنني حتى أن شعري عالق في التصوير!</v>
      </c>
    </row>
    <row r="5865" ht="15.75" customHeight="1">
      <c r="A5865" s="12" t="s">
        <v>10763</v>
      </c>
      <c r="B5865" s="13" t="s">
        <v>10764</v>
      </c>
      <c r="C5865" s="14" t="s">
        <v>10765</v>
      </c>
      <c r="D5865" s="1" t="str">
        <f>IFERROR(__xludf.DUMMYFUNCTION("GOOGLETRANSLATE(A5865 , ""auto"", ""ar"")"),"اوه ايها المسكين")</f>
        <v>اوه ايها المسكين</v>
      </c>
    </row>
    <row r="5866" ht="15.75" customHeight="1">
      <c r="A5866" s="12" t="s">
        <v>10766</v>
      </c>
      <c r="B5866" s="13" t="s">
        <v>10767</v>
      </c>
      <c r="C5866" s="14" t="s">
        <v>10768</v>
      </c>
      <c r="D5866" s="1" t="str">
        <f>IFERROR(__xludf.DUMMYFUNCTION("GOOGLETRANSLATE(A5866 , ""auto"", ""ar"")"),"جاء شخص ما لإنقاذني ، لحسن الحظ")</f>
        <v>جاء شخص ما لإنقاذني ، لحسن الحظ</v>
      </c>
    </row>
    <row r="5867" ht="15.75" customHeight="1">
      <c r="A5867" s="12" t="s">
        <v>10769</v>
      </c>
      <c r="B5867" s="13" t="s">
        <v>10770</v>
      </c>
      <c r="C5867" s="14" t="s">
        <v>10771</v>
      </c>
      <c r="D5867" s="1" t="str">
        <f>IFERROR(__xludf.DUMMYFUNCTION("GOOGLETRANSLATE(A5867 , ""auto"", ""ar"")"),"يبدو أن كل شيء قد حدث خطأ اليوم ...")</f>
        <v>يبدو أن كل شيء قد حدث خطأ اليوم ...</v>
      </c>
    </row>
    <row r="5868" ht="15.75" customHeight="1">
      <c r="A5868" s="12" t="s">
        <v>10772</v>
      </c>
      <c r="B5868" s="13" t="s">
        <v>10773</v>
      </c>
      <c r="C5868" s="14" t="s">
        <v>10774</v>
      </c>
      <c r="D5868" s="1" t="str">
        <f>IFERROR(__xludf.DUMMYFUNCTION("GOOGLETRANSLATE(A5868 , ""auto"", ""ar"")"),"حتى تمكنت من تسرب القهوة على مديري")</f>
        <v>حتى تمكنت من تسرب القهوة على مديري</v>
      </c>
    </row>
    <row r="5869" ht="15.75" customHeight="1">
      <c r="A5869" s="12" t="s">
        <v>10775</v>
      </c>
      <c r="B5869" s="13" t="s">
        <v>10776</v>
      </c>
      <c r="C5869" s="14" t="s">
        <v>10777</v>
      </c>
      <c r="D5869" s="1" t="str">
        <f>IFERROR(__xludf.DUMMYFUNCTION("GOOGLETRANSLATE(A5869 , ""auto"", ""ar"")"),"من لم يكن سعيدًا جدًا")</f>
        <v>من لم يكن سعيدًا جدًا</v>
      </c>
    </row>
    <row r="5870" ht="15.75" customHeight="1">
      <c r="A5870" s="12" t="s">
        <v>10778</v>
      </c>
      <c r="B5870" s="13" t="s">
        <v>10779</v>
      </c>
      <c r="C5870" s="14" t="s">
        <v>10780</v>
      </c>
      <c r="D5870" s="1" t="str">
        <f>IFERROR(__xludf.DUMMYFUNCTION("GOOGLETRANSLATE(A5870 , ""auto"", ""ar"")"),"أعني أنه لم يكن خطأي حقًا ...")</f>
        <v>أعني أنه لم يكن خطأي حقًا ...</v>
      </c>
    </row>
    <row r="5871" ht="15.75" customHeight="1">
      <c r="A5871" s="12" t="s">
        <v>10781</v>
      </c>
      <c r="B5871" s="13" t="s">
        <v>10781</v>
      </c>
      <c r="C5871" s="14" t="s">
        <v>10782</v>
      </c>
      <c r="D5871" s="1" t="str">
        <f>IFERROR(__xludf.DUMMYFUNCTION("GOOGLETRANSLATE(A5871 , ""auto"", ""ar"")"),"أوتش!")</f>
        <v>أوتش!</v>
      </c>
    </row>
    <row r="5872" ht="15.75" customHeight="1">
      <c r="A5872" s="12" t="s">
        <v>10783</v>
      </c>
      <c r="B5872" s="13" t="s">
        <v>10784</v>
      </c>
      <c r="C5872" s="14" t="s">
        <v>10785</v>
      </c>
      <c r="D5872" s="1" t="str">
        <f>IFERROR(__xludf.DUMMYFUNCTION("GOOGLETRANSLATE(A5872 , ""auto"", ""ar"")"),"هذا هو نوع اليوم الذي كنا نفضله عدم الاستيقاظ في الصباح")</f>
        <v>هذا هو نوع اليوم الذي كنا نفضله عدم الاستيقاظ في الصباح</v>
      </c>
    </row>
    <row r="5873" ht="15.75" customHeight="1">
      <c r="A5873" s="12" t="s">
        <v>10786</v>
      </c>
      <c r="B5873" s="13" t="s">
        <v>10787</v>
      </c>
      <c r="C5873" s="14" t="s">
        <v>10788</v>
      </c>
      <c r="D5873" s="1" t="str">
        <f>IFERROR(__xludf.DUMMYFUNCTION("GOOGLETRANSLATE(A5873 , ""auto"", ""ar"")"),"هل من الجيد أن تكون جيدًا؟")</f>
        <v>هل من الجيد أن تكون جيدًا؟</v>
      </c>
    </row>
    <row r="5874" ht="15.75" customHeight="1">
      <c r="A5874" s="12" t="s">
        <v>10789</v>
      </c>
      <c r="B5874" s="13" t="s">
        <v>10790</v>
      </c>
      <c r="C5874" s="14" t="s">
        <v>10791</v>
      </c>
      <c r="D5874" s="1" t="str">
        <f>IFERROR(__xludf.DUMMYFUNCTION("GOOGLETRANSLATE(A5874 , ""auto"", ""ar"")"),"أو بيرة جيدة؟")</f>
        <v>أو بيرة جيدة؟</v>
      </c>
    </row>
    <row r="5875" ht="15.75" customHeight="1">
      <c r="A5875" s="12" t="s">
        <v>10792</v>
      </c>
      <c r="B5875" s="13" t="s">
        <v>10793</v>
      </c>
      <c r="C5875" s="14" t="s">
        <v>10794</v>
      </c>
      <c r="D5875" s="1" t="str">
        <f>IFERROR(__xludf.DUMMYFUNCTION("GOOGLETRANSLATE(A5875 , ""auto"", ""ar"")"),"آه نعم من فضلك!")</f>
        <v>آه نعم من فضلك!</v>
      </c>
    </row>
    <row r="5876" ht="15.75" customHeight="1">
      <c r="A5876" s="12" t="s">
        <v>10795</v>
      </c>
      <c r="B5876" s="13" t="s">
        <v>10796</v>
      </c>
      <c r="C5876" s="14" t="s">
        <v>10797</v>
      </c>
      <c r="D5876" s="1" t="str">
        <f>IFERROR(__xludf.DUMMYFUNCTION("GOOGLETRANSLATE(A5876 , ""auto"", ""ar"")"),"للتدليك ، وليس للبيرة")</f>
        <v>للتدليك ، وليس للبيرة</v>
      </c>
    </row>
    <row r="5877" ht="15.75" customHeight="1">
      <c r="A5877" s="12" t="s">
        <v>10798</v>
      </c>
      <c r="B5877" s="13" t="s">
        <v>10799</v>
      </c>
      <c r="C5877" s="14" t="s">
        <v>10800</v>
      </c>
      <c r="D5877" s="1" t="str">
        <f>IFERROR(__xludf.DUMMYFUNCTION("GOOGLETRANSLATE(A5877 , ""auto"", ""ar"")"),"على الرغم من أنني لا أمانع بعض الروم الجيد")</f>
        <v>على الرغم من أنني لا أمانع بعض الروم الجيد</v>
      </c>
    </row>
    <row r="5878" ht="15.75" customHeight="1">
      <c r="A5878" s="12" t="s">
        <v>10801</v>
      </c>
      <c r="B5878" s="13" t="s">
        <v>10802</v>
      </c>
      <c r="C5878" s="14" t="s">
        <v>10803</v>
      </c>
      <c r="D5878" s="1" t="str">
        <f>IFERROR(__xludf.DUMMYFUNCTION("GOOGLETRANSLATE(A5878 , ""auto"", ""ar"")"),"حسنًا للتدليك والروم")</f>
        <v>حسنًا للتدليك والروم</v>
      </c>
    </row>
    <row r="5879" ht="15.75" customHeight="1">
      <c r="A5879" s="12" t="s">
        <v>10804</v>
      </c>
      <c r="B5879" s="13" t="s">
        <v>10805</v>
      </c>
      <c r="C5879" s="14" t="s">
        <v>10806</v>
      </c>
      <c r="D5879" s="1" t="str">
        <f>IFERROR(__xludf.DUMMYFUNCTION("GOOGLETRANSLATE(A5879 , ""auto"", ""ar"")"),"وماذا قال رئيسك؟")</f>
        <v>وماذا قال رئيسك؟</v>
      </c>
    </row>
    <row r="5880" ht="15.75" customHeight="1">
      <c r="A5880" s="12" t="s">
        <v>10807</v>
      </c>
      <c r="B5880" s="13" t="s">
        <v>10808</v>
      </c>
      <c r="C5880" s="14" t="s">
        <v>10809</v>
      </c>
      <c r="D5880" s="1" t="str">
        <f>IFERROR(__xludf.DUMMYFUNCTION("GOOGLETRANSLATE(A5880 , ""auto"", ""ar"")"),"كان غاضبًا منك؟")</f>
        <v>كان غاضبًا منك؟</v>
      </c>
    </row>
    <row r="5881" ht="15.75" customHeight="1">
      <c r="A5881" s="12" t="s">
        <v>10807</v>
      </c>
      <c r="B5881" s="13" t="s">
        <v>10810</v>
      </c>
      <c r="C5881" s="14" t="s">
        <v>10811</v>
      </c>
      <c r="D5881" s="1" t="str">
        <f>IFERROR(__xludf.DUMMYFUNCTION("GOOGLETRANSLATE(A5881 , ""auto"", ""ar"")"),"كان غاضبًا منك؟")</f>
        <v>كان غاضبًا منك؟</v>
      </c>
    </row>
    <row r="5882" ht="15.75" customHeight="1">
      <c r="A5882" s="12" t="s">
        <v>10812</v>
      </c>
      <c r="B5882" s="13" t="s">
        <v>10813</v>
      </c>
      <c r="C5882" s="14" t="s">
        <v>10814</v>
      </c>
      <c r="D5882" s="1" t="str">
        <f>IFERROR(__xludf.DUMMYFUNCTION("GOOGLETRANSLATE(A5882 , ""auto"", ""ar"")"),"بعد أن انتهى")</f>
        <v>بعد أن انتهى</v>
      </c>
    </row>
    <row r="5883" ht="15.75" customHeight="1">
      <c r="A5883" s="12" t="s">
        <v>10815</v>
      </c>
      <c r="B5883" s="13" t="s">
        <v>10816</v>
      </c>
      <c r="C5883" s="14" t="s">
        <v>10817</v>
      </c>
      <c r="D5883" s="1" t="str">
        <f>IFERROR(__xludf.DUMMYFUNCTION("GOOGLETRANSLATE(A5883 , ""auto"", ""ar"")"),"لقد قال شيئًا ليس لطيفًا بشكل خاص")</f>
        <v>لقد قال شيئًا ليس لطيفًا بشكل خاص</v>
      </c>
    </row>
    <row r="5884" ht="15.75" customHeight="1">
      <c r="A5884" s="12" t="s">
        <v>10818</v>
      </c>
      <c r="B5884" s="13" t="s">
        <v>10819</v>
      </c>
      <c r="C5884" s="14" t="s">
        <v>10820</v>
      </c>
      <c r="D5884" s="1" t="str">
        <f>IFERROR(__xludf.DUMMYFUNCTION("GOOGLETRANSLATE(A5884 , ""auto"", ""ar"")"),"شيء عن قميصه الجديد")</f>
        <v>شيء عن قميصه الجديد</v>
      </c>
    </row>
    <row r="5885" ht="15.75" customHeight="1">
      <c r="A5885" s="12" t="s">
        <v>10821</v>
      </c>
      <c r="B5885" s="13" t="s">
        <v>10822</v>
      </c>
      <c r="C5885" s="14" t="s">
        <v>10823</v>
      </c>
      <c r="D5885" s="1" t="str">
        <f>IFERROR(__xludf.DUMMYFUNCTION("GOOGLETRANSLATE(A5885 , ""auto"", ""ar"")"),"حسنًا ، لم يكن بإمكانه حقًا أن أطلقني لذلك")</f>
        <v>حسنًا ، لم يكن بإمكانه حقًا أن أطلقني لذلك</v>
      </c>
    </row>
    <row r="5886" ht="15.75" customHeight="1">
      <c r="A5886" s="12" t="s">
        <v>10824</v>
      </c>
      <c r="B5886" s="13" t="s">
        <v>10825</v>
      </c>
      <c r="C5886" s="14" t="s">
        <v>10826</v>
      </c>
      <c r="D5886" s="1" t="str">
        <f>IFERROR(__xludf.DUMMYFUNCTION("GOOGLETRANSLATE(A5886 , ""auto"", ""ar"")"),"أمام المكتب بأكمله")</f>
        <v>أمام المكتب بأكمله</v>
      </c>
    </row>
    <row r="5887" ht="15.75" customHeight="1">
      <c r="A5887" s="12" t="s">
        <v>10827</v>
      </c>
      <c r="B5887" s="13" t="s">
        <v>10828</v>
      </c>
      <c r="C5887" s="14" t="s">
        <v>10829</v>
      </c>
      <c r="D5887" s="1" t="str">
        <f>IFERROR(__xludf.DUMMYFUNCTION("GOOGLETRANSLATE(A5887 , ""auto"", ""ar"")"),"لا بأس ، مع كل ما يفوز به ، سوف يشتري واحدة أخرى!")</f>
        <v>لا بأس ، مع كل ما يفوز به ، سوف يشتري واحدة أخرى!</v>
      </c>
    </row>
    <row r="5888" ht="15.75" customHeight="1">
      <c r="A5888" s="12" t="s">
        <v>10830</v>
      </c>
      <c r="B5888" s="13" t="s">
        <v>10831</v>
      </c>
      <c r="C5888" s="14" t="s">
        <v>10832</v>
      </c>
      <c r="D5888" s="1" t="str">
        <f>IFERROR(__xludf.DUMMYFUNCTION("GOOGLETRANSLATE(A5888 , ""auto"", ""ar"")"),"وبعد ذلك يمكن أن يحدث لأي شخص!")</f>
        <v>وبعد ذلك يمكن أن يحدث لأي شخص!</v>
      </c>
    </row>
    <row r="5889" ht="15.75" customHeight="1">
      <c r="A5889" s="12" t="s">
        <v>10833</v>
      </c>
      <c r="B5889" s="13" t="s">
        <v>10834</v>
      </c>
      <c r="C5889" s="14" t="s">
        <v>10835</v>
      </c>
      <c r="D5889" s="1" t="str">
        <f>IFERROR(__xludf.DUMMYFUNCTION("GOOGLETRANSLATE(A5889 , ""auto"", ""ar"")"),"على أي حال ، لقد كان رئيسك دائمًا لطيفًا معك")</f>
        <v>على أي حال ، لقد كان رئيسك دائمًا لطيفًا معك</v>
      </c>
    </row>
    <row r="5890" ht="15.75" customHeight="1">
      <c r="A5890" s="12" t="s">
        <v>10836</v>
      </c>
      <c r="B5890" s="13" t="s">
        <v>10837</v>
      </c>
      <c r="C5890" s="14" t="s">
        <v>10838</v>
      </c>
      <c r="D5890" s="1" t="str">
        <f>IFERROR(__xludf.DUMMYFUNCTION("GOOGLETRANSLATE(A5890 , ""auto"", ""ar"")"),"أليس هذا غريب بعض الشيء؟")</f>
        <v>أليس هذا غريب بعض الشيء؟</v>
      </c>
    </row>
    <row r="5891" ht="15.75" customHeight="1">
      <c r="A5891" s="12" t="s">
        <v>10836</v>
      </c>
      <c r="B5891" s="13" t="s">
        <v>10839</v>
      </c>
      <c r="C5891" s="14" t="s">
        <v>10840</v>
      </c>
      <c r="D5891" s="1" t="str">
        <f>IFERROR(__xludf.DUMMYFUNCTION("GOOGLETRANSLATE(A5891 , ""auto"", ""ar"")"),"أليس هذا غريب بعض الشيء؟")</f>
        <v>أليس هذا غريب بعض الشيء؟</v>
      </c>
    </row>
    <row r="5892" ht="15.75" customHeight="1">
      <c r="A5892" s="12" t="s">
        <v>10841</v>
      </c>
      <c r="B5892" s="13" t="s">
        <v>10842</v>
      </c>
      <c r="C5892" s="14" t="s">
        <v>10843</v>
      </c>
      <c r="D5892" s="1" t="str">
        <f>IFERROR(__xludf.DUMMYFUNCTION("GOOGLETRANSLATE(A5892 , ""auto"", ""ar"")"),"أعني أنه مرتين في عمري")</f>
        <v>أعني أنه مرتين في عمري</v>
      </c>
    </row>
    <row r="5893" ht="15.75" customHeight="1">
      <c r="A5893" s="12" t="s">
        <v>10841</v>
      </c>
      <c r="B5893" s="13" t="s">
        <v>10844</v>
      </c>
      <c r="C5893" s="14" t="s">
        <v>10845</v>
      </c>
      <c r="D5893" s="1" t="str">
        <f>IFERROR(__xludf.DUMMYFUNCTION("GOOGLETRANSLATE(A5893 , ""auto"", ""ar"")"),"أعني أنه مرتين في عمري")</f>
        <v>أعني أنه مرتين في عمري</v>
      </c>
    </row>
    <row r="5894" ht="15.75" customHeight="1">
      <c r="A5894" s="12" t="s">
        <v>10846</v>
      </c>
      <c r="B5894" s="13" t="s">
        <v>10847</v>
      </c>
      <c r="C5894" s="14" t="s">
        <v>10848</v>
      </c>
      <c r="D5894" s="1" t="str">
        <f>IFERROR(__xludf.DUMMYFUNCTION("GOOGLETRANSLATE(A5894 , ""auto"", ""ar"")"),"وهذا سيكون غير مناسب بعض الشيء")</f>
        <v>وهذا سيكون غير مناسب بعض الشيء</v>
      </c>
    </row>
    <row r="5895" ht="15.75" customHeight="1">
      <c r="A5895" s="12" t="s">
        <v>10849</v>
      </c>
      <c r="B5895" s="13" t="s">
        <v>10850</v>
      </c>
      <c r="C5895" s="14" t="s">
        <v>10851</v>
      </c>
      <c r="D5895" s="1" t="str">
        <f>IFERROR(__xludf.DUMMYFUNCTION("GOOGLETRANSLATE(A5895 , ""auto"", ""ar"")"),"ربما لهذا السبب لا يحبني أيخا")</f>
        <v>ربما لهذا السبب لا يحبني أيخا</v>
      </c>
    </row>
    <row r="5896" ht="15.75" customHeight="1">
      <c r="A5896" s="12" t="s">
        <v>10852</v>
      </c>
      <c r="B5896" s="13" t="s">
        <v>10853</v>
      </c>
      <c r="C5896" s="14" t="s">
        <v>10854</v>
      </c>
      <c r="D5896" s="1" t="str">
        <f>IFERROR(__xludf.DUMMYFUNCTION("GOOGLETRANSLATE(A5896 , ""auto"", ""ar"")"),"لماذا تعتقد أنها لا تحبك؟")</f>
        <v>لماذا تعتقد أنها لا تحبك؟</v>
      </c>
    </row>
    <row r="5897" ht="15.75" customHeight="1">
      <c r="A5897" s="12" t="s">
        <v>10855</v>
      </c>
      <c r="B5897" s="13" t="s">
        <v>10856</v>
      </c>
      <c r="C5897" s="14" t="s">
        <v>10857</v>
      </c>
      <c r="D5897" s="1" t="str">
        <f>IFERROR(__xludf.DUMMYFUNCTION("GOOGLETRANSLATE(A5897 , ""auto"", ""ar"")"),"ألست أنك بجنون العظمة قليلا؟")</f>
        <v>ألست أنك بجنون العظمة قليلا؟</v>
      </c>
    </row>
    <row r="5898" ht="15.75" customHeight="1">
      <c r="A5898" s="12" t="s">
        <v>10858</v>
      </c>
      <c r="B5898" s="13" t="s">
        <v>10859</v>
      </c>
      <c r="C5898" s="14" t="s">
        <v>10860</v>
      </c>
      <c r="D5898" s="1" t="str">
        <f>IFERROR(__xludf.DUMMYFUNCTION("GOOGLETRANSLATE(A5898 , ""auto"", ""ar"")"),"اسمحوا لي أن أشير إلى ذلك")</f>
        <v>اسمحوا لي أن أشير إلى ذلك</v>
      </c>
    </row>
    <row r="5899" ht="15.75" customHeight="1">
      <c r="A5899" s="12" t="s">
        <v>10861</v>
      </c>
      <c r="B5899" s="13" t="s">
        <v>10862</v>
      </c>
      <c r="C5899" s="14" t="s">
        <v>10863</v>
      </c>
      <c r="D5899" s="1" t="str">
        <f>IFERROR(__xludf.DUMMYFUNCTION("GOOGLETRANSLATE(A5899 , ""auto"", ""ar"")"),"أنت في الزجاجة الخامسة")</f>
        <v>أنت في الزجاجة الخامسة</v>
      </c>
    </row>
    <row r="5900" ht="15.75" customHeight="1">
      <c r="A5900" s="12" t="s">
        <v>10864</v>
      </c>
      <c r="B5900" s="13" t="s">
        <v>10865</v>
      </c>
      <c r="C5900" s="14" t="s">
        <v>10866</v>
      </c>
      <c r="D5900" s="1" t="str">
        <f>IFERROR(__xludf.DUMMYFUNCTION("GOOGLETRANSLATE(A5900 , ""auto"", ""ar"")"),"هل هذا كل شيء!")</f>
        <v>هل هذا كل شيء!</v>
      </c>
    </row>
    <row r="5901" ht="15.75" customHeight="1">
      <c r="A5901" s="12" t="s">
        <v>10867</v>
      </c>
      <c r="B5901" s="13" t="s">
        <v>10868</v>
      </c>
      <c r="C5901" s="14" t="s">
        <v>10869</v>
      </c>
      <c r="D5901" s="1" t="str">
        <f>IFERROR(__xludf.DUMMYFUNCTION("GOOGLETRANSLATE(A5901 , ""auto"", ""ar"")"),"هل يمكنني أيضًا إلقاء نظرة على قائمة الطعام")</f>
        <v>هل يمكنني أيضًا إلقاء نظرة على قائمة الطعام</v>
      </c>
    </row>
    <row r="5902" ht="15.75" customHeight="1">
      <c r="A5902" s="12" t="s">
        <v>10870</v>
      </c>
      <c r="B5902" s="13" t="s">
        <v>10871</v>
      </c>
      <c r="C5902" s="14" t="s">
        <v>10872</v>
      </c>
      <c r="D5902" s="1" t="str">
        <f>IFERROR(__xludf.DUMMYFUNCTION("GOOGLETRANSLATE(A5902 , ""auto"", ""ar"")"),"ربما يجب أن آكل شيئًا")</f>
        <v>ربما يجب أن آكل شيئًا</v>
      </c>
    </row>
    <row r="5903" ht="15.75" customHeight="1">
      <c r="A5903" s="12" t="s">
        <v>10873</v>
      </c>
      <c r="B5903" s="13" t="s">
        <v>10874</v>
      </c>
      <c r="C5903" s="14" t="s">
        <v>10875</v>
      </c>
      <c r="D5903" s="1" t="str">
        <f>IFERROR(__xludf.DUMMYFUNCTION("GOOGLETRANSLATE(A5903 , ""auto"", ""ar"")"),"نعم ، تناول شيء ما بالماء المعدني فكرة جيدة")</f>
        <v>نعم ، تناول شيء ما بالماء المعدني فكرة جيدة</v>
      </c>
    </row>
    <row r="5904" ht="15.75" customHeight="1">
      <c r="A5904" s="12" t="s">
        <v>10876</v>
      </c>
      <c r="B5904" s="13" t="s">
        <v>10877</v>
      </c>
      <c r="C5904" s="14" t="s">
        <v>10878</v>
      </c>
      <c r="D5904" s="1" t="str">
        <f>IFERROR(__xludf.DUMMYFUNCTION("GOOGLETRANSLATE(A5904 , ""auto"", ""ar"")"),"تفضل القائمة")</f>
        <v>تفضل القائمة</v>
      </c>
    </row>
    <row r="5905" ht="15.75" customHeight="1">
      <c r="A5905" s="12" t="s">
        <v>10876</v>
      </c>
      <c r="B5905" s="13" t="s">
        <v>10879</v>
      </c>
      <c r="C5905" s="14" t="s">
        <v>10880</v>
      </c>
      <c r="D5905" s="1" t="str">
        <f>IFERROR(__xludf.DUMMYFUNCTION("GOOGLETRANSLATE(A5905 , ""auto"", ""ar"")"),"تفضل القائمة")</f>
        <v>تفضل القائمة</v>
      </c>
    </row>
    <row r="5906" ht="15.75" customHeight="1">
      <c r="A5906" s="12" t="s">
        <v>10881</v>
      </c>
      <c r="B5906" s="13" t="s">
        <v>10882</v>
      </c>
      <c r="C5906" s="14" t="s">
        <v>10883</v>
      </c>
      <c r="D5906" s="1" t="str">
        <f>IFERROR(__xludf.DUMMYFUNCTION("GOOGLETRANSLATE(A5906 , ""auto"", ""ar"")"),"اسمحوا لي أن أجرب تاجين هذه المرة")</f>
        <v>اسمحوا لي أن أجرب تاجين هذه المرة</v>
      </c>
    </row>
    <row r="5907" ht="15.75" customHeight="1">
      <c r="A5907" s="12" t="s">
        <v>10884</v>
      </c>
      <c r="B5907" s="13" t="s">
        <v>10885</v>
      </c>
      <c r="C5907" s="14" t="s">
        <v>10886</v>
      </c>
      <c r="D5907" s="1" t="str">
        <f>IFERROR(__xludf.DUMMYFUNCTION("GOOGLETRANSLATE(A5907 , ""auto"", ""ar"")"),"مع مكعب الثلج")</f>
        <v>مع مكعب الثلج</v>
      </c>
    </row>
    <row r="5908" ht="15.75" customHeight="1">
      <c r="A5908" s="12" t="s">
        <v>10887</v>
      </c>
      <c r="B5908" s="13" t="s">
        <v>10888</v>
      </c>
      <c r="C5908" s="14" t="s">
        <v>10889</v>
      </c>
      <c r="D5908" s="1" t="str">
        <f>IFERROR(__xludf.DUMMYFUNCTION("GOOGLETRANSLATE(A5908 , ""auto"", ""ar"")"),"الآن ماذا آكل؟")</f>
        <v>الآن ماذا آكل؟</v>
      </c>
    </row>
    <row r="5909" ht="15.75" customHeight="1">
      <c r="A5909" s="12" t="s">
        <v>10890</v>
      </c>
      <c r="B5909" s="13" t="s">
        <v>10891</v>
      </c>
      <c r="C5909" s="14" t="s">
        <v>10892</v>
      </c>
      <c r="D5909" s="1" t="str">
        <f>IFERROR(__xludf.DUMMYFUNCTION("GOOGLETRANSLATE(A5909 , ""auto"", ""ar"")"),"هل يمكنني الحصول على شرائح اللحم مع البطاطس المقلية والسلطة الجانبية؟")</f>
        <v>هل يمكنني الحصول على شرائح اللحم مع البطاطس المقلية والسلطة الجانبية؟</v>
      </c>
    </row>
    <row r="5910" ht="15.75" customHeight="1">
      <c r="A5910" s="12" t="s">
        <v>10893</v>
      </c>
      <c r="B5910" s="13" t="s">
        <v>10894</v>
      </c>
      <c r="C5910" s="14" t="s">
        <v>10895</v>
      </c>
      <c r="D5910" s="1" t="str">
        <f>IFERROR(__xludf.DUMMYFUNCTION("GOOGLETRANSLATE(A5910 , ""auto"", ""ar"")"),"آسف ، نحن لا نخدم هذا الطبق حتى الظهر")</f>
        <v>آسف ، نحن لا نخدم هذا الطبق حتى الظهر</v>
      </c>
    </row>
    <row r="5911" ht="15.75" customHeight="1">
      <c r="A5911" s="12" t="s">
        <v>10896</v>
      </c>
      <c r="B5911" s="13" t="s">
        <v>10897</v>
      </c>
      <c r="C5911" s="14" t="s">
        <v>10898</v>
      </c>
      <c r="D5911" s="1" t="str">
        <f>IFERROR(__xludf.DUMMYFUNCTION("GOOGLETRANSLATE(A5911 , ""auto"", ""ar"")"),"وأقترح عليك فقط أن تأخذ مكعب الثلج بدون الويسكي")</f>
        <v>وأقترح عليك فقط أن تأخذ مكعب الثلج بدون الويسكي</v>
      </c>
    </row>
    <row r="5912" ht="15.75" customHeight="1">
      <c r="A5912" s="12" t="s">
        <v>10899</v>
      </c>
      <c r="B5912" s="13" t="s">
        <v>10900</v>
      </c>
      <c r="C5912" s="14" t="s">
        <v>10901</v>
      </c>
      <c r="D5912" s="1" t="str">
        <f>IFERROR(__xludf.DUMMYFUNCTION("GOOGLETRANSLATE(A5912 , ""auto"", ""ar"")"),"لماذا ، هل نفدت من الويسكي؟")</f>
        <v>لماذا ، هل نفدت من الويسكي؟</v>
      </c>
    </row>
    <row r="5913" ht="15.75" customHeight="1">
      <c r="A5913" s="12" t="s">
        <v>10902</v>
      </c>
      <c r="B5913" s="13" t="s">
        <v>10903</v>
      </c>
      <c r="C5913" s="14" t="s">
        <v>10904</v>
      </c>
      <c r="D5913" s="1" t="str">
        <f>IFERROR(__xludf.DUMMYFUNCTION("GOOGLETRANSLATE(A5913 , ""auto"", ""ar"")"),"سآخذ زجاجة ماء بدلاً من ذلك")</f>
        <v>سآخذ زجاجة ماء بدلاً من ذلك</v>
      </c>
    </row>
    <row r="5914" ht="15.75" customHeight="1">
      <c r="A5914" s="12" t="s">
        <v>10905</v>
      </c>
      <c r="B5914" s="13" t="s">
        <v>10906</v>
      </c>
      <c r="C5914" s="14" t="s">
        <v>10907</v>
      </c>
      <c r="D5914" s="1" t="str">
        <f>IFERROR(__xludf.DUMMYFUNCTION("GOOGLETRANSLATE(A5914 , ""auto"", ""ar"")"),"هل يمكنك تقديم الفول السوداني قبل الظهر")</f>
        <v>هل يمكنك تقديم الفول السوداني قبل الظهر</v>
      </c>
    </row>
    <row r="5915" ht="15.75" customHeight="1">
      <c r="A5915" s="12" t="s">
        <v>10908</v>
      </c>
      <c r="B5915" s="13" t="s">
        <v>10909</v>
      </c>
      <c r="C5915" s="14" t="s">
        <v>10910</v>
      </c>
      <c r="D5915" s="1" t="str">
        <f>IFERROR(__xludf.DUMMYFUNCTION("GOOGLETRANSLATE(A5915 , ""auto"", ""ar"")"),"أشعر ببعض البكاء")</f>
        <v>أشعر ببعض البكاء</v>
      </c>
    </row>
    <row r="5916" ht="15.75" customHeight="1">
      <c r="A5916" s="12" t="s">
        <v>10911</v>
      </c>
      <c r="B5916" s="13" t="s">
        <v>10912</v>
      </c>
      <c r="C5916" s="14" t="s">
        <v>10913</v>
      </c>
      <c r="D5916" s="1" t="str">
        <f>IFERROR(__xludf.DUMMYFUNCTION("GOOGLETRANSLATE(A5916 , ""auto"", ""ar"")"),"أقترح عليك أن تأخذ استراحة من الكحول")</f>
        <v>أقترح عليك أن تأخذ استراحة من الكحول</v>
      </c>
    </row>
    <row r="5917" ht="15.75" customHeight="1">
      <c r="A5917" s="12" t="s">
        <v>10914</v>
      </c>
      <c r="B5917" s="13" t="s">
        <v>10915</v>
      </c>
      <c r="C5917" s="14" t="s">
        <v>10916</v>
      </c>
      <c r="D5917" s="1" t="str">
        <f>IFERROR(__xludf.DUMMYFUNCTION("GOOGLETRANSLATE(A5917 , ""auto"", ""ar"")"),"إنه لم يظهر حتى الآن ولم أبدأ حتى")</f>
        <v>إنه لم يظهر حتى الآن ولم أبدأ حتى</v>
      </c>
    </row>
    <row r="5918" ht="15.75" customHeight="1">
      <c r="A5918" s="12" t="s">
        <v>10917</v>
      </c>
      <c r="B5918" s="13" t="s">
        <v>10918</v>
      </c>
      <c r="C5918" s="14" t="s">
        <v>10919</v>
      </c>
      <c r="D5918" s="1" t="str">
        <f>IFERROR(__xludf.DUMMYFUNCTION("GOOGLETRANSLATE(A5918 , ""auto"", ""ar"")"),"قد أضطر إلى أخذ عميلي في مكان آخر")</f>
        <v>قد أضطر إلى أخذ عميلي في مكان آخر</v>
      </c>
    </row>
    <row r="5919" ht="15.75" customHeight="1">
      <c r="A5919" s="12" t="s">
        <v>10920</v>
      </c>
      <c r="B5919" s="13" t="s">
        <v>10921</v>
      </c>
      <c r="C5919" s="14" t="s">
        <v>10922</v>
      </c>
      <c r="D5919" s="1" t="str">
        <f>IFERROR(__xludf.DUMMYFUNCTION("GOOGLETRANSLATE(A5919 , ""auto"", ""ar"")"),"أنت لست سعيدًا بخدمتي")</f>
        <v>أنت لست سعيدًا بخدمتي</v>
      </c>
    </row>
    <row r="5920" ht="15.75" customHeight="1">
      <c r="A5920" s="12" t="s">
        <v>10923</v>
      </c>
      <c r="B5920" s="13" t="s">
        <v>10924</v>
      </c>
      <c r="C5920" s="14" t="s">
        <v>10925</v>
      </c>
      <c r="D5920" s="1" t="str">
        <f>IFERROR(__xludf.DUMMYFUNCTION("GOOGLETRANSLATE(A5920 , ""auto"", ""ar"")"),"أكرر ، لقد أخذت بالفعل أربع قيلولة")</f>
        <v>أكرر ، لقد أخذت بالفعل أربع قيلولة</v>
      </c>
    </row>
    <row r="5921" ht="15.75" customHeight="1">
      <c r="A5921" s="12" t="s">
        <v>10926</v>
      </c>
      <c r="B5921" s="13" t="s">
        <v>10927</v>
      </c>
      <c r="C5921" s="14" t="s">
        <v>10928</v>
      </c>
      <c r="D5921" s="1" t="str">
        <f>IFERROR(__xludf.DUMMYFUNCTION("GOOGLETRANSLATE(A5921 , ""auto"", ""ar"")"),"هل ستأخذ السيارة في طريقك للخروج؟")</f>
        <v>هل ستأخذ السيارة في طريقك للخروج؟</v>
      </c>
    </row>
    <row r="5922" ht="15.75" customHeight="1">
      <c r="A5922" s="12" t="s">
        <v>10929</v>
      </c>
      <c r="B5922" s="13" t="s">
        <v>10930</v>
      </c>
      <c r="C5922" s="14" t="s">
        <v>10931</v>
      </c>
      <c r="D5922" s="1" t="str">
        <f>IFERROR(__xludf.DUMMYFUNCTION("GOOGLETRANSLATE(A5922 , ""auto"", ""ar"")"),"لن أترك لك مراجعة جيدة جدًا على TripAdvisor")</f>
        <v>لن أترك لك مراجعة جيدة جدًا على TripAdvisor</v>
      </c>
    </row>
    <row r="5923" ht="15.75" customHeight="1">
      <c r="A5923" s="12" t="s">
        <v>10932</v>
      </c>
      <c r="B5923" s="13" t="s">
        <v>10933</v>
      </c>
      <c r="C5923" s="14" t="s">
        <v>10934</v>
      </c>
      <c r="D5923" s="1" t="str">
        <f>IFERROR(__xludf.DUMMYFUNCTION("GOOGLETRANSLATE(A5923 , ""auto"", ""ar"")"),"أنت تسمي نفسك بارًا ولكن لن تخدمني")</f>
        <v>أنت تسمي نفسك بارًا ولكن لن تخدمني</v>
      </c>
    </row>
    <row r="5924" ht="15.75" customHeight="1">
      <c r="A5924" s="12" t="s">
        <v>10935</v>
      </c>
      <c r="B5924" s="13" t="s">
        <v>10936</v>
      </c>
      <c r="C5924" s="14" t="s">
        <v>10937</v>
      </c>
      <c r="D5924" s="1" t="str">
        <f>IFERROR(__xludf.DUMMYFUNCTION("GOOGLETRANSLATE(A5924 , ""auto"", ""ar"")"),"التمييز ضد مدمني الكحول!")</f>
        <v>التمييز ضد مدمني الكحول!</v>
      </c>
    </row>
    <row r="5925" ht="15.75" customHeight="1">
      <c r="A5925" s="12" t="s">
        <v>10938</v>
      </c>
      <c r="B5925" s="13" t="s">
        <v>10939</v>
      </c>
      <c r="C5925" s="14" t="s">
        <v>10940</v>
      </c>
      <c r="D5925" s="1" t="str">
        <f>IFERROR(__xludf.DUMMYFUNCTION("GOOGLETRANSLATE(A5925 , ""auto"", ""ar"")"),"لا يُسمح لي بخدمة العملاء في حالة سكر")</f>
        <v>لا يُسمح لي بخدمة العملاء في حالة سكر</v>
      </c>
    </row>
    <row r="5926" ht="15.75" customHeight="1">
      <c r="A5926" s="12" t="s">
        <v>10941</v>
      </c>
      <c r="B5926" s="13" t="s">
        <v>10942</v>
      </c>
      <c r="C5926" s="14" t="s">
        <v>10943</v>
      </c>
      <c r="D5926" s="1" t="str">
        <f>IFERROR(__xludf.DUMMYFUNCTION("GOOGLETRANSLATE(A5926 , ""auto"", ""ar"")"),"أنا لست في حالة سكر ، ما زلت أقف!")</f>
        <v>أنا لست في حالة سكر ، ما زلت أقف!</v>
      </c>
    </row>
    <row r="5927" ht="15.75" customHeight="1">
      <c r="A5927" s="12" t="s">
        <v>10944</v>
      </c>
      <c r="B5927" s="13" t="s">
        <v>10945</v>
      </c>
      <c r="C5927" s="14" t="s">
        <v>10946</v>
      </c>
      <c r="D5927" s="1" t="str">
        <f>IFERROR(__xludf.DUMMYFUNCTION("GOOGLETRANSLATE(A5927 , ""auto"", ""ar"")"),"لكن كلماتك غير متسقة")</f>
        <v>لكن كلماتك غير متسقة</v>
      </c>
    </row>
    <row r="5928" ht="15.75" customHeight="1">
      <c r="A5928" s="12" t="s">
        <v>10947</v>
      </c>
      <c r="B5928" s="13" t="s">
        <v>10948</v>
      </c>
      <c r="C5928" s="14" t="s">
        <v>10949</v>
      </c>
      <c r="D5928" s="1" t="str">
        <f>IFERROR(__xludf.DUMMYFUNCTION("GOOGLETRANSLATE(A5928 , ""auto"", ""ar"")"),"إنه انعكاس لحالتك العقلية")</f>
        <v>إنه انعكاس لحالتك العقلية</v>
      </c>
    </row>
    <row r="5929" ht="15.75" customHeight="1">
      <c r="A5929" s="12" t="s">
        <v>10950</v>
      </c>
      <c r="B5929" s="13" t="s">
        <v>10951</v>
      </c>
      <c r="C5929" s="14" t="s">
        <v>10952</v>
      </c>
      <c r="D5929" s="1" t="str">
        <f>IFERROR(__xludf.DUMMYFUNCTION("GOOGLETRANSLATE(A5929 , ""auto"", ""ar"")"),"أنا بخير ، سأضطر للذهاب الآن من فضلك!")</f>
        <v>أنا بخير ، سأضطر للذهاب الآن من فضلك!</v>
      </c>
    </row>
    <row r="5930" ht="15.75" customHeight="1">
      <c r="A5930" s="12" t="s">
        <v>10953</v>
      </c>
      <c r="B5930" s="13" t="s">
        <v>10954</v>
      </c>
      <c r="C5930" s="14" t="s">
        <v>10955</v>
      </c>
      <c r="D5930" s="1" t="str">
        <f>IFERROR(__xludf.DUMMYFUNCTION("GOOGLETRANSLATE(A5930 , ""auto"", ""ar"")"),"ما زلت مستيقظًا ، لكنني أقترح عليك الذهاب إلى الفراش")</f>
        <v>ما زلت مستيقظًا ، لكنني أقترح عليك الذهاب إلى الفراش</v>
      </c>
    </row>
    <row r="5931" ht="15.75" customHeight="1">
      <c r="A5931" s="12" t="s">
        <v>10956</v>
      </c>
      <c r="B5931" s="13" t="s">
        <v>10957</v>
      </c>
      <c r="C5931" s="14" t="s">
        <v>10958</v>
      </c>
      <c r="D5931" s="1" t="str">
        <f>IFERROR(__xludf.DUMMYFUNCTION("GOOGLETRANSLATE(A5931 , ""auto"", ""ar"")"),"ستكون هذه كلمتي الأخيرة")</f>
        <v>ستكون هذه كلمتي الأخيرة</v>
      </c>
    </row>
    <row r="5932" ht="15.75" customHeight="1">
      <c r="A5932" s="12" t="s">
        <v>10959</v>
      </c>
      <c r="B5932" s="13" t="s">
        <v>10960</v>
      </c>
      <c r="C5932" s="14" t="s">
        <v>10961</v>
      </c>
      <c r="D5932" s="1" t="str">
        <f>IFERROR(__xludf.DUMMYFUNCTION("GOOGLETRANSLATE(A5932 , ""auto"", ""ar"")"),"سيخدمني الشريط حول الزاوية دون مشكلة")</f>
        <v>سيخدمني الشريط حول الزاوية دون مشكلة</v>
      </c>
    </row>
    <row r="5933" ht="15.75" customHeight="1">
      <c r="A5933" s="12" t="s">
        <v>10962</v>
      </c>
      <c r="B5933" s="13" t="s">
        <v>10963</v>
      </c>
      <c r="C5933" s="14" t="s">
        <v>10964</v>
      </c>
      <c r="D5933" s="1" t="str">
        <f>IFERROR(__xludf.DUMMYFUNCTION("GOOGLETRANSLATE(A5933 , ""auto"", ""ar"")"),"سيكونون سعداء لخدمتي")</f>
        <v>سيكونون سعداء لخدمتي</v>
      </c>
    </row>
    <row r="5934" ht="15.75" customHeight="1">
      <c r="A5934" s="12" t="s">
        <v>10216</v>
      </c>
      <c r="B5934" s="13" t="s">
        <v>10965</v>
      </c>
      <c r="C5934" s="14" t="s">
        <v>10966</v>
      </c>
      <c r="D5934" s="1" t="str">
        <f>IFERROR(__xludf.DUMMYFUNCTION("GOOGLETRANSLATE(A5934 , ""auto"", ""ar"")"),"صباح الخير يا دكتور")</f>
        <v>صباح الخير يا دكتور</v>
      </c>
    </row>
    <row r="5935" ht="15.75" customHeight="1">
      <c r="A5935" s="12" t="s">
        <v>10967</v>
      </c>
      <c r="B5935" s="13" t="s">
        <v>10968</v>
      </c>
      <c r="C5935" s="14" t="s">
        <v>10969</v>
      </c>
      <c r="D5935" s="1" t="str">
        <f>IFERROR(__xludf.DUMMYFUNCTION("GOOGLETRANSLATE(A5935 , ""auto"", ""ar"")"),"هذه هي المرة الأولى التي أرى فيها القليل من التوتر")</f>
        <v>هذه هي المرة الأولى التي أرى فيها القليل من التوتر</v>
      </c>
    </row>
    <row r="5936" ht="15.75" customHeight="1">
      <c r="A5936" s="12" t="s">
        <v>10970</v>
      </c>
      <c r="B5936" s="13" t="s">
        <v>10971</v>
      </c>
      <c r="C5936" s="14" t="s">
        <v>10972</v>
      </c>
      <c r="D5936" s="1" t="str">
        <f>IFERROR(__xludf.DUMMYFUNCTION("GOOGLETRANSLATE(A5936 , ""auto"", ""ar"")"),"لذا ، كيف كان أسبوعك؟")</f>
        <v>لذا ، كيف كان أسبوعك؟</v>
      </c>
    </row>
    <row r="5937" ht="15.75" customHeight="1">
      <c r="A5937" s="12" t="s">
        <v>10970</v>
      </c>
      <c r="B5937" s="13" t="s">
        <v>10973</v>
      </c>
      <c r="C5937" s="14" t="s">
        <v>10974</v>
      </c>
      <c r="D5937" s="1" t="str">
        <f>IFERROR(__xludf.DUMMYFUNCTION("GOOGLETRANSLATE(A5937 , ""auto"", ""ar"")"),"لذا ، كيف كان أسبوعك؟")</f>
        <v>لذا ، كيف كان أسبوعك؟</v>
      </c>
    </row>
    <row r="5938" ht="15.75" customHeight="1">
      <c r="A5938" s="12" t="s">
        <v>10975</v>
      </c>
      <c r="B5938" s="13" t="s">
        <v>10976</v>
      </c>
      <c r="C5938" s="14" t="s">
        <v>10977</v>
      </c>
      <c r="D5938" s="1" t="str">
        <f>IFERROR(__xludf.DUMMYFUNCTION("GOOGLETRANSLATE(A5938 , ""auto"", ""ar"")"),"أواجه مشكلة في العمل")</f>
        <v>أواجه مشكلة في العمل</v>
      </c>
    </row>
    <row r="5939" ht="15.75" customHeight="1">
      <c r="A5939" s="12" t="s">
        <v>10978</v>
      </c>
      <c r="B5939" s="13" t="s">
        <v>10979</v>
      </c>
      <c r="C5939" s="14" t="s">
        <v>10980</v>
      </c>
      <c r="D5939" s="1" t="str">
        <f>IFERROR(__xludf.DUMMYFUNCTION("GOOGLETRANSLATE(A5939 , ""auto"", ""ar"")"),"لديك وظيفة صعبة للغاية كونها أمين مكتبة")</f>
        <v>لديك وظيفة صعبة للغاية كونها أمين مكتبة</v>
      </c>
    </row>
    <row r="5940" ht="15.75" customHeight="1">
      <c r="A5940" s="12" t="s">
        <v>10981</v>
      </c>
      <c r="B5940" s="13" t="s">
        <v>10982</v>
      </c>
      <c r="C5940" s="14" t="s">
        <v>10983</v>
      </c>
      <c r="D5940" s="1" t="str">
        <f>IFERROR(__xludf.DUMMYFUNCTION("GOOGLETRANSLATE(A5940 , ""auto"", ""ar"")"),"ماذا حدث بالضبط؟")</f>
        <v>ماذا حدث بالضبط؟</v>
      </c>
    </row>
    <row r="5941" ht="15.75" customHeight="1">
      <c r="A5941" s="12" t="s">
        <v>10984</v>
      </c>
      <c r="B5941" s="13" t="s">
        <v>10985</v>
      </c>
      <c r="C5941" s="14" t="s">
        <v>10986</v>
      </c>
      <c r="D5941" s="1" t="str">
        <f>IFERROR(__xludf.DUMMYFUNCTION("GOOGLETRANSLATE(A5941 , ""auto"", ""ar"")"),"أشعر أن الموظفين ليسوا الكثير منهم")</f>
        <v>أشعر أن الموظفين ليسوا الكثير منهم</v>
      </c>
    </row>
    <row r="5942" ht="15.75" customHeight="1">
      <c r="A5942" s="12" t="s">
        <v>10987</v>
      </c>
      <c r="B5942" s="13" t="s">
        <v>10988</v>
      </c>
      <c r="C5942" s="14" t="s">
        <v>10989</v>
      </c>
      <c r="D5942" s="1" t="str">
        <f>IFERROR(__xludf.DUMMYFUNCTION("GOOGLETRANSLATE(A5942 , ""auto"", ""ar"")"),"أركض طوال اليوم ، واتباع أوامر من مديري ،")</f>
        <v>أركض طوال اليوم ، واتباع أوامر من مديري ،</v>
      </c>
    </row>
    <row r="5943" ht="15.75" customHeight="1">
      <c r="A5943" s="12" t="s">
        <v>10990</v>
      </c>
      <c r="B5943" s="13" t="s">
        <v>10991</v>
      </c>
      <c r="C5943" s="14" t="s">
        <v>10992</v>
      </c>
      <c r="D5943" s="1" t="str">
        <f>IFERROR(__xludf.DUMMYFUNCTION("GOOGLETRANSLATE(A5943 , ""auto"", ""ar"")"),"آخر مرة شعرت أنني تعاني من نوبة ذعر")</f>
        <v>آخر مرة شعرت أنني تعاني من نوبة ذعر</v>
      </c>
    </row>
    <row r="5944" ht="15.75" customHeight="1">
      <c r="A5944" s="12" t="s">
        <v>10993</v>
      </c>
      <c r="B5944" s="13" t="s">
        <v>10994</v>
      </c>
      <c r="C5944" s="14" t="s">
        <v>10995</v>
      </c>
      <c r="D5944" s="1" t="str">
        <f>IFERROR(__xludf.DUMMYFUNCTION("GOOGLETRANSLATE(A5944 , ""auto"", ""ar"")"),"لقد قفلت نفسي في الحمام للبكاء")</f>
        <v>لقد قفلت نفسي في الحمام للبكاء</v>
      </c>
    </row>
    <row r="5945" ht="15.75" customHeight="1">
      <c r="A5945" s="12" t="s">
        <v>10996</v>
      </c>
      <c r="B5945" s="13" t="s">
        <v>10997</v>
      </c>
      <c r="C5945" s="14" t="s">
        <v>10998</v>
      </c>
      <c r="D5945" s="1" t="str">
        <f>IFERROR(__xludf.DUMMYFUNCTION("GOOGLETRANSLATE(A5945 , ""auto"", ""ar"")"),"أنا لا أعرف ما يجب القيام به")</f>
        <v>أنا لا أعرف ما يجب القيام به</v>
      </c>
    </row>
    <row r="5946" ht="15.75" customHeight="1">
      <c r="A5946" s="12" t="s">
        <v>10999</v>
      </c>
      <c r="B5946" s="13" t="s">
        <v>11000</v>
      </c>
      <c r="C5946" s="14" t="s">
        <v>11001</v>
      </c>
      <c r="D5946" s="1" t="str">
        <f>IFERROR(__xludf.DUMMYFUNCTION("GOOGLETRANSLATE(A5946 , ""auto"", ""ar"")"),"ماذا يمكنك أن تنصحني؟")</f>
        <v>ماذا يمكنك أن تنصحني؟</v>
      </c>
    </row>
    <row r="5947" ht="15.75" customHeight="1">
      <c r="A5947" s="12" t="s">
        <v>11002</v>
      </c>
      <c r="B5947" s="13" t="s">
        <v>11003</v>
      </c>
      <c r="C5947" s="14" t="s">
        <v>11004</v>
      </c>
      <c r="D5947" s="1" t="str">
        <f>IFERROR(__xludf.DUMMYFUNCTION("GOOGLETRANSLATE(A5947 , ""auto"", ""ar"")"),"أولاً")</f>
        <v>أولاً</v>
      </c>
    </row>
    <row r="5948" ht="15.75" customHeight="1">
      <c r="A5948" s="12" t="s">
        <v>11005</v>
      </c>
      <c r="B5948" s="13" t="s">
        <v>11006</v>
      </c>
      <c r="C5948" s="14" t="s">
        <v>11007</v>
      </c>
      <c r="D5948" s="1" t="str">
        <f>IFERROR(__xludf.DUMMYFUNCTION("GOOGLETRANSLATE(A5948 , ""auto"", ""ar"")"),"أعتقد أنه من المهم أن تحصل على دعم كافٍ")</f>
        <v>أعتقد أنه من المهم أن تحصل على دعم كافٍ</v>
      </c>
    </row>
    <row r="5949" ht="15.75" customHeight="1">
      <c r="A5949" s="12" t="s">
        <v>11008</v>
      </c>
      <c r="B5949" s="13" t="s">
        <v>11009</v>
      </c>
      <c r="C5949" s="14" t="s">
        <v>11010</v>
      </c>
      <c r="D5949" s="1" t="str">
        <f>IFERROR(__xludf.DUMMYFUNCTION("GOOGLETRANSLATE(A5949 , ""auto"", ""ar"")"),"تحدث إلى مديرك ومعرفة ما إذا كان بإمكانهم مساعدتك")</f>
        <v>تحدث إلى مديرك ومعرفة ما إذا كان بإمكانهم مساعدتك</v>
      </c>
    </row>
    <row r="5950" ht="15.75" customHeight="1">
      <c r="A5950" s="12" t="s">
        <v>11011</v>
      </c>
      <c r="B5950" s="13" t="s">
        <v>11012</v>
      </c>
      <c r="C5950" s="14" t="s">
        <v>11013</v>
      </c>
      <c r="D5950" s="1" t="str">
        <f>IFERROR(__xludf.DUMMYFUNCTION("GOOGLETRANSLATE(A5950 , ""auto"", ""ar"")"),"إنه موقف مضاد للإنتاج")</f>
        <v>إنه موقف مضاد للإنتاج</v>
      </c>
    </row>
    <row r="5951" ht="15.75" customHeight="1">
      <c r="A5951" s="12" t="s">
        <v>11014</v>
      </c>
      <c r="B5951" s="13" t="s">
        <v>11015</v>
      </c>
      <c r="C5951" s="14" t="s">
        <v>11016</v>
      </c>
      <c r="D5951" s="1" t="str">
        <f>IFERROR(__xludf.DUMMYFUNCTION("GOOGLETRANSLATE(A5951 , ""auto"", ""ar"")"),"إذا كنت متوترة وتحتاج إلى قضاء إجازة ، فسيزيد الموقف فقط")</f>
        <v>إذا كنت متوترة وتحتاج إلى قضاء إجازة ، فسيزيد الموقف فقط</v>
      </c>
    </row>
    <row r="5952" ht="15.75" customHeight="1">
      <c r="A5952" s="12" t="s">
        <v>11017</v>
      </c>
      <c r="B5952" s="13" t="s">
        <v>11018</v>
      </c>
      <c r="C5952" s="14" t="s">
        <v>11019</v>
      </c>
      <c r="D5952" s="1" t="str">
        <f>IFERROR(__xludf.DUMMYFUNCTION("GOOGLETRANSLATE(A5952 , ""auto"", ""ar"")"),"نأمل أن يكون رئيسك قادرًا على تقدير ذلك")</f>
        <v>نأمل أن يكون رئيسك قادرًا على تقدير ذلك</v>
      </c>
    </row>
    <row r="5953" ht="15.75" customHeight="1">
      <c r="A5953" s="12" t="s">
        <v>11020</v>
      </c>
      <c r="B5953" s="13" t="s">
        <v>11021</v>
      </c>
      <c r="C5953" s="14" t="s">
        <v>11022</v>
      </c>
      <c r="D5953" s="1" t="str">
        <f>IFERROR(__xludf.DUMMYFUNCTION("GOOGLETRANSLATE(A5953 , ""auto"", ""ar"")"),"يمكنني أن أعطيك بعض المضادات الاكتئاب")</f>
        <v>يمكنني أن أعطيك بعض المضادات الاكتئاب</v>
      </c>
    </row>
    <row r="5954" ht="15.75" customHeight="1">
      <c r="A5954" s="12" t="s">
        <v>11023</v>
      </c>
      <c r="B5954" s="13" t="s">
        <v>11024</v>
      </c>
      <c r="C5954" s="14" t="s">
        <v>11025</v>
      </c>
      <c r="D5954" s="1" t="str">
        <f>IFERROR(__xludf.DUMMYFUNCTION("GOOGLETRANSLATE(A5954 , ""auto"", ""ar"")"),"هل ستكون سعيدًا بذلك؟")</f>
        <v>هل ستكون سعيدًا بذلك؟</v>
      </c>
    </row>
    <row r="5955" ht="15.75" customHeight="1">
      <c r="A5955" s="12" t="s">
        <v>11026</v>
      </c>
      <c r="B5955" s="13" t="s">
        <v>11027</v>
      </c>
      <c r="C5955" s="14" t="s">
        <v>11028</v>
      </c>
      <c r="D5955" s="1" t="str">
        <f>IFERROR(__xludf.DUMMYFUNCTION("GOOGLETRANSLATE(A5955 , ""auto"", ""ar"")"),"يمكن أن أتحدث معه ، لكني أخشى")</f>
        <v>يمكن أن أتحدث معه ، لكني أخشى</v>
      </c>
    </row>
    <row r="5956" ht="15.75" customHeight="1">
      <c r="A5956" s="12" t="s">
        <v>11029</v>
      </c>
      <c r="B5956" s="13" t="s">
        <v>11030</v>
      </c>
      <c r="C5956" s="14" t="s">
        <v>11031</v>
      </c>
      <c r="D5956" s="1" t="str">
        <f>IFERROR(__xludf.DUMMYFUNCTION("GOOGLETRANSLATE(A5956 , ""auto"", ""ar"")"),"إنه على حافة الهاوية الآن")</f>
        <v>إنه على حافة الهاوية الآن</v>
      </c>
    </row>
    <row r="5957" ht="15.75" customHeight="1">
      <c r="A5957" s="12" t="s">
        <v>11032</v>
      </c>
      <c r="B5957" s="13" t="s">
        <v>11033</v>
      </c>
      <c r="C5957" s="14" t="s">
        <v>11034</v>
      </c>
      <c r="D5957" s="1" t="str">
        <f>IFERROR(__xludf.DUMMYFUNCTION("GOOGLETRANSLATE(A5957 , ""auto"", ""ar"")"),"آخر مرة لم يحييني جيدًا")</f>
        <v>آخر مرة لم يحييني جيدًا</v>
      </c>
    </row>
    <row r="5958" ht="15.75" customHeight="1">
      <c r="A5958" s="12" t="s">
        <v>11035</v>
      </c>
      <c r="B5958" s="13" t="s">
        <v>11036</v>
      </c>
      <c r="C5958" s="14" t="s">
        <v>11037</v>
      </c>
      <c r="D5958" s="1" t="str">
        <f>IFERROR(__xludf.DUMMYFUNCTION("GOOGLETRANSLATE(A5958 , ""auto"", ""ar"")"),"أرسله إلي - أحتاج إلى المزيد من العملاء!")</f>
        <v>أرسله إلي - أحتاج إلى المزيد من العملاء!</v>
      </c>
    </row>
    <row r="5959" ht="15.75" customHeight="1">
      <c r="A5959" s="12" t="s">
        <v>11038</v>
      </c>
      <c r="B5959" s="13" t="s">
        <v>11039</v>
      </c>
      <c r="C5959" s="14" t="s">
        <v>11040</v>
      </c>
      <c r="D5959" s="1" t="str">
        <f>IFERROR(__xludf.DUMMYFUNCTION("GOOGLETRANSLATE(A5959 , ""auto"", ""ar"")"),"لم يحيلك جيدًا؟")</f>
        <v>لم يحيلك جيدًا؟</v>
      </c>
    </row>
    <row r="5960" ht="15.75" customHeight="1">
      <c r="A5960" s="12" t="s">
        <v>11041</v>
      </c>
      <c r="B5960" s="13" t="s">
        <v>11042</v>
      </c>
      <c r="C5960" s="14" t="s">
        <v>11043</v>
      </c>
      <c r="D5960" s="1" t="str">
        <f>IFERROR(__xludf.DUMMYFUNCTION("GOOGLETRANSLATE(A5960 , ""auto"", ""ar"")"),"ماذا فعل بالضبط؟")</f>
        <v>ماذا فعل بالضبط؟</v>
      </c>
    </row>
    <row r="5961" ht="15.75" customHeight="1">
      <c r="A5961" s="12" t="s">
        <v>11044</v>
      </c>
      <c r="B5961" s="13" t="s">
        <v>11045</v>
      </c>
      <c r="C5961" s="14" t="s">
        <v>11046</v>
      </c>
      <c r="D5961" s="1" t="str">
        <f>IFERROR(__xludf.DUMMYFUNCTION("GOOGLETRANSLATE(A5961 , ""auto"", ""ar"")"),"هاها ، ستكون هذه فكرة")</f>
        <v>هاها ، ستكون هذه فكرة</v>
      </c>
    </row>
    <row r="5962" ht="15.75" customHeight="1">
      <c r="A5962" s="12" t="s">
        <v>11047</v>
      </c>
      <c r="B5962" s="13" t="s">
        <v>11048</v>
      </c>
      <c r="C5962" s="14" t="s">
        <v>11049</v>
      </c>
      <c r="D5962" s="1" t="str">
        <f>IFERROR(__xludf.DUMMYFUNCTION("GOOGLETRANSLATE(A5962 , ""auto"", ""ar"")"),"ربما سيبكي في الحمام كل مرة")</f>
        <v>ربما سيبكي في الحمام كل مرة</v>
      </c>
    </row>
    <row r="5963" ht="15.75" customHeight="1">
      <c r="A5963" s="12" t="s">
        <v>11050</v>
      </c>
      <c r="B5963" s="13" t="s">
        <v>11051</v>
      </c>
      <c r="C5963" s="14" t="s">
        <v>11052</v>
      </c>
      <c r="D5963" s="1" t="str">
        <f>IFERROR(__xludf.DUMMYFUNCTION("GOOGLETRANSLATE(A5963 , ""auto"", ""ar"")"),"يجب أن نفعل العلاج الجماعي")</f>
        <v>يجب أن نفعل العلاج الجماعي</v>
      </c>
    </row>
    <row r="5964" ht="15.75" customHeight="1">
      <c r="A5964" s="12" t="s">
        <v>11053</v>
      </c>
      <c r="B5964" s="13" t="s">
        <v>11054</v>
      </c>
      <c r="C5964" s="14" t="s">
        <v>11055</v>
      </c>
      <c r="D5964" s="1" t="str">
        <f>IFERROR(__xludf.DUMMYFUNCTION("GOOGLETRANSLATE(A5964 , ""auto"", ""ar"")"),"لم يعطيني وقتًا لشرح وضعي")</f>
        <v>لم يعطيني وقتًا لشرح وضعي</v>
      </c>
    </row>
    <row r="5965" ht="15.75" customHeight="1">
      <c r="A5965" s="12" t="s">
        <v>11056</v>
      </c>
      <c r="B5965" s="13" t="s">
        <v>11057</v>
      </c>
      <c r="C5965" s="14" t="s">
        <v>11058</v>
      </c>
      <c r="D5965" s="1" t="str">
        <f>IFERROR(__xludf.DUMMYFUNCTION("GOOGLETRANSLATE(A5965 , ""auto"", ""ar"")"),"ألقى بي من مكتبه مع عمل أكثر من ذي قبل!")</f>
        <v>ألقى بي من مكتبه مع عمل أكثر من ذي قبل!</v>
      </c>
    </row>
    <row r="5966" ht="15.75" customHeight="1">
      <c r="A5966" s="12" t="s">
        <v>11059</v>
      </c>
      <c r="B5966" s="13" t="s">
        <v>11060</v>
      </c>
      <c r="C5966" s="14" t="s">
        <v>11061</v>
      </c>
      <c r="D5966" s="1" t="str">
        <f>IFERROR(__xludf.DUMMYFUNCTION("GOOGLETRANSLATE(A5966 , ""auto"", ""ar"")"),"أود أن أبلغكم بشخص أعلى من السلسلة")</f>
        <v>أود أن أبلغكم بشخص أعلى من السلسلة</v>
      </c>
    </row>
    <row r="5967" ht="15.75" customHeight="1">
      <c r="A5967" s="12" t="s">
        <v>11062</v>
      </c>
      <c r="B5967" s="13" t="s">
        <v>11063</v>
      </c>
      <c r="C5967" s="14" t="s">
        <v>11064</v>
      </c>
      <c r="D5967" s="1" t="str">
        <f>IFERROR(__xludf.DUMMYFUNCTION("GOOGLETRANSLATE(A5967 , ""auto"", ""ar"")"),"قد يعاني من نفسه ، لكن التنمر الذي تحتاجه")</f>
        <v>قد يعاني من نفسه ، لكن التنمر الذي تحتاجه</v>
      </c>
    </row>
    <row r="5968" ht="15.75" customHeight="1">
      <c r="A5968" s="12" t="s">
        <v>11065</v>
      </c>
      <c r="B5968" s="13" t="s">
        <v>11066</v>
      </c>
      <c r="C5968" s="14" t="s">
        <v>11067</v>
      </c>
      <c r="D5968" s="1" t="str">
        <f>IFERROR(__xludf.DUMMYFUNCTION("GOOGLETRANSLATE(A5968 , ""auto"", ""ar"")"),"يا إلهي ، بيئة عملك لا تبدو سعيدة للغاية ورفاهية")</f>
        <v>يا إلهي ، بيئة عملك لا تبدو سعيدة للغاية ورفاهية</v>
      </c>
    </row>
    <row r="5969" ht="15.75" customHeight="1">
      <c r="A5969" s="12" t="s">
        <v>11068</v>
      </c>
      <c r="B5969" s="13" t="s">
        <v>11069</v>
      </c>
      <c r="C5969" s="14" t="s">
        <v>11070</v>
      </c>
      <c r="D5969" s="1" t="str">
        <f>IFERROR(__xludf.DUMMYFUNCTION("GOOGLETRANSLATE(A5969 , ""auto"", ""ar"")"),"ربما يتجول شخص ما في وضع المخدرات في طعامك")</f>
        <v>ربما يتجول شخص ما في وضع المخدرات في طعامك</v>
      </c>
    </row>
    <row r="5970" ht="15.75" customHeight="1">
      <c r="A5970" s="12" t="s">
        <v>11071</v>
      </c>
      <c r="B5970" s="13" t="s">
        <v>11072</v>
      </c>
      <c r="C5970" s="14" t="s">
        <v>11073</v>
      </c>
      <c r="D5970" s="1" t="str">
        <f>IFERROR(__xludf.DUMMYFUNCTION("GOOGLETRANSLATE(A5970 , ""auto"", ""ar"")"),"هل قسم تقديم الطعام الخاص بك موثوق؟")</f>
        <v>هل قسم تقديم الطعام الخاص بك موثوق؟</v>
      </c>
    </row>
    <row r="5971" ht="15.75" customHeight="1">
      <c r="A5971" s="12" t="s">
        <v>11074</v>
      </c>
      <c r="B5971" s="13" t="s">
        <v>11075</v>
      </c>
      <c r="C5971" s="14" t="s">
        <v>11076</v>
      </c>
      <c r="D5971" s="1" t="str">
        <f>IFERROR(__xludf.DUMMYFUNCTION("GOOGLETRANSLATE(A5971 , ""auto"", ""ar"")"),"يجب أن أعترف ، عندما أتذوق الوجبات التي نخدمها ، أطرح أسئلة ...")</f>
        <v>يجب أن أعترف ، عندما أتذوق الوجبات التي نخدمها ، أطرح أسئلة ...</v>
      </c>
    </row>
    <row r="5972" ht="15.75" customHeight="1">
      <c r="A5972" s="12" t="s">
        <v>11077</v>
      </c>
      <c r="B5972" s="13" t="s">
        <v>11078</v>
      </c>
      <c r="C5972" s="14" t="s">
        <v>11079</v>
      </c>
      <c r="D5972" s="1" t="str">
        <f>IFERROR(__xludf.DUMMYFUNCTION("GOOGLETRANSLATE(A5972 , ""auto"", ""ar"")"),"علاوة على ذلك ، لا يوجد وقت لأخذ قيلولة من عبء العمل ، إنها فضيحة!")</f>
        <v>علاوة على ذلك ، لا يوجد وقت لأخذ قيلولة من عبء العمل ، إنها فضيحة!</v>
      </c>
    </row>
    <row r="5973" ht="15.75" customHeight="1">
      <c r="A5973" s="12" t="s">
        <v>11080</v>
      </c>
      <c r="B5973" s="13" t="s">
        <v>11081</v>
      </c>
      <c r="C5973" s="14" t="s">
        <v>11082</v>
      </c>
      <c r="D5973" s="1" t="str">
        <f>IFERROR(__xludf.DUMMYFUNCTION("GOOGLETRANSLATE(A5973 , ""auto"", ""ar"")"),"هذا يبدو مشبوهًا بالنسبة لي")</f>
        <v>هذا يبدو مشبوهًا بالنسبة لي</v>
      </c>
    </row>
    <row r="5974" ht="15.75" customHeight="1">
      <c r="A5974" s="12" t="s">
        <v>11080</v>
      </c>
      <c r="B5974" s="13" t="s">
        <v>11083</v>
      </c>
      <c r="C5974" s="14" t="s">
        <v>11084</v>
      </c>
      <c r="D5974" s="1" t="str">
        <f>IFERROR(__xludf.DUMMYFUNCTION("GOOGLETRANSLATE(A5974 , ""auto"", ""ar"")"),"هذا يبدو مشبوهًا بالنسبة لي")</f>
        <v>هذا يبدو مشبوهًا بالنسبة لي</v>
      </c>
    </row>
    <row r="5975" ht="15.75" customHeight="1">
      <c r="A5975" s="12" t="s">
        <v>11085</v>
      </c>
      <c r="B5975" s="13" t="s">
        <v>11086</v>
      </c>
      <c r="C5975" s="14" t="s">
        <v>11087</v>
      </c>
      <c r="D5975" s="1" t="str">
        <f>IFERROR(__xludf.DUMMYFUNCTION("GOOGLETRANSLATE(A5975 , ""auto"", ""ar"")"),"إذا تمكنت من التسلل من هناك بعض عينات الطعام الصغيرة ، يمكنني إرسالها بعيدًا للاختبار")</f>
        <v>إذا تمكنت من التسلل من هناك بعض عينات الطعام الصغيرة ، يمكنني إرسالها بعيدًا للاختبار</v>
      </c>
    </row>
    <row r="5976" ht="15.75" customHeight="1">
      <c r="A5976" s="12" t="s">
        <v>11088</v>
      </c>
      <c r="B5976" s="13" t="s">
        <v>11089</v>
      </c>
      <c r="C5976" s="14" t="s">
        <v>11090</v>
      </c>
      <c r="D5976" s="1" t="str">
        <f>IFERROR(__xludf.DUMMYFUNCTION("GOOGLETRANSLATE(A5976 , ""auto"", ""ar"")"),"يمكنك تذوقه ، لكنني أحذرك ، إنه أمر فظيع")</f>
        <v>يمكنك تذوقه ، لكنني أحذرك ، إنه أمر فظيع</v>
      </c>
    </row>
    <row r="5977" ht="15.75" customHeight="1">
      <c r="A5977" s="12" t="s">
        <v>11091</v>
      </c>
      <c r="B5977" s="13" t="s">
        <v>11092</v>
      </c>
      <c r="C5977" s="14" t="s">
        <v>11093</v>
      </c>
      <c r="D5977" s="1" t="str">
        <f>IFERROR(__xludf.DUMMYFUNCTION("GOOGLETRANSLATE(A5977 , ""auto"", ""ar"")"),"لا تقلق ، لن أتذوقها بنفسي")</f>
        <v>لا تقلق ، لن أتذوقها بنفسي</v>
      </c>
    </row>
    <row r="5978" ht="15.75" customHeight="1">
      <c r="A5978" s="12" t="s">
        <v>11094</v>
      </c>
      <c r="B5978" s="13" t="s">
        <v>11095</v>
      </c>
      <c r="C5978" s="14" t="s">
        <v>11096</v>
      </c>
      <c r="D5978" s="1" t="str">
        <f>IFERROR(__xludf.DUMMYFUNCTION("GOOGLETRANSLATE(A5978 , ""auto"", ""ar"")"),"إذا كانت شكوكي صحيحة ، فإن القيام بذلك ، تعني النزول بالاكتئاب")</f>
        <v>إذا كانت شكوكي صحيحة ، فإن القيام بذلك ، تعني النزول بالاكتئاب</v>
      </c>
    </row>
    <row r="5979" ht="15.75" customHeight="1">
      <c r="A5979" s="12" t="s">
        <v>11097</v>
      </c>
      <c r="B5979" s="13" t="s">
        <v>11098</v>
      </c>
      <c r="C5979" s="14" t="s">
        <v>11099</v>
      </c>
      <c r="D5979" s="1" t="str">
        <f>IFERROR(__xludf.DUMMYFUNCTION("GOOGLETRANSLATE(A5979 , ""auto"", ""ar"")"),"لا أستطيع قضاء بعض الوقت وأحب أن أكون سعيدًا")</f>
        <v>لا أستطيع قضاء بعض الوقت وأحب أن أكون سعيدًا</v>
      </c>
    </row>
    <row r="5980" ht="15.75" customHeight="1">
      <c r="A5980" s="12" t="s">
        <v>11100</v>
      </c>
      <c r="B5980" s="13" t="s">
        <v>11101</v>
      </c>
      <c r="C5980" s="14" t="s">
        <v>11102</v>
      </c>
      <c r="D5980" s="1" t="str">
        <f>IFERROR(__xludf.DUMMYFUNCTION("GOOGLETRANSLATE(A5980 , ""auto"", ""ar"")"),"على أي حال ، جميل أن أراك مرة أخرى ، وسنتحدث مرة أخرى عندما تحصل على العينات")</f>
        <v>على أي حال ، جميل أن أراك مرة أخرى ، وسنتحدث مرة أخرى عندما تحصل على العينات</v>
      </c>
    </row>
    <row r="5981" ht="15.75" customHeight="1">
      <c r="A5981" s="12" t="s">
        <v>11103</v>
      </c>
      <c r="B5981" s="13" t="s">
        <v>11104</v>
      </c>
      <c r="C5981" s="14" t="s">
        <v>11105</v>
      </c>
      <c r="D5981" s="1" t="str">
        <f>IFERROR(__xludf.DUMMYFUNCTION("GOOGLETRANSLATE(A5981 , ""auto"", ""ar"")"),"مع السلامة!")</f>
        <v>مع السلامة!</v>
      </c>
    </row>
    <row r="5982" ht="15.75" customHeight="1">
      <c r="A5982" s="12" t="s">
        <v>11106</v>
      </c>
      <c r="B5982" s="13" t="s">
        <v>11107</v>
      </c>
      <c r="C5982" s="14" t="s">
        <v>11108</v>
      </c>
      <c r="D5982" s="1" t="str">
        <f>IFERROR(__xludf.DUMMYFUNCTION("GOOGLETRANSLATE(A5982 , ""auto"", ""ar"")"),"شكرا لك على مساعدتك يا دكتور")</f>
        <v>شكرا لك على مساعدتك يا دكتور</v>
      </c>
    </row>
    <row r="5983" ht="15.75" customHeight="1">
      <c r="A5983" s="12" t="s">
        <v>11109</v>
      </c>
      <c r="B5983" s="13" t="s">
        <v>11110</v>
      </c>
      <c r="C5983" s="14" t="s">
        <v>11111</v>
      </c>
      <c r="D5983" s="1" t="str">
        <f>IFERROR(__xludf.DUMMYFUNCTION("GOOGLETRANSLATE(A5983 , ""auto"", ""ar"")"),"كان من دواعي سروري التحدث معك اليوم!")</f>
        <v>كان من دواعي سروري التحدث معك اليوم!</v>
      </c>
    </row>
    <row r="5984" ht="15.75" customHeight="1">
      <c r="A5984" s="12" t="s">
        <v>11112</v>
      </c>
      <c r="B5984" s="13" t="s">
        <v>11113</v>
      </c>
      <c r="C5984" s="14" t="s">
        <v>11114</v>
      </c>
      <c r="D5984" s="1" t="str">
        <f>IFERROR(__xludf.DUMMYFUNCTION("GOOGLETRANSLATE(A5984 , ""auto"", ""ar"")"),"إنه يوم جميل لتغذية البط")</f>
        <v>إنه يوم جميل لتغذية البط</v>
      </c>
    </row>
    <row r="5985" ht="15.75" customHeight="1">
      <c r="A5985" s="12" t="s">
        <v>11115</v>
      </c>
      <c r="B5985" s="13" t="s">
        <v>11116</v>
      </c>
      <c r="C5985" s="14" t="s">
        <v>11117</v>
      </c>
      <c r="D5985" s="1" t="str">
        <f>IFERROR(__xludf.DUMMYFUNCTION("GOOGLETRANSLATE(A5985 , ""auto"", ""ar"")"),"هذا صحيح ، لكني أحب المجيء إلى هنا حتى عندما تمطر")</f>
        <v>هذا صحيح ، لكني أحب المجيء إلى هنا حتى عندما تمطر</v>
      </c>
    </row>
    <row r="5986" ht="15.75" customHeight="1">
      <c r="A5986" s="12" t="s">
        <v>11118</v>
      </c>
      <c r="B5986" s="13" t="s">
        <v>11119</v>
      </c>
      <c r="C5986" s="14" t="s">
        <v>11120</v>
      </c>
      <c r="D5986" s="1" t="str">
        <f>IFERROR(__xludf.DUMMYFUNCTION("GOOGLETRANSLATE(A5986 , ""auto"", ""ar"")"),"بعد كل شيء ، البط تأكل كل يوم!")</f>
        <v>بعد كل شيء ، البط تأكل كل يوم!</v>
      </c>
    </row>
    <row r="5987" ht="15.75" customHeight="1">
      <c r="A5987" s="12" t="s">
        <v>11121</v>
      </c>
      <c r="B5987" s="13" t="s">
        <v>11122</v>
      </c>
      <c r="C5987" s="14" t="s">
        <v>11123</v>
      </c>
      <c r="D5987" s="1" t="str">
        <f>IFERROR(__xludf.DUMMYFUNCTION("GOOGLETRANSLATE(A5987 , ""auto"", ""ar"")"),"هل تأتي هنا عادة؟")</f>
        <v>هل تأتي هنا عادة؟</v>
      </c>
    </row>
    <row r="5988" ht="15.75" customHeight="1">
      <c r="A5988" s="12" t="s">
        <v>11124</v>
      </c>
      <c r="B5988" s="13" t="s">
        <v>11125</v>
      </c>
      <c r="C5988" s="14" t="s">
        <v>11126</v>
      </c>
      <c r="D5988" s="1" t="str">
        <f>IFERROR(__xludf.DUMMYFUNCTION("GOOGLETRANSLATE(A5988 , ""auto"", ""ar"")"),"المرة الأولى لي في هذه البركة بالذات")</f>
        <v>المرة الأولى لي في هذه البركة بالذات</v>
      </c>
    </row>
    <row r="5989" ht="15.75" customHeight="1">
      <c r="A5989" s="12" t="s">
        <v>11127</v>
      </c>
      <c r="B5989" s="13" t="s">
        <v>11128</v>
      </c>
      <c r="C5989" s="14" t="s">
        <v>11129</v>
      </c>
      <c r="D5989" s="1" t="str">
        <f>IFERROR(__xludf.DUMMYFUNCTION("GOOGLETRANSLATE(A5989 , ""auto"", ""ar"")"),"هل أنت جديد في الحي؟")</f>
        <v>هل أنت جديد في الحي؟</v>
      </c>
    </row>
    <row r="5990" ht="15.75" customHeight="1">
      <c r="A5990" s="12" t="s">
        <v>11127</v>
      </c>
      <c r="B5990" s="13" t="s">
        <v>11130</v>
      </c>
      <c r="C5990" s="14" t="s">
        <v>11131</v>
      </c>
      <c r="D5990" s="1" t="str">
        <f>IFERROR(__xludf.DUMMYFUNCTION("GOOGLETRANSLATE(A5990 , ""auto"", ""ar"")"),"هل أنت جديد في الحي؟")</f>
        <v>هل أنت جديد في الحي؟</v>
      </c>
    </row>
    <row r="5991" ht="15.75" customHeight="1">
      <c r="A5991" s="12" t="s">
        <v>11132</v>
      </c>
      <c r="B5991" s="13" t="s">
        <v>11133</v>
      </c>
      <c r="C5991" s="14" t="s">
        <v>11134</v>
      </c>
      <c r="D5991" s="1" t="str">
        <f>IFERROR(__xludf.DUMMYFUNCTION("GOOGLETRANSLATE(A5991 , ""auto"", ""ar"")"),"لا ، أنا فقط أتجاوز")</f>
        <v>لا ، أنا فقط أتجاوز</v>
      </c>
    </row>
    <row r="5992" ht="15.75" customHeight="1">
      <c r="A5992" s="12" t="s">
        <v>11135</v>
      </c>
      <c r="B5992" s="13" t="s">
        <v>11136</v>
      </c>
      <c r="C5992" s="14" t="s">
        <v>11137</v>
      </c>
      <c r="D5992" s="1" t="str">
        <f>IFERROR(__xludf.DUMMYFUNCTION("GOOGLETRANSLATE(A5992 , ""auto"", ""ar"")"),"لدي بضع ساعات لتجنيبها قبل التقاط قطاري")</f>
        <v>لدي بضع ساعات لتجنيبها قبل التقاط قطاري</v>
      </c>
    </row>
    <row r="5993" ht="15.75" customHeight="1">
      <c r="A5993" s="12" t="s">
        <v>11138</v>
      </c>
      <c r="B5993" s="13" t="s">
        <v>11139</v>
      </c>
      <c r="C5993" s="14" t="s">
        <v>11140</v>
      </c>
      <c r="D5993" s="1" t="str">
        <f>IFERROR(__xludf.DUMMYFUNCTION("GOOGLETRANSLATE(A5993 , ""auto"", ""ar"")"),"أوه ، إلى أين أنت ذاهب؟")</f>
        <v>أوه ، إلى أين أنت ذاهب؟</v>
      </c>
    </row>
    <row r="5994" ht="15.75" customHeight="1">
      <c r="A5994" s="12" t="s">
        <v>11141</v>
      </c>
      <c r="B5994" s="13" t="s">
        <v>11142</v>
      </c>
      <c r="C5994" s="14" t="s">
        <v>11143</v>
      </c>
      <c r="D5994" s="1" t="str">
        <f>IFERROR(__xludf.DUMMYFUNCTION("GOOGLETRANSLATE(A5994 , ""auto"", ""ar"")"),"إلى أين تذهب؟")</f>
        <v>إلى أين تذهب؟</v>
      </c>
    </row>
    <row r="5995" ht="15.75" customHeight="1">
      <c r="A5995" s="12" t="s">
        <v>11144</v>
      </c>
      <c r="B5995" s="13" t="s">
        <v>11145</v>
      </c>
      <c r="C5995" s="14" t="s">
        <v>11146</v>
      </c>
      <c r="D5995" s="1" t="str">
        <f>IFERROR(__xludf.DUMMYFUNCTION("GOOGLETRANSLATE(A5995 , ""auto"", ""ar"")"),"فقط في الطريق إلى كاسا")</f>
        <v>فقط في الطريق إلى كاسا</v>
      </c>
    </row>
    <row r="5996" ht="15.75" customHeight="1">
      <c r="A5996" s="12" t="s">
        <v>11147</v>
      </c>
      <c r="B5996" s="13" t="s">
        <v>11148</v>
      </c>
      <c r="C5996" s="14" t="s">
        <v>11149</v>
      </c>
      <c r="D5996" s="1" t="str">
        <f>IFERROR(__xludf.DUMMYFUNCTION("GOOGLETRANSLATE(A5996 , ""auto"", ""ar"")"),"الشيء المضحك هو أنه ليس لدي أي فكرة عن أين أنا الآن")</f>
        <v>الشيء المضحك هو أنه ليس لدي أي فكرة عن أين أنا الآن</v>
      </c>
    </row>
    <row r="5997" ht="15.75" customHeight="1">
      <c r="A5997" s="12" t="s">
        <v>11150</v>
      </c>
      <c r="B5997" s="13" t="s">
        <v>11151</v>
      </c>
      <c r="C5997" s="14" t="s">
        <v>11152</v>
      </c>
      <c r="D5997" s="1" t="str">
        <f>IFERROR(__xludf.DUMMYFUNCTION("GOOGLETRANSLATE(A5997 , ""auto"", ""ar"")"),"نحن في مؤسسة آلان تورينج")</f>
        <v>نحن في مؤسسة آلان تورينج</v>
      </c>
    </row>
    <row r="5998" ht="15.75" customHeight="1">
      <c r="A5998" s="12" t="s">
        <v>11153</v>
      </c>
      <c r="B5998" s="13" t="s">
        <v>11154</v>
      </c>
      <c r="C5998" s="14" t="s">
        <v>11155</v>
      </c>
      <c r="D5998" s="1" t="str">
        <f>IFERROR(__xludf.DUMMYFUNCTION("GOOGLETRANSLATE(A5998 , ""auto"", ""ar"")"),"بالنسبة لي ، إنها أقرب حديقة إلى منزلي بشكل خاص")</f>
        <v>بالنسبة لي ، إنها أقرب حديقة إلى منزلي بشكل خاص</v>
      </c>
    </row>
    <row r="5999" ht="15.75" customHeight="1">
      <c r="A5999" s="12" t="s">
        <v>11156</v>
      </c>
      <c r="B5999" s="13" t="s">
        <v>11157</v>
      </c>
      <c r="C5999" s="14" t="s">
        <v>11158</v>
      </c>
      <c r="D5999" s="1" t="str">
        <f>IFERROR(__xludf.DUMMYFUNCTION("GOOGLETRANSLATE(A5999 , ""auto"", ""ar"")"),"وبما أنه حصل على بركة وبعض البط ، فقد جئت إلى هنا كثيرًا")</f>
        <v>وبما أنه حصل على بركة وبعض البط ، فقد جئت إلى هنا كثيرًا</v>
      </c>
    </row>
    <row r="6000" ht="15.75" customHeight="1">
      <c r="A6000" s="12" t="s">
        <v>11159</v>
      </c>
      <c r="B6000" s="13" t="s">
        <v>11160</v>
      </c>
      <c r="C6000" s="14" t="s">
        <v>11161</v>
      </c>
      <c r="D6000" s="1" t="str">
        <f>IFERROR(__xludf.DUMMYFUNCTION("GOOGLETRANSLATE(A6000 , ""auto"", ""ar"")"),"أنا أحب الحمير كثيرا")</f>
        <v>أنا أحب الحمير كثيرا</v>
      </c>
    </row>
    <row r="6001" ht="15.75" customHeight="1">
      <c r="A6001" s="12" t="s">
        <v>11162</v>
      </c>
      <c r="B6001" s="13" t="s">
        <v>11163</v>
      </c>
      <c r="C6001" s="14" t="s">
        <v>11164</v>
      </c>
      <c r="D6001" s="1" t="str">
        <f>IFERROR(__xludf.DUMMYFUNCTION("GOOGLETRANSLATE(A6001 , ""auto"", ""ar"")"),"كيف وجد آلان تورينج الحديقة؟")</f>
        <v>كيف وجد آلان تورينج الحديقة؟</v>
      </c>
    </row>
    <row r="6002" ht="15.75" customHeight="1">
      <c r="A6002" s="12" t="s">
        <v>11165</v>
      </c>
      <c r="B6002" s="13" t="s">
        <v>11166</v>
      </c>
      <c r="C6002" s="14" t="s">
        <v>11167</v>
      </c>
      <c r="D6002" s="1" t="str">
        <f>IFERROR(__xludf.DUMMYFUNCTION("GOOGLETRANSLATE(A6002 , ""auto"", ""ar"")"),"أفترض أنه نظر حوله وهناك كان هناك")</f>
        <v>أفترض أنه نظر حوله وهناك كان هناك</v>
      </c>
    </row>
    <row r="6003" ht="15.75" customHeight="1">
      <c r="A6003" s="12" t="s">
        <v>11168</v>
      </c>
      <c r="B6003" s="13" t="s">
        <v>11169</v>
      </c>
      <c r="C6003" s="14" t="s">
        <v>11170</v>
      </c>
      <c r="D6003" s="1" t="str">
        <f>IFERROR(__xludf.DUMMYFUNCTION("GOOGLETRANSLATE(A6003 , ""auto"", ""ar"")"),"محظوظ بالنسبة لي كان لدي بعض الخبز في حقيبتي")</f>
        <v>محظوظ بالنسبة لي كان لدي بعض الخبز في حقيبتي</v>
      </c>
    </row>
    <row r="6004" ht="15.75" customHeight="1">
      <c r="A6004" s="12" t="s">
        <v>11171</v>
      </c>
      <c r="B6004" s="13" t="s">
        <v>11172</v>
      </c>
      <c r="C6004" s="14" t="s">
        <v>11173</v>
      </c>
      <c r="D6004" s="1" t="str">
        <f>IFERROR(__xludf.DUMMYFUNCTION("GOOGLETRANSLATE(A6004 , ""auto"", ""ar"")"),"كان البط قد عاد إلى المنزل مع بطون فارغة")</f>
        <v>كان البط قد عاد إلى المنزل مع بطون فارغة</v>
      </c>
    </row>
    <row r="6005" ht="15.75" customHeight="1">
      <c r="A6005" s="12" t="s">
        <v>11174</v>
      </c>
      <c r="B6005" s="13" t="s">
        <v>11175</v>
      </c>
      <c r="C6005" s="14" t="s">
        <v>11176</v>
      </c>
      <c r="D6005" s="1" t="str">
        <f>IFERROR(__xludf.DUMMYFUNCTION("GOOGLETRANSLATE(A6005 , ""auto"", ""ar"")"),"سآخذ المزيد إذا كنت تريد")</f>
        <v>سآخذ المزيد إذا كنت تريد</v>
      </c>
    </row>
    <row r="6006" ht="15.75" customHeight="1">
      <c r="A6006" s="12" t="s">
        <v>11177</v>
      </c>
      <c r="B6006" s="13" t="s">
        <v>11178</v>
      </c>
      <c r="C6006" s="14" t="s">
        <v>11179</v>
      </c>
      <c r="D6006" s="1" t="str">
        <f>IFERROR(__xludf.DUMMYFUNCTION("GOOGLETRANSLATE(A6006 , ""auto"", ""ar"")"),"أنا دائما أحضر الكثير")</f>
        <v>أنا دائما أحضر الكثير</v>
      </c>
    </row>
    <row r="6007" ht="15.75" customHeight="1">
      <c r="A6007" s="12" t="s">
        <v>11180</v>
      </c>
      <c r="B6007" s="13" t="s">
        <v>11181</v>
      </c>
      <c r="C6007" s="14" t="s">
        <v>11182</v>
      </c>
      <c r="D6007" s="1" t="str">
        <f>IFERROR(__xludf.DUMMYFUNCTION("GOOGLETRANSLATE(A6007 , ""auto"", ""ar"")"),"وهناك الكثير من الأطفال ، وأحيانًا يكبرون")</f>
        <v>وهناك الكثير من الأطفال ، وأحيانًا يكبرون</v>
      </c>
    </row>
    <row r="6008" ht="15.75" customHeight="1">
      <c r="A6008" s="12" t="s">
        <v>11183</v>
      </c>
      <c r="B6008" s="13" t="s">
        <v>11184</v>
      </c>
      <c r="C6008" s="14" t="s">
        <v>11185</v>
      </c>
      <c r="D6008" s="1" t="str">
        <f>IFERROR(__xludf.DUMMYFUNCTION("GOOGLETRANSLATE(A6008 , ""auto"", ""ar"")"),"إنهم سعداء بأن أعطيهم بعض الخبز لرميهم")</f>
        <v>إنهم سعداء بأن أعطيهم بعض الخبز لرميهم</v>
      </c>
    </row>
    <row r="6009" ht="15.75" customHeight="1">
      <c r="A6009" s="12" t="s">
        <v>11186</v>
      </c>
      <c r="B6009" s="13" t="s">
        <v>11187</v>
      </c>
      <c r="C6009" s="14" t="s">
        <v>11188</v>
      </c>
      <c r="D6009" s="1" t="str">
        <f>IFERROR(__xludf.DUMMYFUNCTION("GOOGLETRANSLATE(A6009 , ""auto"", ""ar"")"),"لا هذا بخير")</f>
        <v>لا هذا بخير</v>
      </c>
    </row>
    <row r="6010" ht="15.75" customHeight="1">
      <c r="A6010" s="12" t="s">
        <v>11189</v>
      </c>
      <c r="B6010" s="13" t="s">
        <v>11190</v>
      </c>
      <c r="C6010" s="14" t="s">
        <v>11191</v>
      </c>
      <c r="D6010" s="1" t="str">
        <f>IFERROR(__xludf.DUMMYFUNCTION("GOOGLETRANSLATE(A6010 , ""auto"", ""ar"")"),"أستطيع أن أسمع صافرة قطاري تهب لذا يجب أن أركض")</f>
        <v>أستطيع أن أسمع صافرة قطاري تهب لذا يجب أن أركض</v>
      </c>
    </row>
    <row r="6011" ht="15.75" customHeight="1">
      <c r="A6011" s="12" t="s">
        <v>11192</v>
      </c>
      <c r="B6011" s="13" t="s">
        <v>11193</v>
      </c>
      <c r="C6011" s="14" t="s">
        <v>11194</v>
      </c>
      <c r="D6011" s="1" t="str">
        <f>IFERROR(__xludf.DUMMYFUNCTION("GOOGLETRANSLATE(A6011 , ""auto"", ""ar"")"),"من الجيد التحدث معك")</f>
        <v>من الجيد التحدث معك</v>
      </c>
    </row>
    <row r="6012" ht="15.75" customHeight="1">
      <c r="A6012" s="12" t="s">
        <v>11195</v>
      </c>
      <c r="B6012" s="13" t="s">
        <v>11196</v>
      </c>
      <c r="C6012" s="14" t="s">
        <v>11197</v>
      </c>
      <c r="D6012" s="1" t="str">
        <f>IFERROR(__xludf.DUMMYFUNCTION("GOOGLETRANSLATE(A6012 , ""auto"", ""ar"")"),"كم هو جميل أن أراك!")</f>
        <v>كم هو جميل أن أراك!</v>
      </c>
    </row>
    <row r="6013" ht="15.75" customHeight="1">
      <c r="A6013" s="12" t="s">
        <v>11198</v>
      </c>
      <c r="B6013" s="13" t="s">
        <v>11199</v>
      </c>
      <c r="C6013" s="14" t="s">
        <v>11200</v>
      </c>
      <c r="D6013" s="1" t="str">
        <f>IFERROR(__xludf.DUMMYFUNCTION("GOOGLETRANSLATE(A6013 , ""auto"", ""ar"")"),"يا له من متعة لمقابلتك")</f>
        <v>يا له من متعة لمقابلتك</v>
      </c>
    </row>
    <row r="6014" ht="15.75" customHeight="1">
      <c r="A6014" s="12" t="s">
        <v>11198</v>
      </c>
      <c r="B6014" s="13" t="s">
        <v>11201</v>
      </c>
      <c r="C6014" s="14" t="s">
        <v>11202</v>
      </c>
      <c r="D6014" s="1" t="str">
        <f>IFERROR(__xludf.DUMMYFUNCTION("GOOGLETRANSLATE(A6014 , ""auto"", ""ar"")"),"يا له من متعة لمقابلتك")</f>
        <v>يا له من متعة لمقابلتك</v>
      </c>
    </row>
    <row r="6015" ht="15.75" customHeight="1">
      <c r="A6015" s="12" t="s">
        <v>11198</v>
      </c>
      <c r="B6015" s="13" t="s">
        <v>11203</v>
      </c>
      <c r="C6015" s="14" t="s">
        <v>11204</v>
      </c>
      <c r="D6015" s="1" t="str">
        <f>IFERROR(__xludf.DUMMYFUNCTION("GOOGLETRANSLATE(A6015 , ""auto"", ""ar"")"),"يا له من متعة لمقابلتك")</f>
        <v>يا له من متعة لمقابلتك</v>
      </c>
    </row>
    <row r="6016" ht="15.75" customHeight="1">
      <c r="A6016" s="12" t="s">
        <v>11205</v>
      </c>
      <c r="B6016" s="13" t="s">
        <v>11206</v>
      </c>
      <c r="C6016" s="14" t="s">
        <v>11207</v>
      </c>
      <c r="D6016" s="1" t="str">
        <f>IFERROR(__xludf.DUMMYFUNCTION("GOOGLETRANSLATE(A6016 , ""auto"", ""ar"")"),"أنا كذلك يمكن توقعه")</f>
        <v>أنا كذلك يمكن توقعه</v>
      </c>
    </row>
    <row r="6017" ht="15.75" customHeight="1">
      <c r="A6017" s="12" t="s">
        <v>11208</v>
      </c>
      <c r="B6017" s="13" t="s">
        <v>11209</v>
      </c>
      <c r="C6017" s="14" t="s">
        <v>11210</v>
      </c>
      <c r="D6017" s="1" t="str">
        <f>IFERROR(__xludf.DUMMYFUNCTION("GOOGLETRANSLATE(A6017 , ""auto"", ""ar"")"),"لقد حصلت على آلام وآلامي ولكن في 93 لا أستطيع التذمر")</f>
        <v>لقد حصلت على آلام وآلامي ولكن في 93 لا أستطيع التذمر</v>
      </c>
    </row>
    <row r="6018" ht="15.75" customHeight="1">
      <c r="A6018" s="12" t="s">
        <v>11211</v>
      </c>
      <c r="B6018" s="13" t="s">
        <v>11212</v>
      </c>
      <c r="C6018" s="14" t="s">
        <v>11213</v>
      </c>
      <c r="D6018" s="1" t="str">
        <f>IFERROR(__xludf.DUMMYFUNCTION("GOOGLETRANSLATE(A6018 , ""auto"", ""ar"")"),"كيف حالك وأطفال؟")</f>
        <v>كيف حالك وأطفال؟</v>
      </c>
    </row>
    <row r="6019" ht="15.75" customHeight="1">
      <c r="A6019" s="12" t="s">
        <v>11214</v>
      </c>
      <c r="B6019" s="13" t="s">
        <v>11215</v>
      </c>
      <c r="C6019" s="14" t="s">
        <v>11216</v>
      </c>
      <c r="D6019" s="1" t="str">
        <f>IFERROR(__xludf.DUMMYFUNCTION("GOOGLETRANSLATE(A6019 , ""auto"", ""ar"")"),"يجب أن يكبروا بسرعة")</f>
        <v>يجب أن يكبروا بسرعة</v>
      </c>
    </row>
    <row r="6020" ht="15.75" customHeight="1">
      <c r="A6020" s="12" t="s">
        <v>11217</v>
      </c>
      <c r="B6020" s="13" t="s">
        <v>11218</v>
      </c>
      <c r="C6020" s="14" t="s">
        <v>11219</v>
      </c>
      <c r="D6020" s="1" t="str">
        <f>IFERROR(__xludf.DUMMYFUNCTION("GOOGLETRANSLATE(A6020 , ""auto"", ""ar"")"),"من الصعب في بعض الأحيان أن تكون كبير السن")</f>
        <v>من الصعب في بعض الأحيان أن تكون كبير السن</v>
      </c>
    </row>
    <row r="6021" ht="15.75" customHeight="1">
      <c r="A6021" s="12" t="s">
        <v>11220</v>
      </c>
      <c r="B6021" s="13" t="s">
        <v>11221</v>
      </c>
      <c r="C6021" s="14" t="s">
        <v>11222</v>
      </c>
      <c r="D6021" s="1" t="str">
        <f>IFERROR(__xludf.DUMMYFUNCTION("GOOGLETRANSLATE(A6021 , ""auto"", ""ar"")"),"و 93 عصر أبعد من الشرف ولديك دائمًا عين جيدة")</f>
        <v>و 93 عصر أبعد من الشرف ولديك دائمًا عين جيدة</v>
      </c>
    </row>
    <row r="6022" ht="15.75" customHeight="1">
      <c r="A6022" s="12" t="s">
        <v>11223</v>
      </c>
      <c r="B6022" s="13" t="s">
        <v>11224</v>
      </c>
      <c r="C6022" s="14" t="s">
        <v>11225</v>
      </c>
      <c r="D6022" s="1" t="str">
        <f>IFERROR(__xludf.DUMMYFUNCTION("GOOGLETRANSLATE(A6022 , ""auto"", ""ar"")"),"الأطفال بخير ، شكرا لك")</f>
        <v>الأطفال بخير ، شكرا لك</v>
      </c>
    </row>
    <row r="6023" ht="15.75" customHeight="1">
      <c r="A6023" s="12" t="s">
        <v>11226</v>
      </c>
      <c r="B6023" s="13" t="s">
        <v>11227</v>
      </c>
      <c r="C6023" s="14" t="s">
        <v>11228</v>
      </c>
      <c r="D6023" s="1" t="str">
        <f>IFERROR(__xludf.DUMMYFUNCTION("GOOGLETRANSLATE(A6023 , ""auto"", ""ar"")"),"انهم تقريبا نمت الآن")</f>
        <v>انهم تقريبا نمت الآن</v>
      </c>
    </row>
    <row r="6024" ht="15.75" customHeight="1">
      <c r="A6024" s="12" t="s">
        <v>11229</v>
      </c>
      <c r="B6024" s="13" t="s">
        <v>11230</v>
      </c>
      <c r="C6024" s="14" t="s">
        <v>11231</v>
      </c>
      <c r="D6024" s="1" t="str">
        <f>IFERROR(__xludf.DUMMYFUNCTION("GOOGLETRANSLATE(A6024 , ""auto"", ""ar"")"),"الهندسة المعمارية بولس")</f>
        <v>الهندسة المعمارية بولس</v>
      </c>
    </row>
    <row r="6025" ht="15.75" customHeight="1">
      <c r="A6025" s="12" t="s">
        <v>11232</v>
      </c>
      <c r="B6025" s="13" t="s">
        <v>11233</v>
      </c>
      <c r="C6025" s="14" t="s">
        <v>11234</v>
      </c>
      <c r="D6025" s="1" t="str">
        <f>IFERROR(__xludf.DUMMYFUNCTION("GOOGLETRANSLATE(A6025 , ""auto"", ""ar"")"),"هذا رائع")</f>
        <v>هذا رائع</v>
      </c>
    </row>
    <row r="6026" ht="15.75" customHeight="1">
      <c r="A6026" s="12" t="s">
        <v>11235</v>
      </c>
      <c r="B6026" s="13" t="s">
        <v>11236</v>
      </c>
      <c r="C6026" s="14" t="s">
        <v>11237</v>
      </c>
      <c r="D6026" s="1" t="str">
        <f>IFERROR(__xludf.DUMMYFUNCTION("GOOGLETRANSLATE(A6026 , ""auto"", ""ar"")"),"وماذا عن إيما؟")</f>
        <v>وماذا عن إيما؟</v>
      </c>
    </row>
    <row r="6027" ht="15.75" customHeight="1">
      <c r="A6027" s="12" t="s">
        <v>11238</v>
      </c>
      <c r="B6027" s="13" t="s">
        <v>11239</v>
      </c>
      <c r="C6027" s="14" t="s">
        <v>11240</v>
      </c>
      <c r="D6027" s="1" t="str">
        <f>IFERROR(__xludf.DUMMYFUNCTION("GOOGLETRANSLATE(A6027 , ""auto"", ""ar"")"),"كان لديها موهبة للموسيقى إذا كنت أتذكر")</f>
        <v>كان لديها موهبة للموسيقى إذا كنت أتذكر</v>
      </c>
    </row>
    <row r="6028" ht="15.75" customHeight="1">
      <c r="A6028" s="12" t="s">
        <v>11241</v>
      </c>
      <c r="B6028" s="13" t="s">
        <v>11242</v>
      </c>
      <c r="C6028" s="14" t="s">
        <v>11243</v>
      </c>
      <c r="D6028" s="1" t="str">
        <f>IFERROR(__xludf.DUMMYFUNCTION("GOOGLETRANSLATE(A6028 , ""auto"", ""ar"")"),"إيما عالمة كبيرة في المدرسة الثانوية")</f>
        <v>إيما عالمة كبيرة في المدرسة الثانوية</v>
      </c>
    </row>
    <row r="6029" ht="15.75" customHeight="1">
      <c r="A6029" s="12" t="s">
        <v>11244</v>
      </c>
      <c r="B6029" s="13" t="s">
        <v>11245</v>
      </c>
      <c r="C6029" s="14" t="s">
        <v>11246</v>
      </c>
      <c r="D6029" s="1" t="str">
        <f>IFERROR(__xludf.DUMMYFUNCTION("GOOGLETRANSLATE(A6029 , ""auto"", ""ar"")"),"تتخرج هذا العام")</f>
        <v>تتخرج هذا العام</v>
      </c>
    </row>
    <row r="6030" ht="15.75" customHeight="1">
      <c r="A6030" s="12" t="s">
        <v>11247</v>
      </c>
      <c r="B6030" s="13" t="s">
        <v>11248</v>
      </c>
      <c r="C6030" s="14" t="s">
        <v>11249</v>
      </c>
      <c r="D6030" s="1" t="str">
        <f>IFERROR(__xludf.DUMMYFUNCTION("GOOGLETRANSLATE(A6030 , ""auto"", ""ar"")"),"تمضي في الموسيقى وجزء من أوركسترا السمفونية")</f>
        <v>تمضي في الموسيقى وجزء من أوركسترا السمفونية</v>
      </c>
    </row>
    <row r="6031" ht="15.75" customHeight="1">
      <c r="A6031" s="12" t="s">
        <v>11250</v>
      </c>
      <c r="B6031" s="13" t="s">
        <v>11251</v>
      </c>
      <c r="C6031" s="14" t="s">
        <v>11252</v>
      </c>
      <c r="D6031" s="1" t="str">
        <f>IFERROR(__xludf.DUMMYFUNCTION("GOOGLETRANSLATE(A6031 , ""auto"", ""ar"")"),"من الجيد أن نسمع أنها أبقت الموسيقى وستحصل على مهنة جيدة")</f>
        <v>من الجيد أن نسمع أنها أبقت الموسيقى وستحصل على مهنة جيدة</v>
      </c>
    </row>
    <row r="6032" ht="15.75" customHeight="1">
      <c r="A6032" s="12" t="s">
        <v>11253</v>
      </c>
      <c r="B6032" s="13" t="s">
        <v>11254</v>
      </c>
      <c r="C6032" s="14" t="s">
        <v>11255</v>
      </c>
      <c r="D6032" s="1" t="str">
        <f>IFERROR(__xludf.DUMMYFUNCTION("GOOGLETRANSLATE(A6032 , ""auto"", ""ar"")"),"افتقد لعب البيانو")</f>
        <v>افتقد لعب البيانو</v>
      </c>
    </row>
    <row r="6033" ht="15.75" customHeight="1">
      <c r="A6033" s="12" t="s">
        <v>11256</v>
      </c>
      <c r="B6033" s="13" t="s">
        <v>11257</v>
      </c>
      <c r="C6033" s="14" t="s">
        <v>11258</v>
      </c>
      <c r="D6033" s="1" t="str">
        <f>IFERROR(__xludf.DUMMYFUNCTION("GOOGLETRANSLATE(A6033 , ""auto"", ""ar"")"),"ليس لدينا واحد هنا")</f>
        <v>ليس لدينا واحد هنا</v>
      </c>
    </row>
    <row r="6034" ht="15.75" customHeight="1">
      <c r="A6034" s="12" t="s">
        <v>11259</v>
      </c>
      <c r="B6034" s="13" t="s">
        <v>11260</v>
      </c>
      <c r="C6034" s="14" t="s">
        <v>11261</v>
      </c>
      <c r="D6034" s="1" t="str">
        <f>IFERROR(__xludf.DUMMYFUNCTION("GOOGLETRANSLATE(A6034 , ""auto"", ""ar"")"),"الموسيقى الوحيدة التي أفعلها هي موسيقى الجاز")</f>
        <v>الموسيقى الوحيدة التي أفعلها هي موسيقى الجاز</v>
      </c>
    </row>
    <row r="6035" ht="15.75" customHeight="1">
      <c r="A6035" s="12" t="s">
        <v>11262</v>
      </c>
      <c r="B6035" s="13" t="s">
        <v>11263</v>
      </c>
      <c r="C6035" s="14" t="s">
        <v>11264</v>
      </c>
      <c r="D6035" s="1" t="str">
        <f>IFERROR(__xludf.DUMMYFUNCTION("GOOGLETRANSLATE(A6035 , ""auto"", ""ar"")"),"أليس لديك فرصة للحصول على قرض من مؤسسة خيرية؟")</f>
        <v>أليس لديك فرصة للحصول على قرض من مؤسسة خيرية؟</v>
      </c>
    </row>
    <row r="6036" ht="15.75" customHeight="1">
      <c r="A6036" s="12" t="s">
        <v>11265</v>
      </c>
      <c r="B6036" s="13" t="s">
        <v>11266</v>
      </c>
      <c r="C6036" s="14" t="s">
        <v>11267</v>
      </c>
      <c r="D6036" s="1" t="str">
        <f>IFERROR(__xludf.DUMMYFUNCTION("GOOGLETRANSLATE(A6036 , ""auto"", ""ar"")"),"أعلم أن هناك الكثير من الأشخاص الذين يعملون مع دور رعاية المسنين")</f>
        <v>أعلم أن هناك الكثير من الأشخاص الذين يعملون مع دور رعاية المسنين</v>
      </c>
    </row>
    <row r="6037" ht="15.75" customHeight="1">
      <c r="A6037" s="12" t="s">
        <v>11268</v>
      </c>
      <c r="B6037" s="13" t="s">
        <v>11269</v>
      </c>
      <c r="C6037" s="14" t="s">
        <v>11270</v>
      </c>
      <c r="D6037" s="1" t="str">
        <f>IFERROR(__xludf.DUMMYFUNCTION("GOOGLETRANSLATE(A6037 , ""auto"", ""ar"")"),"ألا تقدم مع الموسيقيين؟")</f>
        <v>ألا تقدم مع الموسيقيين؟</v>
      </c>
    </row>
    <row r="6038" ht="15.75" customHeight="1">
      <c r="A6038" s="12" t="s">
        <v>11271</v>
      </c>
      <c r="B6038" s="13" t="s">
        <v>11272</v>
      </c>
      <c r="C6038" s="14" t="s">
        <v>11273</v>
      </c>
      <c r="D6038" s="1" t="str">
        <f>IFERROR(__xludf.DUMMYFUNCTION("GOOGLETRANSLATE(A6038 , ""auto"", ""ar"")"),"فقط الأغنية الأسبوعية؟")</f>
        <v>فقط الأغنية الأسبوعية؟</v>
      </c>
    </row>
    <row r="6039" ht="15.75" customHeight="1">
      <c r="A6039" s="12" t="s">
        <v>11274</v>
      </c>
      <c r="B6039" s="13" t="s">
        <v>11275</v>
      </c>
      <c r="C6039" s="14" t="s">
        <v>11276</v>
      </c>
      <c r="D6039" s="1" t="str">
        <f>IFERROR(__xludf.DUMMYFUNCTION("GOOGLETRANSLATE(A6039 , ""auto"", ""ar"")"),"لا أعرف عن القروض")</f>
        <v>لا أعرف عن القروض</v>
      </c>
    </row>
    <row r="6040" ht="15.75" customHeight="1">
      <c r="A6040" s="12" t="s">
        <v>11277</v>
      </c>
      <c r="B6040" s="13" t="s">
        <v>11278</v>
      </c>
      <c r="C6040" s="14" t="s">
        <v>11279</v>
      </c>
      <c r="D6040" s="1" t="str">
        <f>IFERROR(__xludf.DUMMYFUNCTION("GOOGLETRANSLATE(A6040 , ""auto"", ""ar"")"),"البيانو شيء كبير")</f>
        <v>البيانو شيء كبير</v>
      </c>
    </row>
    <row r="6041" ht="15.75" customHeight="1">
      <c r="A6041" s="12" t="s">
        <v>11280</v>
      </c>
      <c r="B6041" s="13" t="s">
        <v>11281</v>
      </c>
      <c r="C6041" s="14" t="s">
        <v>11282</v>
      </c>
      <c r="D6041" s="1" t="str">
        <f>IFERROR(__xludf.DUMMYFUNCTION("GOOGLETRANSLATE(A6041 , ""auto"", ""ar"")"),"أغاني فظيعة وغني رهيب")</f>
        <v>أغاني فظيعة وغني رهيب</v>
      </c>
    </row>
    <row r="6042" ht="15.75" customHeight="1">
      <c r="A6042" s="12" t="s">
        <v>11283</v>
      </c>
      <c r="B6042" s="13" t="s">
        <v>11284</v>
      </c>
      <c r="C6042" s="14" t="s">
        <v>11285</v>
      </c>
      <c r="D6042" s="1" t="str">
        <f>IFERROR(__xludf.DUMMYFUNCTION("GOOGLETRANSLATE(A6042 , ""auto"", ""ar"")"),"من المؤكد أنه يمكن أن يضعك على اتصال مع مؤسسة خيرية")</f>
        <v>من المؤكد أنه يمكن أن يضعك على اتصال مع مؤسسة خيرية</v>
      </c>
    </row>
    <row r="6043" ht="15.75" customHeight="1">
      <c r="A6043" s="12" t="s">
        <v>11286</v>
      </c>
      <c r="B6043" s="13" t="s">
        <v>11287</v>
      </c>
      <c r="C6043" s="14" t="s">
        <v>11288</v>
      </c>
      <c r="D6043" s="1" t="str">
        <f>IFERROR(__xludf.DUMMYFUNCTION("GOOGLETRANSLATE(A6043 , ""auto"", ""ar"")"),"هل هي سيئة للغاية الأغاني؟")</f>
        <v>هل هي سيئة للغاية الأغاني؟</v>
      </c>
    </row>
    <row r="6044" ht="15.75" customHeight="1">
      <c r="A6044" s="12" t="s">
        <v>11289</v>
      </c>
      <c r="B6044" s="13" t="s">
        <v>11290</v>
      </c>
      <c r="C6044" s="14" t="s">
        <v>11291</v>
      </c>
      <c r="D6044" s="1" t="str">
        <f>IFERROR(__xludf.DUMMYFUNCTION("GOOGLETRANSLATE(A6044 , ""auto"", ""ar"")"),"ما هم؟")</f>
        <v>ما هم؟</v>
      </c>
    </row>
    <row r="6045" ht="15.75" customHeight="1">
      <c r="A6045" s="12" t="s">
        <v>11292</v>
      </c>
      <c r="B6045" s="13" t="s">
        <v>11293</v>
      </c>
      <c r="C6045" s="14" t="s">
        <v>11294</v>
      </c>
      <c r="D6045" s="1" t="str">
        <f>IFERROR(__xludf.DUMMYFUNCTION("GOOGLETRANSLATE(A6045 , ""auto"", ""ar"")"),"من أي عصر؟")</f>
        <v>من أي عصر؟</v>
      </c>
    </row>
    <row r="6046" ht="15.75" customHeight="1">
      <c r="A6046" s="12" t="s">
        <v>11295</v>
      </c>
      <c r="B6046" s="13" t="s">
        <v>11296</v>
      </c>
      <c r="C6046" s="14" t="s">
        <v>11297</v>
      </c>
      <c r="D6046" s="1" t="str">
        <f>IFERROR(__xludf.DUMMYFUNCTION("GOOGLETRANSLATE(A6046 , ""auto"", ""ar"")"),"أعتقد أنني سمعت الجرس لتناول وجبة المساء")</f>
        <v>أعتقد أنني سمعت الجرس لتناول وجبة المساء</v>
      </c>
    </row>
    <row r="6047" ht="15.75" customHeight="1">
      <c r="A6047" s="12" t="s">
        <v>11298</v>
      </c>
      <c r="B6047" s="13" t="s">
        <v>11299</v>
      </c>
      <c r="C6047" s="14" t="s">
        <v>11300</v>
      </c>
      <c r="D6047" s="1" t="str">
        <f>IFERROR(__xludf.DUMMYFUNCTION("GOOGLETRANSLATE(A6047 , ""auto"", ""ar"")"),"هل ستبقى لبعض الطعام أم يجب أن تغادر الآن؟")</f>
        <v>هل ستبقى لبعض الطعام أم يجب أن تغادر الآن؟</v>
      </c>
    </row>
    <row r="6048" ht="15.75" customHeight="1">
      <c r="A6048" s="12" t="s">
        <v>11301</v>
      </c>
      <c r="B6048" s="13" t="s">
        <v>11302</v>
      </c>
      <c r="C6048" s="14" t="s">
        <v>11303</v>
      </c>
      <c r="D6048" s="1" t="str">
        <f>IFERROR(__xludf.DUMMYFUNCTION("GOOGLETRANSLATE(A6048 , ""auto"", ""ar"")"),"نحن لا نخطط للبقاء لتناول العشاء")</f>
        <v>نحن لا نخطط للبقاء لتناول العشاء</v>
      </c>
    </row>
    <row r="6049" ht="15.75" customHeight="1">
      <c r="A6049" s="12" t="s">
        <v>11304</v>
      </c>
      <c r="B6049" s="13" t="s">
        <v>11305</v>
      </c>
      <c r="C6049" s="14" t="s">
        <v>11306</v>
      </c>
      <c r="D6049" s="1" t="str">
        <f>IFERROR(__xludf.DUMMYFUNCTION("GOOGLETRANSLATE(A6049 , ""auto"", ""ar"")"),"آمل أن أتمكن من العودة قريبًا")</f>
        <v>آمل أن أتمكن من العودة قريبًا</v>
      </c>
    </row>
    <row r="6050" ht="15.75" customHeight="1">
      <c r="A6050" s="12" t="s">
        <v>11307</v>
      </c>
      <c r="B6050" s="13" t="s">
        <v>11308</v>
      </c>
      <c r="C6050" s="14" t="s">
        <v>11309</v>
      </c>
      <c r="D6050" s="1" t="str">
        <f>IFERROR(__xludf.DUMMYFUNCTION("GOOGLETRANSLATE(A6050 , ""auto"", ""ar"")"),"يمكننا الترتيب لي للبقاء لتناول العشاء معك")</f>
        <v>يمكننا الترتيب لي للبقاء لتناول العشاء معك</v>
      </c>
    </row>
    <row r="6051" ht="15.75" customHeight="1">
      <c r="A6051" s="12" t="s">
        <v>11310</v>
      </c>
      <c r="B6051" s="13" t="s">
        <v>11311</v>
      </c>
      <c r="C6051" s="14" t="s">
        <v>11312</v>
      </c>
      <c r="D6051" s="1" t="str">
        <f>IFERROR(__xludf.DUMMYFUNCTION("GOOGLETRANSLATE(A6051 , ""auto"", ""ar"")"),"شكرا جزيلا لمجيء لرؤيتي")</f>
        <v>شكرا جزيلا لمجيء لرؤيتي</v>
      </c>
    </row>
    <row r="6052" ht="15.75" customHeight="1">
      <c r="A6052" s="12" t="s">
        <v>11310</v>
      </c>
      <c r="B6052" s="13" t="s">
        <v>11313</v>
      </c>
      <c r="C6052" s="14" t="s">
        <v>11314</v>
      </c>
      <c r="D6052" s="1" t="str">
        <f>IFERROR(__xludf.DUMMYFUNCTION("GOOGLETRANSLATE(A6052 , ""auto"", ""ar"")"),"شكرا جزيلا لمجيء لرؤيتي")</f>
        <v>شكرا جزيلا لمجيء لرؤيتي</v>
      </c>
    </row>
    <row r="6053" ht="15.75" customHeight="1">
      <c r="A6053" s="12" t="s">
        <v>11315</v>
      </c>
      <c r="B6053" s="13" t="s">
        <v>11316</v>
      </c>
      <c r="C6053" s="14" t="s">
        <v>11317</v>
      </c>
      <c r="D6053" s="1" t="str">
        <f>IFERROR(__xludf.DUMMYFUNCTION("GOOGLETRANSLATE(A6053 , ""auto"", ""ar"")"),"هذا يعني الكثير بالنسبة لي للبقاء على اتصال")</f>
        <v>هذا يعني الكثير بالنسبة لي للبقاء على اتصال</v>
      </c>
    </row>
    <row r="6054" ht="15.75" customHeight="1">
      <c r="A6054" s="12" t="s">
        <v>11318</v>
      </c>
      <c r="B6054" s="13" t="s">
        <v>11319</v>
      </c>
      <c r="C6054" s="14" t="s">
        <v>11320</v>
      </c>
      <c r="D6054" s="1" t="str">
        <f>IFERROR(__xludf.DUMMYFUNCTION("GOOGLETRANSLATE(A6054 , ""auto"", ""ar"")"),"أتمنى أن تأتي مرة أخرى قريبًا")</f>
        <v>أتمنى أن تأتي مرة أخرى قريبًا</v>
      </c>
    </row>
    <row r="6055" ht="15.75" customHeight="1">
      <c r="A6055" s="12" t="s">
        <v>11321</v>
      </c>
      <c r="B6055" s="13" t="s">
        <v>11322</v>
      </c>
      <c r="C6055" s="14" t="s">
        <v>11323</v>
      </c>
      <c r="D6055" s="1" t="str">
        <f>IFERROR(__xludf.DUMMYFUNCTION("GOOGLETRANSLATE(A6055 , ""auto"", ""ar"")"),"كان من الجيد جدًا مقابلتك أيضًا")</f>
        <v>كان من الجيد جدًا مقابلتك أيضًا</v>
      </c>
    </row>
    <row r="6056" ht="15.75" customHeight="1">
      <c r="A6056" s="12" t="s">
        <v>11324</v>
      </c>
      <c r="B6056" s="13" t="s">
        <v>11325</v>
      </c>
      <c r="C6056" s="14" t="s">
        <v>11326</v>
      </c>
      <c r="D6056" s="1" t="str">
        <f>IFERROR(__xludf.DUMMYFUNCTION("GOOGLETRANSLATE(A6056 , ""auto"", ""ar"")"),"سأعود")</f>
        <v>سأعود</v>
      </c>
    </row>
    <row r="6057" ht="15.75" customHeight="1">
      <c r="A6057" s="12" t="s">
        <v>11324</v>
      </c>
      <c r="B6057" s="13" t="s">
        <v>11327</v>
      </c>
      <c r="C6057" s="14" t="s">
        <v>11328</v>
      </c>
      <c r="D6057" s="1" t="str">
        <f>IFERROR(__xludf.DUMMYFUNCTION("GOOGLETRANSLATE(A6057 , ""auto"", ""ar"")"),"سأعود")</f>
        <v>سأعود</v>
      </c>
    </row>
    <row r="6058" ht="15.75" customHeight="1">
      <c r="A6058" s="12" t="s">
        <v>11324</v>
      </c>
      <c r="B6058" s="13" t="s">
        <v>11329</v>
      </c>
      <c r="C6058" s="14" t="s">
        <v>11330</v>
      </c>
      <c r="D6058" s="1" t="str">
        <f>IFERROR(__xludf.DUMMYFUNCTION("GOOGLETRANSLATE(A6058 , ""auto"", ""ar"")"),"سأعود")</f>
        <v>سأعود</v>
      </c>
    </row>
    <row r="6059" ht="15.75" customHeight="1">
      <c r="A6059" s="12" t="s">
        <v>11331</v>
      </c>
      <c r="B6059" s="13" t="s">
        <v>11332</v>
      </c>
      <c r="C6059" s="14" t="s">
        <v>11333</v>
      </c>
      <c r="D6059" s="1" t="str">
        <f>IFERROR(__xludf.DUMMYFUNCTION("GOOGLETRANSLATE(A6059 , ""auto"", ""ar"")"),"ربما الأسبوع القادم")</f>
        <v>ربما الأسبوع القادم</v>
      </c>
    </row>
    <row r="6060" ht="15.75" customHeight="1">
      <c r="A6060" s="12" t="s">
        <v>11334</v>
      </c>
      <c r="B6060" s="13" t="s">
        <v>11335</v>
      </c>
      <c r="C6060" s="14" t="s">
        <v>11336</v>
      </c>
      <c r="D6060" s="1" t="str">
        <f>IFERROR(__xludf.DUMMYFUNCTION("GOOGLETRANSLATE(A6060 , ""auto"", ""ar"")"),"هذه البط المؤسف رفيع جدا")</f>
        <v>هذه البط المؤسف رفيع جدا</v>
      </c>
    </row>
    <row r="6061" ht="15.75" customHeight="1">
      <c r="A6061" s="12" t="s">
        <v>11337</v>
      </c>
      <c r="B6061" s="13" t="s">
        <v>11338</v>
      </c>
      <c r="C6061" s="14" t="s">
        <v>11339</v>
      </c>
      <c r="D6061" s="1" t="str">
        <f>IFERROR(__xludf.DUMMYFUNCTION("GOOGLETRANSLATE(A6061 , ""auto"", ""ar"")"),"هل لديك خبز لتقديمه؟")</f>
        <v>هل لديك خبز لتقديمه؟</v>
      </c>
    </row>
    <row r="6062" ht="15.75" customHeight="1">
      <c r="A6062" s="12" t="s">
        <v>11340</v>
      </c>
      <c r="B6062" s="13" t="s">
        <v>11341</v>
      </c>
      <c r="C6062" s="14" t="s">
        <v>11342</v>
      </c>
      <c r="D6062" s="1" t="str">
        <f>IFERROR(__xludf.DUMMYFUNCTION("GOOGLETRANSLATE(A6062 , ""auto"", ""ar"")"),"لدي بعض الشرائح")</f>
        <v>لدي بعض الشرائح</v>
      </c>
    </row>
    <row r="6063" ht="15.75" customHeight="1">
      <c r="A6063" s="12" t="s">
        <v>11343</v>
      </c>
      <c r="B6063" s="13" t="s">
        <v>11344</v>
      </c>
      <c r="C6063" s="14" t="s">
        <v>11345</v>
      </c>
      <c r="D6063" s="1" t="str">
        <f>IFERROR(__xludf.DUMMYFUNCTION("GOOGLETRANSLATE(A6063 , ""auto"", ""ar"")"),"لقد كان شتاءًا صعبًا بالنسبة لهم ولا أعتقد أنه كان لديهم الكثير لتناول الطعام")</f>
        <v>لقد كان شتاءًا صعبًا بالنسبة لهم ولا أعتقد أنه كان لديهم الكثير لتناول الطعام</v>
      </c>
    </row>
    <row r="6064" ht="15.75" customHeight="1">
      <c r="A6064" s="12" t="s">
        <v>11346</v>
      </c>
      <c r="B6064" s="13" t="s">
        <v>11347</v>
      </c>
      <c r="C6064" s="14" t="s">
        <v>11348</v>
      </c>
      <c r="D6064" s="1" t="str">
        <f>IFERROR(__xludf.DUMMYFUNCTION("GOOGLETRANSLATE(A6064 , ""auto"", ""ar"")"),"لقد بدأوا في بناء أعشاشهم")</f>
        <v>لقد بدأوا في بناء أعشاشهم</v>
      </c>
    </row>
    <row r="6065" ht="15.75" customHeight="1">
      <c r="A6065" s="12" t="s">
        <v>11349</v>
      </c>
      <c r="B6065" s="13" t="s">
        <v>11350</v>
      </c>
      <c r="C6065" s="14" t="s">
        <v>11351</v>
      </c>
      <c r="D6065" s="1" t="str">
        <f>IFERROR(__xludf.DUMMYFUNCTION("GOOGLETRANSLATE(A6065 , ""auto"", ""ar"")"),"سيحتاجون إلى بعض الدهون عليهم عندما يجلسون على البيض")</f>
        <v>سيحتاجون إلى بعض الدهون عليهم عندما يجلسون على البيض</v>
      </c>
    </row>
    <row r="6066" ht="15.75" customHeight="1">
      <c r="A6066" s="12" t="s">
        <v>11352</v>
      </c>
      <c r="B6066" s="13" t="s">
        <v>11353</v>
      </c>
      <c r="C6066" s="14" t="s">
        <v>11354</v>
      </c>
      <c r="D6066" s="1" t="str">
        <f>IFERROR(__xludf.DUMMYFUNCTION("GOOGLETRANSLATE(A6066 , ""auto"", ""ar"")"),"مهلا ، يبدو أنك تعرف هذه الكلاب")</f>
        <v>مهلا ، يبدو أنك تعرف هذه الكلاب</v>
      </c>
    </row>
    <row r="6067" ht="15.75" customHeight="1">
      <c r="A6067" s="12" t="s">
        <v>11355</v>
      </c>
      <c r="B6067" s="13" t="s">
        <v>11356</v>
      </c>
      <c r="C6067" s="14" t="s">
        <v>11357</v>
      </c>
      <c r="D6067" s="1" t="str">
        <f>IFERROR(__xludf.DUMMYFUNCTION("GOOGLETRANSLATE(A6067 , ""auto"", ""ar"")"),"أين تعلمت كل هذا؟")</f>
        <v>أين تعلمت كل هذا؟</v>
      </c>
    </row>
    <row r="6068" ht="15.75" customHeight="1">
      <c r="A6068" s="12" t="s">
        <v>11358</v>
      </c>
      <c r="B6068" s="13" t="s">
        <v>11359</v>
      </c>
      <c r="C6068" s="14" t="s">
        <v>11360</v>
      </c>
      <c r="D6068" s="1" t="str">
        <f>IFERROR(__xludf.DUMMYFUNCTION("GOOGLETRANSLATE(A6068 , ""auto"", ""ar"")"),"أنا عالم طيور حريص")</f>
        <v>أنا عالم طيور حريص</v>
      </c>
    </row>
    <row r="6069" ht="15.75" customHeight="1">
      <c r="A6069" s="12" t="s">
        <v>11361</v>
      </c>
      <c r="B6069" s="13" t="s">
        <v>11362</v>
      </c>
      <c r="C6069" s="14" t="s">
        <v>11363</v>
      </c>
      <c r="D6069" s="1" t="str">
        <f>IFERROR(__xludf.DUMMYFUNCTION("GOOGLETRANSLATE(A6069 , ""auto"", ""ar"")"),"أقضي عطلات نهاية الأسبوع في دراسة الطيور وأبحث عن أنواع نادرة")</f>
        <v>أقضي عطلات نهاية الأسبوع في دراسة الطيور وأبحث عن أنواع نادرة</v>
      </c>
    </row>
    <row r="6070" ht="15.75" customHeight="1">
      <c r="A6070" s="12" t="s">
        <v>11364</v>
      </c>
      <c r="B6070" s="13" t="s">
        <v>11365</v>
      </c>
      <c r="C6070" s="14" t="s">
        <v>11366</v>
      </c>
      <c r="D6070" s="1" t="str">
        <f>IFERROR(__xludf.DUMMYFUNCTION("GOOGLETRANSLATE(A6070 , ""auto"", ""ar"")"),"أرى أنك متخصص!")</f>
        <v>أرى أنك متخصص!</v>
      </c>
    </row>
    <row r="6071" ht="15.75" customHeight="1">
      <c r="A6071" s="12" t="s">
        <v>11367</v>
      </c>
      <c r="B6071" s="13" t="s">
        <v>11368</v>
      </c>
      <c r="C6071" s="14" t="s">
        <v>11369</v>
      </c>
      <c r="D6071" s="1" t="str">
        <f>IFERROR(__xludf.DUMMYFUNCTION("GOOGLETRANSLATE(A6071 , ""auto"", ""ar"")"),"أود أيضًا أن أتجول والاستماع إلى الطيور")</f>
        <v>أود أيضًا أن أتجول والاستماع إلى الطيور</v>
      </c>
    </row>
    <row r="6072" ht="15.75" customHeight="1">
      <c r="A6072" s="12" t="s">
        <v>11370</v>
      </c>
      <c r="B6072" s="13" t="s">
        <v>11371</v>
      </c>
      <c r="C6072" s="14" t="s">
        <v>11372</v>
      </c>
      <c r="D6072" s="1" t="str">
        <f>IFERROR(__xludf.DUMMYFUNCTION("GOOGLETRANSLATE(A6072 , ""auto"", ""ar"")"),"لكني لا أعرف أي شيء عنها")</f>
        <v>لكني لا أعرف أي شيء عنها</v>
      </c>
    </row>
    <row r="6073" ht="15.75" customHeight="1">
      <c r="A6073" s="12" t="s">
        <v>11373</v>
      </c>
      <c r="B6073" s="13" t="s">
        <v>11374</v>
      </c>
      <c r="C6073" s="14" t="s">
        <v>11375</v>
      </c>
      <c r="D6073" s="1" t="str">
        <f>IFERROR(__xludf.DUMMYFUNCTION("GOOGLETRANSLATE(A6073 , ""auto"", ""ar"")"),"ما هي الأنواع النادرة التي تبحث عنها؟")</f>
        <v>ما هي الأنواع النادرة التي تبحث عنها؟</v>
      </c>
    </row>
    <row r="6074" ht="15.75" customHeight="1">
      <c r="A6074" s="12" t="s">
        <v>11376</v>
      </c>
      <c r="B6074" s="13" t="s">
        <v>11377</v>
      </c>
      <c r="C6074" s="14" t="s">
        <v>11378</v>
      </c>
      <c r="D6074" s="1" t="str">
        <f>IFERROR(__xludf.DUMMYFUNCTION("GOOGLETRANSLATE(A6074 , ""auto"", ""ar"")"),"Nightingales نادرة جدا")</f>
        <v>Nightingales نادرة جدا</v>
      </c>
    </row>
    <row r="6075" ht="15.75" customHeight="1">
      <c r="A6075" s="12" t="s">
        <v>11379</v>
      </c>
      <c r="B6075" s="13" t="s">
        <v>11380</v>
      </c>
      <c r="C6075" s="14" t="s">
        <v>11381</v>
      </c>
      <c r="D6075" s="1" t="str">
        <f>IFERROR(__xludf.DUMMYFUNCTION("GOOGLETRANSLATE(A6075 , ""auto"", ""ar"")"),"يغنون بشكل جميل")</f>
        <v>يغنون بشكل جميل</v>
      </c>
    </row>
    <row r="6076" ht="15.75" customHeight="1">
      <c r="A6076" s="12" t="s">
        <v>11382</v>
      </c>
      <c r="B6076" s="13" t="s">
        <v>11383</v>
      </c>
      <c r="C6076" s="14" t="s">
        <v>11384</v>
      </c>
      <c r="D6076" s="1" t="str">
        <f>IFERROR(__xludf.DUMMYFUNCTION("GOOGLETRANSLATE(A6076 , ""auto"", ""ar"")"),"ولكن عندما يتعلق الأمر بطيور بيردسونج ، أحب الصوت الصفيق في بلاك بيرد")</f>
        <v>ولكن عندما يتعلق الأمر بطيور بيردسونج ، أحب الصوت الصفيق في بلاك بيرد</v>
      </c>
    </row>
    <row r="6077" ht="15.75" customHeight="1">
      <c r="A6077" s="12" t="s">
        <v>11385</v>
      </c>
      <c r="B6077" s="13" t="s">
        <v>11386</v>
      </c>
      <c r="C6077" s="14" t="s">
        <v>11387</v>
      </c>
      <c r="D6077" s="1" t="str">
        <f>IFERROR(__xludf.DUMMYFUNCTION("GOOGLETRANSLATE(A6077 , ""auto"", ""ar"")"),"لا أعتقد أنه يمكنك التغلب على الاستيقاظ على الصوت الصاخب للطيور")</f>
        <v>لا أعتقد أنه يمكنك التغلب على الاستيقاظ على الصوت الصاخب للطيور</v>
      </c>
    </row>
    <row r="6078" ht="15.75" customHeight="1">
      <c r="A6078" s="12" t="s">
        <v>11388</v>
      </c>
      <c r="B6078" s="13" t="s">
        <v>11389</v>
      </c>
      <c r="C6078" s="14" t="s">
        <v>11390</v>
      </c>
      <c r="D6078" s="1" t="str">
        <f>IFERROR(__xludf.DUMMYFUNCTION("GOOGLETRANSLATE(A6078 , ""auto"", ""ar"")"),"هل سافرت في بلدان بعيدة لرؤية بعض الأنواع النادرة جدًا والاستماع إليها؟")</f>
        <v>هل سافرت في بلدان بعيدة لرؤية بعض الأنواع النادرة جدًا والاستماع إليها؟</v>
      </c>
    </row>
    <row r="6079" ht="15.75" customHeight="1">
      <c r="A6079" s="12" t="s">
        <v>11391</v>
      </c>
      <c r="B6079" s="13" t="s">
        <v>11392</v>
      </c>
      <c r="C6079" s="14" t="s">
        <v>11393</v>
      </c>
      <c r="D6079" s="1" t="str">
        <f>IFERROR(__xludf.DUMMYFUNCTION("GOOGLETRANSLATE(A6079 , ""auto"", ""ar"")"),"نعم ، كنت في سري لانكا مؤخرًا ورأيت بعض الطيور والحيوانات الرائعة")</f>
        <v>نعم ، كنت في سري لانكا مؤخرًا ورأيت بعض الطيور والحيوانات الرائعة</v>
      </c>
    </row>
    <row r="6080" ht="15.75" customHeight="1">
      <c r="A6080" s="12" t="s">
        <v>11394</v>
      </c>
      <c r="B6080" s="13" t="s">
        <v>11395</v>
      </c>
      <c r="C6080" s="14" t="s">
        <v>11396</v>
      </c>
      <c r="D6080" s="1" t="str">
        <f>IFERROR(__xludf.DUMMYFUNCTION("GOOGLETRANSLATE(A6080 , ""auto"", ""ar"")"),"هل سافرت كثيرا؟")</f>
        <v>هل سافرت كثيرا؟</v>
      </c>
    </row>
    <row r="6081" ht="15.75" customHeight="1">
      <c r="A6081" s="12" t="s">
        <v>11397</v>
      </c>
      <c r="B6081" s="13" t="s">
        <v>11398</v>
      </c>
      <c r="C6081" s="14" t="s">
        <v>11399</v>
      </c>
      <c r="D6081" s="1" t="str">
        <f>IFERROR(__xludf.DUMMYFUNCTION("GOOGLETRANSLATE(A6081 , ""auto"", ""ar"")"),"نعم إلى حد كبير")</f>
        <v>نعم إلى حد كبير</v>
      </c>
    </row>
    <row r="6082" ht="15.75" customHeight="1">
      <c r="A6082" s="12" t="s">
        <v>11400</v>
      </c>
      <c r="B6082" s="13" t="s">
        <v>11401</v>
      </c>
      <c r="C6082" s="14" t="s">
        <v>11402</v>
      </c>
      <c r="D6082" s="1" t="str">
        <f>IFERROR(__xludf.DUMMYFUNCTION("GOOGLETRANSLATE(A6082 , ""auto"", ""ar"")"),"خاصة في أمريكا الجنوبية حيث توجد حيوانات غير عادية في غابة الأمازون")</f>
        <v>خاصة في أمريكا الجنوبية حيث توجد حيوانات غير عادية في غابة الأمازون</v>
      </c>
    </row>
    <row r="6083" ht="15.75" customHeight="1">
      <c r="A6083" s="12" t="s">
        <v>11403</v>
      </c>
      <c r="B6083" s="13" t="s">
        <v>11404</v>
      </c>
      <c r="C6083" s="14" t="s">
        <v>11405</v>
      </c>
      <c r="D6083" s="1" t="str">
        <f>IFERROR(__xludf.DUMMYFUNCTION("GOOGLETRANSLATE(A6083 , ""auto"", ""ar"")"),"هل حصلت على فرصة للوصول إلى هناك؟")</f>
        <v>هل حصلت على فرصة للوصول إلى هناك؟</v>
      </c>
    </row>
    <row r="6084" ht="15.75" customHeight="1">
      <c r="A6084" s="12" t="s">
        <v>11406</v>
      </c>
      <c r="B6084" s="13" t="s">
        <v>11407</v>
      </c>
      <c r="C6084" s="14" t="s">
        <v>11408</v>
      </c>
      <c r="D6084" s="1" t="str">
        <f>IFERROR(__xludf.DUMMYFUNCTION("GOOGLETRANSLATE(A6084 , ""auto"", ""ar"")"),"هناك بعض الطيور المذهلة في البرازيل")</f>
        <v>هناك بعض الطيور المذهلة في البرازيل</v>
      </c>
    </row>
    <row r="6085" ht="15.75" customHeight="1">
      <c r="A6085" s="12" t="s">
        <v>11409</v>
      </c>
      <c r="B6085" s="13" t="s">
        <v>11410</v>
      </c>
      <c r="C6085" s="14" t="s">
        <v>11411</v>
      </c>
      <c r="D6085" s="1" t="str">
        <f>IFERROR(__xludf.DUMMYFUNCTION("GOOGLETRANSLATE(A6085 , ""auto"", ""ar"")"),"لا ، أحب أن أذهب إلى أمريكا الجنوبية وخاصة البرازيل")</f>
        <v>لا ، أحب أن أذهب إلى أمريكا الجنوبية وخاصة البرازيل</v>
      </c>
    </row>
    <row r="6086" ht="15.75" customHeight="1">
      <c r="A6086" s="12" t="s">
        <v>11412</v>
      </c>
      <c r="B6086" s="13" t="s">
        <v>11413</v>
      </c>
      <c r="C6086" s="14" t="s">
        <v>11414</v>
      </c>
      <c r="D6086" s="1" t="str">
        <f>IFERROR(__xludf.DUMMYFUNCTION("GOOGLETRANSLATE(A6086 , ""auto"", ""ar"")"),"سيكون من المذهل رؤية طوقان في البرية")</f>
        <v>سيكون من المذهل رؤية طوقان في البرية</v>
      </c>
    </row>
    <row r="6087" ht="15.75" customHeight="1">
      <c r="A6087" s="12" t="s">
        <v>11415</v>
      </c>
      <c r="B6087" s="13" t="s">
        <v>11416</v>
      </c>
      <c r="C6087" s="14" t="s">
        <v>11417</v>
      </c>
      <c r="D6087" s="1" t="str">
        <f>IFERROR(__xludf.DUMMYFUNCTION("GOOGLETRANSLATE(A6087 , ""auto"", ""ar"")"),"أحتاج إلى توفير ما يكفي من المال للذهاب إلى هناك")</f>
        <v>أحتاج إلى توفير ما يكفي من المال للذهاب إلى هناك</v>
      </c>
    </row>
    <row r="6088" ht="15.75" customHeight="1">
      <c r="A6088" s="12" t="s">
        <v>11418</v>
      </c>
      <c r="B6088" s="13" t="s">
        <v>11419</v>
      </c>
      <c r="C6088" s="14" t="s">
        <v>11420</v>
      </c>
      <c r="D6088" s="1" t="str">
        <f>IFERROR(__xludf.DUMMYFUNCTION("GOOGLETRANSLATE(A6088 , ""auto"", ""ar"")"),"نعم ، ستكون الرحلة إلى أمريكا الجنوبية باهظة الثمن")</f>
        <v>نعم ، ستكون الرحلة إلى أمريكا الجنوبية باهظة الثمن</v>
      </c>
    </row>
    <row r="6089" ht="15.75" customHeight="1">
      <c r="A6089" s="12" t="s">
        <v>11421</v>
      </c>
      <c r="B6089" s="13" t="s">
        <v>11422</v>
      </c>
      <c r="C6089" s="14" t="s">
        <v>11423</v>
      </c>
      <c r="D6089" s="1" t="str">
        <f>IFERROR(__xludf.DUMMYFUNCTION("GOOGLETRANSLATE(A6089 , ""auto"", ""ar"")"),"أود أن أذهب إلى الأرجنتين وأرى كوندرز")</f>
        <v>أود أن أذهب إلى الأرجنتين وأرى كوندرز</v>
      </c>
    </row>
    <row r="6090" ht="15.75" customHeight="1">
      <c r="A6090" s="12" t="s">
        <v>11424</v>
      </c>
      <c r="B6090" s="13" t="s">
        <v>11425</v>
      </c>
      <c r="C6090" s="14" t="s">
        <v>11426</v>
      </c>
      <c r="D6090" s="1" t="str">
        <f>IFERROR(__xludf.DUMMYFUNCTION("GOOGLETRANSLATE(A6090 , ""auto"", ""ar"")"),"سمعت أن الأرجنتين بلد جميل أيضًا مع مناظر طبيعية مذهلة")</f>
        <v>سمعت أن الأرجنتين بلد جميل أيضًا مع مناظر طبيعية مذهلة</v>
      </c>
    </row>
    <row r="6091" ht="15.75" customHeight="1">
      <c r="A6091" s="12" t="s">
        <v>11427</v>
      </c>
      <c r="B6091" s="13" t="s">
        <v>11428</v>
      </c>
      <c r="C6091" s="14" t="s">
        <v>11429</v>
      </c>
      <c r="D6091" s="1" t="str">
        <f>IFERROR(__xludf.DUMMYFUNCTION("GOOGLETRANSLATE(A6091 , ""auto"", ""ar"")"),"إنه بلد أعرف القليل عنه")</f>
        <v>إنه بلد أعرف القليل عنه</v>
      </c>
    </row>
    <row r="6092" ht="15.75" customHeight="1">
      <c r="A6092" s="12" t="s">
        <v>11430</v>
      </c>
      <c r="B6092" s="13" t="s">
        <v>11431</v>
      </c>
      <c r="C6092" s="14" t="s">
        <v>11432</v>
      </c>
      <c r="D6092" s="1" t="str">
        <f>IFERROR(__xludf.DUMMYFUNCTION("GOOGLETRANSLATE(A6092 , ""auto"", ""ar"")"),"سأضطر إلى إجراء بعض الأبحاث")</f>
        <v>سأضطر إلى إجراء بعض الأبحاث</v>
      </c>
    </row>
    <row r="6093" ht="15.75" customHeight="1">
      <c r="A6093" s="12" t="s">
        <v>11430</v>
      </c>
      <c r="B6093" s="13" t="s">
        <v>11433</v>
      </c>
      <c r="C6093" s="14" t="s">
        <v>11434</v>
      </c>
      <c r="D6093" s="1" t="str">
        <f>IFERROR(__xludf.DUMMYFUNCTION("GOOGLETRANSLATE(A6093 , ""auto"", ""ar"")"),"سأضطر إلى إجراء بعض الأبحاث")</f>
        <v>سأضطر إلى إجراء بعض الأبحاث</v>
      </c>
    </row>
    <row r="6094" ht="15.75" customHeight="1">
      <c r="A6094" s="12" t="s">
        <v>11435</v>
      </c>
      <c r="B6094" s="13" t="s">
        <v>11436</v>
      </c>
      <c r="C6094" s="14" t="s">
        <v>11437</v>
      </c>
      <c r="D6094" s="1" t="str">
        <f>IFERROR(__xludf.DUMMYFUNCTION("GOOGLETRANSLATE(A6094 , ""auto"", ""ar"")"),"علينا أن نذهب جنوبًا لإطلاق النار على الأمة")</f>
        <v>علينا أن نذهب جنوبًا لإطلاق النار على الأمة</v>
      </c>
    </row>
    <row r="6095" ht="15.75" customHeight="1">
      <c r="A6095" s="12" t="s">
        <v>11438</v>
      </c>
      <c r="B6095" s="13" t="s">
        <v>11439</v>
      </c>
      <c r="C6095" s="14" t="s">
        <v>11440</v>
      </c>
      <c r="D6095" s="1" t="str">
        <f>IFERROR(__xludf.DUMMYFUNCTION("GOOGLETRANSLATE(A6095 , ""auto"", ""ar"")"),"تشيلي أيضًا بلد جميل")</f>
        <v>تشيلي أيضًا بلد جميل</v>
      </c>
    </row>
    <row r="6096" ht="15.75" customHeight="1">
      <c r="A6096" s="12" t="s">
        <v>11441</v>
      </c>
      <c r="B6096" s="13" t="s">
        <v>11442</v>
      </c>
      <c r="C6096" s="14" t="s">
        <v>11443</v>
      </c>
      <c r="D6096" s="1" t="str">
        <f>IFERROR(__xludf.DUMMYFUNCTION("GOOGLETRANSLATE(A6096 , ""auto"", ""ar"")"),"ستجد حيوانات أكثر من تلك القطط!")</f>
        <v>ستجد حيوانات أكثر من تلك القطط!</v>
      </c>
    </row>
    <row r="6097" ht="15.75" customHeight="1">
      <c r="A6097" s="12" t="s">
        <v>11444</v>
      </c>
      <c r="B6097" s="13" t="s">
        <v>11445</v>
      </c>
      <c r="C6097" s="14" t="s">
        <v>11446</v>
      </c>
      <c r="D6097" s="1" t="str">
        <f>IFERROR(__xludf.DUMMYFUNCTION("GOOGLETRANSLATE(A6097 , ""auto"", ""ar"")"),"مرحبا ، أنا رائع شكرا لك")</f>
        <v>مرحبا ، أنا رائع شكرا لك</v>
      </c>
    </row>
    <row r="6098" ht="15.75" customHeight="1">
      <c r="A6098" s="12" t="s">
        <v>11447</v>
      </c>
      <c r="B6098" s="13" t="s">
        <v>11448</v>
      </c>
      <c r="C6098" s="14" t="s">
        <v>11449</v>
      </c>
      <c r="D6098" s="1" t="str">
        <f>IFERROR(__xludf.DUMMYFUNCTION("GOOGLETRANSLATE(A6098 , ""auto"", ""ar"")"),"كيف حالك اليوم؟")</f>
        <v>كيف حالك اليوم؟</v>
      </c>
    </row>
    <row r="6099" ht="15.75" customHeight="1">
      <c r="A6099" s="12" t="s">
        <v>11450</v>
      </c>
      <c r="B6099" s="13" t="s">
        <v>11451</v>
      </c>
      <c r="C6099" s="14" t="s">
        <v>11452</v>
      </c>
      <c r="D6099" s="1" t="str">
        <f>IFERROR(__xludf.DUMMYFUNCTION("GOOGLETRANSLATE(A6099 , ""auto"", ""ar"")"),"إنه وقت مناسب لإطعام الحيوانات")</f>
        <v>إنه وقت مناسب لإطعام الحيوانات</v>
      </c>
    </row>
    <row r="6100" ht="15.75" customHeight="1">
      <c r="A6100" s="12" t="s">
        <v>11453</v>
      </c>
      <c r="B6100" s="13" t="s">
        <v>11454</v>
      </c>
      <c r="C6100" s="14" t="s">
        <v>11455</v>
      </c>
      <c r="D6100" s="1" t="str">
        <f>IFERROR(__xludf.DUMMYFUNCTION("GOOGLETRANSLATE(A6100 , ""auto"", ""ar"")"),"لماذا هذا؟")</f>
        <v>لماذا هذا؟</v>
      </c>
    </row>
    <row r="6101" ht="15.75" customHeight="1">
      <c r="A6101" s="12" t="s">
        <v>11456</v>
      </c>
      <c r="B6101" s="13" t="s">
        <v>11457</v>
      </c>
      <c r="C6101" s="14" t="s">
        <v>11458</v>
      </c>
      <c r="D6101" s="1" t="str">
        <f>IFERROR(__xludf.DUMMYFUNCTION("GOOGLETRANSLATE(A6101 , ""auto"", ""ar"")"),"لأنهم جائعون")</f>
        <v>لأنهم جائعون</v>
      </c>
    </row>
    <row r="6102" ht="15.75" customHeight="1">
      <c r="A6102" s="12" t="s">
        <v>11459</v>
      </c>
      <c r="B6102" s="13" t="s">
        <v>11460</v>
      </c>
      <c r="C6102" s="14" t="s">
        <v>11461</v>
      </c>
      <c r="D6102" s="1" t="str">
        <f>IFERROR(__xludf.DUMMYFUNCTION("GOOGLETRANSLATE(A6102 , ""auto"", ""ar"")"),"تبدو جائعة")</f>
        <v>تبدو جائعة</v>
      </c>
    </row>
    <row r="6103" ht="15.75" customHeight="1">
      <c r="A6103" s="12" t="s">
        <v>11459</v>
      </c>
      <c r="B6103" s="13" t="s">
        <v>11462</v>
      </c>
      <c r="C6103" s="14" t="s">
        <v>11463</v>
      </c>
      <c r="D6103" s="1" t="str">
        <f>IFERROR(__xludf.DUMMYFUNCTION("GOOGLETRANSLATE(A6103 , ""auto"", ""ar"")"),"تبدو جائعة")</f>
        <v>تبدو جائعة</v>
      </c>
    </row>
    <row r="6104" ht="15.75" customHeight="1">
      <c r="A6104" s="12" t="s">
        <v>11464</v>
      </c>
      <c r="B6104" s="13" t="s">
        <v>11465</v>
      </c>
      <c r="C6104" s="14" t="s">
        <v>11466</v>
      </c>
      <c r="D6104" s="1" t="str">
        <f>IFERROR(__xludf.DUMMYFUNCTION("GOOGLETRANSLATE(A6104 , ""auto"", ""ar"")"),"ماذا سنعطيهم لتناول الطعام؟")</f>
        <v>ماذا سنعطيهم لتناول الطعام؟</v>
      </c>
    </row>
    <row r="6105" ht="15.75" customHeight="1">
      <c r="A6105" s="12" t="s">
        <v>11467</v>
      </c>
      <c r="B6105" s="13" t="s">
        <v>11468</v>
      </c>
      <c r="C6105" s="14" t="s">
        <v>11469</v>
      </c>
      <c r="D6105" s="1" t="str">
        <f>IFERROR(__xludf.DUMMYFUNCTION("GOOGLETRANSLATE(A6105 , ""auto"", ""ar"")"),"لقد سمعت أن الخبز ليس هو الأفضل لهم")</f>
        <v>لقد سمعت أن الخبز ليس هو الأفضل لهم</v>
      </c>
    </row>
    <row r="6106" ht="15.75" customHeight="1">
      <c r="A6106" s="12" t="s">
        <v>11470</v>
      </c>
      <c r="B6106" s="13" t="s">
        <v>11471</v>
      </c>
      <c r="C6106" s="14" t="s">
        <v>11472</v>
      </c>
      <c r="D6106" s="1" t="str">
        <f>IFERROR(__xludf.DUMMYFUNCTION("GOOGLETRANSLATE(A6106 , ""auto"", ""ar"")"),"لقد سمعت أن اللحوم ليست الأفضل بالنسبة لهم")</f>
        <v>لقد سمعت أن اللحوم ليست الأفضل بالنسبة لهم</v>
      </c>
    </row>
    <row r="6107" ht="15.75" customHeight="1">
      <c r="A6107" s="12" t="s">
        <v>11473</v>
      </c>
      <c r="B6107" s="13" t="s">
        <v>11474</v>
      </c>
      <c r="C6107" s="14" t="s">
        <v>11475</v>
      </c>
      <c r="D6107" s="1" t="str">
        <f>IFERROR(__xludf.DUMMYFUNCTION("GOOGLETRANSLATE(A6107 , ""auto"", ""ar"")"),"ماذا تعتقد؟")</f>
        <v>ماذا تعتقد؟</v>
      </c>
    </row>
    <row r="6108" ht="15.75" customHeight="1">
      <c r="A6108" s="12" t="s">
        <v>11476</v>
      </c>
      <c r="B6108" s="13" t="s">
        <v>11477</v>
      </c>
      <c r="C6108" s="14" t="s">
        <v>11478</v>
      </c>
      <c r="D6108" s="1" t="str">
        <f>IFERROR(__xludf.DUMMYFUNCTION("GOOGLETRANSLATE(A6108 , ""auto"", ""ar"")"),"إنه يعتقد أن إعطاء خبز القطط ليس جيدًا لهم")</f>
        <v>إنه يعتقد أن إعطاء خبز القطط ليس جيدًا لهم</v>
      </c>
    </row>
    <row r="6109" ht="15.75" customHeight="1">
      <c r="A6109" s="12" t="s">
        <v>11479</v>
      </c>
      <c r="B6109" s="13" t="s">
        <v>11480</v>
      </c>
      <c r="C6109" s="14" t="s">
        <v>11481</v>
      </c>
      <c r="D6109" s="1" t="str">
        <f>IFERROR(__xludf.DUMMYFUNCTION("GOOGLETRANSLATE(A6109 , ""auto"", ""ar"")"),"من الأفضل إعطائهم الجزر")</f>
        <v>من الأفضل إعطائهم الجزر</v>
      </c>
    </row>
    <row r="6110" ht="15.75" customHeight="1">
      <c r="A6110" s="12" t="s">
        <v>11482</v>
      </c>
      <c r="B6110" s="13" t="s">
        <v>11483</v>
      </c>
      <c r="C6110" s="14" t="s">
        <v>11484</v>
      </c>
      <c r="D6110" s="1" t="str">
        <f>IFERROR(__xludf.DUMMYFUNCTION("GOOGLETRANSLATE(A6110 , ""auto"", ""ar"")"),"قد تغرق الجزر قبل أن تتاح لهم فرصة أكلهم!")</f>
        <v>قد تغرق الجزر قبل أن تتاح لهم فرصة أكلهم!</v>
      </c>
    </row>
    <row r="6111" ht="15.75" customHeight="1">
      <c r="A6111" s="12" t="s">
        <v>11485</v>
      </c>
      <c r="B6111" s="13" t="s">
        <v>11486</v>
      </c>
      <c r="C6111" s="14" t="s">
        <v>11487</v>
      </c>
      <c r="D6111" s="1" t="str">
        <f>IFERROR(__xludf.DUMMYFUNCTION("GOOGLETRANSLATE(A6111 , ""auto"", ""ar"")"),"لا تطفو الجزر؟")</f>
        <v>لا تطفو الجزر؟</v>
      </c>
    </row>
    <row r="6112" ht="15.75" customHeight="1">
      <c r="A6112" s="12" t="s">
        <v>11488</v>
      </c>
      <c r="B6112" s="13" t="s">
        <v>11489</v>
      </c>
      <c r="C6112" s="14" t="s">
        <v>11490</v>
      </c>
      <c r="D6112" s="1" t="str">
        <f>IFERROR(__xludf.DUMMYFUNCTION("GOOGLETRANSLATE(A6112 , ""auto"", ""ar"")"),"إذا تواصلنا ، فربما سيأتون لتناول طعام الغداء.")</f>
        <v>إذا تواصلنا ، فربما سيأتون لتناول طعام الغداء.</v>
      </c>
    </row>
    <row r="6113" ht="15.75" customHeight="1">
      <c r="A6113" s="12" t="s">
        <v>11491</v>
      </c>
      <c r="B6113" s="13" t="s">
        <v>11492</v>
      </c>
      <c r="C6113" s="14" t="s">
        <v>11493</v>
      </c>
      <c r="D6113" s="1" t="str">
        <f>IFERROR(__xludf.DUMMYFUNCTION("GOOGLETRANSLATE(A6113 , ""auto"", ""ar"")"),"في أسوأ الأحوال ، سوف ينزلون")</f>
        <v>في أسوأ الأحوال ، سوف ينزلون</v>
      </c>
    </row>
    <row r="6114" ht="15.75" customHeight="1">
      <c r="A6114" s="12" t="s">
        <v>11494</v>
      </c>
      <c r="B6114" s="13" t="s">
        <v>11495</v>
      </c>
      <c r="C6114" s="14" t="s">
        <v>11496</v>
      </c>
      <c r="D6114" s="1" t="str">
        <f>IFERROR(__xludf.DUMMYFUNCTION("GOOGLETRANSLATE(A6114 , ""auto"", ""ar"")"),"نأمل ألا يغرقوا أثناء الأكل")</f>
        <v>نأمل ألا يغرقوا أثناء الأكل</v>
      </c>
    </row>
    <row r="6115" ht="15.75" customHeight="1">
      <c r="A6115" s="12" t="s">
        <v>11497</v>
      </c>
      <c r="B6115" s="13" t="s">
        <v>11498</v>
      </c>
      <c r="C6115" s="14" t="s">
        <v>11499</v>
      </c>
      <c r="D6115" s="1" t="str">
        <f>IFERROR(__xludf.DUMMYFUNCTION("GOOGLETRANSLATE(A6115 , ""auto"", ""ar"")"),"سيكون ذلك وقت غداء حزين بالنسبة لهم")</f>
        <v>سيكون ذلك وقت غداء حزين بالنسبة لهم</v>
      </c>
    </row>
    <row r="6116" ht="15.75" customHeight="1">
      <c r="A6116" s="12" t="s">
        <v>11500</v>
      </c>
      <c r="B6116" s="13" t="s">
        <v>11501</v>
      </c>
      <c r="C6116" s="14" t="s">
        <v>11502</v>
      </c>
      <c r="D6116" s="1" t="str">
        <f>IFERROR(__xludf.DUMMYFUNCTION("GOOGLETRANSLATE(A6116 , ""auto"", ""ar"")"),"ربما يمكننا أن نحاول وضربهم؟")</f>
        <v>ربما يمكننا أن نحاول وضربهم؟</v>
      </c>
    </row>
    <row r="6117" ht="15.75" customHeight="1">
      <c r="A6117" s="12" t="s">
        <v>11503</v>
      </c>
      <c r="B6117" s="13" t="s">
        <v>11504</v>
      </c>
      <c r="C6117" s="14" t="s">
        <v>11505</v>
      </c>
      <c r="D6117" s="1" t="str">
        <f>IFERROR(__xludf.DUMMYFUNCTION("GOOGLETRANSLATE(A6117 , ""auto"", ""ar"")"),"إذا صنعنا ضوضاء الحصان قد يأتون!")</f>
        <v>إذا صنعنا ضوضاء الحصان قد يأتون!</v>
      </c>
    </row>
    <row r="6118" ht="15.75" customHeight="1">
      <c r="A6118" s="12" t="s">
        <v>11506</v>
      </c>
      <c r="B6118" s="13" t="s">
        <v>11507</v>
      </c>
      <c r="C6118" s="14" t="s">
        <v>11508</v>
      </c>
      <c r="D6118" s="1" t="str">
        <f>IFERROR(__xludf.DUMMYFUNCTION("GOOGLETRANSLATE(A6118 , ""auto"", ""ar"")"),"سنحاول؟")</f>
        <v>سنحاول؟</v>
      </c>
    </row>
    <row r="6119" ht="15.75" customHeight="1">
      <c r="A6119" s="12" t="s">
        <v>11509</v>
      </c>
      <c r="B6119" s="13" t="s">
        <v>11510</v>
      </c>
      <c r="C6119" s="14" t="s">
        <v>11511</v>
      </c>
      <c r="D6119" s="1" t="str">
        <f>IFERROR(__xludf.DUMMYFUNCTION("GOOGLETRANSLATE(A6119 , ""auto"", ""ar"")"),"دعونا نحاول")</f>
        <v>دعونا نحاول</v>
      </c>
    </row>
    <row r="6120" ht="15.75" customHeight="1">
      <c r="A6120" s="12" t="s">
        <v>11512</v>
      </c>
      <c r="B6120" s="13" t="s">
        <v>11513</v>
      </c>
      <c r="C6120" s="14" t="s">
        <v>11514</v>
      </c>
      <c r="D6120" s="1" t="str">
        <f>IFERROR(__xludf.DUMMYFUNCTION("GOOGLETRANSLATE(A6120 , ""auto"", ""ar"")"),"تعال إلى هنا لدينا شيء نأكله")</f>
        <v>تعال إلى هنا لدينا شيء نأكله</v>
      </c>
    </row>
    <row r="6121" ht="15.75" customHeight="1">
      <c r="A6121" s="12" t="s">
        <v>11515</v>
      </c>
      <c r="B6121" s="13" t="s">
        <v>11516</v>
      </c>
      <c r="C6121" s="14" t="s">
        <v>11517</v>
      </c>
      <c r="D6121" s="1" t="str">
        <f>IFERROR(__xludf.DUMMYFUNCTION("GOOGLETRANSLATE(A6121 , ""auto"", ""ar"")"),"جاء")</f>
        <v>جاء</v>
      </c>
    </row>
    <row r="6122" ht="15.75" customHeight="1">
      <c r="A6122" s="12" t="s">
        <v>11518</v>
      </c>
      <c r="B6122" s="13" t="s">
        <v>11519</v>
      </c>
      <c r="C6122" s="14" t="s">
        <v>11520</v>
      </c>
      <c r="D6122" s="1" t="str">
        <f>IFERROR(__xludf.DUMMYFUNCTION("GOOGLETRANSLATE(A6122 , ""auto"", ""ar"")"),"جاءت")</f>
        <v>جاءت</v>
      </c>
    </row>
    <row r="6123" ht="15.75" customHeight="1">
      <c r="A6123" s="12" t="s">
        <v>11521</v>
      </c>
      <c r="B6123" s="13" t="s">
        <v>11522</v>
      </c>
      <c r="C6123" s="14" t="s">
        <v>11523</v>
      </c>
      <c r="D6123" s="1" t="str">
        <f>IFERROR(__xludf.DUMMYFUNCTION("GOOGLETRANSLATE(A6123 , ""auto"", ""ar"")"),"جاءوا")</f>
        <v>جاءوا</v>
      </c>
    </row>
    <row r="6124" ht="15.75" customHeight="1">
      <c r="A6124" s="12" t="s">
        <v>11524</v>
      </c>
      <c r="B6124" s="13" t="s">
        <v>11525</v>
      </c>
      <c r="C6124" s="14" t="s">
        <v>11526</v>
      </c>
      <c r="D6124" s="1" t="str">
        <f>IFERROR(__xludf.DUMMYFUNCTION("GOOGLETRANSLATE(A6124 , ""auto"", ""ar"")"),"أخذ الجزرة من يدك!")</f>
        <v>أخذ الجزرة من يدك!</v>
      </c>
    </row>
    <row r="6125" ht="15.75" customHeight="1">
      <c r="A6125" s="12" t="s">
        <v>11527</v>
      </c>
      <c r="B6125" s="13" t="s">
        <v>11528</v>
      </c>
      <c r="C6125" s="14" t="s">
        <v>11529</v>
      </c>
      <c r="D6125" s="1" t="str">
        <f>IFERROR(__xludf.DUMMYFUNCTION("GOOGLETRANSLATE(A6125 , ""auto"", ""ar"")"),"قبل ان يغادر")</f>
        <v>قبل ان يغادر</v>
      </c>
    </row>
    <row r="6126" ht="15.75" customHeight="1">
      <c r="A6126" s="12" t="s">
        <v>11530</v>
      </c>
      <c r="B6126" s="13" t="s">
        <v>11531</v>
      </c>
      <c r="C6126" s="14" t="s">
        <v>11532</v>
      </c>
      <c r="D6126" s="1" t="str">
        <f>IFERROR(__xludf.DUMMYFUNCTION("GOOGLETRANSLATE(A6126 , ""auto"", ""ar"")"),"بعد فوات الأوان")</f>
        <v>بعد فوات الأوان</v>
      </c>
    </row>
    <row r="6127" ht="15.75" customHeight="1">
      <c r="A6127" s="12" t="s">
        <v>11530</v>
      </c>
      <c r="B6127" s="13" t="s">
        <v>11533</v>
      </c>
      <c r="C6127" s="14" t="s">
        <v>11534</v>
      </c>
      <c r="D6127" s="1" t="str">
        <f>IFERROR(__xludf.DUMMYFUNCTION("GOOGLETRANSLATE(A6127 , ""auto"", ""ar"")"),"بعد فوات الأوان")</f>
        <v>بعد فوات الأوان</v>
      </c>
    </row>
    <row r="6128" ht="15.75" customHeight="1">
      <c r="A6128" s="12" t="s">
        <v>11535</v>
      </c>
      <c r="B6128" s="13" t="s">
        <v>11536</v>
      </c>
      <c r="C6128" s="14" t="s">
        <v>11537</v>
      </c>
      <c r="D6128" s="1" t="str">
        <f>IFERROR(__xludf.DUMMYFUNCTION("GOOGLETRANSLATE(A6128 , ""auto"", ""ar"")"),"لقد اصابه الفزع")</f>
        <v>لقد اصابه الفزع</v>
      </c>
    </row>
    <row r="6129" ht="15.75" customHeight="1">
      <c r="A6129" s="12" t="s">
        <v>11535</v>
      </c>
      <c r="B6129" s="13" t="s">
        <v>11538</v>
      </c>
      <c r="C6129" s="14" t="s">
        <v>11539</v>
      </c>
      <c r="D6129" s="1" t="str">
        <f>IFERROR(__xludf.DUMMYFUNCTION("GOOGLETRANSLATE(A6129 , ""auto"", ""ar"")"),"لقد اصابه الفزع")</f>
        <v>لقد اصابه الفزع</v>
      </c>
    </row>
    <row r="6130" ht="15.75" customHeight="1">
      <c r="A6130" s="12" t="s">
        <v>11540</v>
      </c>
      <c r="B6130" s="13" t="s">
        <v>11541</v>
      </c>
      <c r="C6130" s="14" t="s">
        <v>11542</v>
      </c>
      <c r="D6130" s="1" t="str">
        <f>IFERROR(__xludf.DUMMYFUNCTION("GOOGLETRANSLATE(A6130 , ""auto"", ""ar"")"),"كل ما غادره هو الريش في طريقه للخروج")</f>
        <v>كل ما غادره هو الريش في طريقه للخروج</v>
      </c>
    </row>
    <row r="6131" ht="15.75" customHeight="1">
      <c r="A6131" s="12" t="s">
        <v>11543</v>
      </c>
      <c r="B6131" s="13" t="s">
        <v>11544</v>
      </c>
      <c r="C6131" s="14" t="s">
        <v>11545</v>
      </c>
      <c r="D6131" s="1" t="str">
        <f>IFERROR(__xludf.DUMMYFUNCTION("GOOGLETRANSLATE(A6131 , ""auto"", ""ar"")"),"ربما سيصيب في المرة القادمة")</f>
        <v>ربما سيصيب في المرة القادمة</v>
      </c>
    </row>
    <row r="6132" ht="15.75" customHeight="1">
      <c r="A6132" s="12" t="s">
        <v>11546</v>
      </c>
      <c r="B6132" s="13" t="s">
        <v>11547</v>
      </c>
      <c r="C6132" s="14" t="s">
        <v>11548</v>
      </c>
      <c r="D6132" s="1" t="str">
        <f>IFERROR(__xludf.DUMMYFUNCTION("GOOGLETRANSLATE(A6132 , ""auto"", ""ar"")"),"يجب أن نعود إلى المنزل")</f>
        <v>يجب أن نعود إلى المنزل</v>
      </c>
    </row>
    <row r="6133" ht="15.75" customHeight="1">
      <c r="A6133" s="12" t="s">
        <v>11549</v>
      </c>
      <c r="B6133" s="13" t="s">
        <v>11550</v>
      </c>
      <c r="C6133" s="14" t="s">
        <v>11551</v>
      </c>
      <c r="D6133" s="1" t="str">
        <f>IFERROR(__xludf.DUMMYFUNCTION("GOOGLETRANSLATE(A6133 , ""auto"", ""ar"")"),"يجب أن نعود إلى المنزل")</f>
        <v>يجب أن نعود إلى المنزل</v>
      </c>
    </row>
    <row r="6134" ht="15.75" customHeight="1">
      <c r="A6134" s="12" t="s">
        <v>11552</v>
      </c>
      <c r="B6134" s="13" t="s">
        <v>11553</v>
      </c>
      <c r="C6134" s="14" t="s">
        <v>11554</v>
      </c>
      <c r="D6134" s="1" t="str">
        <f>IFERROR(__xludf.DUMMYFUNCTION("GOOGLETRANSLATE(A6134 , ""auto"", ""ar"")"),"مساء الخير يا صديقي")</f>
        <v>مساء الخير يا صديقي</v>
      </c>
    </row>
    <row r="6135" ht="15.75" customHeight="1">
      <c r="A6135" s="12" t="s">
        <v>11552</v>
      </c>
      <c r="B6135" s="13" t="s">
        <v>11555</v>
      </c>
      <c r="C6135" s="14" t="s">
        <v>11556</v>
      </c>
      <c r="D6135" s="1" t="str">
        <f>IFERROR(__xludf.DUMMYFUNCTION("GOOGLETRANSLATE(A6135 , ""auto"", ""ar"")"),"مساء الخير يا صديقي")</f>
        <v>مساء الخير يا صديقي</v>
      </c>
    </row>
    <row r="6136" ht="15.75" customHeight="1">
      <c r="A6136" s="12" t="s">
        <v>11557</v>
      </c>
      <c r="B6136" s="13" t="s">
        <v>11558</v>
      </c>
      <c r="C6136" s="14" t="s">
        <v>11559</v>
      </c>
      <c r="D6136" s="1" t="str">
        <f>IFERROR(__xludf.DUMMYFUNCTION("GOOGLETRANSLATE(A6136 , ""auto"", ""ar"")"),"كيف حالك هذا المساء؟")</f>
        <v>كيف حالك هذا المساء؟</v>
      </c>
    </row>
    <row r="6137" ht="15.75" customHeight="1">
      <c r="A6137" s="12" t="s">
        <v>11560</v>
      </c>
      <c r="B6137" s="13" t="s">
        <v>11561</v>
      </c>
      <c r="C6137" s="14" t="s">
        <v>11562</v>
      </c>
      <c r="D6137" s="1" t="str">
        <f>IFERROR(__xludf.DUMMYFUNCTION("GOOGLETRANSLATE(A6137 , ""auto"", ""ar"")"),"لقد حصلت على انتفان فظيع يا صديقي")</f>
        <v>لقد حصلت على انتفان فظيع يا صديقي</v>
      </c>
    </row>
    <row r="6138" ht="15.75" customHeight="1">
      <c r="A6138" s="12" t="s">
        <v>11563</v>
      </c>
      <c r="B6138" s="13" t="s">
        <v>11564</v>
      </c>
      <c r="C6138" s="14" t="s">
        <v>11565</v>
      </c>
      <c r="D6138" s="1" t="str">
        <f>IFERROR(__xludf.DUMMYFUNCTION("GOOGLETRANSLATE(A6138 , ""auto"", ""ar"")"),"الطعام هنا فظيع!")</f>
        <v>الطعام هنا فظيع!</v>
      </c>
    </row>
    <row r="6139" ht="15.75" customHeight="1">
      <c r="A6139" s="12" t="s">
        <v>11566</v>
      </c>
      <c r="B6139" s="13" t="s">
        <v>11567</v>
      </c>
      <c r="C6139" s="14" t="s">
        <v>11568</v>
      </c>
      <c r="D6139" s="1" t="str">
        <f>IFERROR(__xludf.DUMMYFUNCTION("GOOGLETRANSLATE(A6139 , ""auto"", ""ar"")"),"أوه ، يا رجلي المسكين")</f>
        <v>أوه ، يا رجلي المسكين</v>
      </c>
    </row>
    <row r="6140" ht="15.75" customHeight="1">
      <c r="A6140" s="12" t="s">
        <v>11569</v>
      </c>
      <c r="B6140" s="13" t="s">
        <v>11570</v>
      </c>
      <c r="C6140" s="14" t="s">
        <v>11571</v>
      </c>
      <c r="D6140" s="1" t="str">
        <f>IFERROR(__xludf.DUMMYFUNCTION("GOOGLETRANSLATE(A6140 , ""auto"", ""ar"")"),"أحضرت لك زجاجة نبيذ")</f>
        <v>أحضرت لك زجاجة نبيذ</v>
      </c>
    </row>
    <row r="6141" ht="15.75" customHeight="1">
      <c r="A6141" s="12" t="s">
        <v>11572</v>
      </c>
      <c r="B6141" s="13" t="s">
        <v>11573</v>
      </c>
      <c r="C6141" s="14" t="s">
        <v>11574</v>
      </c>
      <c r="D6141" s="1" t="str">
        <f>IFERROR(__xludf.DUMMYFUNCTION("GOOGLETRANSLATE(A6141 , ""auto"", ""ar"")"),"لا أحد رأى أي شيء")</f>
        <v>لا أحد رأى أي شيء</v>
      </c>
    </row>
    <row r="6142" ht="15.75" customHeight="1">
      <c r="A6142" s="12" t="s">
        <v>11575</v>
      </c>
      <c r="B6142" s="13" t="s">
        <v>11576</v>
      </c>
      <c r="C6142" s="14" t="s">
        <v>11577</v>
      </c>
      <c r="D6142" s="1" t="str">
        <f>IFERROR(__xludf.DUMMYFUNCTION("GOOGLETRANSLATE(A6142 , ""auto"", ""ar"")"),"هنا ، سأخفيها لك")</f>
        <v>هنا ، سأخفيها لك</v>
      </c>
    </row>
    <row r="6143" ht="15.75" customHeight="1">
      <c r="A6143" s="12" t="s">
        <v>11578</v>
      </c>
      <c r="B6143" s="13" t="s">
        <v>11579</v>
      </c>
      <c r="C6143" s="14" t="s">
        <v>11580</v>
      </c>
      <c r="D6143" s="1" t="str">
        <f>IFERROR(__xludf.DUMMYFUNCTION("GOOGLETRANSLATE(A6143 , ""auto"", ""ar"")"),"شكرا ولكن لن يكون لديك بعض معي؟")</f>
        <v>شكرا ولكن لن يكون لديك بعض معي؟</v>
      </c>
    </row>
    <row r="6144" ht="15.75" customHeight="1">
      <c r="A6144" s="12" t="s">
        <v>11581</v>
      </c>
      <c r="B6144" s="13" t="s">
        <v>11582</v>
      </c>
      <c r="C6144" s="14" t="s">
        <v>11583</v>
      </c>
      <c r="D6144" s="1" t="str">
        <f>IFERROR(__xludf.DUMMYFUNCTION("GOOGLETRANSLATE(A6144 , ""auto"", ""ar"")"),"الأمر متروك لك")</f>
        <v>الأمر متروك لك</v>
      </c>
    </row>
    <row r="6145" ht="15.75" customHeight="1">
      <c r="A6145" s="12" t="s">
        <v>11581</v>
      </c>
      <c r="B6145" s="13" t="s">
        <v>11584</v>
      </c>
      <c r="C6145" s="14" t="s">
        <v>11585</v>
      </c>
      <c r="D6145" s="1" t="str">
        <f>IFERROR(__xludf.DUMMYFUNCTION("GOOGLETRANSLATE(A6145 , ""auto"", ""ar"")"),"الأمر متروك لك")</f>
        <v>الأمر متروك لك</v>
      </c>
    </row>
    <row r="6146" ht="15.75" customHeight="1">
      <c r="A6146" s="12" t="s">
        <v>11586</v>
      </c>
      <c r="B6146" s="13" t="s">
        <v>11587</v>
      </c>
      <c r="C6146" s="14" t="s">
        <v>11588</v>
      </c>
      <c r="D6146" s="1" t="str">
        <f>IFERROR(__xludf.DUMMYFUNCTION("GOOGLETRANSLATE(A6146 , ""auto"", ""ar"")"),"يمكنك الاحتفاظ بها بنفسك")</f>
        <v>يمكنك الاحتفاظ بها بنفسك</v>
      </c>
    </row>
    <row r="6147" ht="15.75" customHeight="1">
      <c r="A6147" s="12" t="s">
        <v>11589</v>
      </c>
      <c r="B6147" s="13" t="s">
        <v>11590</v>
      </c>
      <c r="C6147" s="14" t="s">
        <v>11591</v>
      </c>
      <c r="D6147" s="1" t="str">
        <f>IFERROR(__xludf.DUMMYFUNCTION("GOOGLETRANSLATE(A6147 , ""auto"", ""ar"")"),"يمكننا أن نشرب من اثنين")</f>
        <v>يمكننا أن نشرب من اثنين</v>
      </c>
    </row>
    <row r="6148" ht="15.75" customHeight="1">
      <c r="A6148" s="12" t="s">
        <v>11592</v>
      </c>
      <c r="B6148" s="13" t="s">
        <v>11593</v>
      </c>
      <c r="C6148" s="14" t="s">
        <v>11594</v>
      </c>
      <c r="D6148" s="1" t="str">
        <f>IFERROR(__xludf.DUMMYFUNCTION("GOOGLETRANSLATE(A6148 , ""auto"", ""ar"")"),"أو يمكننا أيضًا دعوة الممرضة التي واجهتها عندما جئت")</f>
        <v>أو يمكننا أيضًا دعوة الممرضة التي واجهتها عندما جئت</v>
      </c>
    </row>
    <row r="6149" ht="15.75" customHeight="1">
      <c r="A6149" s="12" t="s">
        <v>11595</v>
      </c>
      <c r="B6149" s="13" t="s">
        <v>11596</v>
      </c>
      <c r="C6149" s="14" t="s">
        <v>11597</v>
      </c>
      <c r="D6149" s="1" t="str">
        <f>IFERROR(__xludf.DUMMYFUNCTION("GOOGLETRANSLATE(A6149 , ""auto"", ""ar"")"),"انها كل الحق!")</f>
        <v>انها كل الحق!</v>
      </c>
    </row>
    <row r="6150" ht="15.75" customHeight="1">
      <c r="A6150" s="12" t="s">
        <v>11598</v>
      </c>
      <c r="B6150" s="13" t="s">
        <v>11599</v>
      </c>
      <c r="C6150" s="14" t="s">
        <v>11600</v>
      </c>
      <c r="D6150" s="1" t="str">
        <f>IFERROR(__xludf.DUMMYFUNCTION("GOOGLETRANSLATE(A6150 , ""auto"", ""ar"")"),"نعم لا بأس")</f>
        <v>نعم لا بأس</v>
      </c>
    </row>
    <row r="6151" ht="15.75" customHeight="1">
      <c r="A6151" s="12" t="s">
        <v>11601</v>
      </c>
      <c r="B6151" s="13" t="s">
        <v>11602</v>
      </c>
      <c r="C6151" s="14" t="s">
        <v>11603</v>
      </c>
      <c r="D6151" s="1" t="str">
        <f>IFERROR(__xludf.DUMMYFUNCTION("GOOGLETRANSLATE(A6151 , ""auto"", ""ar"")"),"معظم الأشخاص القدامى هنا لا يعرفون ما هو اليوم ولن يلاحظوا على أي حال!")</f>
        <v>معظم الأشخاص القدامى هنا لا يعرفون ما هو اليوم ولن يلاحظوا على أي حال!</v>
      </c>
    </row>
    <row r="6152" ht="15.75" customHeight="1">
      <c r="A6152" s="12" t="s">
        <v>11604</v>
      </c>
      <c r="B6152" s="13" t="s">
        <v>11605</v>
      </c>
      <c r="C6152" s="14" t="s">
        <v>11606</v>
      </c>
      <c r="D6152" s="1" t="str">
        <f>IFERROR(__xludf.DUMMYFUNCTION("GOOGLETRANSLATE(A6152 , ""auto"", ""ar"")"),"أنا أعرف أي ممرضة تقصد")</f>
        <v>أنا أعرف أي ممرضة تقصد</v>
      </c>
    </row>
    <row r="6153" ht="15.75" customHeight="1">
      <c r="A6153" s="12" t="s">
        <v>11607</v>
      </c>
      <c r="B6153" s="13" t="s">
        <v>11608</v>
      </c>
      <c r="C6153" s="14" t="s">
        <v>11609</v>
      </c>
      <c r="D6153" s="1" t="str">
        <f>IFERROR(__xludf.DUMMYFUNCTION("GOOGLETRANSLATE(A6153 , ""auto"", ""ar"")"),"أعطتني تدليكًا لطيفًا في وقت سابق!")</f>
        <v>أعطتني تدليكًا لطيفًا في وقت سابق!</v>
      </c>
    </row>
    <row r="6154" ht="15.75" customHeight="1">
      <c r="A6154" s="12" t="s">
        <v>11610</v>
      </c>
      <c r="B6154" s="13" t="s">
        <v>11611</v>
      </c>
      <c r="C6154" s="14" t="s">
        <v>11612</v>
      </c>
      <c r="D6154" s="1" t="str">
        <f>IFERROR(__xludf.DUMMYFUNCTION("GOOGLETRANSLATE(A6154 , ""auto"", ""ar"")"),"تدليك؟")</f>
        <v>تدليك؟</v>
      </c>
    </row>
    <row r="6155" ht="15.75" customHeight="1">
      <c r="A6155" s="12" t="s">
        <v>11613</v>
      </c>
      <c r="B6155" s="13" t="s">
        <v>11614</v>
      </c>
      <c r="C6155" s="14" t="s">
        <v>11615</v>
      </c>
      <c r="D6155" s="1" t="str">
        <f>IFERROR(__xludf.DUMMYFUNCTION("GOOGLETRANSLATE(A6155 , ""auto"", ""ar"")"),"هل دفعتها مقابل ذلك ، أو هل تعتقد أنها تحبك؟")</f>
        <v>هل دفعتها مقابل ذلك ، أو هل تعتقد أنها تحبك؟</v>
      </c>
    </row>
    <row r="6156" ht="15.75" customHeight="1">
      <c r="A6156" s="12" t="s">
        <v>11616</v>
      </c>
      <c r="B6156" s="13" t="s">
        <v>11617</v>
      </c>
      <c r="C6156" s="14" t="s">
        <v>11618</v>
      </c>
      <c r="D6156" s="1" t="str">
        <f>IFERROR(__xludf.DUMMYFUNCTION("GOOGLETRANSLATE(A6156 , ""auto"", ""ar"")"),"نعم ، يمنحنا الممرضات التدليك طوال الوقت")</f>
        <v>نعم ، يمنحنا الممرضات التدليك طوال الوقت</v>
      </c>
    </row>
    <row r="6157" ht="15.75" customHeight="1">
      <c r="A6157" s="12" t="s">
        <v>11619</v>
      </c>
      <c r="B6157" s="13" t="s">
        <v>11620</v>
      </c>
      <c r="C6157" s="14" t="s">
        <v>11621</v>
      </c>
      <c r="D6157" s="1" t="str">
        <f>IFERROR(__xludf.DUMMYFUNCTION("GOOGLETRANSLATE(A6157 , ""auto"", ""ar"")"),"أحصل على معظمهم رغم ذلك")</f>
        <v>أحصل على معظمهم رغم ذلك</v>
      </c>
    </row>
    <row r="6158" ht="15.75" customHeight="1">
      <c r="A6158" s="12" t="s">
        <v>11622</v>
      </c>
      <c r="B6158" s="13" t="s">
        <v>11623</v>
      </c>
      <c r="C6158" s="14" t="s">
        <v>11624</v>
      </c>
      <c r="D6158" s="1" t="str">
        <f>IFERROR(__xludf.DUMMYFUNCTION("GOOGLETRANSLATE(A6158 , ""auto"", ""ar"")"),"يبدو أن الممرضات يصطفون!")</f>
        <v>يبدو أن الممرضات يصطفون!</v>
      </c>
    </row>
    <row r="6159" ht="15.75" customHeight="1">
      <c r="A6159" s="12" t="s">
        <v>11625</v>
      </c>
      <c r="B6159" s="13" t="s">
        <v>11626</v>
      </c>
      <c r="C6159" s="14" t="s">
        <v>11627</v>
      </c>
      <c r="D6159" s="1" t="str">
        <f>IFERROR(__xludf.DUMMYFUNCTION("GOOGLETRANSLATE(A6159 , ""auto"", ""ar"")"),"لن تأخذ أي أموال مني")</f>
        <v>لن تأخذ أي أموال مني</v>
      </c>
    </row>
    <row r="6160" ht="15.75" customHeight="1">
      <c r="A6160" s="12" t="s">
        <v>11628</v>
      </c>
      <c r="B6160" s="13" t="s">
        <v>11629</v>
      </c>
      <c r="C6160" s="14" t="s">
        <v>11630</v>
      </c>
      <c r="D6160" s="1" t="str">
        <f>IFERROR(__xludf.DUMMYFUNCTION("GOOGLETRANSLATE(A6160 , ""auto"", ""ar"")"),"تقول إن خدماتها مجانية لكنني لست متأكدًا مما تعنيه؟")</f>
        <v>تقول إن خدماتها مجانية لكنني لست متأكدًا مما تعنيه؟</v>
      </c>
    </row>
    <row r="6161" ht="15.75" customHeight="1">
      <c r="A6161" s="12" t="s">
        <v>11631</v>
      </c>
      <c r="B6161" s="13" t="s">
        <v>11632</v>
      </c>
      <c r="C6161" s="14" t="s">
        <v>11633</v>
      </c>
      <c r="D6161" s="1" t="str">
        <f>IFERROR(__xludf.DUMMYFUNCTION("GOOGLETRANSLATE(A6161 , ""auto"", ""ar"")"),"حسنًا ، هذا لطيف ، لكن غريب بعض الشيء ، أليس كذلك؟")</f>
        <v>حسنًا ، هذا لطيف ، لكن غريب بعض الشيء ، أليس كذلك؟</v>
      </c>
    </row>
    <row r="6162" ht="15.75" customHeight="1">
      <c r="A6162" s="12" t="s">
        <v>11634</v>
      </c>
      <c r="B6162" s="13" t="s">
        <v>11635</v>
      </c>
      <c r="C6162" s="14" t="s">
        <v>11636</v>
      </c>
      <c r="D6162" s="1" t="str">
        <f>IFERROR(__xludf.DUMMYFUNCTION("GOOGLETRANSLATE(A6162 , ""auto"", ""ar"")"),"أعني ، أيا كان!")</f>
        <v>أعني ، أيا كان!</v>
      </c>
    </row>
    <row r="6163" ht="15.75" customHeight="1">
      <c r="A6163" s="12" t="s">
        <v>11637</v>
      </c>
      <c r="B6163" s="13" t="s">
        <v>11638</v>
      </c>
      <c r="C6163" s="14" t="s">
        <v>11639</v>
      </c>
      <c r="D6163" s="1" t="str">
        <f>IFERROR(__xludf.DUMMYFUNCTION("GOOGLETRANSLATE(A6163 , ""auto"", ""ar"")"),"ما يهم هو أن هناك ممرضة جميلة مثل تلك التي تمنحك التدليك")</f>
        <v>ما يهم هو أن هناك ممرضة جميلة مثل تلك التي تمنحك التدليك</v>
      </c>
    </row>
    <row r="6164" ht="15.75" customHeight="1">
      <c r="A6164" s="12" t="s">
        <v>11640</v>
      </c>
      <c r="B6164" s="13" t="s">
        <v>11641</v>
      </c>
      <c r="C6164" s="14" t="s">
        <v>11642</v>
      </c>
      <c r="D6164" s="1" t="str">
        <f>IFERROR(__xludf.DUMMYFUNCTION("GOOGLETRANSLATE(A6164 , ""auto"", ""ar"")"),"لذا ، هل نفتح زجاجة النبيذ هذه؟")</f>
        <v>لذا ، هل نفتح زجاجة النبيذ هذه؟</v>
      </c>
    </row>
    <row r="6165" ht="15.75" customHeight="1">
      <c r="A6165" s="12" t="s">
        <v>11643</v>
      </c>
      <c r="B6165" s="13" t="s">
        <v>11644</v>
      </c>
      <c r="C6165" s="14" t="s">
        <v>11645</v>
      </c>
      <c r="D6165" s="1" t="str">
        <f>IFERROR(__xludf.DUMMYFUNCTION("GOOGLETRANSLATE(A6165 , ""auto"", ""ar"")"),"نعم ، دعنا نفتحه")</f>
        <v>نعم ، دعنا نفتحه</v>
      </c>
    </row>
    <row r="6166" ht="15.75" customHeight="1">
      <c r="A6166" s="12" t="s">
        <v>11646</v>
      </c>
      <c r="B6166" s="13" t="s">
        <v>11647</v>
      </c>
      <c r="C6166" s="14" t="s">
        <v>11648</v>
      </c>
      <c r="D6166" s="1" t="str">
        <f>IFERROR(__xludf.DUMMYFUNCTION("GOOGLETRANSLATE(A6166 , ""auto"", ""ar"")"),"لدي كؤوس نبيذ لطيفة في خزانة سريرتي")</f>
        <v>لدي كؤوس نبيذ لطيفة في خزانة سريرتي</v>
      </c>
    </row>
    <row r="6167" ht="15.75" customHeight="1">
      <c r="A6167" s="12" t="s">
        <v>11649</v>
      </c>
      <c r="B6167" s="13" t="s">
        <v>11650</v>
      </c>
      <c r="C6167" s="14" t="s">
        <v>11651</v>
      </c>
      <c r="D6167" s="1" t="str">
        <f>IFERROR(__xludf.DUMMYFUNCTION("GOOGLETRANSLATE(A6167 , ""auto"", ""ar"")"),"لقد حصلت أيضًا على بعض أوراق اللعب هنا")</f>
        <v>لقد حصلت أيضًا على بعض أوراق اللعب هنا</v>
      </c>
    </row>
    <row r="6168" ht="15.75" customHeight="1">
      <c r="A6168" s="12" t="s">
        <v>11652</v>
      </c>
      <c r="B6168" s="13" t="s">
        <v>11653</v>
      </c>
      <c r="C6168" s="14" t="s">
        <v>11654</v>
      </c>
      <c r="D6168" s="1" t="str">
        <f>IFERROR(__xludf.DUMMYFUNCTION("GOOGLETRANSLATE(A6168 , ""auto"", ""ar"")"),"هل ندعو واحدًا أو اثنين من الآخرين ويمكننا جميعًا لعب البوكر؟")</f>
        <v>هل ندعو واحدًا أو اثنين من الآخرين ويمكننا جميعًا لعب البوكر؟</v>
      </c>
    </row>
    <row r="6169" ht="15.75" customHeight="1">
      <c r="A6169" s="12" t="s">
        <v>11655</v>
      </c>
      <c r="B6169" s="13" t="s">
        <v>11656</v>
      </c>
      <c r="C6169" s="14" t="s">
        <v>11657</v>
      </c>
      <c r="D6169" s="1" t="str">
        <f>IFERROR(__xludf.DUMMYFUNCTION("GOOGLETRANSLATE(A6169 , ""auto"", ""ar"")"),"إنها فكرةجيدة")</f>
        <v>إنها فكرةجيدة</v>
      </c>
    </row>
    <row r="6170" ht="15.75" customHeight="1">
      <c r="A6170" s="12" t="s">
        <v>11658</v>
      </c>
      <c r="B6170" s="13" t="s">
        <v>11659</v>
      </c>
      <c r="C6170" s="14" t="s">
        <v>11660</v>
      </c>
      <c r="D6170" s="1" t="str">
        <f>IFERROR(__xludf.DUMMYFUNCTION("GOOGLETRANSLATE(A6170 , ""auto"", ""ar"")"),"تريدني أن أطرق الأبواب ، أو هل لديك أناس محددين في الاعتبار؟")</f>
        <v>تريدني أن أطرق الأبواب ، أو هل لديك أناس محددين في الاعتبار؟</v>
      </c>
    </row>
    <row r="6171" ht="15.75" customHeight="1">
      <c r="A6171" s="12" t="s">
        <v>11661</v>
      </c>
      <c r="B6171" s="13" t="s">
        <v>11662</v>
      </c>
      <c r="C6171" s="14" t="s">
        <v>11663</v>
      </c>
      <c r="D6171" s="1" t="str">
        <f>IFERROR(__xludf.DUMMYFUNCTION("GOOGLETRANSLATE(A6171 , ""auto"", ""ar"")"),"أي شخص ، فقط تأكد من تجنب رقم الباب 6")</f>
        <v>أي شخص ، فقط تأكد من تجنب رقم الباب 6</v>
      </c>
    </row>
    <row r="6172" ht="15.75" customHeight="1">
      <c r="A6172" s="12" t="s">
        <v>11664</v>
      </c>
      <c r="B6172" s="13" t="s">
        <v>11665</v>
      </c>
      <c r="C6172" s="14" t="s">
        <v>11666</v>
      </c>
      <c r="D6172" s="1" t="str">
        <f>IFERROR(__xludf.DUMMYFUNCTION("GOOGLETRANSLATE(A6172 , ""auto"", ""ar"")"),"السيدة في هناك هي bonkers ، وقذف سوء المعاملة على الجميع!")</f>
        <v>السيدة في هناك هي bonkers ، وقذف سوء المعاملة على الجميع!</v>
      </c>
    </row>
    <row r="6173" ht="15.75" customHeight="1">
      <c r="A6173" s="12" t="s">
        <v>11667</v>
      </c>
      <c r="B6173" s="13" t="s">
        <v>11668</v>
      </c>
      <c r="C6173" s="14" t="s">
        <v>11669</v>
      </c>
      <c r="D6173" s="1" t="str">
        <f>IFERROR(__xludf.DUMMYFUNCTION("GOOGLETRANSLATE(A6173 , ""auto"", ""ar"")"),"حسنًا ، سأبحث عن أشخاص وسأعود!")</f>
        <v>حسنًا ، سأبحث عن أشخاص وسأعود!</v>
      </c>
    </row>
    <row r="6174" ht="15.75" customHeight="1">
      <c r="A6174" s="12" t="s">
        <v>9573</v>
      </c>
      <c r="B6174" s="13" t="s">
        <v>11670</v>
      </c>
      <c r="C6174" s="14" t="s">
        <v>11671</v>
      </c>
      <c r="D6174" s="1" t="str">
        <f>IFERROR(__xludf.DUMMYFUNCTION("GOOGLETRANSLATE(A6174 , ""auto"", ""ar"")"),"سأعود حالا")</f>
        <v>سأعود حالا</v>
      </c>
    </row>
    <row r="6175" ht="15.75" customHeight="1">
      <c r="A6175" s="12" t="s">
        <v>9573</v>
      </c>
      <c r="B6175" s="13" t="s">
        <v>11672</v>
      </c>
      <c r="C6175" s="14" t="s">
        <v>11673</v>
      </c>
      <c r="D6175" s="1" t="str">
        <f>IFERROR(__xludf.DUMMYFUNCTION("GOOGLETRANSLATE(A6175 , ""auto"", ""ar"")"),"سأعود حالا")</f>
        <v>سأعود حالا</v>
      </c>
    </row>
    <row r="6176" ht="15.75" customHeight="1">
      <c r="A6176" s="12" t="s">
        <v>11674</v>
      </c>
      <c r="B6176" s="13" t="s">
        <v>11675</v>
      </c>
      <c r="C6176" s="14" t="s">
        <v>11676</v>
      </c>
      <c r="D6176" s="1" t="str">
        <f>IFERROR(__xludf.DUMMYFUNCTION("GOOGLETRANSLATE(A6176 , ""auto"", ""ar"")"),"أنا قلق على والدتي")</f>
        <v>أنا قلق على والدتي</v>
      </c>
    </row>
    <row r="6177" ht="15.75" customHeight="1">
      <c r="A6177" s="12" t="s">
        <v>11677</v>
      </c>
      <c r="B6177" s="13" t="s">
        <v>11678</v>
      </c>
      <c r="C6177" s="14" t="s">
        <v>11679</v>
      </c>
      <c r="D6177" s="1" t="str">
        <f>IFERROR(__xludf.DUMMYFUNCTION("GOOGLETRANSLATE(A6177 , ""auto"", ""ar"")"),"أخبرني عن والدتك")</f>
        <v>أخبرني عن والدتك</v>
      </c>
    </row>
    <row r="6178" ht="15.75" customHeight="1">
      <c r="A6178" s="12" t="s">
        <v>11680</v>
      </c>
      <c r="B6178" s="13" t="s">
        <v>11681</v>
      </c>
      <c r="C6178" s="14" t="s">
        <v>11682</v>
      </c>
      <c r="D6178" s="1" t="str">
        <f>IFERROR(__xludf.DUMMYFUNCTION("GOOGLETRANSLATE(A6178 , ""auto"", ""ar"")"),"لماذا أنت قلق عليها؟")</f>
        <v>لماذا أنت قلق عليها؟</v>
      </c>
    </row>
    <row r="6179" ht="15.75" customHeight="1">
      <c r="A6179" s="12" t="s">
        <v>11683</v>
      </c>
      <c r="B6179" s="13" t="s">
        <v>11684</v>
      </c>
      <c r="C6179" s="14" t="s">
        <v>11685</v>
      </c>
      <c r="D6179" s="1" t="str">
        <f>IFERROR(__xludf.DUMMYFUNCTION("GOOGLETRANSLATE(A6179 , ""auto"", ""ar"")"),"حسنًا ، أنا أكثر قلقًا بشأن ما تجعلني أفعل!")</f>
        <v>حسنًا ، أنا أكثر قلقًا بشأن ما تجعلني أفعل!</v>
      </c>
    </row>
    <row r="6180" ht="15.75" customHeight="1">
      <c r="A6180" s="12" t="s">
        <v>11686</v>
      </c>
      <c r="B6180" s="13" t="s">
        <v>11686</v>
      </c>
      <c r="C6180" s="14" t="s">
        <v>11687</v>
      </c>
      <c r="D6180" s="1" t="str">
        <f>IFERROR(__xludf.DUMMYFUNCTION("GOOGLETRANSLATE(A6180 , ""auto"", ""ar"")"),"أوه؟")</f>
        <v>أوه؟</v>
      </c>
    </row>
    <row r="6181" ht="15.75" customHeight="1">
      <c r="A6181" s="12" t="s">
        <v>11688</v>
      </c>
      <c r="B6181" s="13" t="s">
        <v>11689</v>
      </c>
      <c r="C6181" s="14" t="s">
        <v>11690</v>
      </c>
      <c r="D6181" s="1" t="str">
        <f>IFERROR(__xludf.DUMMYFUNCTION("GOOGLETRANSLATE(A6181 , ""auto"", ""ar"")"),"ماذا تفعل لك؟")</f>
        <v>ماذا تفعل لك؟</v>
      </c>
    </row>
    <row r="6182" ht="15.75" customHeight="1">
      <c r="A6182" s="12" t="s">
        <v>11691</v>
      </c>
      <c r="B6182" s="13" t="s">
        <v>11692</v>
      </c>
      <c r="C6182" s="14" t="s">
        <v>11693</v>
      </c>
      <c r="D6182" s="1" t="str">
        <f>IFERROR(__xludf.DUMMYFUNCTION("GOOGLETRANSLATE(A6182 , ""auto"", ""ar"")"),"لا يبدو أنني أحصل على أي وقت بمفردي")</f>
        <v>لا يبدو أنني أحصل على أي وقت بمفردي</v>
      </c>
    </row>
    <row r="6183" ht="15.75" customHeight="1">
      <c r="A6183" s="12" t="s">
        <v>11694</v>
      </c>
      <c r="B6183" s="13" t="s">
        <v>11695</v>
      </c>
      <c r="C6183" s="14" t="s">
        <v>11696</v>
      </c>
      <c r="D6183" s="1" t="str">
        <f>IFERROR(__xludf.DUMMYFUNCTION("GOOGLETRANSLATE(A6183 , ""auto"", ""ar"")"),"هي دائما هناك")</f>
        <v>هي دائما هناك</v>
      </c>
    </row>
    <row r="6184" ht="15.75" customHeight="1">
      <c r="A6184" s="12" t="s">
        <v>11697</v>
      </c>
      <c r="B6184" s="13" t="s">
        <v>11698</v>
      </c>
      <c r="C6184" s="14" t="s">
        <v>11699</v>
      </c>
      <c r="D6184" s="1" t="str">
        <f>IFERROR(__xludf.DUMMYFUNCTION("GOOGLETRANSLATE(A6184 , ""auto"", ""ar"")"),"تخبرك طوال الوقت ماذا تفعل وكيف تفعل ذلك؟")</f>
        <v>تخبرك طوال الوقت ماذا تفعل وكيف تفعل ذلك؟</v>
      </c>
    </row>
    <row r="6185" ht="15.75" customHeight="1">
      <c r="A6185" s="12" t="s">
        <v>11700</v>
      </c>
      <c r="B6185" s="13" t="s">
        <v>11701</v>
      </c>
      <c r="C6185" s="14" t="s">
        <v>11702</v>
      </c>
      <c r="D6185" s="1" t="str">
        <f>IFERROR(__xludf.DUMMYFUNCTION("GOOGLETRANSLATE(A6185 , ""auto"", ""ar"")"),"حسنًا ، لا ليس حقًا ، ولكن الأمر كما لو كانت تراقبني")</f>
        <v>حسنًا ، لا ليس حقًا ، ولكن الأمر كما لو كانت تراقبني</v>
      </c>
    </row>
    <row r="6186" ht="15.75" customHeight="1">
      <c r="A6186" s="12" t="s">
        <v>11703</v>
      </c>
      <c r="B6186" s="13" t="s">
        <v>11704</v>
      </c>
      <c r="C6186" s="14" t="s">
        <v>11705</v>
      </c>
      <c r="D6186" s="1" t="str">
        <f>IFERROR(__xludf.DUMMYFUNCTION("GOOGLETRANSLATE(A6186 , ""auto"", ""ar"")"),"وتشعر أنك في محاكمة؟")</f>
        <v>وتشعر أنك في محاكمة؟</v>
      </c>
    </row>
    <row r="6187" ht="15.75" customHeight="1">
      <c r="A6187" s="12" t="s">
        <v>11706</v>
      </c>
      <c r="B6187" s="13" t="s">
        <v>11707</v>
      </c>
      <c r="C6187" s="14" t="s">
        <v>11708</v>
      </c>
      <c r="D6187" s="1" t="str">
        <f>IFERROR(__xludf.DUMMYFUNCTION("GOOGLETRANSLATE(A6187 , ""auto"", ""ar"")"),"أكثر مثلي في المحاكمة")</f>
        <v>أكثر مثلي في المحاكمة</v>
      </c>
    </row>
    <row r="6188" ht="15.75" customHeight="1">
      <c r="A6188" s="12" t="s">
        <v>11709</v>
      </c>
      <c r="B6188" s="13" t="s">
        <v>11710</v>
      </c>
      <c r="C6188" s="14" t="s">
        <v>11711</v>
      </c>
      <c r="D6188" s="1" t="str">
        <f>IFERROR(__xludf.DUMMYFUNCTION("GOOGLETRANSLATE(A6188 , ""auto"", ""ar"")"),"وأعتقد أنها تتبعني")</f>
        <v>وأعتقد أنها تتبعني</v>
      </c>
    </row>
    <row r="6189" ht="15.75" customHeight="1">
      <c r="A6189" s="12" t="s">
        <v>11712</v>
      </c>
      <c r="B6189" s="13" t="s">
        <v>11713</v>
      </c>
      <c r="C6189" s="14" t="s">
        <v>11714</v>
      </c>
      <c r="D6189" s="1" t="str">
        <f>IFERROR(__xludf.DUMMYFUNCTION("GOOGLETRANSLATE(A6189 , ""auto"", ""ar"")"),"هل هي تتابعك؟")</f>
        <v>هل هي تتابعك؟</v>
      </c>
    </row>
    <row r="6190" ht="15.75" customHeight="1">
      <c r="A6190" s="12" t="s">
        <v>11715</v>
      </c>
      <c r="B6190" s="13" t="s">
        <v>11716</v>
      </c>
      <c r="C6190" s="14" t="s">
        <v>11717</v>
      </c>
      <c r="D6190" s="1" t="str">
        <f>IFERROR(__xludf.DUMMYFUNCTION("GOOGLETRANSLATE(A6190 , ""auto"", ""ar"")"),"في المدينة ، في كل مكان؟")</f>
        <v>في المدينة ، في كل مكان؟</v>
      </c>
    </row>
    <row r="6191" ht="15.75" customHeight="1">
      <c r="A6191" s="12" t="s">
        <v>11718</v>
      </c>
      <c r="B6191" s="13" t="s">
        <v>11719</v>
      </c>
      <c r="C6191" s="14" t="s">
        <v>11720</v>
      </c>
      <c r="D6191" s="1" t="str">
        <f>IFERROR(__xludf.DUMMYFUNCTION("GOOGLETRANSLATE(A6191 , ""auto"", ""ar"")"),"ليس في كل مكان ولكن بالأمس كنت في مقهى ورأيتها عند الباب")</f>
        <v>ليس في كل مكان ولكن بالأمس كنت في مقهى ورأيتها عند الباب</v>
      </c>
    </row>
    <row r="6192" ht="15.75" customHeight="1">
      <c r="A6192" s="12" t="s">
        <v>11721</v>
      </c>
      <c r="B6192" s="13" t="s">
        <v>11722</v>
      </c>
      <c r="C6192" s="14" t="s">
        <v>11723</v>
      </c>
      <c r="D6192" s="1" t="str">
        <f>IFERROR(__xludf.DUMMYFUNCTION("GOOGLETRANSLATE(A6192 , ""auto"", ""ar"")"),"عندما نظرت إلى الأعلى ذهبت!")</f>
        <v>عندما نظرت إلى الأعلى ذهبت!</v>
      </c>
    </row>
    <row r="6193" ht="15.75" customHeight="1">
      <c r="A6193" s="12" t="s">
        <v>11724</v>
      </c>
      <c r="B6193" s="13" t="s">
        <v>11725</v>
      </c>
      <c r="C6193" s="14" t="s">
        <v>11726</v>
      </c>
      <c r="D6193" s="1" t="str">
        <f>IFERROR(__xludf.DUMMYFUNCTION("GOOGLETRANSLATE(A6193 , ""auto"", ""ar"")"),"هل أنت متأكد من أنها كانت؟")</f>
        <v>هل أنت متأكد من أنها كانت؟</v>
      </c>
    </row>
    <row r="6194" ht="15.75" customHeight="1">
      <c r="A6194" s="12" t="s">
        <v>11727</v>
      </c>
      <c r="B6194" s="13" t="s">
        <v>11728</v>
      </c>
      <c r="C6194" s="14" t="s">
        <v>11729</v>
      </c>
      <c r="D6194" s="1" t="str">
        <f>IFERROR(__xludf.DUMMYFUNCTION("GOOGLETRANSLATE(A6194 , ""auto"", ""ar"")"),"أن تكون صادقا ...")</f>
        <v>أن تكون صادقا ...</v>
      </c>
    </row>
    <row r="6195" ht="15.75" customHeight="1">
      <c r="A6195" s="12" t="s">
        <v>11730</v>
      </c>
      <c r="B6195" s="13" t="s">
        <v>11731</v>
      </c>
      <c r="C6195" s="14" t="s">
        <v>11732</v>
      </c>
      <c r="D6195" s="1" t="str">
        <f>IFERROR(__xludf.DUMMYFUNCTION("GOOGLETRANSLATE(A6195 , ""auto"", ""ar"")"),"لست متأكدًا من أن أي شخص كان هناك")</f>
        <v>لست متأكدًا من أن أي شخص كان هناك</v>
      </c>
    </row>
    <row r="6196" ht="15.75" customHeight="1">
      <c r="A6196" s="12" t="s">
        <v>11733</v>
      </c>
      <c r="B6196" s="13" t="s">
        <v>11734</v>
      </c>
      <c r="C6196" s="14" t="s">
        <v>11735</v>
      </c>
      <c r="D6196" s="1" t="str">
        <f>IFERROR(__xludf.DUMMYFUNCTION("GOOGLETRANSLATE(A6196 , ""auto"", ""ar"")"),"من كنت تجسس؟")</f>
        <v>من كنت تجسس؟</v>
      </c>
    </row>
    <row r="6197" ht="15.75" customHeight="1">
      <c r="A6197" s="12" t="s">
        <v>11736</v>
      </c>
      <c r="B6197" s="13" t="s">
        <v>11737</v>
      </c>
      <c r="C6197" s="14" t="s">
        <v>11738</v>
      </c>
      <c r="D6197" s="1" t="str">
        <f>IFERROR(__xludf.DUMMYFUNCTION("GOOGLETRANSLATE(A6197 , ""auto"", ""ar"")"),"لماذا تعتقد أنني كنت أتجسس؟")</f>
        <v>لماذا تعتقد أنني كنت أتجسس؟</v>
      </c>
    </row>
    <row r="6198" ht="15.75" customHeight="1">
      <c r="A6198" s="12" t="s">
        <v>11739</v>
      </c>
      <c r="B6198" s="13" t="s">
        <v>11740</v>
      </c>
      <c r="C6198" s="14" t="s">
        <v>11741</v>
      </c>
      <c r="D6198" s="1" t="str">
        <f>IFERROR(__xludf.DUMMYFUNCTION("GOOGLETRANSLATE(A6198 , ""auto"", ""ar"")"),"لا ، لا ، كنت أسألك من كان يتجسس على الباب")</f>
        <v>لا ، لا ، كنت أسألك من كان يتجسس على الباب</v>
      </c>
    </row>
    <row r="6199" ht="15.75" customHeight="1">
      <c r="A6199" s="12" t="s">
        <v>11742</v>
      </c>
      <c r="B6199" s="13" t="s">
        <v>11743</v>
      </c>
      <c r="C6199" s="14" t="s">
        <v>11744</v>
      </c>
      <c r="D6199" s="1" t="str">
        <f>IFERROR(__xludf.DUMMYFUNCTION("GOOGLETRANSLATE(A6199 , ""auto"", ""ar"")"),"كانت امرأة في معطف أسود تحمل مظلة")</f>
        <v>كانت امرأة في معطف أسود تحمل مظلة</v>
      </c>
    </row>
    <row r="6200" ht="15.75" customHeight="1">
      <c r="A6200" s="12" t="s">
        <v>11745</v>
      </c>
      <c r="B6200" s="13" t="s">
        <v>11746</v>
      </c>
      <c r="C6200" s="14" t="s">
        <v>11747</v>
      </c>
      <c r="D6200" s="1" t="str">
        <f>IFERROR(__xludf.DUMMYFUNCTION("GOOGLETRANSLATE(A6200 , ""auto"", ""ar"")"),"كان لديها شعر أشقر طويل مرتبط في كعكة")</f>
        <v>كان لديها شعر أشقر طويل مرتبط في كعكة</v>
      </c>
    </row>
    <row r="6201" ht="15.75" customHeight="1">
      <c r="A6201" s="12" t="s">
        <v>11748</v>
      </c>
      <c r="B6201" s="13" t="s">
        <v>11749</v>
      </c>
      <c r="C6201" s="14" t="s">
        <v>11750</v>
      </c>
      <c r="D6201" s="1" t="str">
        <f>IFERROR(__xludf.DUMMYFUNCTION("GOOGLETRANSLATE(A6201 , ""auto"", ""ar"")"),"وأمك تبدو هكذا؟")</f>
        <v>وأمك تبدو هكذا؟</v>
      </c>
    </row>
    <row r="6202" ht="15.75" customHeight="1">
      <c r="A6202" s="12" t="s">
        <v>11751</v>
      </c>
      <c r="B6202" s="13" t="s">
        <v>11752</v>
      </c>
      <c r="C6202" s="14" t="s">
        <v>11753</v>
      </c>
      <c r="D6202" s="1" t="str">
        <f>IFERROR(__xludf.DUMMYFUNCTION("GOOGLETRANSLATE(A6202 , ""auto"", ""ar"")"),"نوع من ... هو مثل صورها كامرأة شابة")</f>
        <v>نوع من ... هو مثل صورها كامرأة شابة</v>
      </c>
    </row>
    <row r="6203" ht="15.75" customHeight="1">
      <c r="A6203" s="12" t="s">
        <v>11754</v>
      </c>
      <c r="B6203" s="13" t="s">
        <v>11755</v>
      </c>
      <c r="C6203" s="14" t="s">
        <v>11756</v>
      </c>
      <c r="D6203" s="1" t="str">
        <f>IFERROR(__xludf.DUMMYFUNCTION("GOOGLETRANSLATE(A6203 , ""auto"", ""ar"")"),"ولكن ربما لم تكن هي ، إذن ، أليس كذلك؟")</f>
        <v>ولكن ربما لم تكن هي ، إذن ، أليس كذلك؟</v>
      </c>
    </row>
    <row r="6204" ht="15.75" customHeight="1">
      <c r="A6204" s="12" t="s">
        <v>11757</v>
      </c>
      <c r="B6204" s="13" t="s">
        <v>11758</v>
      </c>
      <c r="C6204" s="14" t="s">
        <v>11759</v>
      </c>
      <c r="D6204" s="1" t="str">
        <f>IFERROR(__xludf.DUMMYFUNCTION("GOOGLETRANSLATE(A6204 , ""auto"", ""ar"")"),"ماذا كان عليك أن تفعل مع والدتك عندما كنت طفلاً؟")</f>
        <v>ماذا كان عليك أن تفعل مع والدتك عندما كنت طفلاً؟</v>
      </c>
    </row>
    <row r="6205" ht="15.75" customHeight="1">
      <c r="A6205" s="12" t="s">
        <v>11760</v>
      </c>
      <c r="B6205" s="13" t="s">
        <v>11761</v>
      </c>
      <c r="C6205" s="14" t="s">
        <v>11762</v>
      </c>
      <c r="D6205" s="1" t="str">
        <f>IFERROR(__xludf.DUMMYFUNCTION("GOOGLETRANSLATE(A6205 , ""auto"", ""ar"")"),"هذا ما قصدته حول عدم التأكد من أن أي شخص كان هناك")</f>
        <v>هذا ما قصدته حول عدم التأكد من أن أي شخص كان هناك</v>
      </c>
    </row>
    <row r="6206" ht="15.75" customHeight="1">
      <c r="A6206" s="12" t="s">
        <v>11763</v>
      </c>
      <c r="B6206" s="13" t="s">
        <v>11764</v>
      </c>
      <c r="C6206" s="14" t="s">
        <v>11765</v>
      </c>
      <c r="D6206" s="1" t="str">
        <f>IFERROR(__xludf.DUMMYFUNCTION("GOOGLETRANSLATE(A6206 , ""auto"", ""ar"")"),"اعتدت أن يكون لدي صورة لها مثبتة على الحائط بجوار سريري")</f>
        <v>اعتدت أن يكون لدي صورة لها مثبتة على الحائط بجوار سريري</v>
      </c>
    </row>
    <row r="6207" ht="15.75" customHeight="1">
      <c r="A6207" s="12" t="s">
        <v>11766</v>
      </c>
      <c r="B6207" s="13" t="s">
        <v>11767</v>
      </c>
      <c r="C6207" s="14" t="s">
        <v>11768</v>
      </c>
      <c r="D6207" s="1" t="str">
        <f>IFERROR(__xludf.DUMMYFUNCTION("GOOGLETRANSLATE(A6207 , ""auto"", ""ar"")"),"اعتدت أن أبكي كثيرا")</f>
        <v>اعتدت أن أبكي كثيرا</v>
      </c>
    </row>
    <row r="6208" ht="15.75" customHeight="1">
      <c r="A6208" s="12" t="s">
        <v>11766</v>
      </c>
      <c r="B6208" s="13" t="s">
        <v>11769</v>
      </c>
      <c r="C6208" s="14" t="s">
        <v>11770</v>
      </c>
      <c r="D6208" s="1" t="str">
        <f>IFERROR(__xludf.DUMMYFUNCTION("GOOGLETRANSLATE(A6208 , ""auto"", ""ar"")"),"اعتدت أن أبكي كثيرا")</f>
        <v>اعتدت أن أبكي كثيرا</v>
      </c>
    </row>
    <row r="6209" ht="15.75" customHeight="1">
      <c r="A6209" s="12" t="s">
        <v>11771</v>
      </c>
      <c r="B6209" s="13" t="s">
        <v>11772</v>
      </c>
      <c r="C6209" s="14" t="s">
        <v>11773</v>
      </c>
      <c r="D6209" s="1" t="str">
        <f>IFERROR(__xludf.DUMMYFUNCTION("GOOGLETRANSLATE(A6209 , ""auto"", ""ar"")"),"أتذكر أن")</f>
        <v>أتذكر أن</v>
      </c>
    </row>
    <row r="6210" ht="15.75" customHeight="1">
      <c r="A6210" s="12" t="s">
        <v>11774</v>
      </c>
      <c r="B6210" s="13" t="s">
        <v>11775</v>
      </c>
      <c r="C6210" s="14" t="s">
        <v>11776</v>
      </c>
      <c r="D6210" s="1" t="str">
        <f>IFERROR(__xludf.DUMMYFUNCTION("GOOGLETRANSLATE(A6210 , ""auto"", ""ar"")"),"هل تعتني بك كثيرا؟")</f>
        <v>هل تعتني بك كثيرا؟</v>
      </c>
    </row>
    <row r="6211" ht="15.75" customHeight="1">
      <c r="A6211" s="12" t="s">
        <v>11777</v>
      </c>
      <c r="B6211" s="13" t="s">
        <v>11778</v>
      </c>
      <c r="C6211" s="14" t="s">
        <v>11779</v>
      </c>
      <c r="D6211" s="1" t="str">
        <f>IFERROR(__xludf.DUMMYFUNCTION("GOOGLETRANSLATE(A6211 , ""auto"", ""ar"")"),"عندما كانت في المنزل ، نعم")</f>
        <v>عندما كانت في المنزل ، نعم</v>
      </c>
    </row>
    <row r="6212" ht="15.75" customHeight="1">
      <c r="A6212" s="12" t="s">
        <v>11780</v>
      </c>
      <c r="B6212" s="13" t="s">
        <v>11781</v>
      </c>
      <c r="C6212" s="14" t="s">
        <v>11782</v>
      </c>
      <c r="D6212" s="1" t="str">
        <f>IFERROR(__xludf.DUMMYFUNCTION("GOOGLETRANSLATE(A6212 , ""auto"", ""ar"")"),"لكني أتذكر أنها بعيدة عن المنزل كثيرا")</f>
        <v>لكني أتذكر أنها بعيدة عن المنزل كثيرا</v>
      </c>
    </row>
    <row r="6213" ht="15.75" customHeight="1">
      <c r="A6213" s="12" t="s">
        <v>11783</v>
      </c>
      <c r="B6213" s="13" t="s">
        <v>11784</v>
      </c>
      <c r="C6213" s="14" t="s">
        <v>11785</v>
      </c>
      <c r="D6213" s="1" t="str">
        <f>IFERROR(__xludf.DUMMYFUNCTION("GOOGLETRANSLATE(A6213 , ""auto"", ""ar"")"),"هل اشتقت إليها عندما كانت بعيدة؟")</f>
        <v>هل اشتقت إليها عندما كانت بعيدة؟</v>
      </c>
    </row>
    <row r="6214" ht="15.75" customHeight="1">
      <c r="A6214" s="12" t="s">
        <v>8084</v>
      </c>
      <c r="B6214" s="13" t="s">
        <v>11786</v>
      </c>
      <c r="C6214" s="14" t="s">
        <v>11787</v>
      </c>
      <c r="D6214" s="1" t="str">
        <f>IFERROR(__xludf.DUMMYFUNCTION("GOOGLETRANSLATE(A6214 , ""auto"", ""ar"")"),"نعم")</f>
        <v>نعم</v>
      </c>
    </row>
    <row r="6215" ht="15.75" customHeight="1">
      <c r="A6215" s="12" t="s">
        <v>11788</v>
      </c>
      <c r="B6215" s="13" t="s">
        <v>11789</v>
      </c>
      <c r="C6215" s="14" t="s">
        <v>11790</v>
      </c>
      <c r="D6215" s="1" t="str">
        <f>IFERROR(__xludf.DUMMYFUNCTION("GOOGLETRANSLATE(A6215 , ""auto"", ""ar"")"),"لكنني لا أعتقد أنها كانت بعيدة")</f>
        <v>لكنني لا أعتقد أنها كانت بعيدة</v>
      </c>
    </row>
    <row r="6216" ht="15.75" customHeight="1">
      <c r="A6216" s="12" t="s">
        <v>11791</v>
      </c>
      <c r="B6216" s="13" t="s">
        <v>11792</v>
      </c>
      <c r="C6216" s="14" t="s">
        <v>11793</v>
      </c>
      <c r="D6216" s="1" t="str">
        <f>IFERROR(__xludf.DUMMYFUNCTION("GOOGLETRANSLATE(A6216 , ""auto"", ""ar"")"),"لسوء الحظ ، لقد انتهى وقتنا ، لقد حان الوقت لمريضي القادم")</f>
        <v>لسوء الحظ ، لقد انتهى وقتنا ، لقد حان الوقت لمريضي القادم</v>
      </c>
    </row>
    <row r="6217" ht="15.75" customHeight="1">
      <c r="A6217" s="12" t="s">
        <v>11794</v>
      </c>
      <c r="B6217" s="13" t="s">
        <v>11795</v>
      </c>
      <c r="C6217" s="14" t="s">
        <v>11796</v>
      </c>
      <c r="D6217" s="1" t="str">
        <f>IFERROR(__xludf.DUMMYFUNCTION("GOOGLETRANSLATE(A6217 , ""auto"", ""ar"")"),"لسوء الحظ ، وقت آخر")</f>
        <v>لسوء الحظ ، وقت آخر</v>
      </c>
    </row>
    <row r="6218" ht="15.75" customHeight="1">
      <c r="A6218" s="12" t="s">
        <v>11797</v>
      </c>
      <c r="B6218" s="13" t="s">
        <v>11798</v>
      </c>
      <c r="C6218" s="14" t="s">
        <v>11799</v>
      </c>
      <c r="D6218" s="1" t="str">
        <f>IFERROR(__xludf.DUMMYFUNCTION("GOOGLETRANSLATE(A6218 , ""auto"", ""ar"")"),"ستعود الأسبوع المقبل ، في نفس الوقت ، نفس المكان؟")</f>
        <v>ستعود الأسبوع المقبل ، في نفس الوقت ، نفس المكان؟</v>
      </c>
    </row>
    <row r="6219" ht="15.75" customHeight="1">
      <c r="A6219" s="12" t="s">
        <v>11800</v>
      </c>
      <c r="B6219" s="13" t="s">
        <v>11801</v>
      </c>
      <c r="C6219" s="14" t="s">
        <v>11802</v>
      </c>
      <c r="D6219" s="1" t="str">
        <f>IFERROR(__xludf.DUMMYFUNCTION("GOOGLETRANSLATE(A6219 , ""auto"", ""ar"")"),"شكرا لك دكتور")</f>
        <v>شكرا لك دكتور</v>
      </c>
    </row>
    <row r="6220" ht="15.75" customHeight="1">
      <c r="A6220" s="12" t="s">
        <v>11803</v>
      </c>
      <c r="B6220" s="13" t="s">
        <v>11804</v>
      </c>
      <c r="C6220" s="14" t="s">
        <v>11805</v>
      </c>
      <c r="D6220" s="1" t="str">
        <f>IFERROR(__xludf.DUMMYFUNCTION("GOOGLETRANSLATE(A6220 , ""auto"", ""ar"")"),"نعم أعتقد أن والدتي تنتظرني")</f>
        <v>نعم أعتقد أن والدتي تنتظرني</v>
      </c>
    </row>
    <row r="6221" ht="15.75" customHeight="1">
      <c r="A6221" s="12" t="s">
        <v>9406</v>
      </c>
      <c r="B6221" s="13" t="s">
        <v>11806</v>
      </c>
      <c r="C6221" s="14" t="s">
        <v>11807</v>
      </c>
      <c r="D6221" s="1" t="str">
        <f>IFERROR(__xludf.DUMMYFUNCTION("GOOGLETRANSLATE(A6221 , ""auto"", ""ar"")"),"طاب مساؤك")</f>
        <v>طاب مساؤك</v>
      </c>
    </row>
    <row r="6222" ht="15.75" customHeight="1">
      <c r="A6222" s="12" t="s">
        <v>11808</v>
      </c>
      <c r="B6222" s="13" t="s">
        <v>11809</v>
      </c>
      <c r="C6222" s="14" t="s">
        <v>11810</v>
      </c>
      <c r="D6222" s="1" t="str">
        <f>IFERROR(__xludf.DUMMYFUNCTION("GOOGLETRANSLATE(A6222 , ""auto"", ""ar"")"),"مرحبًا ، هل دخلت الحي؟")</f>
        <v>مرحبًا ، هل دخلت الحي؟</v>
      </c>
    </row>
    <row r="6223" ht="15.75" customHeight="1">
      <c r="A6223" s="12" t="s">
        <v>11811</v>
      </c>
      <c r="B6223" s="13" t="s">
        <v>11812</v>
      </c>
      <c r="C6223" s="14" t="s">
        <v>11813</v>
      </c>
      <c r="D6223" s="1" t="str">
        <f>IFERROR(__xludf.DUMMYFUNCTION("GOOGLETRANSLATE(A6223 , ""auto"", ""ar"")"),"هذه هي المرة الأولى التي رأيتك فيها")</f>
        <v>هذه هي المرة الأولى التي رأيتك فيها</v>
      </c>
    </row>
    <row r="6224" ht="15.75" customHeight="1">
      <c r="A6224" s="12" t="s">
        <v>11814</v>
      </c>
      <c r="B6224" s="13" t="s">
        <v>11815</v>
      </c>
      <c r="C6224" s="14" t="s">
        <v>11816</v>
      </c>
      <c r="D6224" s="1" t="str">
        <f>IFERROR(__xludf.DUMMYFUNCTION("GOOGLETRANSLATE(A6224 , ""auto"", ""ar"")"),"آسف")</f>
        <v>آسف</v>
      </c>
    </row>
    <row r="6225" ht="15.75" customHeight="1">
      <c r="A6225" s="12" t="s">
        <v>11817</v>
      </c>
      <c r="B6225" s="13" t="s">
        <v>11818</v>
      </c>
      <c r="C6225" s="14" t="s">
        <v>11819</v>
      </c>
      <c r="D6225" s="1" t="str">
        <f>IFERROR(__xludf.DUMMYFUNCTION("GOOGLETRANSLATE(A6225 , ""auto"", ""ar"")"),"لكني لا أحب معالجة ""مهلا ، أنت""")</f>
        <v>لكني لا أحب معالجة "مهلا ، أنت"</v>
      </c>
    </row>
    <row r="6226" ht="15.75" customHeight="1">
      <c r="A6226" s="12" t="s">
        <v>11820</v>
      </c>
      <c r="B6226" s="13" t="s">
        <v>11821</v>
      </c>
      <c r="C6226" s="14" t="s">
        <v>11822</v>
      </c>
      <c r="D6226" s="1" t="str">
        <f>IFERROR(__xludf.DUMMYFUNCTION("GOOGLETRANSLATE(A6226 , ""auto"", ""ar"")"),"كيف كان علي أن أعرف ما هي الجدول الذي يجب الجلوس فيه؟")</f>
        <v>كيف كان علي أن أعرف ما هي الجدول الذي يجب الجلوس فيه؟</v>
      </c>
    </row>
    <row r="6227" ht="15.75" customHeight="1">
      <c r="A6227" s="12" t="s">
        <v>11823</v>
      </c>
      <c r="B6227" s="13" t="s">
        <v>11824</v>
      </c>
      <c r="C6227" s="14" t="s">
        <v>11825</v>
      </c>
      <c r="D6227" s="1" t="str">
        <f>IFERROR(__xludf.DUMMYFUNCTION("GOOGLETRANSLATE(A6227 , ""auto"", ""ar"")"),"سأجلس في البار")</f>
        <v>سأجلس في البار</v>
      </c>
    </row>
    <row r="6228" ht="15.75" customHeight="1">
      <c r="A6228" s="12" t="s">
        <v>11826</v>
      </c>
      <c r="B6228" s="13" t="s">
        <v>11827</v>
      </c>
      <c r="C6228" s="14" t="s">
        <v>11828</v>
      </c>
      <c r="D6228" s="1" t="str">
        <f>IFERROR(__xludf.DUMMYFUNCTION("GOOGLETRANSLATE(A6228 , ""auto"", ""ar"")"),"إذا كان هذا مسموحا؟")</f>
        <v>إذا كان هذا مسموحا؟</v>
      </c>
    </row>
    <row r="6229" ht="15.75" customHeight="1">
      <c r="A6229" s="12" t="s">
        <v>11829</v>
      </c>
      <c r="B6229" s="13" t="s">
        <v>11830</v>
      </c>
      <c r="C6229" s="14" t="s">
        <v>11831</v>
      </c>
      <c r="D6229" s="1" t="str">
        <f>IFERROR(__xludf.DUMMYFUNCTION("GOOGLETRANSLATE(A6229 , ""auto"", ""ar"")"),"أوه ، لديك شخصية!")</f>
        <v>أوه ، لديك شخصية!</v>
      </c>
    </row>
    <row r="6230" ht="15.75" customHeight="1">
      <c r="A6230" s="12" t="s">
        <v>11832</v>
      </c>
      <c r="B6230" s="13" t="s">
        <v>11833</v>
      </c>
      <c r="C6230" s="14" t="s">
        <v>11834</v>
      </c>
      <c r="D6230" s="1" t="str">
        <f>IFERROR(__xludf.DUMMYFUNCTION("GOOGLETRANSLATE(A6230 , ""auto"", ""ar"")"),"لا تنزعج!")</f>
        <v>لا تنزعج!</v>
      </c>
    </row>
    <row r="6231" ht="15.75" customHeight="1">
      <c r="A6231" s="12" t="s">
        <v>11832</v>
      </c>
      <c r="B6231" s="13" t="s">
        <v>11835</v>
      </c>
      <c r="C6231" s="14" t="s">
        <v>11836</v>
      </c>
      <c r="D6231" s="1" t="str">
        <f>IFERROR(__xludf.DUMMYFUNCTION("GOOGLETRANSLATE(A6231 , ""auto"", ""ar"")"),"لا تنزعج!")</f>
        <v>لا تنزعج!</v>
      </c>
    </row>
    <row r="6232" ht="15.75" customHeight="1">
      <c r="A6232" s="12" t="s">
        <v>11837</v>
      </c>
      <c r="B6232" s="13" t="s">
        <v>11838</v>
      </c>
      <c r="C6232" s="14" t="s">
        <v>11839</v>
      </c>
      <c r="D6232" s="1" t="str">
        <f>IFERROR(__xludf.DUMMYFUNCTION("GOOGLETRANSLATE(A6232 , ""auto"", ""ar"")"),"هل أحضر لك شيئا؟")</f>
        <v>هل أحضر لك شيئا؟</v>
      </c>
    </row>
    <row r="6233" ht="15.75" customHeight="1">
      <c r="A6233" s="12" t="s">
        <v>11837</v>
      </c>
      <c r="B6233" s="13" t="s">
        <v>11840</v>
      </c>
      <c r="C6233" s="14" t="s">
        <v>11841</v>
      </c>
      <c r="D6233" s="1" t="str">
        <f>IFERROR(__xludf.DUMMYFUNCTION("GOOGLETRANSLATE(A6233 , ""auto"", ""ar"")"),"هل أحضر لك شيئا؟")</f>
        <v>هل أحضر لك شيئا؟</v>
      </c>
    </row>
    <row r="6234" ht="15.75" customHeight="1">
      <c r="A6234" s="12" t="s">
        <v>11842</v>
      </c>
      <c r="B6234" s="13" t="s">
        <v>11843</v>
      </c>
      <c r="C6234" s="14" t="s">
        <v>11844</v>
      </c>
      <c r="D6234" s="1" t="str">
        <f>IFERROR(__xludf.DUMMYFUNCTION("GOOGLETRANSLATE(A6234 , ""auto"", ""ar"")"),"أعتقد أننا بدأنا بداية سيئة")</f>
        <v>أعتقد أننا بدأنا بداية سيئة</v>
      </c>
    </row>
    <row r="6235" ht="15.75" customHeight="1">
      <c r="A6235" s="12" t="s">
        <v>11845</v>
      </c>
      <c r="B6235" s="13" t="s">
        <v>11846</v>
      </c>
      <c r="C6235" s="14" t="s">
        <v>11847</v>
      </c>
      <c r="D6235" s="1" t="str">
        <f>IFERROR(__xludf.DUMMYFUNCTION("GOOGLETRANSLATE(A6235 , ""auto"", ""ar"")"),"أنا لست مستاء")</f>
        <v>أنا لست مستاء</v>
      </c>
    </row>
    <row r="6236" ht="15.75" customHeight="1">
      <c r="A6236" s="12" t="s">
        <v>11848</v>
      </c>
      <c r="B6236" s="13" t="s">
        <v>11849</v>
      </c>
      <c r="C6236" s="14" t="s">
        <v>11850</v>
      </c>
      <c r="D6236" s="1" t="str">
        <f>IFERROR(__xludf.DUMMYFUNCTION("GOOGLETRANSLATE(A6236 , ""auto"", ""ar"")"),"بدت لهجتك غير مرغوب فيها")</f>
        <v>بدت لهجتك غير مرغوب فيها</v>
      </c>
    </row>
    <row r="6237" ht="15.75" customHeight="1">
      <c r="A6237" s="12" t="s">
        <v>11851</v>
      </c>
      <c r="B6237" s="13" t="s">
        <v>11852</v>
      </c>
      <c r="C6237" s="14" t="s">
        <v>11853</v>
      </c>
      <c r="D6237" s="1" t="str">
        <f>IFERROR(__xludf.DUMMYFUNCTION("GOOGLETRANSLATE(A6237 , ""auto"", ""ar"")"),"سآخذ نبيذ أحمر ونعم أنا في انتظار صديق")</f>
        <v>سآخذ نبيذ أحمر ونعم أنا في انتظار صديق</v>
      </c>
    </row>
    <row r="6238" ht="15.75" customHeight="1">
      <c r="A6238" s="12" t="s">
        <v>11854</v>
      </c>
      <c r="B6238" s="13" t="s">
        <v>11855</v>
      </c>
      <c r="C6238" s="14" t="s">
        <v>11856</v>
      </c>
      <c r="D6238" s="1" t="str">
        <f>IFERROR(__xludf.DUMMYFUNCTION("GOOGLETRANSLATE(A6238 , ""auto"", ""ar"")"),"أي أسئلة أخرى؟")</f>
        <v>أي أسئلة أخرى؟</v>
      </c>
    </row>
    <row r="6239" ht="15.75" customHeight="1">
      <c r="A6239" s="12" t="s">
        <v>11857</v>
      </c>
      <c r="B6239" s="13" t="s">
        <v>11858</v>
      </c>
      <c r="C6239" s="14" t="s">
        <v>11859</v>
      </c>
      <c r="D6239" s="1" t="str">
        <f>IFERROR(__xludf.DUMMYFUNCTION("GOOGLETRANSLATE(A6239 , ""auto"", ""ar"")"),"أنا آسف لأنني لم أرغب في الاندفاع")</f>
        <v>أنا آسف لأنني لم أرغب في الاندفاع</v>
      </c>
    </row>
    <row r="6240" ht="15.75" customHeight="1">
      <c r="A6240" s="12" t="s">
        <v>11860</v>
      </c>
      <c r="B6240" s="13" t="s">
        <v>11861</v>
      </c>
      <c r="C6240" s="14" t="s">
        <v>11862</v>
      </c>
      <c r="D6240" s="1" t="str">
        <f>IFERROR(__xludf.DUMMYFUNCTION("GOOGLETRANSLATE(A6240 , ""auto"", ""ar"")"),"هل هناك نبيذ محلي بشكل خاص؟")</f>
        <v>هل هناك نبيذ محلي بشكل خاص؟</v>
      </c>
    </row>
    <row r="6241" ht="15.75" customHeight="1">
      <c r="A6241" s="12" t="s">
        <v>11863</v>
      </c>
      <c r="B6241" s="13" t="s">
        <v>11864</v>
      </c>
      <c r="C6241" s="14" t="s">
        <v>11865</v>
      </c>
      <c r="D6241" s="1" t="str">
        <f>IFERROR(__xludf.DUMMYFUNCTION("GOOGLETRANSLATE(A6241 , ""auto"", ""ar"")"),"قد تكون أفضل حالًا على الطاولة الخلفية هناك؟")</f>
        <v>قد تكون أفضل حالًا على الطاولة الخلفية هناك؟</v>
      </c>
    </row>
    <row r="6242" ht="15.75" customHeight="1">
      <c r="A6242" s="12" t="s">
        <v>11866</v>
      </c>
      <c r="B6242" s="13" t="s">
        <v>11867</v>
      </c>
      <c r="C6242" s="14" t="s">
        <v>11868</v>
      </c>
      <c r="D6242" s="1" t="str">
        <f>IFERROR(__xludf.DUMMYFUNCTION("GOOGLETRANSLATE(A6242 , ""auto"", ""ar"")"),"إنه نوع من المريح ، بعيدًا قليلاً عن بقية العملاء")</f>
        <v>إنه نوع من المريح ، بعيدًا قليلاً عن بقية العملاء</v>
      </c>
    </row>
    <row r="6243" ht="15.75" customHeight="1">
      <c r="A6243" s="12" t="s">
        <v>11869</v>
      </c>
      <c r="B6243" s="13" t="s">
        <v>11870</v>
      </c>
      <c r="C6243" s="14" t="s">
        <v>11871</v>
      </c>
      <c r="D6243" s="1" t="str">
        <f>IFERROR(__xludf.DUMMYFUNCTION("GOOGLETRANSLATE(A6243 , ""auto"", ""ar"")"),"لدينا فقط بيرة محلية ، ويأتي النبيذ من بوردو")</f>
        <v>لدينا فقط بيرة محلية ، ويأتي النبيذ من بوردو</v>
      </c>
    </row>
    <row r="6244" ht="15.75" customHeight="1">
      <c r="A6244" s="12" t="s">
        <v>11872</v>
      </c>
      <c r="B6244" s="13" t="s">
        <v>11873</v>
      </c>
      <c r="C6244" s="14" t="s">
        <v>11874</v>
      </c>
      <c r="D6244" s="1" t="str">
        <f>IFERROR(__xludf.DUMMYFUNCTION("GOOGLETRANSLATE(A6244 , ""auto"", ""ar"")"),"آه أنا أفهم الآن")</f>
        <v>آه أنا أفهم الآن</v>
      </c>
    </row>
    <row r="6245" ht="15.75" customHeight="1">
      <c r="A6245" s="12" t="s">
        <v>11875</v>
      </c>
      <c r="B6245" s="13" t="s">
        <v>11876</v>
      </c>
      <c r="C6245" s="14" t="s">
        <v>11877</v>
      </c>
      <c r="D6245" s="1" t="str">
        <f>IFERROR(__xludf.DUMMYFUNCTION("GOOGLETRANSLATE(A6245 , ""auto"", ""ar"")"),"عندما قلت طاولة عادية اعتقدت أنني كنت جالسًا على طاولة عميل أخرى منتظمة")</f>
        <v>عندما قلت طاولة عادية اعتقدت أنني كنت جالسًا على طاولة عميل أخرى منتظمة</v>
      </c>
    </row>
    <row r="6246" ht="15.75" customHeight="1">
      <c r="A6246" s="12" t="s">
        <v>11878</v>
      </c>
      <c r="B6246" s="13" t="s">
        <v>11879</v>
      </c>
      <c r="C6246" s="14" t="s">
        <v>11880</v>
      </c>
      <c r="D6246" s="1" t="str">
        <f>IFERROR(__xludf.DUMMYFUNCTION("GOOGLETRANSLATE(A6246 , ""auto"", ""ar"")"),"هل استطيع الحصول على البيره؟")</f>
        <v>هل استطيع الحصول على البيره؟</v>
      </c>
    </row>
    <row r="6247" ht="15.75" customHeight="1">
      <c r="A6247" s="12" t="s">
        <v>11878</v>
      </c>
      <c r="B6247" s="13" t="s">
        <v>11881</v>
      </c>
      <c r="C6247" s="14" t="s">
        <v>11882</v>
      </c>
      <c r="D6247" s="1" t="str">
        <f>IFERROR(__xludf.DUMMYFUNCTION("GOOGLETRANSLATE(A6247 , ""auto"", ""ar"")"),"هل استطيع الحصول على البيره؟")</f>
        <v>هل استطيع الحصول على البيره؟</v>
      </c>
    </row>
    <row r="6248" ht="15.75" customHeight="1">
      <c r="A6248" s="12" t="s">
        <v>11883</v>
      </c>
      <c r="B6248" s="13" t="s">
        <v>11884</v>
      </c>
      <c r="C6248" s="14" t="s">
        <v>11885</v>
      </c>
      <c r="D6248" s="1" t="str">
        <f>IFERROR(__xludf.DUMMYFUNCTION("GOOGLETRANSLATE(A6248 , ""auto"", ""ar"")"),"نعم ، كما ترى ، هناك 12 ويأتي كل يوم في الساعة 2:00")</f>
        <v>نعم ، كما ترى ، هناك 12 ويأتي كل يوم في الساعة 2:00</v>
      </c>
    </row>
    <row r="6249" ht="15.75" customHeight="1">
      <c r="A6249" s="12" t="s">
        <v>11886</v>
      </c>
      <c r="B6249" s="13" t="s">
        <v>11887</v>
      </c>
      <c r="C6249" s="14" t="s">
        <v>11888</v>
      </c>
      <c r="D6249" s="1" t="str">
        <f>IFERROR(__xludf.DUMMYFUNCTION("GOOGLETRANSLATE(A6249 , ""auto"", ""ar"")"),"إنهم مخروطون حقيقيون ، أقترح عليك الابتعاد")</f>
        <v>إنهم مخروطون حقيقيون ، أقترح عليك الابتعاد</v>
      </c>
    </row>
    <row r="6250" ht="15.75" customHeight="1">
      <c r="A6250" s="12" t="s">
        <v>11889</v>
      </c>
      <c r="B6250" s="13" t="s">
        <v>11890</v>
      </c>
      <c r="C6250" s="14" t="s">
        <v>11891</v>
      </c>
      <c r="D6250" s="1" t="str">
        <f>IFERROR(__xludf.DUMMYFUNCTION("GOOGLETRANSLATE(A6250 , ""auto"", ""ar"")"),"بالتأكيد ، سأحضر البيرة")</f>
        <v>بالتأكيد ، سأحضر البيرة</v>
      </c>
    </row>
    <row r="6251" ht="15.75" customHeight="1">
      <c r="A6251" s="12" t="s">
        <v>11892</v>
      </c>
      <c r="B6251" s="13" t="s">
        <v>11893</v>
      </c>
      <c r="C6251" s="14" t="s">
        <v>11894</v>
      </c>
      <c r="D6251" s="1" t="str">
        <f>IFERROR(__xludf.DUMMYFUNCTION("GOOGLETRANSLATE(A6251 , ""auto"", ""ar"")"),"أرى ماذا يعني لك الآن")</f>
        <v>أرى ماذا يعني لك الآن</v>
      </c>
    </row>
    <row r="6252" ht="15.75" customHeight="1">
      <c r="A6252" s="12" t="s">
        <v>8067</v>
      </c>
      <c r="B6252" s="13" t="s">
        <v>11895</v>
      </c>
      <c r="C6252" s="14" t="s">
        <v>11896</v>
      </c>
      <c r="D6252" s="1" t="str">
        <f>IFERROR(__xludf.DUMMYFUNCTION("GOOGLETRANSLATE(A6252 , ""auto"", ""ar"")"),"شكرًا")</f>
        <v>شكرًا</v>
      </c>
    </row>
    <row r="6253" ht="15.75" customHeight="1">
      <c r="A6253" s="12" t="s">
        <v>11897</v>
      </c>
      <c r="B6253" s="13" t="s">
        <v>11898</v>
      </c>
      <c r="C6253" s="14" t="s">
        <v>11899</v>
      </c>
      <c r="D6253" s="1" t="str">
        <f>IFERROR(__xludf.DUMMYFUNCTION("GOOGLETRANSLATE(A6253 , ""auto"", ""ar"")"),"لا يبدو أن صديقك هنا")</f>
        <v>لا يبدو أن صديقك هنا</v>
      </c>
    </row>
    <row r="6254" ht="15.75" customHeight="1">
      <c r="A6254" s="12" t="s">
        <v>11900</v>
      </c>
      <c r="B6254" s="13" t="s">
        <v>11901</v>
      </c>
      <c r="C6254" s="14" t="s">
        <v>11902</v>
      </c>
      <c r="D6254" s="1" t="str">
        <f>IFERROR(__xludf.DUMMYFUNCTION("GOOGLETRANSLATE(A6254 , ""auto"", ""ar"")"),"هل تريدني أن أبقيك شركة؟")</f>
        <v>هل تريدني أن أبقيك شركة؟</v>
      </c>
    </row>
    <row r="6255" ht="15.75" customHeight="1">
      <c r="A6255" s="12" t="s">
        <v>11900</v>
      </c>
      <c r="B6255" s="13" t="s">
        <v>11903</v>
      </c>
      <c r="C6255" s="14" t="s">
        <v>11904</v>
      </c>
      <c r="D6255" s="1" t="str">
        <f>IFERROR(__xludf.DUMMYFUNCTION("GOOGLETRANSLATE(A6255 , ""auto"", ""ar"")"),"هل تريدني أن أبقيك شركة؟")</f>
        <v>هل تريدني أن أبقيك شركة؟</v>
      </c>
    </row>
    <row r="6256" ht="15.75" customHeight="1">
      <c r="A6256" s="12" t="s">
        <v>11905</v>
      </c>
      <c r="B6256" s="13" t="s">
        <v>11906</v>
      </c>
      <c r="C6256" s="14" t="s">
        <v>11907</v>
      </c>
      <c r="D6256" s="1" t="str">
        <f>IFERROR(__xludf.DUMMYFUNCTION("GOOGLETRANSLATE(A6256 , ""auto"", ""ar"")"),"أوه هذا لطف منك")</f>
        <v>أوه هذا لطف منك</v>
      </c>
    </row>
    <row r="6257" ht="15.75" customHeight="1">
      <c r="A6257" s="12" t="s">
        <v>11908</v>
      </c>
      <c r="B6257" s="13" t="s">
        <v>11909</v>
      </c>
      <c r="C6257" s="14" t="s">
        <v>11910</v>
      </c>
      <c r="D6257" s="1" t="str">
        <f>IFERROR(__xludf.DUMMYFUNCTION("GOOGLETRANSLATE(A6257 , ""auto"", ""ar"")"),"لن تكون طويلة")</f>
        <v>لن تكون طويلة</v>
      </c>
    </row>
    <row r="6258" ht="15.75" customHeight="1">
      <c r="A6258" s="12" t="s">
        <v>11911</v>
      </c>
      <c r="B6258" s="13" t="s">
        <v>11912</v>
      </c>
      <c r="C6258" s="14" t="s">
        <v>11913</v>
      </c>
      <c r="D6258" s="1" t="str">
        <f>IFERROR(__xludf.DUMMYFUNCTION("GOOGLETRANSLATE(A6258 , ""auto"", ""ar"")"),"دعني أقدم نفسي")</f>
        <v>دعني أقدم نفسي</v>
      </c>
    </row>
    <row r="6259" ht="15.75" customHeight="1">
      <c r="A6259" s="12" t="s">
        <v>11914</v>
      </c>
      <c r="B6259" s="13" t="s">
        <v>11915</v>
      </c>
      <c r="C6259" s="14" t="s">
        <v>11916</v>
      </c>
      <c r="D6259" s="1" t="str">
        <f>IFERROR(__xludf.DUMMYFUNCTION("GOOGLETRANSLATE(A6259 , ""auto"", ""ar"")"),"اسمي استير")</f>
        <v>اسمي استير</v>
      </c>
    </row>
    <row r="6260" ht="15.75" customHeight="1">
      <c r="A6260" s="12" t="s">
        <v>11914</v>
      </c>
      <c r="B6260" s="13" t="s">
        <v>11917</v>
      </c>
      <c r="C6260" s="14" t="s">
        <v>11918</v>
      </c>
      <c r="D6260" s="1" t="str">
        <f>IFERROR(__xludf.DUMMYFUNCTION("GOOGLETRANSLATE(A6260 , ""auto"", ""ar"")"),"اسمي استير")</f>
        <v>اسمي استير</v>
      </c>
    </row>
    <row r="6261" ht="15.75" customHeight="1">
      <c r="A6261" s="12" t="s">
        <v>11919</v>
      </c>
      <c r="B6261" s="13" t="s">
        <v>11920</v>
      </c>
      <c r="C6261" s="14" t="s">
        <v>11921</v>
      </c>
      <c r="D6261" s="1" t="str">
        <f>IFERROR(__xludf.DUMMYFUNCTION("GOOGLETRANSLATE(A6261 , ""auto"", ""ar"")"),"ايهم ملكك؟")</f>
        <v>ايهم ملكك؟</v>
      </c>
    </row>
    <row r="6262" ht="15.75" customHeight="1">
      <c r="A6262" s="12" t="s">
        <v>11922</v>
      </c>
      <c r="B6262" s="13" t="s">
        <v>11923</v>
      </c>
      <c r="C6262" s="14" t="s">
        <v>11924</v>
      </c>
      <c r="D6262" s="1" t="str">
        <f>IFERROR(__xludf.DUMMYFUNCTION("GOOGLETRANSLATE(A6262 , ""auto"", ""ar"")"),"اسمي Mathilde")</f>
        <v>اسمي Mathilde</v>
      </c>
    </row>
    <row r="6263" ht="15.75" customHeight="1">
      <c r="A6263" s="12" t="s">
        <v>11925</v>
      </c>
      <c r="B6263" s="13" t="s">
        <v>11926</v>
      </c>
      <c r="C6263" s="14" t="s">
        <v>11927</v>
      </c>
      <c r="D6263" s="1" t="str">
        <f>IFERROR(__xludf.DUMMYFUNCTION("GOOGLETRANSLATE(A6263 , ""auto"", ""ar"")"),"هل تعيش بالقرب من هنا؟")</f>
        <v>هل تعيش بالقرب من هنا؟</v>
      </c>
    </row>
    <row r="6264" ht="15.75" customHeight="1">
      <c r="A6264" s="12" t="s">
        <v>11928</v>
      </c>
      <c r="B6264" s="13" t="s">
        <v>11929</v>
      </c>
      <c r="C6264" s="14" t="s">
        <v>11930</v>
      </c>
      <c r="D6264" s="1" t="str">
        <f>IFERROR(__xludf.DUMMYFUNCTION("GOOGLETRANSLATE(A6264 , ""auto"", ""ar"")"),"من النادر رؤية أي وجوه جديدة")</f>
        <v>من النادر رؤية أي وجوه جديدة</v>
      </c>
    </row>
    <row r="6265" ht="15.75" customHeight="1">
      <c r="A6265" s="12" t="s">
        <v>11931</v>
      </c>
      <c r="B6265" s="13" t="s">
        <v>11932</v>
      </c>
      <c r="C6265" s="14" t="s">
        <v>11933</v>
      </c>
      <c r="D6265" s="1" t="str">
        <f>IFERROR(__xludf.DUMMYFUNCTION("GOOGLETRANSLATE(A6265 , ""auto"", ""ar"")"),"آسف حصلت على الذهاب")</f>
        <v>آسف حصلت على الذهاب</v>
      </c>
    </row>
    <row r="6266" ht="15.75" customHeight="1">
      <c r="A6266" s="12" t="s">
        <v>8817</v>
      </c>
      <c r="B6266" s="13" t="s">
        <v>11934</v>
      </c>
      <c r="C6266" s="14" t="s">
        <v>11935</v>
      </c>
      <c r="D6266" s="1" t="str">
        <f>IFERROR(__xludf.DUMMYFUNCTION("GOOGLETRANSLATE(A6266 , ""auto"", ""ar"")"),"أراك غدا")</f>
        <v>أراك غدا</v>
      </c>
    </row>
    <row r="6267" ht="15.75" customHeight="1">
      <c r="A6267" s="12" t="s">
        <v>11936</v>
      </c>
      <c r="B6267" s="13" t="s">
        <v>11937</v>
      </c>
      <c r="C6267" s="14" t="s">
        <v>11938</v>
      </c>
      <c r="D6267" s="1" t="str">
        <f>IFERROR(__xludf.DUMMYFUNCTION("GOOGLETRANSLATE(A6267 , ""auto"", ""ar"")"),"حسنًا ، سأراك غدًا!")</f>
        <v>حسنًا ، سأراك غدًا!</v>
      </c>
    </row>
    <row r="6268" ht="15.75" customHeight="1">
      <c r="A6268" s="12" t="s">
        <v>11939</v>
      </c>
      <c r="B6268" s="13" t="s">
        <v>11940</v>
      </c>
      <c r="C6268" s="14" t="s">
        <v>11941</v>
      </c>
      <c r="D6268" s="1" t="str">
        <f>IFERROR(__xludf.DUMMYFUNCTION("GOOGLETRANSLATE(A6268 , ""auto"", ""ar"")"),"صباح الخير ماريا!")</f>
        <v>صباح الخير ماريا!</v>
      </c>
    </row>
    <row r="6269" ht="15.75" customHeight="1">
      <c r="A6269" s="12" t="s">
        <v>11942</v>
      </c>
      <c r="B6269" s="13" t="s">
        <v>11943</v>
      </c>
      <c r="C6269" s="14" t="s">
        <v>11944</v>
      </c>
      <c r="D6269" s="1" t="str">
        <f>IFERROR(__xludf.DUMMYFUNCTION("GOOGLETRANSLATE(A6269 , ""auto"", ""ar"")"),"لا بأس")</f>
        <v>لا بأس</v>
      </c>
    </row>
    <row r="6270" ht="15.75" customHeight="1">
      <c r="A6270" s="12" t="s">
        <v>11945</v>
      </c>
      <c r="B6270" s="13" t="s">
        <v>11946</v>
      </c>
      <c r="C6270" s="14" t="s">
        <v>11947</v>
      </c>
      <c r="D6270" s="1" t="str">
        <f>IFERROR(__xludf.DUMMYFUNCTION("GOOGLETRANSLATE(A6270 , ""auto"", ""ar"")"),"ساق تلعب قليلا")</f>
        <v>ساق تلعب قليلا</v>
      </c>
    </row>
    <row r="6271" ht="15.75" customHeight="1">
      <c r="A6271" s="12" t="s">
        <v>11948</v>
      </c>
      <c r="B6271" s="13" t="s">
        <v>11949</v>
      </c>
      <c r="C6271" s="14" t="s">
        <v>11950</v>
      </c>
      <c r="D6271" s="1" t="str">
        <f>IFERROR(__xludf.DUMMYFUNCTION("GOOGLETRANSLATE(A6271 , ""auto"", ""ar"")"),"والممرضات تستمر في إزعاجي في كل مرة أميل فيها إلى إيماءة")</f>
        <v>والممرضات تستمر في إزعاجي في كل مرة أميل فيها إلى إيماءة</v>
      </c>
    </row>
    <row r="6272" ht="15.75" customHeight="1">
      <c r="A6272" s="12" t="s">
        <v>11951</v>
      </c>
      <c r="B6272" s="13" t="s">
        <v>11952</v>
      </c>
      <c r="C6272" s="14" t="s">
        <v>11953</v>
      </c>
      <c r="D6272" s="1" t="str">
        <f>IFERROR(__xludf.DUMMYFUNCTION("GOOGLETRANSLATE(A6272 , ""auto"", ""ar"")"),"لا يمكنك أبدًا الحصول على أي سلام هنا!")</f>
        <v>لا يمكنك أبدًا الحصول على أي سلام هنا!</v>
      </c>
    </row>
    <row r="6273" ht="15.75" customHeight="1">
      <c r="A6273" s="12" t="s">
        <v>11954</v>
      </c>
      <c r="B6273" s="13" t="s">
        <v>11955</v>
      </c>
      <c r="C6273" s="14" t="s">
        <v>11956</v>
      </c>
      <c r="D6273" s="1" t="str">
        <f>IFERROR(__xludf.DUMMYFUNCTION("GOOGLETRANSLATE(A6273 , ""auto"", ""ar"")"),"هذا صحيح ، إنهم يقضون وقتهم في إزعاجنا")</f>
        <v>هذا صحيح ، إنهم يقضون وقتهم في إزعاجنا</v>
      </c>
    </row>
    <row r="6274" ht="15.75" customHeight="1">
      <c r="A6274" s="12" t="s">
        <v>11957</v>
      </c>
      <c r="B6274" s="13" t="s">
        <v>11958</v>
      </c>
      <c r="C6274" s="14" t="s">
        <v>11959</v>
      </c>
      <c r="D6274" s="1" t="str">
        <f>IFERROR(__xludf.DUMMYFUNCTION("GOOGLETRANSLATE(A6274 , ""auto"", ""ar"")"),"إنها تحرك الأشياء في الغرف")</f>
        <v>إنها تحرك الأشياء في الغرف</v>
      </c>
    </row>
    <row r="6275" ht="15.75" customHeight="1">
      <c r="A6275" s="12" t="s">
        <v>11960</v>
      </c>
      <c r="B6275" s="13" t="s">
        <v>11961</v>
      </c>
      <c r="C6275" s="14" t="s">
        <v>11962</v>
      </c>
      <c r="D6275" s="1" t="str">
        <f>IFERROR(__xludf.DUMMYFUNCTION("GOOGLETRANSLATE(A6275 , ""auto"", ""ar"")"),"تخبرنا أن نذهب إلى هنا ، نفعل ذلك ، pfft")</f>
        <v>تخبرنا أن نذهب إلى هنا ، نفعل ذلك ، pfft</v>
      </c>
    </row>
    <row r="6276" ht="15.75" customHeight="1">
      <c r="A6276" s="12" t="s">
        <v>11963</v>
      </c>
      <c r="B6276" s="13" t="s">
        <v>11964</v>
      </c>
      <c r="C6276" s="14" t="s">
        <v>11965</v>
      </c>
      <c r="D6276" s="1" t="str">
        <f>IFERROR(__xludf.DUMMYFUNCTION("GOOGLETRANSLATE(A6276 , ""auto"", ""ar"")"),"من هو الذي؟")</f>
        <v>من هو الذي؟</v>
      </c>
    </row>
    <row r="6277" ht="15.75" customHeight="1">
      <c r="A6277" s="12" t="s">
        <v>11966</v>
      </c>
      <c r="B6277" s="13" t="s">
        <v>11967</v>
      </c>
      <c r="C6277" s="14" t="s">
        <v>11968</v>
      </c>
      <c r="D6277" s="1" t="str">
        <f>IFERROR(__xludf.DUMMYFUNCTION("GOOGLETRANSLATE(A6277 , ""auto"", ""ar"")"),"لا أستطيع أن أرى جيدًا بعد الآن")</f>
        <v>لا أستطيع أن أرى جيدًا بعد الآن</v>
      </c>
    </row>
    <row r="6278" ht="15.75" customHeight="1">
      <c r="A6278" s="12" t="s">
        <v>11969</v>
      </c>
      <c r="B6278" s="13" t="s">
        <v>11970</v>
      </c>
      <c r="C6278" s="14" t="s">
        <v>11971</v>
      </c>
      <c r="D6278" s="1" t="str">
        <f>IFERROR(__xludf.DUMMYFUNCTION("GOOGLETRANSLATE(A6278 , ""auto"", ""ar"")"),"لماذا توجد امرأة في غرفتي؟")</f>
        <v>لماذا توجد امرأة في غرفتي؟</v>
      </c>
    </row>
    <row r="6279" ht="15.75" customHeight="1">
      <c r="A6279" s="12" t="s">
        <v>11972</v>
      </c>
      <c r="B6279" s="13" t="s">
        <v>11973</v>
      </c>
      <c r="C6279" s="14" t="s">
        <v>11974</v>
      </c>
      <c r="D6279" s="1" t="str">
        <f>IFERROR(__xludf.DUMMYFUNCTION("GOOGLETRANSLATE(A6279 , ""auto"", ""ar"")"),"ويجب ألا تشكو!")</f>
        <v>ويجب ألا تشكو!</v>
      </c>
    </row>
    <row r="6280" ht="15.75" customHeight="1">
      <c r="A6280" s="12" t="s">
        <v>11975</v>
      </c>
      <c r="B6280" s="13" t="s">
        <v>11976</v>
      </c>
      <c r="C6280" s="14" t="s">
        <v>11977</v>
      </c>
      <c r="D6280" s="1" t="str">
        <f>IFERROR(__xludf.DUMMYFUNCTION("GOOGLETRANSLATE(A6280 , ""auto"", ""ar"")"),"يمكنك البقاء في المنزل وتعيش حياتك ، بينما أنا عالق هنا")</f>
        <v>يمكنك البقاء في المنزل وتعيش حياتك ، بينما أنا عالق هنا</v>
      </c>
    </row>
    <row r="6281" ht="15.75" customHeight="1">
      <c r="A6281" s="12" t="s">
        <v>11978</v>
      </c>
      <c r="B6281" s="13" t="s">
        <v>11979</v>
      </c>
      <c r="C6281" s="14" t="s">
        <v>11980</v>
      </c>
      <c r="D6281" s="1" t="str">
        <f>IFERROR(__xludf.DUMMYFUNCTION("GOOGLETRANSLATE(A6281 , ""auto"", ""ar"")"),"كنت امزح!")</f>
        <v>كنت امزح!</v>
      </c>
    </row>
    <row r="6282" ht="15.75" customHeight="1">
      <c r="A6282" s="12" t="s">
        <v>11978</v>
      </c>
      <c r="B6282" s="13" t="s">
        <v>11981</v>
      </c>
      <c r="C6282" s="14" t="s">
        <v>11982</v>
      </c>
      <c r="D6282" s="1" t="str">
        <f>IFERROR(__xludf.DUMMYFUNCTION("GOOGLETRANSLATE(A6282 , ""auto"", ""ar"")"),"كنت امزح!")</f>
        <v>كنت امزح!</v>
      </c>
    </row>
    <row r="6283" ht="15.75" customHeight="1">
      <c r="A6283" s="12" t="s">
        <v>11983</v>
      </c>
      <c r="B6283" s="13" t="s">
        <v>11984</v>
      </c>
      <c r="C6283" s="14" t="s">
        <v>11985</v>
      </c>
      <c r="D6283" s="1" t="str">
        <f>IFERROR(__xludf.DUMMYFUNCTION("GOOGLETRANSLATE(A6283 , ""auto"", ""ar"")"),"كنت أمزح فقط!")</f>
        <v>كنت أمزح فقط!</v>
      </c>
    </row>
    <row r="6284" ht="15.75" customHeight="1">
      <c r="A6284" s="12" t="s">
        <v>11986</v>
      </c>
      <c r="B6284" s="13" t="s">
        <v>11987</v>
      </c>
      <c r="C6284" s="14" t="s">
        <v>11988</v>
      </c>
      <c r="D6284" s="1" t="str">
        <f>IFERROR(__xludf.DUMMYFUNCTION("GOOGLETRANSLATE(A6284 , ""auto"", ""ar"")"),"إنهم يفعلون ذلك من أجل الخير الخاص بك")</f>
        <v>إنهم يفعلون ذلك من أجل الخير الخاص بك</v>
      </c>
    </row>
    <row r="6285" ht="15.75" customHeight="1">
      <c r="A6285" s="12" t="s">
        <v>11989</v>
      </c>
      <c r="B6285" s="13" t="s">
        <v>11990</v>
      </c>
      <c r="C6285" s="14" t="s">
        <v>11991</v>
      </c>
      <c r="D6285" s="1" t="str">
        <f>IFERROR(__xludf.DUMMYFUNCTION("GOOGLETRANSLATE(A6285 , ""auto"", ""ar"")"),"لبلدي الخير الخاصة؟!")</f>
        <v>لبلدي الخير الخاصة؟!</v>
      </c>
    </row>
    <row r="6286" ht="15.75" customHeight="1">
      <c r="A6286" s="12" t="s">
        <v>11992</v>
      </c>
      <c r="B6286" s="13" t="s">
        <v>11993</v>
      </c>
      <c r="C6286" s="14" t="s">
        <v>11994</v>
      </c>
      <c r="D6286" s="1" t="str">
        <f>IFERROR(__xludf.DUMMYFUNCTION("GOOGLETRANSLATE(A6286 , ""auto"", ""ar"")"),"هذا كل شيء!")</f>
        <v>هذا كل شيء!</v>
      </c>
    </row>
    <row r="6287" ht="15.75" customHeight="1">
      <c r="A6287" s="12" t="s">
        <v>11995</v>
      </c>
      <c r="B6287" s="13" t="s">
        <v>11996</v>
      </c>
      <c r="C6287" s="14" t="s">
        <v>11997</v>
      </c>
      <c r="D6287" s="1" t="str">
        <f>IFERROR(__xludf.DUMMYFUNCTION("GOOGLETRANSLATE(A6287 , ""auto"", ""ar"")"),"لقد كنت تتحدث عني خلف ظهري")</f>
        <v>لقد كنت تتحدث عني خلف ظهري</v>
      </c>
    </row>
    <row r="6288" ht="15.75" customHeight="1">
      <c r="A6288" s="12" t="s">
        <v>11998</v>
      </c>
      <c r="B6288" s="13" t="s">
        <v>11999</v>
      </c>
      <c r="C6288" s="14" t="s">
        <v>12000</v>
      </c>
      <c r="D6288" s="1" t="str">
        <f>IFERROR(__xludf.DUMMYFUNCTION("GOOGLETRANSLATE(A6288 , ""auto"", ""ar"")"),"لقد قلبوك ضدي ، وأنا أعلم ذلك!")</f>
        <v>لقد قلبوك ضدي ، وأنا أعلم ذلك!</v>
      </c>
    </row>
    <row r="6289" ht="15.75" customHeight="1">
      <c r="A6289" s="12" t="s">
        <v>12001</v>
      </c>
      <c r="B6289" s="13" t="s">
        <v>12002</v>
      </c>
      <c r="C6289" s="14" t="s">
        <v>12003</v>
      </c>
      <c r="D6289" s="1" t="str">
        <f>IFERROR(__xludf.DUMMYFUNCTION("GOOGLETRANSLATE(A6289 , ""auto"", ""ar"")"),"هيا ، هيا ، أنت تعلم أنني لن أفعل ذلك أبدًا!")</f>
        <v>هيا ، هيا ، أنت تعلم أنني لن أفعل ذلك أبدًا!</v>
      </c>
    </row>
    <row r="6290" ht="15.75" customHeight="1">
      <c r="A6290" s="12" t="s">
        <v>12004</v>
      </c>
      <c r="B6290" s="13" t="s">
        <v>12005</v>
      </c>
      <c r="C6290" s="14" t="s">
        <v>12006</v>
      </c>
      <c r="D6290" s="1" t="str">
        <f>IFERROR(__xludf.DUMMYFUNCTION("GOOGLETRANSLATE(A6290 , ""auto"", ""ar"")"),"اخبرني عن يومك")</f>
        <v>اخبرني عن يومك</v>
      </c>
    </row>
    <row r="6291" ht="15.75" customHeight="1">
      <c r="A6291" s="12" t="s">
        <v>12007</v>
      </c>
      <c r="B6291" s="13" t="s">
        <v>12008</v>
      </c>
      <c r="C6291" s="14" t="s">
        <v>12009</v>
      </c>
      <c r="D6291" s="1" t="str">
        <f>IFERROR(__xludf.DUMMYFUNCTION("GOOGLETRANSLATE(A6291 , ""auto"", ""ar"")"),"ماذا اكلت؟")</f>
        <v>ماذا اكلت؟</v>
      </c>
    </row>
    <row r="6292" ht="15.75" customHeight="1">
      <c r="A6292" s="12" t="s">
        <v>12010</v>
      </c>
      <c r="B6292" s="13" t="s">
        <v>12011</v>
      </c>
      <c r="C6292" s="14" t="s">
        <v>12012</v>
      </c>
      <c r="D6292" s="1" t="str">
        <f>IFERROR(__xludf.DUMMYFUNCTION("GOOGLETRANSLATE(A6292 , ""auto"", ""ar"")"),"لقد كنت تتحدث إلى الممرضات")</f>
        <v>لقد كنت تتحدث إلى الممرضات</v>
      </c>
    </row>
    <row r="6293" ht="15.75" customHeight="1">
      <c r="A6293" s="12" t="s">
        <v>12013</v>
      </c>
      <c r="B6293" s="13" t="s">
        <v>12014</v>
      </c>
      <c r="C6293" s="14" t="s">
        <v>12015</v>
      </c>
      <c r="D6293" s="1" t="str">
        <f>IFERROR(__xludf.DUMMYFUNCTION("GOOGLETRANSLATE(A6293 , ""auto"", ""ar"")"),"لقد كانوا يحاولون حملني على تناول الطعام طوال اليوم")</f>
        <v>لقد كانوا يحاولون حملني على تناول الطعام طوال اليوم</v>
      </c>
    </row>
    <row r="6294" ht="15.75" customHeight="1">
      <c r="A6294" s="12" t="s">
        <v>12016</v>
      </c>
      <c r="B6294" s="13" t="s">
        <v>12017</v>
      </c>
      <c r="C6294" s="14" t="s">
        <v>12018</v>
      </c>
      <c r="D6294" s="1" t="str">
        <f>IFERROR(__xludf.DUMMYFUNCTION("GOOGLETRANSLATE(A6294 , ""auto"", ""ar"")"),"إلا أنني ذكي جدا بالنسبة لهم")</f>
        <v>إلا أنني ذكي جدا بالنسبة لهم</v>
      </c>
    </row>
    <row r="6295" ht="15.75" customHeight="1">
      <c r="A6295" s="12" t="s">
        <v>12019</v>
      </c>
      <c r="B6295" s="13" t="s">
        <v>12020</v>
      </c>
      <c r="C6295" s="14" t="s">
        <v>12021</v>
      </c>
      <c r="D6295" s="1" t="str">
        <f>IFERROR(__xludf.DUMMYFUNCTION("GOOGLETRANSLATE(A6295 , ""auto"", ""ar"")"),"أعلم أنهم يحاولون تسمم لي")</f>
        <v>أعلم أنهم يحاولون تسمم لي</v>
      </c>
    </row>
    <row r="6296" ht="15.75" customHeight="1">
      <c r="A6296" s="12" t="s">
        <v>12022</v>
      </c>
      <c r="B6296" s="13" t="s">
        <v>12023</v>
      </c>
      <c r="C6296" s="14" t="s">
        <v>12024</v>
      </c>
      <c r="D6296" s="1" t="str">
        <f>IFERROR(__xludf.DUMMYFUNCTION("GOOGLETRANSLATE(A6296 , ""auto"", ""ar"")"),"لذا فقد احتفظت بقليل من الحلويات هنا تحت وسادتي")</f>
        <v>لذا فقد احتفظت بقليل من الحلويات هنا تحت وسادتي</v>
      </c>
    </row>
    <row r="6297" ht="15.75" customHeight="1">
      <c r="A6297" s="12" t="s">
        <v>12025</v>
      </c>
      <c r="B6297" s="13" t="s">
        <v>12026</v>
      </c>
      <c r="C6297" s="14" t="s">
        <v>12027</v>
      </c>
      <c r="D6297" s="1" t="str">
        <f>IFERROR(__xludf.DUMMYFUNCTION("GOOGLETRANSLATE(A6297 , ""auto"", ""ar"")"),"بهذه الطريقة لن أتضور جوعًا أبدًا")</f>
        <v>بهذه الطريقة لن أتضور جوعًا أبدًا</v>
      </c>
    </row>
    <row r="6298" ht="15.75" customHeight="1">
      <c r="A6298" s="12" t="s">
        <v>12028</v>
      </c>
      <c r="B6298" s="13" t="s">
        <v>12029</v>
      </c>
      <c r="C6298" s="14" t="s">
        <v>12030</v>
      </c>
      <c r="D6298" s="1" t="str">
        <f>IFERROR(__xludf.DUMMYFUNCTION("GOOGLETRANSLATE(A6298 , ""auto"", ""ar"")"),"توقفوا عن الحديث عن هراء ، لن يفعلوا ذلك أبدًا")</f>
        <v>توقفوا عن الحديث عن هراء ، لن يفعلوا ذلك أبدًا</v>
      </c>
    </row>
    <row r="6299" ht="15.75" customHeight="1">
      <c r="A6299" s="12" t="s">
        <v>12031</v>
      </c>
      <c r="B6299" s="13" t="s">
        <v>12032</v>
      </c>
      <c r="C6299" s="14" t="s">
        <v>12033</v>
      </c>
      <c r="D6299" s="1" t="str">
        <f>IFERROR(__xludf.DUMMYFUNCTION("GOOGLETRANSLATE(A6299 , ""auto"", ""ar"")"),"إنه الربيع ، ماذا عن مخرج في الحديقة؟")</f>
        <v>إنه الربيع ، ماذا عن مخرج في الحديقة؟</v>
      </c>
    </row>
    <row r="6300" ht="15.75" customHeight="1">
      <c r="A6300" s="12" t="s">
        <v>12034</v>
      </c>
      <c r="B6300" s="13" t="s">
        <v>12035</v>
      </c>
      <c r="C6300" s="14" t="s">
        <v>12036</v>
      </c>
      <c r="D6300" s="1" t="str">
        <f>IFERROR(__xludf.DUMMYFUNCTION("GOOGLETRANSLATE(A6300 , ""auto"", ""ar"")"),"يمكننا ترتيب هذا لعطلة نهاية الأسبوع في مايو")</f>
        <v>يمكننا ترتيب هذا لعطلة نهاية الأسبوع في مايو</v>
      </c>
    </row>
    <row r="6301" ht="15.75" customHeight="1">
      <c r="A6301" s="12" t="s">
        <v>12037</v>
      </c>
      <c r="B6301" s="13" t="s">
        <v>12038</v>
      </c>
      <c r="C6301" s="14" t="s">
        <v>12039</v>
      </c>
      <c r="D6301" s="1" t="str">
        <f>IFERROR(__xludf.DUMMYFUNCTION("GOOGLETRANSLATE(A6301 , ""auto"", ""ar"")"),"سأطلب من مارسيل وجينين وليون إذا أرادوا المجيء")</f>
        <v>سأطلب من مارسيل وجينين وليون إذا أرادوا المجيء</v>
      </c>
    </row>
    <row r="6302" ht="15.75" customHeight="1">
      <c r="A6302" s="12" t="s">
        <v>12040</v>
      </c>
      <c r="B6302" s="13" t="s">
        <v>12041</v>
      </c>
      <c r="C6302" s="14" t="s">
        <v>12042</v>
      </c>
      <c r="D6302" s="1" t="str">
        <f>IFERROR(__xludf.DUMMYFUNCTION("GOOGLETRANSLATE(A6302 , ""auto"", ""ar"")"),"أنا لست صديقًا لـ Jeannine بعد الآن")</f>
        <v>أنا لست صديقًا لـ Jeannine بعد الآن</v>
      </c>
    </row>
    <row r="6303" ht="15.75" customHeight="1">
      <c r="A6303" s="12" t="s">
        <v>12043</v>
      </c>
      <c r="B6303" s="13" t="s">
        <v>12044</v>
      </c>
      <c r="C6303" s="14" t="s">
        <v>12045</v>
      </c>
      <c r="D6303" s="1" t="str">
        <f>IFERROR(__xludf.DUMMYFUNCTION("GOOGLETRANSLATE(A6303 , ""auto"", ""ar"")"),"إنها تستمر في سرقة الكلمات المتقاطعة")</f>
        <v>إنها تستمر في سرقة الكلمات المتقاطعة</v>
      </c>
    </row>
    <row r="6304" ht="15.75" customHeight="1">
      <c r="A6304" s="12" t="s">
        <v>12046</v>
      </c>
      <c r="B6304" s="13" t="s">
        <v>12047</v>
      </c>
      <c r="C6304" s="14" t="s">
        <v>12048</v>
      </c>
      <c r="D6304" s="1" t="str">
        <f>IFERROR(__xludf.DUMMYFUNCTION("GOOGLETRANSLATE(A6304 , ""auto"", ""ar"")"),"سيء للغاية ، سنفعل ذلك بدونهم!")</f>
        <v>سيء للغاية ، سنفعل ذلك بدونهم!</v>
      </c>
    </row>
    <row r="6305" ht="15.75" customHeight="1">
      <c r="A6305" s="12" t="s">
        <v>12049</v>
      </c>
      <c r="B6305" s="13" t="s">
        <v>12050</v>
      </c>
      <c r="C6305" s="14" t="s">
        <v>12051</v>
      </c>
      <c r="D6305" s="1" t="str">
        <f>IFERROR(__xludf.DUMMYFUNCTION("GOOGLETRANSLATE(A6305 , ""auto"", ""ar"")"),"أهلاً بك")</f>
        <v>أهلاً بك</v>
      </c>
    </row>
    <row r="6306" ht="15.75" customHeight="1">
      <c r="A6306" s="12" t="s">
        <v>8076</v>
      </c>
      <c r="B6306" s="13" t="s">
        <v>12052</v>
      </c>
      <c r="C6306" s="14" t="s">
        <v>12053</v>
      </c>
      <c r="D6306" s="1" t="str">
        <f>IFERROR(__xludf.DUMMYFUNCTION("GOOGLETRANSLATE(A6306 , ""auto"", ""ar"")"),"مساء الخير")</f>
        <v>مساء الخير</v>
      </c>
    </row>
    <row r="6307" ht="15.75" customHeight="1">
      <c r="A6307" s="12" t="s">
        <v>12054</v>
      </c>
      <c r="B6307" s="13" t="s">
        <v>12055</v>
      </c>
      <c r="C6307" s="14" t="s">
        <v>12056</v>
      </c>
      <c r="D6307" s="1" t="str">
        <f>IFERROR(__xludf.DUMMYFUNCTION("GOOGLETRANSLATE(A6307 , ""auto"", ""ar"")"),"جيد جدا شكرا وانت؟")</f>
        <v>جيد جدا شكرا وانت؟</v>
      </c>
    </row>
    <row r="6308" ht="15.75" customHeight="1">
      <c r="A6308" s="12" t="s">
        <v>12057</v>
      </c>
      <c r="B6308" s="13" t="s">
        <v>12058</v>
      </c>
      <c r="C6308" s="14" t="s">
        <v>12059</v>
      </c>
      <c r="D6308" s="1" t="str">
        <f>IFERROR(__xludf.DUMMYFUNCTION("GOOGLETRANSLATE(A6308 , ""auto"", ""ar"")"),"كيف تعتقد أنك ستستمر في مراجعة امتحان الرياضيات الخاصة بك؟")</f>
        <v>كيف تعتقد أنك ستستمر في مراجعة امتحان الرياضيات الخاصة بك؟</v>
      </c>
    </row>
    <row r="6309" ht="15.75" customHeight="1">
      <c r="A6309" s="12" t="s">
        <v>12060</v>
      </c>
      <c r="B6309" s="13" t="s">
        <v>12061</v>
      </c>
      <c r="C6309" s="14" t="s">
        <v>12062</v>
      </c>
      <c r="D6309" s="1" t="str">
        <f>IFERROR(__xludf.DUMMYFUNCTION("GOOGLETRANSLATE(A6309 , ""auto"", ""ar"")"),"أنا بخير شكرا جزيلا لك")</f>
        <v>أنا بخير شكرا جزيلا لك</v>
      </c>
    </row>
    <row r="6310" ht="15.75" customHeight="1">
      <c r="A6310" s="12" t="s">
        <v>12063</v>
      </c>
      <c r="B6310" s="13" t="s">
        <v>12064</v>
      </c>
      <c r="C6310" s="14" t="s">
        <v>12065</v>
      </c>
      <c r="D6310" s="1" t="str">
        <f>IFERROR(__xludf.DUMMYFUNCTION("GOOGLETRANSLATE(A6310 , ""auto"", ""ar"")"),"لست متأكدا ، في الواقع")</f>
        <v>لست متأكدا ، في الواقع</v>
      </c>
    </row>
    <row r="6311" ht="15.75" customHeight="1">
      <c r="A6311" s="12" t="s">
        <v>12066</v>
      </c>
      <c r="B6311" s="13" t="s">
        <v>12067</v>
      </c>
      <c r="C6311" s="14" t="s">
        <v>12068</v>
      </c>
      <c r="D6311" s="1" t="str">
        <f>IFERROR(__xludf.DUMMYFUNCTION("GOOGLETRANSLATE(A6311 , ""auto"", ""ar"")"),"أواجه مشكلة صغيرة في فهم المعادلات التفاضلية")</f>
        <v>أواجه مشكلة صغيرة في فهم المعادلات التفاضلية</v>
      </c>
    </row>
    <row r="6312" ht="15.75" customHeight="1">
      <c r="A6312" s="12" t="s">
        <v>9156</v>
      </c>
      <c r="B6312" s="13" t="s">
        <v>12069</v>
      </c>
      <c r="C6312" s="14" t="s">
        <v>12070</v>
      </c>
      <c r="D6312" s="1" t="str">
        <f>IFERROR(__xludf.DUMMYFUNCTION("GOOGLETRANSLATE(A6312 , ""auto"", ""ar"")"),"هل يمكنك مساعدتي من فضلك؟")</f>
        <v>هل يمكنك مساعدتي من فضلك؟</v>
      </c>
    </row>
    <row r="6313" ht="15.75" customHeight="1">
      <c r="A6313" s="12" t="s">
        <v>12071</v>
      </c>
      <c r="B6313" s="13" t="s">
        <v>12072</v>
      </c>
      <c r="C6313" s="14" t="s">
        <v>12073</v>
      </c>
      <c r="D6313" s="1" t="str">
        <f>IFERROR(__xludf.DUMMYFUNCTION("GOOGLETRANSLATE(A6313 , ""auto"", ""ar"")"),"ما الذي تكافحه بالضبط من أجل فهمه؟")</f>
        <v>ما الذي تكافحه بالضبط من أجل فهمه؟</v>
      </c>
    </row>
    <row r="6314" ht="15.75" customHeight="1">
      <c r="A6314" s="12" t="s">
        <v>12074</v>
      </c>
      <c r="B6314" s="13" t="s">
        <v>12075</v>
      </c>
      <c r="C6314" s="14" t="s">
        <v>12076</v>
      </c>
      <c r="D6314" s="1" t="str">
        <f>IFERROR(__xludf.DUMMYFUNCTION("GOOGLETRANSLATE(A6314 , ""auto"", ""ar"")"),"لسوء الحظ ، لم أفهم الجملة الأخيرة ، هل يمكنك إعادة صياغة ذلك؟")</f>
        <v>لسوء الحظ ، لم أفهم الجملة الأخيرة ، هل يمكنك إعادة صياغة ذلك؟</v>
      </c>
    </row>
    <row r="6315" ht="15.75" customHeight="1">
      <c r="A6315" s="12" t="s">
        <v>9422</v>
      </c>
      <c r="B6315" s="13" t="s">
        <v>12077</v>
      </c>
      <c r="C6315" s="14" t="s">
        <v>12078</v>
      </c>
      <c r="D6315" s="1" t="str">
        <f>IFERROR(__xludf.DUMMYFUNCTION("GOOGLETRANSLATE(A6315 , ""auto"", ""ar"")"),"بالطبع")</f>
        <v>بالطبع</v>
      </c>
    </row>
    <row r="6316" ht="15.75" customHeight="1">
      <c r="A6316" s="12" t="s">
        <v>12079</v>
      </c>
      <c r="B6316" s="13" t="s">
        <v>12080</v>
      </c>
      <c r="C6316" s="14" t="s">
        <v>12081</v>
      </c>
      <c r="D6316" s="1" t="str">
        <f>IFERROR(__xludf.DUMMYFUNCTION("GOOGLETRANSLATE(A6316 , ""auto"", ""ar"")"),"ما هي المفاهيم التي تحتاج إلى مساعدة؟")</f>
        <v>ما هي المفاهيم التي تحتاج إلى مساعدة؟</v>
      </c>
    </row>
    <row r="6317" ht="15.75" customHeight="1">
      <c r="A6317" s="12" t="s">
        <v>12082</v>
      </c>
      <c r="B6317" s="13" t="s">
        <v>12083</v>
      </c>
      <c r="C6317" s="14" t="s">
        <v>12084</v>
      </c>
      <c r="D6317" s="1" t="str">
        <f>IFERROR(__xludf.DUMMYFUNCTION("GOOGLETRANSLATE(A6317 , ""auto"", ""ar"")"),"أحتاج إلى شرح حول المشتقات")</f>
        <v>أحتاج إلى شرح حول المشتقات</v>
      </c>
    </row>
    <row r="6318" ht="15.75" customHeight="1">
      <c r="A6318" s="12" t="s">
        <v>12085</v>
      </c>
      <c r="B6318" s="13" t="s">
        <v>12086</v>
      </c>
      <c r="C6318" s="14" t="s">
        <v>12087</v>
      </c>
      <c r="D6318" s="1" t="str">
        <f>IFERROR(__xludf.DUMMYFUNCTION("GOOGLETRANSLATE(A6318 , ""auto"", ""ar"")"),"أواجه مشكلة في فهم المبدأ")</f>
        <v>أواجه مشكلة في فهم المبدأ</v>
      </c>
    </row>
    <row r="6319" ht="15.75" customHeight="1">
      <c r="A6319" s="12" t="s">
        <v>9497</v>
      </c>
      <c r="B6319" s="13" t="s">
        <v>12088</v>
      </c>
      <c r="C6319" s="14" t="s">
        <v>12089</v>
      </c>
      <c r="D6319" s="1" t="str">
        <f>IFERROR(__xludf.DUMMYFUNCTION("GOOGLETRANSLATE(A6319 , ""auto"", ""ar"")"),"لا مشكلة")</f>
        <v>لا مشكلة</v>
      </c>
    </row>
    <row r="6320" ht="15.75" customHeight="1">
      <c r="A6320" s="12" t="s">
        <v>12090</v>
      </c>
      <c r="B6320" s="13" t="s">
        <v>12091</v>
      </c>
      <c r="C6320" s="14" t="s">
        <v>12092</v>
      </c>
      <c r="D6320" s="1" t="str">
        <f>IFERROR(__xludf.DUMMYFUNCTION("GOOGLETRANSLATE(A6320 , ""auto"", ""ar"")"),"هل هو تمايز أو تكامل تحتاج إلى مساعدة في مبدأ؟")</f>
        <v>هل هو تمايز أو تكامل تحتاج إلى مساعدة في مبدأ؟</v>
      </c>
    </row>
    <row r="6321" ht="15.75" customHeight="1">
      <c r="A6321" s="12" t="s">
        <v>12093</v>
      </c>
      <c r="B6321" s="13" t="s">
        <v>12094</v>
      </c>
      <c r="C6321" s="14" t="s">
        <v>12095</v>
      </c>
      <c r="D6321" s="1" t="str">
        <f>IFERROR(__xludf.DUMMYFUNCTION("GOOGLETRANSLATE(A6321 , ""auto"", ""ar"")"),"هل من المقبول أن يغطي الامتحان جميع المفاهيم التي رأيتها في الفصل الدراسي الثاني؟")</f>
        <v>هل من المقبول أن يغطي الامتحان جميع المفاهيم التي رأيتها في الفصل الدراسي الثاني؟</v>
      </c>
    </row>
    <row r="6322" ht="15.75" customHeight="1">
      <c r="A6322" s="12" t="s">
        <v>12096</v>
      </c>
      <c r="B6322" s="13" t="s">
        <v>12097</v>
      </c>
      <c r="C6322" s="14" t="s">
        <v>12098</v>
      </c>
      <c r="D6322" s="1" t="str">
        <f>IFERROR(__xludf.DUMMYFUNCTION("GOOGLETRANSLATE(A6322 , ""auto"", ""ar"")"),"نعم ، سيتم تقييم كل شيء في الفصل 2 بالكامل")</f>
        <v>نعم ، سيتم تقييم كل شيء في الفصل 2 بالكامل</v>
      </c>
    </row>
    <row r="6323" ht="15.75" customHeight="1">
      <c r="A6323" s="12" t="s">
        <v>12099</v>
      </c>
      <c r="B6323" s="13" t="s">
        <v>12100</v>
      </c>
      <c r="C6323" s="14" t="s">
        <v>12101</v>
      </c>
      <c r="D6323" s="1" t="str">
        <f>IFERROR(__xludf.DUMMYFUNCTION("GOOGLETRANSLATE(A6323 , ""auto"", ""ar"")"),"هل هناك أي شيء آخر يمكنني المساعدة فيه اليوم؟")</f>
        <v>هل هناك أي شيء آخر يمكنني المساعدة فيه اليوم؟</v>
      </c>
    </row>
    <row r="6324" ht="15.75" customHeight="1">
      <c r="A6324" s="12" t="s">
        <v>12102</v>
      </c>
      <c r="B6324" s="13" t="s">
        <v>12103</v>
      </c>
      <c r="C6324" s="14" t="s">
        <v>12104</v>
      </c>
      <c r="D6324" s="1" t="str">
        <f>IFERROR(__xludf.DUMMYFUNCTION("GOOGLETRANSLATE(A6324 , ""auto"", ""ar"")"),"يبدأ الدرس التالي قريبًا حتى لا يكون لدي المزيد من الوقت للأسف")</f>
        <v>يبدأ الدرس التالي قريبًا حتى لا يكون لدي المزيد من الوقت للأسف</v>
      </c>
    </row>
    <row r="6325" ht="15.75" customHeight="1">
      <c r="A6325" s="12" t="s">
        <v>12105</v>
      </c>
      <c r="B6325" s="13" t="s">
        <v>12106</v>
      </c>
      <c r="C6325" s="14" t="s">
        <v>12107</v>
      </c>
      <c r="D6325" s="1" t="str">
        <f>IFERROR(__xludf.DUMMYFUNCTION("GOOGLETRANSLATE(A6325 , ""auto"", ""ar"")"),"لا مشكلة ، هذا كثير")</f>
        <v>لا مشكلة ، هذا كثير</v>
      </c>
    </row>
    <row r="6326" ht="15.75" customHeight="1">
      <c r="A6326" s="12" t="s">
        <v>12108</v>
      </c>
      <c r="B6326" s="13" t="s">
        <v>12109</v>
      </c>
      <c r="C6326" s="14" t="s">
        <v>12110</v>
      </c>
      <c r="D6326" s="1" t="str">
        <f>IFERROR(__xludf.DUMMYFUNCTION("GOOGLETRANSLATE(A6326 , ""auto"", ""ar"")"),"شكرا لك على وقتك")</f>
        <v>شكرا لك على وقتك</v>
      </c>
    </row>
    <row r="6327" ht="15.75" customHeight="1">
      <c r="A6327" s="12" t="s">
        <v>12111</v>
      </c>
      <c r="B6327" s="13" t="s">
        <v>12112</v>
      </c>
      <c r="C6327" s="14" t="s">
        <v>12113</v>
      </c>
      <c r="D6327" s="1" t="str">
        <f>IFERROR(__xludf.DUMMYFUNCTION("GOOGLETRANSLATE(A6327 , ""auto"", ""ar"")"),"لا مشكلة ، استمتع ببقية أمسيتك!")</f>
        <v>لا مشكلة ، استمتع ببقية أمسيتك!</v>
      </c>
    </row>
    <row r="6328" ht="15.75" customHeight="1">
      <c r="A6328" s="12" t="s">
        <v>12114</v>
      </c>
      <c r="B6328" s="13" t="s">
        <v>12115</v>
      </c>
      <c r="C6328" s="14" t="s">
        <v>12116</v>
      </c>
      <c r="D6328" s="1" t="str">
        <f>IFERROR(__xludf.DUMMYFUNCTION("GOOGLETRANSLATE(A6328 , ""auto"", ""ar"")"),"مهلا ، دعنا نذهب للسباحة")</f>
        <v>مهلا ، دعنا نذهب للسباحة</v>
      </c>
    </row>
    <row r="6329" ht="15.75" customHeight="1">
      <c r="A6329" s="12" t="s">
        <v>12117</v>
      </c>
      <c r="B6329" s="13" t="s">
        <v>5032</v>
      </c>
      <c r="C6329" s="14" t="s">
        <v>5033</v>
      </c>
      <c r="D6329" s="1" t="str">
        <f>IFERROR(__xludf.DUMMYFUNCTION("GOOGLETRANSLATE(A6329 , ""auto"", ""ar"")"),"الآن")</f>
        <v>الآن</v>
      </c>
    </row>
    <row r="6330" ht="15.75" customHeight="1">
      <c r="A6330" s="12" t="s">
        <v>12117</v>
      </c>
      <c r="B6330" s="13" t="s">
        <v>12118</v>
      </c>
      <c r="C6330" s="14" t="s">
        <v>12119</v>
      </c>
      <c r="D6330" s="1" t="str">
        <f>IFERROR(__xludf.DUMMYFUNCTION("GOOGLETRANSLATE(A6330 , ""auto"", ""ar"")"),"الآن")</f>
        <v>الآن</v>
      </c>
    </row>
    <row r="6331" ht="15.75" customHeight="1">
      <c r="A6331" s="12" t="s">
        <v>12120</v>
      </c>
      <c r="B6331" s="13" t="s">
        <v>12121</v>
      </c>
      <c r="C6331" s="14" t="s">
        <v>12122</v>
      </c>
      <c r="D6331" s="1" t="str">
        <f>IFERROR(__xludf.DUMMYFUNCTION("GOOGLETRANSLATE(A6331 , ""auto"", ""ar"")"),"أنا بخير هنا شكرا")</f>
        <v>أنا بخير هنا شكرا</v>
      </c>
    </row>
    <row r="6332" ht="15.75" customHeight="1">
      <c r="A6332" s="12" t="s">
        <v>12123</v>
      </c>
      <c r="B6332" s="13" t="s">
        <v>12124</v>
      </c>
      <c r="C6332" s="14" t="s">
        <v>12125</v>
      </c>
      <c r="D6332" s="1" t="str">
        <f>IFERROR(__xludf.DUMMYFUNCTION("GOOGLETRANSLATE(A6332 , ""auto"", ""ar"")"),"لكن يمكنك الحصول على مشروب إذا أردت")</f>
        <v>لكن يمكنك الحصول على مشروب إذا أردت</v>
      </c>
    </row>
    <row r="6333" ht="15.75" customHeight="1">
      <c r="A6333" s="12" t="s">
        <v>12126</v>
      </c>
      <c r="B6333" s="13" t="s">
        <v>12127</v>
      </c>
      <c r="C6333" s="14" t="s">
        <v>12128</v>
      </c>
      <c r="D6333" s="1" t="str">
        <f>IFERROR(__xludf.DUMMYFUNCTION("GOOGLETRANSLATE(A6333 , ""auto"", ""ar"")"),"حسنًا ، ولكن فقط إذا أسقطت كتابك")</f>
        <v>حسنًا ، ولكن فقط إذا أسقطت كتابك</v>
      </c>
    </row>
    <row r="6334" ht="15.75" customHeight="1">
      <c r="A6334" s="12" t="s">
        <v>9385</v>
      </c>
      <c r="B6334" s="13" t="s">
        <v>12129</v>
      </c>
      <c r="C6334" s="14" t="s">
        <v>12130</v>
      </c>
      <c r="D6334" s="1" t="str">
        <f>IFERROR(__xludf.DUMMYFUNCTION("GOOGLETRANSLATE(A6334 , ""auto"", ""ar"")"),"لماذا؟")</f>
        <v>لماذا؟</v>
      </c>
    </row>
    <row r="6335" ht="15.75" customHeight="1">
      <c r="A6335" s="12" t="s">
        <v>12131</v>
      </c>
      <c r="B6335" s="13" t="s">
        <v>12132</v>
      </c>
      <c r="C6335" s="14" t="s">
        <v>12133</v>
      </c>
      <c r="D6335" s="1" t="str">
        <f>IFERROR(__xludf.DUMMYFUNCTION("GOOGLETRANSLATE(A6335 , ""auto"", ""ar"")"),"ما الخطأ في القراءة؟")</f>
        <v>ما الخطأ في القراءة؟</v>
      </c>
    </row>
    <row r="6336" ht="15.75" customHeight="1">
      <c r="A6336" s="12" t="s">
        <v>12134</v>
      </c>
      <c r="B6336" s="13" t="s">
        <v>12135</v>
      </c>
      <c r="C6336" s="14" t="s">
        <v>12136</v>
      </c>
      <c r="D6336" s="1" t="str">
        <f>IFERROR(__xludf.DUMMYFUNCTION("GOOGLETRANSLATE(A6336 , ""auto"", ""ar"")"),"هل اضايقك؟")</f>
        <v>هل اضايقك؟</v>
      </c>
    </row>
    <row r="6337" ht="15.75" customHeight="1">
      <c r="A6337" s="12" t="s">
        <v>12134</v>
      </c>
      <c r="B6337" s="13" t="s">
        <v>12137</v>
      </c>
      <c r="C6337" s="14" t="s">
        <v>12138</v>
      </c>
      <c r="D6337" s="1" t="str">
        <f>IFERROR(__xludf.DUMMYFUNCTION("GOOGLETRANSLATE(A6337 , ""auto"", ""ar"")"),"هل اضايقك؟")</f>
        <v>هل اضايقك؟</v>
      </c>
    </row>
    <row r="6338" ht="15.75" customHeight="1">
      <c r="A6338" s="12" t="s">
        <v>12139</v>
      </c>
      <c r="B6338" s="13" t="s">
        <v>12140</v>
      </c>
      <c r="C6338" s="14" t="s">
        <v>12141</v>
      </c>
      <c r="D6338" s="1" t="str">
        <f>IFERROR(__xludf.DUMMYFUNCTION("GOOGLETRANSLATE(A6338 , ""auto"", ""ar"")"),"لا أستطيع أن أرى كيف ... لماذا لا تنضم إلي؟")</f>
        <v>لا أستطيع أن أرى كيف ... لماذا لا تنضم إلي؟</v>
      </c>
    </row>
    <row r="6339" ht="15.75" customHeight="1">
      <c r="A6339" s="12" t="s">
        <v>12142</v>
      </c>
      <c r="B6339" s="13" t="s">
        <v>12143</v>
      </c>
      <c r="C6339" s="14" t="s">
        <v>12144</v>
      </c>
      <c r="D6339" s="1" t="str">
        <f>IFERROR(__xludf.DUMMYFUNCTION("GOOGLETRANSLATE(A6339 , ""auto"", ""ar"")"),"انضم الي")</f>
        <v>انضم الي</v>
      </c>
    </row>
    <row r="6340" ht="15.75" customHeight="1">
      <c r="A6340" s="12" t="s">
        <v>12145</v>
      </c>
      <c r="B6340" s="13" t="s">
        <v>12146</v>
      </c>
      <c r="C6340" s="14" t="s">
        <v>12147</v>
      </c>
      <c r="D6340" s="1" t="str">
        <f>IFERROR(__xludf.DUMMYFUNCTION("GOOGLETRANSLATE(A6340 , ""auto"", ""ar"")"),"لا مشكلة!")</f>
        <v>لا مشكلة!</v>
      </c>
    </row>
    <row r="6341" ht="15.75" customHeight="1">
      <c r="A6341" s="12" t="s">
        <v>12148</v>
      </c>
      <c r="B6341" s="13" t="s">
        <v>12149</v>
      </c>
      <c r="C6341" s="14" t="s">
        <v>12150</v>
      </c>
      <c r="D6341" s="1" t="str">
        <f>IFERROR(__xludf.DUMMYFUNCTION("GOOGLETRANSLATE(A6341 , ""auto"", ""ar"")"),"أنت مجرد كسول للغاية مع هذا الطقس الرائع")</f>
        <v>أنت مجرد كسول للغاية مع هذا الطقس الرائع</v>
      </c>
    </row>
    <row r="6342" ht="15.75" customHeight="1">
      <c r="A6342" s="12" t="s">
        <v>12151</v>
      </c>
      <c r="B6342" s="13" t="s">
        <v>12152</v>
      </c>
      <c r="C6342" s="14" t="s">
        <v>12153</v>
      </c>
      <c r="D6342" s="1" t="str">
        <f>IFERROR(__xludf.DUMMYFUNCTION("GOOGLETRANSLATE(A6342 , ""auto"", ""ar"")"),"هيا بنا نذهب")</f>
        <v>هيا بنا نذهب</v>
      </c>
    </row>
    <row r="6343" ht="15.75" customHeight="1">
      <c r="A6343" s="12" t="s">
        <v>12154</v>
      </c>
      <c r="B6343" s="13" t="s">
        <v>12155</v>
      </c>
      <c r="C6343" s="14" t="s">
        <v>12156</v>
      </c>
      <c r="D6343" s="1" t="str">
        <f>IFERROR(__xludf.DUMMYFUNCTION("GOOGLETRANSLATE(A6343 , ""auto"", ""ar"")"),"لماذا لا يمكننا البقاء هنا قليلاً؟")</f>
        <v>لماذا لا يمكننا البقاء هنا قليلاً؟</v>
      </c>
    </row>
    <row r="6344" ht="15.75" customHeight="1">
      <c r="A6344" s="12" t="s">
        <v>12157</v>
      </c>
      <c r="B6344" s="13" t="s">
        <v>12158</v>
      </c>
      <c r="C6344" s="14" t="s">
        <v>12159</v>
      </c>
      <c r="D6344" s="1" t="str">
        <f>IFERROR(__xludf.DUMMYFUNCTION("GOOGLETRANSLATE(A6344 , ""auto"", ""ar"")"),"أنا أستفيد من أشعة الشمس هنا")</f>
        <v>أنا أستفيد من أشعة الشمس هنا</v>
      </c>
    </row>
    <row r="6345" ht="15.75" customHeight="1">
      <c r="A6345" s="12" t="s">
        <v>12160</v>
      </c>
      <c r="B6345" s="13" t="s">
        <v>12161</v>
      </c>
      <c r="C6345" s="14" t="s">
        <v>12162</v>
      </c>
      <c r="D6345" s="1" t="str">
        <f>IFERROR(__xludf.DUMMYFUNCTION("GOOGLETRANSLATE(A6345 , ""auto"", ""ar"")"),"يجب عليك أن تفعل الشيء نفسه")</f>
        <v>يجب عليك أن تفعل الشيء نفسه</v>
      </c>
    </row>
    <row r="6346" ht="15.75" customHeight="1">
      <c r="A6346" s="12" t="s">
        <v>12163</v>
      </c>
      <c r="B6346" s="13" t="s">
        <v>12164</v>
      </c>
      <c r="C6346" s="14" t="s">
        <v>12165</v>
      </c>
      <c r="D6346" s="1" t="str">
        <f>IFERROR(__xludf.DUMMYFUNCTION("GOOGLETRANSLATE(A6346 , ""auto"", ""ar"")"),"أوه ، لا ، سنقضي كل وقتنا في الشمس.")</f>
        <v>أوه ، لا ، سنقضي كل وقتنا في الشمس.</v>
      </c>
    </row>
    <row r="6347" ht="15.75" customHeight="1">
      <c r="A6347" s="12" t="s">
        <v>12166</v>
      </c>
      <c r="B6347" s="13" t="s">
        <v>12167</v>
      </c>
      <c r="C6347" s="14" t="s">
        <v>12168</v>
      </c>
      <c r="D6347" s="1" t="str">
        <f>IFERROR(__xludf.DUMMYFUNCTION("GOOGLETRANSLATE(A6347 , ""auto"", ""ar"")"),"نعم بالتأكيد!")</f>
        <v>نعم بالتأكيد!</v>
      </c>
    </row>
    <row r="6348" ht="15.75" customHeight="1">
      <c r="A6348" s="12" t="s">
        <v>12169</v>
      </c>
      <c r="B6348" s="13" t="s">
        <v>12170</v>
      </c>
      <c r="C6348" s="14" t="s">
        <v>12171</v>
      </c>
      <c r="D6348" s="1" t="str">
        <f>IFERROR(__xludf.DUMMYFUNCTION("GOOGLETRANSLATE(A6348 , ""auto"", ""ar"")"),"أفضل الخروج والاستمتاع بالمياه والانتعاش")</f>
        <v>أفضل الخروج والاستمتاع بالمياه والانتعاش</v>
      </c>
    </row>
    <row r="6349" ht="15.75" customHeight="1">
      <c r="A6349" s="12" t="s">
        <v>12172</v>
      </c>
      <c r="B6349" s="13" t="s">
        <v>12173</v>
      </c>
      <c r="C6349" s="14" t="s">
        <v>12174</v>
      </c>
      <c r="D6349" s="1" t="str">
        <f>IFERROR(__xludf.DUMMYFUNCTION("GOOGLETRANSLATE(A6349 , ""auto"", ""ar"")"),"تعال معي!")</f>
        <v>تعال معي!</v>
      </c>
    </row>
    <row r="6350" ht="15.75" customHeight="1">
      <c r="A6350" s="12" t="s">
        <v>12175</v>
      </c>
      <c r="B6350" s="13" t="s">
        <v>12176</v>
      </c>
      <c r="C6350" s="14" t="s">
        <v>12177</v>
      </c>
      <c r="D6350" s="1" t="str">
        <f>IFERROR(__xludf.DUMMYFUNCTION("GOOGLETRANSLATE(A6350 , ""auto"", ""ar"")"),"سوف تفعل ذلك جيدًا ، سترى")</f>
        <v>سوف تفعل ذلك جيدًا ، سترى</v>
      </c>
    </row>
    <row r="6351" ht="15.75" customHeight="1">
      <c r="A6351" s="12" t="s">
        <v>12178</v>
      </c>
      <c r="B6351" s="13" t="s">
        <v>12179</v>
      </c>
      <c r="C6351" s="14" t="s">
        <v>12180</v>
      </c>
      <c r="D6351" s="1" t="str">
        <f>IFERROR(__xludf.DUMMYFUNCTION("GOOGLETRANSLATE(A6351 , ""auto"", ""ar"")"),"بالإضافة إلى أن لدي فريسبي!")</f>
        <v>بالإضافة إلى أن لدي فريسبي!</v>
      </c>
    </row>
    <row r="6352" ht="15.75" customHeight="1">
      <c r="A6352" s="12" t="s">
        <v>12181</v>
      </c>
      <c r="B6352" s="13" t="s">
        <v>12182</v>
      </c>
      <c r="C6352" s="14" t="s">
        <v>12183</v>
      </c>
      <c r="D6352" s="1" t="str">
        <f>IFERROR(__xludf.DUMMYFUNCTION("GOOGLETRANSLATE(A6352 , ""auto"", ""ar"")"),"سيكون ممتعا!")</f>
        <v>سيكون ممتعا!</v>
      </c>
    </row>
    <row r="6353" ht="15.75" customHeight="1">
      <c r="A6353" s="12" t="s">
        <v>12181</v>
      </c>
      <c r="B6353" s="13" t="s">
        <v>12184</v>
      </c>
      <c r="C6353" s="14" t="s">
        <v>12185</v>
      </c>
      <c r="D6353" s="1" t="str">
        <f>IFERROR(__xludf.DUMMYFUNCTION("GOOGLETRANSLATE(A6353 , ""auto"", ""ar"")"),"سيكون ممتعا!")</f>
        <v>سيكون ممتعا!</v>
      </c>
    </row>
    <row r="6354" ht="15.75" customHeight="1">
      <c r="A6354" s="12" t="s">
        <v>12186</v>
      </c>
      <c r="B6354" s="13" t="s">
        <v>12187</v>
      </c>
      <c r="C6354" s="14" t="s">
        <v>12188</v>
      </c>
      <c r="D6354" s="1" t="str">
        <f>IFERROR(__xludf.DUMMYFUNCTION("GOOGLETRANSLATE(A6354 , ""auto"", ""ar"")"),"لكننا بحاجة إلى المزيد من الناس للعب فريسبي المناسب")</f>
        <v>لكننا بحاجة إلى المزيد من الناس للعب فريسبي المناسب</v>
      </c>
    </row>
    <row r="6355" ht="15.75" customHeight="1">
      <c r="A6355" s="12" t="s">
        <v>12189</v>
      </c>
      <c r="B6355" s="13" t="s">
        <v>12190</v>
      </c>
      <c r="C6355" s="14" t="s">
        <v>12191</v>
      </c>
      <c r="D6355" s="1" t="str">
        <f>IFERROR(__xludf.DUMMYFUNCTION("GOOGLETRANSLATE(A6355 , ""auto"", ""ar"")"),"وإلا فإن الأمر يشبه رمي صفيحة ذهابًا وإيابًا")</f>
        <v>وإلا فإن الأمر يشبه رمي صفيحة ذهابًا وإيابًا</v>
      </c>
    </row>
    <row r="6356" ht="15.75" customHeight="1">
      <c r="A6356" s="12" t="s">
        <v>12192</v>
      </c>
      <c r="B6356" s="13" t="s">
        <v>12193</v>
      </c>
      <c r="C6356" s="14" t="s">
        <v>12194</v>
      </c>
      <c r="D6356" s="1" t="str">
        <f>IFERROR(__xludf.DUMMYFUNCTION("GOOGLETRANSLATE(A6356 , ""auto"", ""ar"")"),"هاها")</f>
        <v>هاها</v>
      </c>
    </row>
    <row r="6357" ht="15.75" customHeight="1">
      <c r="A6357" s="12" t="s">
        <v>12195</v>
      </c>
      <c r="B6357" s="13" t="s">
        <v>12196</v>
      </c>
      <c r="C6357" s="14" t="s">
        <v>12197</v>
      </c>
      <c r="D6357" s="1" t="str">
        <f>IFERROR(__xludf.DUMMYFUNCTION("GOOGLETRANSLATE(A6357 , ""auto"", ""ar"")"),"أرني كيف تفعل ذلك")</f>
        <v>أرني كيف تفعل ذلك</v>
      </c>
    </row>
    <row r="6358" ht="15.75" customHeight="1">
      <c r="A6358" s="12" t="s">
        <v>12198</v>
      </c>
      <c r="B6358" s="13" t="s">
        <v>12199</v>
      </c>
      <c r="C6358" s="14" t="s">
        <v>12200</v>
      </c>
      <c r="D6358" s="1" t="str">
        <f>IFERROR(__xludf.DUMMYFUNCTION("GOOGLETRANSLATE(A6358 , ""auto"", ""ar"")"),"لا أريدك أن تخجل من نفسك الآن!")</f>
        <v>لا أريدك أن تخجل من نفسك الآن!</v>
      </c>
    </row>
    <row r="6359" ht="15.75" customHeight="1">
      <c r="A6359" s="12" t="s">
        <v>12201</v>
      </c>
      <c r="B6359" s="13" t="s">
        <v>12202</v>
      </c>
      <c r="C6359" s="14" t="s">
        <v>12203</v>
      </c>
      <c r="D6359" s="1" t="str">
        <f>IFERROR(__xludf.DUMMYFUNCTION("GOOGLETRANSLATE(A6359 , ""auto"", ""ar"")"),"لماذا سأخجل؟")</f>
        <v>لماذا سأخجل؟</v>
      </c>
    </row>
    <row r="6360" ht="15.75" customHeight="1">
      <c r="A6360" s="12" t="s">
        <v>12204</v>
      </c>
      <c r="B6360" s="13" t="s">
        <v>12205</v>
      </c>
      <c r="C6360" s="14" t="s">
        <v>12206</v>
      </c>
      <c r="D6360" s="1" t="str">
        <f>IFERROR(__xludf.DUMMYFUNCTION("GOOGLETRANSLATE(A6360 , ""auto"", ""ar"")"),"أعلم أنني جيد جدًا")</f>
        <v>أعلم أنني جيد جدًا</v>
      </c>
    </row>
    <row r="6361" ht="15.75" customHeight="1">
      <c r="A6361" s="12" t="s">
        <v>12207</v>
      </c>
      <c r="B6361" s="13" t="s">
        <v>12208</v>
      </c>
      <c r="C6361" s="14" t="s">
        <v>12209</v>
      </c>
      <c r="D6361" s="1" t="str">
        <f>IFERROR(__xludf.DUMMYFUNCTION("GOOGLETRANSLATE(A6361 , ""auto"", ""ar"")"),"لست بحاجة لإثبات ذلك!")</f>
        <v>لست بحاجة لإثبات ذلك!</v>
      </c>
    </row>
    <row r="6362" ht="15.75" customHeight="1">
      <c r="A6362" s="12" t="s">
        <v>12210</v>
      </c>
      <c r="B6362" s="13" t="s">
        <v>12211</v>
      </c>
      <c r="C6362" s="14" t="s">
        <v>12212</v>
      </c>
      <c r="D6362" s="1" t="str">
        <f>IFERROR(__xludf.DUMMYFUNCTION("GOOGLETRANSLATE(A6362 , ""auto"", ""ar"")"),"أحضر لي فريقًا من الناس وسألعب")</f>
        <v>أحضر لي فريقًا من الناس وسألعب</v>
      </c>
    </row>
    <row r="6363" ht="15.75" customHeight="1">
      <c r="A6363" s="12" t="s">
        <v>12213</v>
      </c>
      <c r="B6363" s="13" t="s">
        <v>12214</v>
      </c>
      <c r="C6363" s="14" t="s">
        <v>12215</v>
      </c>
      <c r="D6363" s="1" t="str">
        <f>IFERROR(__xludf.DUMMYFUNCTION("GOOGLETRANSLATE(A6363 , ""auto"", ""ar"")"),"وكوكتيل")</f>
        <v>وكوكتيل</v>
      </c>
    </row>
    <row r="6364" ht="15.75" customHeight="1">
      <c r="A6364" s="12" t="s">
        <v>9399</v>
      </c>
      <c r="B6364" s="13" t="s">
        <v>7522</v>
      </c>
      <c r="C6364" s="14" t="s">
        <v>8092</v>
      </c>
      <c r="D6364" s="1" t="str">
        <f>IFERROR(__xludf.DUMMYFUNCTION("GOOGLETRANSLATE(A6364 , ""auto"", ""ar"")"),"لو سمحت")</f>
        <v>لو سمحت</v>
      </c>
    </row>
    <row r="6365" ht="15.75" customHeight="1">
      <c r="A6365" s="12" t="s">
        <v>12216</v>
      </c>
      <c r="B6365" s="13" t="s">
        <v>12217</v>
      </c>
      <c r="C6365" s="14" t="s">
        <v>12218</v>
      </c>
      <c r="D6365" s="1" t="str">
        <f>IFERROR(__xludf.DUMMYFUNCTION("GOOGLETRANSLATE(A6365 , ""auto"", ""ar"")"),"لا أعتقد أنك ستشكله")</f>
        <v>لا أعتقد أنك ستشكله</v>
      </c>
    </row>
    <row r="6366" ht="15.75" customHeight="1">
      <c r="A6366" s="12" t="s">
        <v>12219</v>
      </c>
      <c r="B6366" s="13" t="s">
        <v>12220</v>
      </c>
      <c r="C6366" s="14" t="s">
        <v>12221</v>
      </c>
      <c r="D6366" s="1" t="str">
        <f>IFERROR(__xludf.DUMMYFUNCTION("GOOGLETRANSLATE(A6366 , ""auto"", ""ar"")"),"لذا ، لا تتحرك جزيرة لونغ ، وسأبحث عن ساشا ودانيال ، لا تتحرك!")</f>
        <v>لذا ، لا تتحرك جزيرة لونغ ، وسأبحث عن ساشا ودانيال ، لا تتحرك!</v>
      </c>
    </row>
    <row r="6367" ht="15.75" customHeight="1">
      <c r="A6367" s="12" t="s">
        <v>12222</v>
      </c>
      <c r="B6367" s="13" t="s">
        <v>12223</v>
      </c>
      <c r="C6367" s="14" t="s">
        <v>12224</v>
      </c>
      <c r="D6367" s="1" t="str">
        <f>IFERROR(__xludf.DUMMYFUNCTION("GOOGLETRANSLATE(A6367 , ""auto"", ""ar"")"),"مرة واحدة فقط انتهيت من مشروبتي!")</f>
        <v>مرة واحدة فقط انتهيت من مشروبتي!</v>
      </c>
    </row>
    <row r="6368" ht="15.75" customHeight="1">
      <c r="A6368" s="12" t="s">
        <v>12225</v>
      </c>
      <c r="B6368" s="13" t="s">
        <v>12226</v>
      </c>
      <c r="C6368" s="14" t="s">
        <v>12227</v>
      </c>
      <c r="D6368" s="1" t="str">
        <f>IFERROR(__xludf.DUMMYFUNCTION("GOOGLETRANSLATE(A6368 , ""auto"", ""ar"")"),"أنا دائما ألعب بشكل أفضل بعد القليل من الشراب!")</f>
        <v>أنا دائما ألعب بشكل أفضل بعد القليل من الشراب!</v>
      </c>
    </row>
    <row r="6369" ht="15.75" customHeight="1">
      <c r="A6369" s="12" t="s">
        <v>12228</v>
      </c>
      <c r="B6369" s="13" t="s">
        <v>12229</v>
      </c>
      <c r="C6369" s="14" t="s">
        <v>12230</v>
      </c>
      <c r="D6369" s="1" t="str">
        <f>IFERROR(__xludf.DUMMYFUNCTION("GOOGLETRANSLATE(A6369 , ""auto"", ""ar"")"),"ليس من السابق لأوانه كوكتيل أليس كذلك؟")</f>
        <v>ليس من السابق لأوانه كوكتيل أليس كذلك؟</v>
      </c>
    </row>
    <row r="6370" ht="15.75" customHeight="1">
      <c r="A6370" s="12" t="s">
        <v>12231</v>
      </c>
      <c r="B6370" s="13" t="s">
        <v>12232</v>
      </c>
      <c r="C6370" s="14" t="s">
        <v>12233</v>
      </c>
      <c r="D6370" s="1" t="str">
        <f>IFERROR(__xludf.DUMMYFUNCTION("GOOGLETRANSLATE(A6370 , ""auto"", ""ar"")"),"ذلك يعتمد على العميل")</f>
        <v>ذلك يعتمد على العميل</v>
      </c>
    </row>
    <row r="6371" ht="15.75" customHeight="1">
      <c r="A6371" s="12" t="s">
        <v>12234</v>
      </c>
      <c r="B6371" s="13" t="s">
        <v>12235</v>
      </c>
      <c r="C6371" s="14" t="s">
        <v>12236</v>
      </c>
      <c r="D6371" s="1" t="str">
        <f>IFERROR(__xludf.DUMMYFUNCTION("GOOGLETRANSLATE(A6371 , ""auto"", ""ar"")"),"إذا كنت تريد واحدة ، سأفعل ذلك.")</f>
        <v>إذا كنت تريد واحدة ، سأفعل ذلك.</v>
      </c>
    </row>
    <row r="6372" ht="15.75" customHeight="1">
      <c r="A6372" s="12" t="s">
        <v>12237</v>
      </c>
      <c r="B6372" s="13" t="s">
        <v>12238</v>
      </c>
      <c r="C6372" s="14" t="s">
        <v>12239</v>
      </c>
      <c r="D6372" s="1" t="str">
        <f>IFERROR(__xludf.DUMMYFUNCTION("GOOGLETRANSLATE(A6372 , ""auto"", ""ar"")"),"خلاف ذلك ، أنا لا.")</f>
        <v>خلاف ذلك ، أنا لا.</v>
      </c>
    </row>
    <row r="6373" ht="15.75" customHeight="1">
      <c r="A6373" s="12" t="s">
        <v>12240</v>
      </c>
      <c r="B6373" s="13" t="s">
        <v>12241</v>
      </c>
      <c r="C6373" s="14" t="s">
        <v>12242</v>
      </c>
      <c r="D6373" s="1" t="str">
        <f>IFERROR(__xludf.DUMMYFUNCTION("GOOGLETRANSLATE(A6373 , ""auto"", ""ar"")"),"الأمر متروك لك لتقرير ما هو الأفضل لك")</f>
        <v>الأمر متروك لك لتقرير ما هو الأفضل لك</v>
      </c>
    </row>
    <row r="6374" ht="15.75" customHeight="1">
      <c r="A6374" s="12" t="s">
        <v>12243</v>
      </c>
      <c r="B6374" s="13" t="s">
        <v>12244</v>
      </c>
      <c r="C6374" s="14" t="s">
        <v>12245</v>
      </c>
      <c r="D6374" s="1" t="str">
        <f>IFERROR(__xludf.DUMMYFUNCTION("GOOGLETRANSLATE(A6374 , ""auto"", ""ar"")"),"إلى حد ما")</f>
        <v>إلى حد ما</v>
      </c>
    </row>
    <row r="6375" ht="15.75" customHeight="1">
      <c r="A6375" s="12" t="s">
        <v>12246</v>
      </c>
      <c r="B6375" s="13" t="s">
        <v>12247</v>
      </c>
      <c r="C6375" s="14" t="s">
        <v>12248</v>
      </c>
      <c r="D6375" s="1" t="str">
        <f>IFERROR(__xludf.DUMMYFUNCTION("GOOGLETRANSLATE(A6375 , ""auto"", ""ar"")"),"حسنا")</f>
        <v>حسنا</v>
      </c>
    </row>
    <row r="6376" ht="15.75" customHeight="1">
      <c r="A6376" s="12" t="s">
        <v>12249</v>
      </c>
      <c r="B6376" s="13" t="s">
        <v>12250</v>
      </c>
      <c r="C6376" s="14" t="s">
        <v>12251</v>
      </c>
      <c r="D6376" s="1" t="str">
        <f>IFERROR(__xludf.DUMMYFUNCTION("GOOGLETRANSLATE(A6376 , ""auto"", ""ar"")"),"حسنًا ، يمكن أن أحصل على واحدة")</f>
        <v>حسنًا ، يمكن أن أحصل على واحدة</v>
      </c>
    </row>
    <row r="6377" ht="15.75" customHeight="1">
      <c r="A6377" s="12" t="s">
        <v>12252</v>
      </c>
      <c r="B6377" s="13" t="s">
        <v>12253</v>
      </c>
      <c r="C6377" s="14" t="s">
        <v>12254</v>
      </c>
      <c r="D6377" s="1" t="str">
        <f>IFERROR(__xludf.DUMMYFUNCTION("GOOGLETRANSLATE(A6377 , ""auto"", ""ar"")"),"هل لديك قائمة؟")</f>
        <v>هل لديك قائمة؟</v>
      </c>
    </row>
    <row r="6378" ht="15.75" customHeight="1">
      <c r="A6378" s="12" t="s">
        <v>12255</v>
      </c>
      <c r="B6378" s="13" t="s">
        <v>12256</v>
      </c>
      <c r="C6378" s="14" t="s">
        <v>12257</v>
      </c>
      <c r="D6378" s="1" t="str">
        <f>IFERROR(__xludf.DUMMYFUNCTION("GOOGLETRANSLATE(A6378 , ""auto"", ""ar"")"),"هل هناك أي عروض خاصة؟")</f>
        <v>هل هناك أي عروض خاصة؟</v>
      </c>
    </row>
    <row r="6379" ht="15.75" customHeight="1">
      <c r="A6379" s="12" t="s">
        <v>12258</v>
      </c>
      <c r="B6379" s="13" t="s">
        <v>12259</v>
      </c>
      <c r="C6379" s="14" t="s">
        <v>12260</v>
      </c>
      <c r="D6379" s="1" t="str">
        <f>IFERROR(__xludf.DUMMYFUNCTION("GOOGLETRANSLATE(A6379 , ""auto"", ""ar"")"),"هل تريد عصير البرتقال؟")</f>
        <v>هل تريد عصير البرتقال؟</v>
      </c>
    </row>
    <row r="6380" ht="15.75" customHeight="1">
      <c r="A6380" s="12" t="s">
        <v>12261</v>
      </c>
      <c r="B6380" s="13" t="s">
        <v>12262</v>
      </c>
      <c r="C6380" s="14" t="s">
        <v>12263</v>
      </c>
      <c r="D6380" s="1" t="str">
        <f>IFERROR(__xludf.DUMMYFUNCTION("GOOGLETRANSLATE(A6380 , ""auto"", ""ar"")"),"لدينا بعض اللوحات الخاصة")</f>
        <v>لدينا بعض اللوحات الخاصة</v>
      </c>
    </row>
    <row r="6381" ht="15.75" customHeight="1">
      <c r="A6381" s="12" t="s">
        <v>12264</v>
      </c>
      <c r="B6381" s="13" t="s">
        <v>12265</v>
      </c>
      <c r="C6381" s="14" t="s">
        <v>12266</v>
      </c>
      <c r="D6381" s="1" t="str">
        <f>IFERROR(__xludf.DUMMYFUNCTION("GOOGLETRANSLATE(A6381 , ""auto"", ""ar"")"),"إنه جيد جدًا مع Mojito")</f>
        <v>إنه جيد جدًا مع Mojito</v>
      </c>
    </row>
    <row r="6382" ht="15.75" customHeight="1">
      <c r="A6382" s="12" t="s">
        <v>12267</v>
      </c>
      <c r="B6382" s="13" t="s">
        <v>12268</v>
      </c>
      <c r="C6382" s="14" t="s">
        <v>12269</v>
      </c>
      <c r="D6382" s="1" t="str">
        <f>IFERROR(__xludf.DUMMYFUNCTION("GOOGLETRANSLATE(A6382 , ""auto"", ""ar"")"),"أنا لست جائعًا بالفعل")</f>
        <v>أنا لست جائعًا بالفعل</v>
      </c>
    </row>
    <row r="6383" ht="15.75" customHeight="1">
      <c r="A6383" s="12" t="s">
        <v>12267</v>
      </c>
      <c r="B6383" s="13" t="s">
        <v>12270</v>
      </c>
      <c r="C6383" s="14" t="s">
        <v>12271</v>
      </c>
      <c r="D6383" s="1" t="str">
        <f>IFERROR(__xludf.DUMMYFUNCTION("GOOGLETRANSLATE(A6383 , ""auto"", ""ar"")"),"أنا لست جائعًا بالفعل")</f>
        <v>أنا لست جائعًا بالفعل</v>
      </c>
    </row>
    <row r="6384" ht="15.75" customHeight="1">
      <c r="A6384" s="12" t="s">
        <v>12272</v>
      </c>
      <c r="B6384" s="13" t="s">
        <v>12273</v>
      </c>
      <c r="C6384" s="14" t="s">
        <v>12274</v>
      </c>
      <c r="D6384" s="1" t="str">
        <f>IFERROR(__xludf.DUMMYFUNCTION("GOOGLETRANSLATE(A6384 , ""auto"", ""ar"")"),"ولكن ماذا تقصد بقطعة منه؟")</f>
        <v>ولكن ماذا تقصد بقطعة منه؟</v>
      </c>
    </row>
    <row r="6385" ht="15.75" customHeight="1">
      <c r="A6385" s="12" t="s">
        <v>12275</v>
      </c>
      <c r="B6385" s="13" t="s">
        <v>12276</v>
      </c>
      <c r="C6385" s="14" t="s">
        <v>12277</v>
      </c>
      <c r="D6385" s="1" t="str">
        <f>IFERROR(__xludf.DUMMYFUNCTION("GOOGLETRANSLATE(A6385 , ""auto"", ""ar"")"),"إنها السبورة")</f>
        <v>إنها السبورة</v>
      </c>
    </row>
    <row r="6386" ht="15.75" customHeight="1">
      <c r="A6386" s="12" t="s">
        <v>12278</v>
      </c>
      <c r="B6386" s="13" t="s">
        <v>12279</v>
      </c>
      <c r="C6386" s="14" t="s">
        <v>12280</v>
      </c>
      <c r="D6386" s="1" t="str">
        <f>IFERROR(__xludf.DUMMYFUNCTION("GOOGLETRANSLATE(A6386 , ""auto"", ""ar"")"),"حسنًا ، أعتقد أنني أفهم نوعًا ما")</f>
        <v>حسنًا ، أعتقد أنني أفهم نوعًا ما</v>
      </c>
    </row>
    <row r="6387" ht="15.75" customHeight="1">
      <c r="A6387" s="12" t="s">
        <v>12281</v>
      </c>
      <c r="B6387" s="13" t="s">
        <v>12282</v>
      </c>
      <c r="C6387" s="14" t="s">
        <v>12283</v>
      </c>
      <c r="D6387" s="1" t="str">
        <f>IFERROR(__xludf.DUMMYFUNCTION("GOOGLETRANSLATE(A6387 , ""auto"", ""ar"")"),"لكن لا شكرا ، مجرد شاي لطيف")</f>
        <v>لكن لا شكرا ، مجرد شاي لطيف</v>
      </c>
    </row>
    <row r="6388" ht="15.75" customHeight="1">
      <c r="A6388" s="12" t="s">
        <v>12284</v>
      </c>
      <c r="B6388" s="13" t="s">
        <v>12285</v>
      </c>
      <c r="C6388" s="14" t="s">
        <v>12286</v>
      </c>
      <c r="D6388" s="1" t="str">
        <f>IFERROR(__xludf.DUMMYFUNCTION("GOOGLETRANSLATE(A6388 , ""auto"", ""ar"")"),"أي شيء بالماء الساخن ، على الرغم من أنني لست من محبي النعناع.")</f>
        <v>أي شيء بالماء الساخن ، على الرغم من أنني لست من محبي النعناع.</v>
      </c>
    </row>
    <row r="6389" ht="15.75" customHeight="1">
      <c r="A6389" s="12" t="s">
        <v>12287</v>
      </c>
      <c r="B6389" s="13" t="s">
        <v>12288</v>
      </c>
      <c r="C6389" s="14" t="s">
        <v>12289</v>
      </c>
      <c r="D6389" s="1" t="str">
        <f>IFERROR(__xludf.DUMMYFUNCTION("GOOGLETRANSLATE(A6389 , ""auto"", ""ar"")"),"في كوب جميل مع قش إذا كان لديك واحد!")</f>
        <v>في كوب جميل مع قش إذا كان لديك واحد!</v>
      </c>
    </row>
    <row r="6390" ht="15.75" customHeight="1">
      <c r="A6390" s="12" t="s">
        <v>12290</v>
      </c>
      <c r="B6390" s="13" t="s">
        <v>12291</v>
      </c>
      <c r="C6390" s="14" t="s">
        <v>12292</v>
      </c>
      <c r="D6390" s="1" t="str">
        <f>IFERROR(__xludf.DUMMYFUNCTION("GOOGLETRANSLATE(A6390 , ""auto"", ""ar"")"),"لا نعناع؟")</f>
        <v>لا نعناع؟</v>
      </c>
    </row>
    <row r="6391" ht="15.75" customHeight="1">
      <c r="A6391" s="12" t="s">
        <v>12293</v>
      </c>
      <c r="B6391" s="13" t="s">
        <v>12294</v>
      </c>
      <c r="C6391" s="14" t="s">
        <v>12295</v>
      </c>
      <c r="D6391" s="1" t="str">
        <f>IFERROR(__xludf.DUMMYFUNCTION("GOOGLETRANSLATE(A6391 , ""auto"", ""ar"")"),"هل تريد لكمة؟")</f>
        <v>هل تريد لكمة؟</v>
      </c>
    </row>
    <row r="6392" ht="15.75" customHeight="1">
      <c r="A6392" s="12" t="s">
        <v>12296</v>
      </c>
      <c r="B6392" s="13" t="s">
        <v>12297</v>
      </c>
      <c r="C6392" s="14" t="s">
        <v>12298</v>
      </c>
      <c r="D6392" s="1" t="str">
        <f>IFERROR(__xludf.DUMMYFUNCTION("GOOGLETRANSLATE(A6392 , ""auto"", ""ar"")"),"الوصفة مصنوعة من عصير البرتقال والغرنادين")</f>
        <v>الوصفة مصنوعة من عصير البرتقال والغرنادين</v>
      </c>
    </row>
    <row r="6393" ht="15.75" customHeight="1">
      <c r="A6393" s="12" t="s">
        <v>12299</v>
      </c>
      <c r="B6393" s="13" t="s">
        <v>12300</v>
      </c>
      <c r="C6393" s="14" t="s">
        <v>12301</v>
      </c>
      <c r="D6393" s="1" t="str">
        <f>IFERROR(__xludf.DUMMYFUNCTION("GOOGLETRANSLATE(A6393 , ""auto"", ""ar"")"),"آه لست متأكدًا من أنني أعرف ما هو باولو ، ولكن لماذا لا!")</f>
        <v>آه لست متأكدًا من أنني أعرف ما هو باولو ، ولكن لماذا لا!</v>
      </c>
    </row>
    <row r="6394" ht="15.75" customHeight="1">
      <c r="A6394" s="12" t="s">
        <v>12302</v>
      </c>
      <c r="B6394" s="13" t="s">
        <v>12303</v>
      </c>
      <c r="C6394" s="14" t="s">
        <v>12304</v>
      </c>
      <c r="D6394" s="1" t="str">
        <f>IFERROR(__xludf.DUMMYFUNCTION("GOOGLETRANSLATE(A6394 , ""auto"", ""ar"")"),"هل يمكن أن تسأل عن بعض الأناناس بدلاً من غرينادين ربما؟")</f>
        <v>هل يمكن أن تسأل عن بعض الأناناس بدلاً من غرينادين ربما؟</v>
      </c>
    </row>
    <row r="6395" ht="15.75" customHeight="1">
      <c r="A6395" s="12" t="s">
        <v>12305</v>
      </c>
      <c r="B6395" s="13" t="s">
        <v>12306</v>
      </c>
      <c r="C6395" s="14" t="s">
        <v>12307</v>
      </c>
      <c r="D6395" s="1" t="str">
        <f>IFERROR(__xludf.DUMMYFUNCTION("GOOGLETRANSLATE(A6395 , ""auto"", ""ar"")"),"أي شيء آخر ، أنت تقرر!")</f>
        <v>أي شيء آخر ، أنت تقرر!</v>
      </c>
    </row>
    <row r="6396" ht="15.75" customHeight="1">
      <c r="A6396" s="12" t="s">
        <v>12308</v>
      </c>
      <c r="B6396" s="13" t="s">
        <v>12309</v>
      </c>
      <c r="C6396" s="14" t="s">
        <v>12310</v>
      </c>
      <c r="D6396" s="1" t="str">
        <f>IFERROR(__xludf.DUMMYFUNCTION("GOOGLETRANSLATE(A6396 , ""auto"", ""ar"")"),"وربما القليل من حليب جوز الهند إذا كان لديك بعض")</f>
        <v>وربما القليل من حليب جوز الهند إذا كان لديك بعض</v>
      </c>
    </row>
    <row r="6397" ht="15.75" customHeight="1">
      <c r="A6397" s="12" t="s">
        <v>12311</v>
      </c>
      <c r="B6397" s="13" t="s">
        <v>12312</v>
      </c>
      <c r="C6397" s="14" t="s">
        <v>12313</v>
      </c>
      <c r="D6397" s="1" t="str">
        <f>IFERROR(__xludf.DUMMYFUNCTION("GOOGLETRANSLATE(A6397 , ""auto"", ""ar"")"),"لا تقلق ، سأفعل ذلك الآن.")</f>
        <v>لا تقلق ، سأفعل ذلك الآن.</v>
      </c>
    </row>
    <row r="6398" ht="15.75" customHeight="1">
      <c r="A6398" s="12" t="s">
        <v>12314</v>
      </c>
      <c r="B6398" s="13" t="s">
        <v>12315</v>
      </c>
      <c r="C6398" s="14" t="s">
        <v>12316</v>
      </c>
      <c r="D6398" s="1" t="str">
        <f>IFERROR(__xludf.DUMMYFUNCTION("GOOGLETRANSLATE(A6398 , ""auto"", ""ar"")"),"ومظلة جميلة!")</f>
        <v>ومظلة جميلة!</v>
      </c>
    </row>
    <row r="6399" ht="15.75" customHeight="1">
      <c r="A6399" s="12" t="s">
        <v>12317</v>
      </c>
      <c r="B6399" s="13" t="s">
        <v>12318</v>
      </c>
      <c r="C6399" s="14" t="s">
        <v>12319</v>
      </c>
      <c r="D6399" s="1" t="str">
        <f>IFERROR(__xludf.DUMMYFUNCTION("GOOGLETRANSLATE(A6399 , ""auto"", ""ar"")"),"لوحة لتناول الطعام في نفس الوقت؟")</f>
        <v>لوحة لتناول الطعام في نفس الوقت؟</v>
      </c>
    </row>
    <row r="6400" ht="15.75" customHeight="1">
      <c r="A6400" s="12" t="s">
        <v>12320</v>
      </c>
      <c r="B6400" s="13" t="s">
        <v>12321</v>
      </c>
      <c r="C6400" s="14" t="s">
        <v>12322</v>
      </c>
      <c r="D6400" s="1" t="str">
        <f>IFERROR(__xludf.DUMMYFUNCTION("GOOGLETRANSLATE(A6400 , ""auto"", ""ar"")"),"يمكنني أن أفعل ذلك لك")</f>
        <v>يمكنني أن أفعل ذلك لك</v>
      </c>
    </row>
    <row r="6401" ht="15.75" customHeight="1">
      <c r="A6401" s="12" t="s">
        <v>12323</v>
      </c>
      <c r="B6401" s="13" t="s">
        <v>12324</v>
      </c>
      <c r="C6401" s="14" t="s">
        <v>12325</v>
      </c>
      <c r="D6401" s="1" t="str">
        <f>IFERROR(__xludf.DUMMYFUNCTION("GOOGLETRANSLATE(A6401 , ""auto"", ""ar"")"),"هل لديك اشياء تفضلها؟")</f>
        <v>هل لديك اشياء تفضلها؟</v>
      </c>
    </row>
    <row r="6402" ht="15.75" customHeight="1">
      <c r="A6402" s="12" t="s">
        <v>12326</v>
      </c>
      <c r="B6402" s="13" t="s">
        <v>12327</v>
      </c>
      <c r="C6402" s="14" t="s">
        <v>12328</v>
      </c>
      <c r="D6402" s="1" t="str">
        <f>IFERROR(__xludf.DUMMYFUNCTION("GOOGLETRANSLATE(A6402 , ""auto"", ""ar"")"),"حسنًا ، لم أكن جائعًا")</f>
        <v>حسنًا ، لم أكن جائعًا</v>
      </c>
    </row>
    <row r="6403" ht="15.75" customHeight="1">
      <c r="A6403" s="12" t="s">
        <v>12329</v>
      </c>
      <c r="B6403" s="13" t="s">
        <v>12330</v>
      </c>
      <c r="C6403" s="14" t="s">
        <v>12331</v>
      </c>
      <c r="D6403" s="1" t="str">
        <f>IFERROR(__xludf.DUMMYFUNCTION("GOOGLETRANSLATE(A6403 , ""auto"", ""ar"")"),"ولكن ربما تكون بعض الرقائق جيدة")</f>
        <v>ولكن ربما تكون بعض الرقائق جيدة</v>
      </c>
    </row>
    <row r="6404" ht="15.75" customHeight="1">
      <c r="A6404" s="12" t="s">
        <v>12332</v>
      </c>
      <c r="B6404" s="13" t="s">
        <v>12333</v>
      </c>
      <c r="C6404" s="14" t="s">
        <v>12334</v>
      </c>
      <c r="D6404" s="1" t="str">
        <f>IFERROR(__xludf.DUMMYFUNCTION("GOOGLETRANSLATE(A6404 , ""auto"", ""ar"")"),"لا صلصة رغم ذلك")</f>
        <v>لا صلصة رغم ذلك</v>
      </c>
    </row>
    <row r="6405" ht="15.75" customHeight="1">
      <c r="A6405" s="12" t="s">
        <v>12335</v>
      </c>
      <c r="B6405" s="13" t="s">
        <v>12336</v>
      </c>
      <c r="C6405" s="14" t="s">
        <v>12337</v>
      </c>
      <c r="D6405" s="1" t="str">
        <f>IFERROR(__xludf.DUMMYFUNCTION("GOOGLETRANSLATE(A6405 , ""auto"", ""ar"")"),"أنا أحبهم لايت ، مع القليل من الملح!")</f>
        <v>أنا أحبهم لايت ، مع القليل من الملح!</v>
      </c>
    </row>
    <row r="6406" ht="15.75" customHeight="1">
      <c r="A6406" s="12" t="s">
        <v>12338</v>
      </c>
      <c r="B6406" s="13" t="s">
        <v>12339</v>
      </c>
      <c r="C6406" s="14" t="s">
        <v>12340</v>
      </c>
      <c r="D6406" s="1" t="str">
        <f>IFERROR(__xludf.DUMMYFUNCTION("GOOGLETRANSLATE(A6406 , ""auto"", ""ar"")"),"ولماذا لا برغر وسلطة أيضا!")</f>
        <v>ولماذا لا برغر وسلطة أيضا!</v>
      </c>
    </row>
    <row r="6407" ht="15.75" customHeight="1">
      <c r="A6407" s="12" t="s">
        <v>12341</v>
      </c>
      <c r="B6407" s="13" t="s">
        <v>12342</v>
      </c>
      <c r="C6407" s="14" t="s">
        <v>12343</v>
      </c>
      <c r="D6407" s="1" t="str">
        <f>IFERROR(__xludf.DUMMYFUNCTION("GOOGLETRANSLATE(A6407 , ""auto"", ""ar"")"),"قصدته للرقائق ، آسف")</f>
        <v>قصدته للرقائق ، آسف</v>
      </c>
    </row>
    <row r="6408" ht="15.75" customHeight="1">
      <c r="A6408" s="12" t="s">
        <v>12344</v>
      </c>
      <c r="B6408" s="13" t="s">
        <v>12345</v>
      </c>
      <c r="C6408" s="14" t="s">
        <v>12346</v>
      </c>
      <c r="D6408" s="1" t="str">
        <f>IFERROR(__xludf.DUMMYFUNCTION("GOOGLETRANSLATE(A6408 , ""auto"", ""ar"")"),"جيد بشكل عام أنا أعرض الرقائق مع هذا الكوكتيل")</f>
        <v>جيد بشكل عام أنا أعرض الرقائق مع هذا الكوكتيل</v>
      </c>
    </row>
    <row r="6409" ht="15.75" customHeight="1">
      <c r="A6409" s="12" t="s">
        <v>12347</v>
      </c>
      <c r="B6409" s="13" t="s">
        <v>12348</v>
      </c>
      <c r="C6409" s="14" t="s">
        <v>12349</v>
      </c>
      <c r="D6409" s="1" t="str">
        <f>IFERROR(__xludf.DUMMYFUNCTION("GOOGLETRANSLATE(A6409 , ""auto"", ""ar"")"),"هل هذا كله على ما يرام؟")</f>
        <v>هل هذا كله على ما يرام؟</v>
      </c>
    </row>
    <row r="6410" ht="15.75" customHeight="1">
      <c r="A6410" s="12" t="s">
        <v>12350</v>
      </c>
      <c r="B6410" s="13" t="s">
        <v>12351</v>
      </c>
      <c r="C6410" s="14" t="s">
        <v>12352</v>
      </c>
      <c r="D6410" s="1" t="str">
        <f>IFERROR(__xludf.DUMMYFUNCTION("GOOGLETRANSLATE(A6410 , ""auto"", ""ar"")"),"سيكون الهامبرغر هنا لاحقًا")</f>
        <v>سيكون الهامبرغر هنا لاحقًا</v>
      </c>
    </row>
    <row r="6411" ht="15.75" customHeight="1">
      <c r="A6411" s="12" t="s">
        <v>12353</v>
      </c>
      <c r="B6411" s="13" t="s">
        <v>12354</v>
      </c>
      <c r="C6411" s="14" t="s">
        <v>12355</v>
      </c>
      <c r="D6411" s="1" t="str">
        <f>IFERROR(__xludf.DUMMYFUNCTION("GOOGLETRANSLATE(A6411 , ""auto"", ""ar"")"),"حسنًا ، سآخذ الأسماك والرقائق للبدء وسأحصل على البرغر لاحقًا!")</f>
        <v>حسنًا ، سآخذ الأسماك والرقائق للبدء وسأحصل على البرغر لاحقًا!</v>
      </c>
    </row>
    <row r="6412" ht="15.75" customHeight="1">
      <c r="A6412" s="12" t="s">
        <v>12356</v>
      </c>
      <c r="B6412" s="13" t="s">
        <v>12357</v>
      </c>
      <c r="C6412" s="14" t="s">
        <v>12358</v>
      </c>
      <c r="D6412" s="1" t="str">
        <f>IFERROR(__xludf.DUMMYFUNCTION("GOOGLETRANSLATE(A6412 , ""auto"", ""ar"")"),"آمل أن يكون هناك مساحة كافية للحلوى بعد ذلك!")</f>
        <v>آمل أن يكون هناك مساحة كافية للحلوى بعد ذلك!</v>
      </c>
    </row>
    <row r="6413" ht="15.75" customHeight="1">
      <c r="A6413" s="12" t="s">
        <v>12359</v>
      </c>
      <c r="B6413" s="13" t="s">
        <v>12360</v>
      </c>
      <c r="C6413" s="14" t="s">
        <v>12361</v>
      </c>
      <c r="D6413" s="1" t="str">
        <f>IFERROR(__xludf.DUMMYFUNCTION("GOOGLETRANSLATE(A6413 , ""auto"", ""ar"")"),"تريد الحلويات ، أليس كذلك؟")</f>
        <v>تريد الحلويات ، أليس كذلك؟</v>
      </c>
    </row>
    <row r="6414" ht="15.75" customHeight="1">
      <c r="A6414" s="12" t="s">
        <v>12362</v>
      </c>
      <c r="B6414" s="13" t="s">
        <v>12363</v>
      </c>
      <c r="C6414" s="14" t="s">
        <v>12364</v>
      </c>
      <c r="D6414" s="1" t="str">
        <f>IFERROR(__xludf.DUMMYFUNCTION("GOOGLETRANSLATE(A6414 , ""auto"", ""ar"")"),"نعم ، نصنع الحلويات.")</f>
        <v>نعم ، نصنع الحلويات.</v>
      </c>
    </row>
    <row r="6415" ht="15.75" customHeight="1">
      <c r="A6415" s="12" t="s">
        <v>12365</v>
      </c>
      <c r="B6415" s="13" t="s">
        <v>12366</v>
      </c>
      <c r="C6415" s="14" t="s">
        <v>12367</v>
      </c>
      <c r="D6415" s="1" t="str">
        <f>IFERROR(__xludf.DUMMYFUNCTION("GOOGLETRANSLATE(A6415 , ""auto"", ""ar"")"),"حساء المانجو لطيف للغاية إذا كنت لا تزال جائعًا بعد وجبتك.")</f>
        <v>حساء المانجو لطيف للغاية إذا كنت لا تزال جائعًا بعد وجبتك.</v>
      </c>
    </row>
    <row r="6416" ht="15.75" customHeight="1">
      <c r="A6416" s="12" t="s">
        <v>12368</v>
      </c>
      <c r="B6416" s="13" t="s">
        <v>12369</v>
      </c>
      <c r="C6416" s="14" t="s">
        <v>12370</v>
      </c>
      <c r="D6416" s="1" t="str">
        <f>IFERROR(__xludf.DUMMYFUNCTION("GOOGLETRANSLATE(A6416 , ""auto"", ""ar"")"),"في غضون ذلك ، إليك رقمك")</f>
        <v>في غضون ذلك ، إليك رقمك</v>
      </c>
    </row>
    <row r="6417" ht="15.75" customHeight="1">
      <c r="A6417" s="12" t="s">
        <v>12371</v>
      </c>
      <c r="B6417" s="13" t="s">
        <v>12372</v>
      </c>
      <c r="C6417" s="14" t="s">
        <v>12373</v>
      </c>
      <c r="D6417" s="1" t="str">
        <f>IFERROR(__xludf.DUMMYFUNCTION("GOOGLETRANSLATE(A6417 , ""auto"", ""ar"")"),"ندعوك عندما تكون الكوكتيلات جاهزة")</f>
        <v>ندعوك عندما تكون الكوكتيلات جاهزة</v>
      </c>
    </row>
    <row r="6418" ht="15.75" customHeight="1">
      <c r="A6418" s="12" t="s">
        <v>12374</v>
      </c>
      <c r="B6418" s="13" t="s">
        <v>12375</v>
      </c>
      <c r="C6418" s="14" t="s">
        <v>12376</v>
      </c>
      <c r="D6418" s="1" t="str">
        <f>IFERROR(__xludf.DUMMYFUNCTION("GOOGLETRANSLATE(A6418 , ""auto"", ""ar"")"),"شكرًا!")</f>
        <v>شكرًا!</v>
      </c>
    </row>
    <row r="6419" ht="15.75" customHeight="1">
      <c r="A6419" s="12" t="s">
        <v>12377</v>
      </c>
      <c r="B6419" s="13" t="s">
        <v>12378</v>
      </c>
      <c r="C6419" s="14" t="s">
        <v>12379</v>
      </c>
      <c r="D6419" s="1" t="str">
        <f>IFERROR(__xludf.DUMMYFUNCTION("GOOGLETRANSLATE(A6419 , ""auto"", ""ar"")"),"قد أحصل على بعض الطلقات لاحقًا ، بمجرد وصول أصدقائي!")</f>
        <v>قد أحصل على بعض الطلقات لاحقًا ، بمجرد وصول أصدقائي!</v>
      </c>
    </row>
    <row r="6420" ht="15.75" customHeight="1">
      <c r="A6420" s="12" t="s">
        <v>12380</v>
      </c>
      <c r="B6420" s="13" t="s">
        <v>12381</v>
      </c>
      <c r="C6420" s="14" t="s">
        <v>12382</v>
      </c>
      <c r="D6420" s="1" t="str">
        <f>IFERROR(__xludf.DUMMYFUNCTION("GOOGLETRANSLATE(A6420 , ""auto"", ""ar"")"),"لا تتردد في العودة")</f>
        <v>لا تتردد في العودة</v>
      </c>
    </row>
    <row r="6421" ht="15.75" customHeight="1">
      <c r="A6421" s="12" t="s">
        <v>12383</v>
      </c>
      <c r="B6421" s="13" t="s">
        <v>12384</v>
      </c>
      <c r="C6421" s="14" t="s">
        <v>12385</v>
      </c>
      <c r="D6421" s="1" t="str">
        <f>IFERROR(__xludf.DUMMYFUNCTION("GOOGLETRANSLATE(A6421 , ""auto"", ""ar"")"),"ليلة سعيدة ، على أي حال!")</f>
        <v>ليلة سعيدة ، على أي حال!</v>
      </c>
    </row>
    <row r="6422" ht="15.75" customHeight="1">
      <c r="A6422" s="12" t="s">
        <v>12386</v>
      </c>
      <c r="B6422" s="13" t="s">
        <v>12387</v>
      </c>
      <c r="C6422" s="14" t="s">
        <v>12388</v>
      </c>
      <c r="D6422" s="1" t="str">
        <f>IFERROR(__xludf.DUMMYFUNCTION("GOOGLETRANSLATE(A6422 , ""auto"", ""ar"")"),"شكرًا لك مرة أخرى!")</f>
        <v>شكرًا لك مرة أخرى!</v>
      </c>
    </row>
    <row r="6423" ht="15.75" customHeight="1">
      <c r="A6423" s="12" t="s">
        <v>10077</v>
      </c>
      <c r="B6423" s="13" t="s">
        <v>12389</v>
      </c>
      <c r="C6423" s="14" t="s">
        <v>12390</v>
      </c>
      <c r="D6423" s="1" t="str">
        <f>IFERROR(__xludf.DUMMYFUNCTION("GOOGLETRANSLATE(A6423 , ""auto"", ""ar"")"),"مساء الخير!")</f>
        <v>مساء الخير!</v>
      </c>
    </row>
    <row r="6424" ht="15.75" customHeight="1">
      <c r="A6424" s="12" t="s">
        <v>12391</v>
      </c>
      <c r="B6424" s="13" t="s">
        <v>12392</v>
      </c>
      <c r="C6424" s="14" t="s">
        <v>12393</v>
      </c>
      <c r="D6424" s="1" t="str">
        <f>IFERROR(__xludf.DUMMYFUNCTION("GOOGLETRANSLATE(A6424 , ""auto"", ""ar"")"),"هل يمكنني الحصول على caipirinha من فضلك؟")</f>
        <v>هل يمكنني الحصول على caipirinha من فضلك؟</v>
      </c>
    </row>
    <row r="6425" ht="15.75" customHeight="1">
      <c r="A6425" s="12" t="s">
        <v>12394</v>
      </c>
      <c r="B6425" s="13" t="s">
        <v>12395</v>
      </c>
      <c r="C6425" s="14" t="s">
        <v>12396</v>
      </c>
      <c r="D6425" s="1" t="str">
        <f>IFERROR(__xludf.DUMMYFUNCTION("GOOGLETRANSLATE(A6425 , ""auto"", ""ar"")"),"آسف أنا جديد هنا")</f>
        <v>آسف أنا جديد هنا</v>
      </c>
    </row>
    <row r="6426" ht="15.75" customHeight="1">
      <c r="A6426" s="12" t="s">
        <v>12397</v>
      </c>
      <c r="B6426" s="13" t="s">
        <v>12398</v>
      </c>
      <c r="C6426" s="14" t="s">
        <v>12399</v>
      </c>
      <c r="D6426" s="1" t="str">
        <f>IFERROR(__xludf.DUMMYFUNCTION("GOOGLETRANSLATE(A6426 , ""auto"", ""ar"")"),"أنا حقًا لا أعرف كوكتيلات بعد ذلك")</f>
        <v>أنا حقًا لا أعرف كوكتيلات بعد ذلك</v>
      </c>
    </row>
    <row r="6427" ht="15.75" customHeight="1">
      <c r="A6427" s="12" t="s">
        <v>12400</v>
      </c>
      <c r="B6427" s="13" t="s">
        <v>12401</v>
      </c>
      <c r="C6427" s="14" t="s">
        <v>12402</v>
      </c>
      <c r="D6427" s="1" t="str">
        <f>IFERROR(__xludf.DUMMYFUNCTION("GOOGLETRANSLATE(A6427 , ""auto"", ""ar"")"),"هل يمكن أن تخبرني كيف تصنعها")</f>
        <v>هل يمكن أن تخبرني كيف تصنعها</v>
      </c>
    </row>
    <row r="6428" ht="15.75" customHeight="1">
      <c r="A6428" s="12" t="s">
        <v>12403</v>
      </c>
      <c r="B6428" s="13" t="s">
        <v>12404</v>
      </c>
      <c r="C6428" s="14" t="s">
        <v>12405</v>
      </c>
      <c r="D6428" s="1" t="str">
        <f>IFERROR(__xludf.DUMMYFUNCTION("GOOGLETRANSLATE(A6428 , ""auto"", ""ar"")"),"عليك مزجها مع عصير الليمون والسكر والجليد")</f>
        <v>عليك مزجها مع عصير الليمون والسكر والجليد</v>
      </c>
    </row>
    <row r="6429" ht="15.75" customHeight="1">
      <c r="A6429" s="12" t="s">
        <v>12406</v>
      </c>
      <c r="B6429" s="13" t="s">
        <v>12407</v>
      </c>
      <c r="C6429" s="14" t="s">
        <v>12408</v>
      </c>
      <c r="D6429" s="1" t="str">
        <f>IFERROR(__xludf.DUMMYFUNCTION("GOOGLETRANSLATE(A6429 , ""auto"", ""ar"")"),"طيب ، اهتز أو التحريك؟")</f>
        <v>طيب ، اهتز أو التحريك؟</v>
      </c>
    </row>
    <row r="6430" ht="15.75" customHeight="1">
      <c r="A6430" s="12" t="s">
        <v>12409</v>
      </c>
      <c r="B6430" s="13" t="s">
        <v>12410</v>
      </c>
      <c r="C6430" s="14" t="s">
        <v>12411</v>
      </c>
      <c r="D6430" s="1" t="str">
        <f>IFERROR(__xludf.DUMMYFUNCTION("GOOGLETRANSLATE(A6430 , ""auto"", ""ar"")"),"هل تريد رقائق البطاطس أو المكسرات أو أي شيء إلى أي شيء؟")</f>
        <v>هل تريد رقائق البطاطس أو المكسرات أو أي شيء إلى أي شيء؟</v>
      </c>
    </row>
    <row r="6431" ht="15.75" customHeight="1">
      <c r="A6431" s="12" t="s">
        <v>12412</v>
      </c>
      <c r="B6431" s="13" t="s">
        <v>12413</v>
      </c>
      <c r="C6431" s="14" t="s">
        <v>12414</v>
      </c>
      <c r="D6431" s="1" t="str">
        <f>IFERROR(__xludf.DUMMYFUNCTION("GOOGLETRANSLATE(A6431 , ""auto"", ""ar"")"),"اهتزت ، أعتقد")</f>
        <v>اهتزت ، أعتقد</v>
      </c>
    </row>
    <row r="6432" ht="15.75" customHeight="1">
      <c r="A6432" s="12" t="s">
        <v>12415</v>
      </c>
      <c r="B6432" s="13" t="s">
        <v>12416</v>
      </c>
      <c r="C6432" s="14" t="s">
        <v>12417</v>
      </c>
      <c r="D6432" s="1" t="str">
        <f>IFERROR(__xludf.DUMMYFUNCTION("GOOGLETRANSLATE(A6432 , ""auto"", ""ar"")"),"سوف تكون رقائق البطاطس على ما يرام ، أنا أتضور جوعا")</f>
        <v>سوف تكون رقائق البطاطس على ما يرام ، أنا أتضور جوعا</v>
      </c>
    </row>
    <row r="6433" ht="15.75" customHeight="1">
      <c r="A6433" s="12" t="s">
        <v>12418</v>
      </c>
      <c r="B6433" s="13" t="s">
        <v>12419</v>
      </c>
      <c r="C6433" s="14" t="s">
        <v>12420</v>
      </c>
      <c r="D6433" s="1" t="str">
        <f>IFERROR(__xludf.DUMMYFUNCTION("GOOGLETRANSLATE(A6433 , ""auto"", ""ar"")"),"لم أتناول أي شيء طوال اليوم")</f>
        <v>لم أتناول أي شيء طوال اليوم</v>
      </c>
    </row>
    <row r="6434" ht="15.75" customHeight="1">
      <c r="A6434" s="12" t="s">
        <v>8723</v>
      </c>
      <c r="B6434" s="13" t="s">
        <v>12421</v>
      </c>
      <c r="C6434" s="14" t="s">
        <v>12422</v>
      </c>
      <c r="D6434" s="1" t="str">
        <f>IFERROR(__xludf.DUMMYFUNCTION("GOOGLETRANSLATE(A6434 , ""auto"", ""ar"")"),"ها هي القائمة")</f>
        <v>ها هي القائمة</v>
      </c>
    </row>
    <row r="6435" ht="15.75" customHeight="1">
      <c r="A6435" s="12" t="s">
        <v>8723</v>
      </c>
      <c r="B6435" s="13" t="s">
        <v>12423</v>
      </c>
      <c r="C6435" s="14" t="s">
        <v>12424</v>
      </c>
      <c r="D6435" s="1" t="str">
        <f>IFERROR(__xludf.DUMMYFUNCTION("GOOGLETRANSLATE(A6435 , ""auto"", ""ar"")"),"ها هي القائمة")</f>
        <v>ها هي القائمة</v>
      </c>
    </row>
    <row r="6436" ht="15.75" customHeight="1">
      <c r="A6436" s="12" t="s">
        <v>12425</v>
      </c>
      <c r="B6436" s="13" t="s">
        <v>12426</v>
      </c>
      <c r="C6436" s="14" t="s">
        <v>12427</v>
      </c>
      <c r="D6436" s="1" t="str">
        <f>IFERROR(__xludf.DUMMYFUNCTION("GOOGLETRANSLATE(A6436 , ""auto"", ""ar"")"),"نحن نفعل بعض الوجبات الخفيفة الشريط الرائعة")</f>
        <v>نحن نفعل بعض الوجبات الخفيفة الشريط الرائعة</v>
      </c>
    </row>
    <row r="6437" ht="15.75" customHeight="1">
      <c r="A6437" s="12" t="s">
        <v>12428</v>
      </c>
      <c r="B6437" s="13" t="s">
        <v>12429</v>
      </c>
      <c r="C6437" s="14" t="s">
        <v>12430</v>
      </c>
      <c r="D6437" s="1" t="str">
        <f>IFERROR(__xludf.DUMMYFUNCTION("GOOGLETRANSLATE(A6437 , ""auto"", ""ar"")"),"آه ، اعتقدت أنها كانت مجانية مع الزجاج")</f>
        <v>آه ، اعتقدت أنها كانت مجانية مع الزجاج</v>
      </c>
    </row>
    <row r="6438" ht="15.75" customHeight="1">
      <c r="A6438" s="12" t="s">
        <v>12431</v>
      </c>
      <c r="B6438" s="13" t="s">
        <v>12432</v>
      </c>
      <c r="C6438" s="14" t="s">
        <v>12433</v>
      </c>
      <c r="D6438" s="1" t="str">
        <f>IFERROR(__xludf.DUMMYFUNCTION("GOOGLETRANSLATE(A6438 , ""auto"", ""ar"")"),"أو يمكن أن يكون لديك شيء آخر")</f>
        <v>أو يمكن أن يكون لديك شيء آخر</v>
      </c>
    </row>
    <row r="6439" ht="15.75" customHeight="1">
      <c r="A6439" s="12" t="s">
        <v>12434</v>
      </c>
      <c r="B6439" s="13" t="s">
        <v>12435</v>
      </c>
      <c r="C6439" s="14" t="s">
        <v>12436</v>
      </c>
      <c r="D6439" s="1" t="str">
        <f>IFERROR(__xludf.DUMMYFUNCTION("GOOGLETRANSLATE(A6439 , ""auto"", ""ar"")"),"ليس لدي الكثير من المال علي")</f>
        <v>ليس لدي الكثير من المال علي</v>
      </c>
    </row>
    <row r="6440" ht="15.75" customHeight="1">
      <c r="A6440" s="12" t="s">
        <v>12434</v>
      </c>
      <c r="B6440" s="13" t="s">
        <v>12437</v>
      </c>
      <c r="C6440" s="14" t="s">
        <v>12438</v>
      </c>
      <c r="D6440" s="1" t="str">
        <f>IFERROR(__xludf.DUMMYFUNCTION("GOOGLETRANSLATE(A6440 , ""auto"", ""ar"")"),"ليس لدي الكثير من المال علي")</f>
        <v>ليس لدي الكثير من المال علي</v>
      </c>
    </row>
    <row r="6441" ht="15.75" customHeight="1">
      <c r="A6441" s="12" t="s">
        <v>12439</v>
      </c>
      <c r="B6441" s="13" t="s">
        <v>12440</v>
      </c>
      <c r="C6441" s="14" t="s">
        <v>12441</v>
      </c>
      <c r="D6441" s="1" t="str">
        <f>IFERROR(__xludf.DUMMYFUNCTION("GOOGLETRANSLATE(A6441 , ""auto"", ""ar"")"),"تأتي رقائق البطاطس في هذا الوعاء الصغير مع مشروبك")</f>
        <v>تأتي رقائق البطاطس في هذا الوعاء الصغير مع مشروبك</v>
      </c>
    </row>
    <row r="6442" ht="15.75" customHeight="1">
      <c r="A6442" s="12" t="s">
        <v>12442</v>
      </c>
      <c r="B6442" s="13" t="s">
        <v>12443</v>
      </c>
      <c r="C6442" s="14" t="s">
        <v>12444</v>
      </c>
      <c r="D6442" s="1" t="str">
        <f>IFERROR(__xludf.DUMMYFUNCTION("GOOGLETRANSLATE(A6442 , ""auto"", ""ar"")"),"حسنا شكرا جزيلا لك")</f>
        <v>حسنا شكرا جزيلا لك</v>
      </c>
    </row>
    <row r="6443" ht="15.75" customHeight="1">
      <c r="A6443" s="12" t="s">
        <v>12445</v>
      </c>
      <c r="B6443" s="13" t="s">
        <v>12446</v>
      </c>
      <c r="C6443" s="14" t="s">
        <v>12447</v>
      </c>
      <c r="D6443" s="1" t="str">
        <f>IFERROR(__xludf.DUMMYFUNCTION("GOOGLETRANSLATE(A6443 , ""auto"", ""ar"")"),"ربما كان بإمكانك اختيار مشروب أرخص!")</f>
        <v>ربما كان بإمكانك اختيار مشروب أرخص!</v>
      </c>
    </row>
    <row r="6444" ht="15.75" customHeight="1">
      <c r="A6444" s="12" t="s">
        <v>12448</v>
      </c>
      <c r="B6444" s="13" t="s">
        <v>12449</v>
      </c>
      <c r="C6444" s="14" t="s">
        <v>12450</v>
      </c>
      <c r="D6444" s="1" t="str">
        <f>IFERROR(__xludf.DUMMYFUNCTION("GOOGLETRANSLATE(A6444 , ""auto"", ""ar"")"),"لكنك نادلة جديدة")</f>
        <v>لكنك نادلة جديدة</v>
      </c>
    </row>
    <row r="6445" ht="15.75" customHeight="1">
      <c r="A6445" s="12" t="s">
        <v>12451</v>
      </c>
      <c r="B6445" s="13" t="s">
        <v>12452</v>
      </c>
      <c r="C6445" s="14" t="s">
        <v>12453</v>
      </c>
      <c r="D6445" s="1" t="str">
        <f>IFERROR(__xludf.DUMMYFUNCTION("GOOGLETRANSLATE(A6445 , ""auto"", ""ar"")"),"أتيت إلى هنا كثيرًا ولم أراك من قبل؟")</f>
        <v>أتيت إلى هنا كثيرًا ولم أراك من قبل؟</v>
      </c>
    </row>
    <row r="6446" ht="15.75" customHeight="1">
      <c r="A6446" s="12" t="s">
        <v>12454</v>
      </c>
      <c r="B6446" s="13" t="s">
        <v>12455</v>
      </c>
      <c r="C6446" s="14" t="s">
        <v>12456</v>
      </c>
      <c r="D6446" s="1" t="str">
        <f>IFERROR(__xludf.DUMMYFUNCTION("GOOGLETRANSLATE(A6446 , ""auto"", ""ar"")"),"نعم ، أنا بالتأكيد جديد هنا ، لكن بما أنك معتاد ، فأنت تعرف مدى تكلفة الكوكتيلات هنا")</f>
        <v>نعم ، أنا بالتأكيد جديد هنا ، لكن بما أنك معتاد ، فأنت تعرف مدى تكلفة الكوكتيلات هنا</v>
      </c>
    </row>
    <row r="6447" ht="15.75" customHeight="1">
      <c r="A6447" s="12" t="s">
        <v>12457</v>
      </c>
      <c r="B6447" s="13" t="s">
        <v>12458</v>
      </c>
      <c r="C6447" s="14" t="s">
        <v>12459</v>
      </c>
      <c r="D6447" s="1" t="str">
        <f>IFERROR(__xludf.DUMMYFUNCTION("GOOGLETRANSLATE(A6447 , ""auto"", ""ar"")"),"تحتاج إلى الاعتناء بنفسك وتناول الطعام أولاً قبل الشرب")</f>
        <v>تحتاج إلى الاعتناء بنفسك وتناول الطعام أولاً قبل الشرب</v>
      </c>
    </row>
    <row r="6448" ht="15.75" customHeight="1">
      <c r="A6448" s="12" t="s">
        <v>12460</v>
      </c>
      <c r="B6448" s="13" t="s">
        <v>12461</v>
      </c>
      <c r="C6448" s="14" t="s">
        <v>12462</v>
      </c>
      <c r="D6448" s="1" t="str">
        <f>IFERROR(__xludf.DUMMYFUNCTION("GOOGLETRANSLATE(A6448 , ""auto"", ""ar"")"),"ليس هذا هو عملي")</f>
        <v>ليس هذا هو عملي</v>
      </c>
    </row>
    <row r="6449" ht="15.75" customHeight="1">
      <c r="A6449" s="12" t="s">
        <v>12460</v>
      </c>
      <c r="B6449" s="13" t="s">
        <v>12463</v>
      </c>
      <c r="C6449" s="14" t="s">
        <v>12464</v>
      </c>
      <c r="D6449" s="1" t="str">
        <f>IFERROR(__xludf.DUMMYFUNCTION("GOOGLETRANSLATE(A6449 , ""auto"", ""ar"")"),"ليس هذا هو عملي")</f>
        <v>ليس هذا هو عملي</v>
      </c>
    </row>
    <row r="6450" ht="15.75" customHeight="1">
      <c r="A6450" s="12" t="s">
        <v>12465</v>
      </c>
      <c r="B6450" s="13" t="s">
        <v>12466</v>
      </c>
      <c r="C6450" s="14" t="s">
        <v>12467</v>
      </c>
      <c r="D6450" s="1" t="str">
        <f>IFERROR(__xludf.DUMMYFUNCTION("GOOGLETRANSLATE(A6450 , ""auto"", ""ar"")"),"مهلا ، أنت لست أمي!")</f>
        <v>مهلا ، أنت لست أمي!</v>
      </c>
    </row>
    <row r="6451" ht="15.75" customHeight="1">
      <c r="A6451" s="12" t="s">
        <v>12468</v>
      </c>
      <c r="B6451" s="13" t="s">
        <v>12469</v>
      </c>
      <c r="C6451" s="14" t="s">
        <v>12470</v>
      </c>
      <c r="D6451" s="1" t="str">
        <f>IFERROR(__xludf.DUMMYFUNCTION("GOOGLETRANSLATE(A6451 , ""auto"", ""ar"")"),"إنه يذكرني برحلاتي في البرازيل")</f>
        <v>إنه يذكرني برحلاتي في البرازيل</v>
      </c>
    </row>
    <row r="6452" ht="15.75" customHeight="1">
      <c r="A6452" s="12" t="s">
        <v>12471</v>
      </c>
      <c r="B6452" s="13" t="s">
        <v>12472</v>
      </c>
      <c r="C6452" s="14" t="s">
        <v>12473</v>
      </c>
      <c r="D6452" s="1" t="str">
        <f>IFERROR(__xludf.DUMMYFUNCTION("GOOGLETRANSLATE(A6452 , ""auto"", ""ar"")"),"كنت قلقًا بعض الشيء كما قلت إنك جائع للغاية ولم تعطي الأولوية للأكل")</f>
        <v>كنت قلقًا بعض الشيء كما قلت إنك جائع للغاية ولم تعطي الأولوية للأكل</v>
      </c>
    </row>
    <row r="6453" ht="15.75" customHeight="1">
      <c r="A6453" s="12" t="s">
        <v>12474</v>
      </c>
      <c r="B6453" s="13" t="s">
        <v>12475</v>
      </c>
      <c r="C6453" s="14" t="s">
        <v>12476</v>
      </c>
      <c r="D6453" s="1" t="str">
        <f>IFERROR(__xludf.DUMMYFUNCTION("GOOGLETRANSLATE(A6453 , ""auto"", ""ar"")"),"متى ذهبت الى هناك؟")</f>
        <v>متى ذهبت الى هناك؟</v>
      </c>
    </row>
    <row r="6454" ht="15.75" customHeight="1">
      <c r="A6454" s="12" t="s">
        <v>12474</v>
      </c>
      <c r="B6454" s="13" t="s">
        <v>12477</v>
      </c>
      <c r="C6454" s="14" t="s">
        <v>12478</v>
      </c>
      <c r="D6454" s="1" t="str">
        <f>IFERROR(__xludf.DUMMYFUNCTION("GOOGLETRANSLATE(A6454 , ""auto"", ""ar"")"),"متى ذهبت الى هناك؟")</f>
        <v>متى ذهبت الى هناك؟</v>
      </c>
    </row>
    <row r="6455" ht="15.75" customHeight="1">
      <c r="A6455" s="12" t="s">
        <v>12479</v>
      </c>
      <c r="B6455" s="13" t="s">
        <v>12480</v>
      </c>
      <c r="C6455" s="14" t="s">
        <v>12481</v>
      </c>
      <c r="D6455" s="1" t="str">
        <f>IFERROR(__xludf.DUMMYFUNCTION("GOOGLETRANSLATE(A6455 , ""auto"", ""ar"")"),"أحب السفر إلى هناك")</f>
        <v>أحب السفر إلى هناك</v>
      </c>
    </row>
    <row r="6456" ht="15.75" customHeight="1">
      <c r="A6456" s="12" t="s">
        <v>12482</v>
      </c>
      <c r="B6456" s="13" t="s">
        <v>12483</v>
      </c>
      <c r="C6456" s="14" t="s">
        <v>12484</v>
      </c>
      <c r="D6456" s="1" t="str">
        <f>IFERROR(__xludf.DUMMYFUNCTION("GOOGLETRANSLATE(A6456 , ""auto"", ""ar"")"),"عملت هناك لمدة ستة أشهر كنادلة")</f>
        <v>عملت هناك لمدة ستة أشهر كنادلة</v>
      </c>
    </row>
    <row r="6457" ht="15.75" customHeight="1">
      <c r="A6457" s="12" t="s">
        <v>12482</v>
      </c>
      <c r="B6457" s="13" t="s">
        <v>12485</v>
      </c>
      <c r="C6457" s="14" t="s">
        <v>12486</v>
      </c>
      <c r="D6457" s="1" t="str">
        <f>IFERROR(__xludf.DUMMYFUNCTION("GOOGLETRANSLATE(A6457 , ""auto"", ""ar"")"),"عملت هناك لمدة ستة أشهر كنادلة")</f>
        <v>عملت هناك لمدة ستة أشهر كنادلة</v>
      </c>
    </row>
    <row r="6458" ht="15.75" customHeight="1">
      <c r="A6458" s="12" t="s">
        <v>12487</v>
      </c>
      <c r="B6458" s="13" t="s">
        <v>12488</v>
      </c>
      <c r="C6458" s="14" t="s">
        <v>12489</v>
      </c>
      <c r="D6458" s="1" t="str">
        <f>IFERROR(__xludf.DUMMYFUNCTION("GOOGLETRANSLATE(A6458 , ""auto"", ""ar"")"),"إنه كان العام الأخير")</f>
        <v>إنه كان العام الأخير</v>
      </c>
    </row>
    <row r="6459" ht="15.75" customHeight="1">
      <c r="A6459" s="12" t="s">
        <v>12490</v>
      </c>
      <c r="B6459" s="13" t="s">
        <v>12491</v>
      </c>
      <c r="C6459" s="14" t="s">
        <v>12492</v>
      </c>
      <c r="D6459" s="1" t="str">
        <f>IFERROR(__xludf.DUMMYFUNCTION("GOOGLETRANSLATE(A6459 , ""auto"", ""ar"")"),"لم أكن أعرف ماذا أفعل بعد التخرج")</f>
        <v>لم أكن أعرف ماذا أفعل بعد التخرج</v>
      </c>
    </row>
    <row r="6460" ht="15.75" customHeight="1">
      <c r="A6460" s="12" t="s">
        <v>12493</v>
      </c>
      <c r="B6460" s="13" t="s">
        <v>12494</v>
      </c>
      <c r="C6460" s="14" t="s">
        <v>12495</v>
      </c>
      <c r="D6460" s="1" t="str">
        <f>IFERROR(__xludf.DUMMYFUNCTION("GOOGLETRANSLATE(A6460 , ""auto"", ""ar"")"),"هل تتحدث اللغة؟")</f>
        <v>هل تتحدث اللغة؟</v>
      </c>
    </row>
    <row r="6461" ht="15.75" customHeight="1">
      <c r="A6461" s="12" t="s">
        <v>12496</v>
      </c>
      <c r="B6461" s="13" t="s">
        <v>12497</v>
      </c>
      <c r="C6461" s="14" t="s">
        <v>12498</v>
      </c>
      <c r="D6461" s="1" t="str">
        <f>IFERROR(__xludf.DUMMYFUNCTION("GOOGLETRANSLATE(A6461 , ""auto"", ""ar"")"),"هل كانت رائعة؟")</f>
        <v>هل كانت رائعة؟</v>
      </c>
    </row>
    <row r="6462" ht="15.75" customHeight="1">
      <c r="A6462" s="12" t="s">
        <v>12499</v>
      </c>
      <c r="B6462" s="13" t="s">
        <v>12500</v>
      </c>
      <c r="C6462" s="14" t="s">
        <v>12501</v>
      </c>
      <c r="D6462" s="1" t="str">
        <f>IFERROR(__xludf.DUMMYFUNCTION("GOOGLETRANSLATE(A6462 , ""auto"", ""ar"")"),"نعم ، قليلا ، ولكن يتم نسيانها")</f>
        <v>نعم ، قليلا ، ولكن يتم نسيانها</v>
      </c>
    </row>
    <row r="6463" ht="15.75" customHeight="1">
      <c r="A6463" s="12" t="s">
        <v>12502</v>
      </c>
      <c r="B6463" s="13" t="s">
        <v>12503</v>
      </c>
      <c r="C6463" s="14" t="s">
        <v>12504</v>
      </c>
      <c r="D6463" s="1" t="str">
        <f>IFERROR(__xludf.DUMMYFUNCTION("GOOGLETRANSLATE(A6463 , ""auto"", ""ar"")"),"لقد نسيت ذلك")</f>
        <v>لقد نسيت ذلك</v>
      </c>
    </row>
    <row r="6464" ht="15.75" customHeight="1">
      <c r="A6464" s="12" t="s">
        <v>12505</v>
      </c>
      <c r="B6464" s="13" t="s">
        <v>12506</v>
      </c>
      <c r="C6464" s="14" t="s">
        <v>12507</v>
      </c>
      <c r="D6464" s="1" t="str">
        <f>IFERROR(__xludf.DUMMYFUNCTION("GOOGLETRANSLATE(A6464 , ""auto"", ""ar"")"),"اللغويون مضحكون")</f>
        <v>اللغويون مضحكون</v>
      </c>
    </row>
    <row r="6465" ht="15.75" customHeight="1">
      <c r="A6465" s="12" t="s">
        <v>12508</v>
      </c>
      <c r="B6465" s="13" t="s">
        <v>12509</v>
      </c>
      <c r="C6465" s="14" t="s">
        <v>12510</v>
      </c>
      <c r="D6465" s="1" t="str">
        <f>IFERROR(__xludf.DUMMYFUNCTION("GOOGLETRANSLATE(A6465 , ""auto"", ""ar"")"),"هل حصلت على التاريخ الصحيح؟")</f>
        <v>هل حصلت على التاريخ الصحيح؟</v>
      </c>
    </row>
    <row r="6466" ht="15.75" customHeight="1">
      <c r="A6466" s="12" t="s">
        <v>12511</v>
      </c>
      <c r="B6466" s="13" t="s">
        <v>12512</v>
      </c>
      <c r="C6466" s="14" t="s">
        <v>12513</v>
      </c>
      <c r="D6466" s="1" t="str">
        <f>IFERROR(__xludf.DUMMYFUNCTION("GOOGLETRANSLATE(A6466 , ""auto"", ""ar"")"),"السبت 11 يونيو")</f>
        <v>السبت 11 يونيو</v>
      </c>
    </row>
    <row r="6467" ht="15.75" customHeight="1">
      <c r="A6467" s="12" t="s">
        <v>12514</v>
      </c>
      <c r="B6467" s="13" t="s">
        <v>12515</v>
      </c>
      <c r="C6467" s="14" t="s">
        <v>12516</v>
      </c>
      <c r="D6467" s="1" t="str">
        <f>IFERROR(__xludf.DUMMYFUNCTION("GOOGLETRANSLATE(A6467 , ""auto"", ""ar"")"),"هل هذا صحيح؟")</f>
        <v>هل هذا صحيح؟</v>
      </c>
    </row>
    <row r="6468" ht="15.75" customHeight="1">
      <c r="A6468" s="12" t="s">
        <v>12517</v>
      </c>
      <c r="B6468" s="13" t="s">
        <v>12518</v>
      </c>
      <c r="C6468" s="14" t="s">
        <v>12519</v>
      </c>
      <c r="D6468" s="1" t="str">
        <f>IFERROR(__xludf.DUMMYFUNCTION("GOOGLETRANSLATE(A6468 , ""auto"", ""ar"")"),"سيكون الكثير من المرح")</f>
        <v>سيكون الكثير من المرح</v>
      </c>
    </row>
    <row r="6469" ht="15.75" customHeight="1">
      <c r="A6469" s="12" t="s">
        <v>12520</v>
      </c>
      <c r="B6469" s="13" t="s">
        <v>12521</v>
      </c>
      <c r="C6469" s="14" t="s">
        <v>12522</v>
      </c>
      <c r="D6469" s="1" t="str">
        <f>IFERROR(__xludf.DUMMYFUNCTION("GOOGLETRANSLATE(A6469 , ""auto"", ""ar"")"),"نعم ، لديك التاريخ الصحيح ، سأؤكد ذلك")</f>
        <v>نعم ، لديك التاريخ الصحيح ، سأؤكد ذلك</v>
      </c>
    </row>
    <row r="6470" ht="15.75" customHeight="1">
      <c r="A6470" s="12" t="s">
        <v>12523</v>
      </c>
      <c r="B6470" s="13" t="s">
        <v>12524</v>
      </c>
      <c r="C6470" s="14" t="s">
        <v>12525</v>
      </c>
      <c r="D6470" s="1" t="str">
        <f>IFERROR(__xludf.DUMMYFUNCTION("GOOGLETRANSLATE(A6470 , ""auto"", ""ar"")"),"هل يمكنك إحضار بضع زجاجات من الشمبانيا؟")</f>
        <v>هل يمكنك إحضار بضع زجاجات من الشمبانيا؟</v>
      </c>
    </row>
    <row r="6471" ht="15.75" customHeight="1">
      <c r="A6471" s="12" t="s">
        <v>12526</v>
      </c>
      <c r="B6471" s="13" t="s">
        <v>12527</v>
      </c>
      <c r="C6471" s="14" t="s">
        <v>12528</v>
      </c>
      <c r="D6471" s="1" t="str">
        <f>IFERROR(__xludf.DUMMYFUNCTION("GOOGLETRANSLATE(A6471 , ""auto"", ""ar"")"),"أعتقد أنه من الأفضل أن تطلب من الأصدقاء إحضار زجاجة")</f>
        <v>أعتقد أنه من الأفضل أن تطلب من الأصدقاء إحضار زجاجة</v>
      </c>
    </row>
    <row r="6472" ht="15.75" customHeight="1">
      <c r="A6472" s="12" t="s">
        <v>12529</v>
      </c>
      <c r="B6472" s="13" t="s">
        <v>12530</v>
      </c>
      <c r="C6472" s="14" t="s">
        <v>12531</v>
      </c>
      <c r="D6472" s="1" t="str">
        <f>IFERROR(__xludf.DUMMYFUNCTION("GOOGLETRANSLATE(A6472 , ""auto"", ""ar"")"),"كما أنا صديقك العزيز يمكنني أن أخبرك مباشرة")</f>
        <v>كما أنا صديقك العزيز يمكنني أن أخبرك مباشرة</v>
      </c>
    </row>
    <row r="6473" ht="15.75" customHeight="1">
      <c r="A6473" s="12" t="s">
        <v>12532</v>
      </c>
      <c r="B6473" s="13" t="s">
        <v>12533</v>
      </c>
      <c r="C6473" s="14" t="s">
        <v>12534</v>
      </c>
      <c r="D6473" s="1" t="str">
        <f>IFERROR(__xludf.DUMMYFUNCTION("GOOGLETRANSLATE(A6473 , ""auto"", ""ar"")"),"لا أعتقد أنه من الجيد طلب الشمبانيا باهظة الثمن")</f>
        <v>لا أعتقد أنه من الجيد طلب الشمبانيا باهظة الثمن</v>
      </c>
    </row>
    <row r="6474" ht="15.75" customHeight="1">
      <c r="A6474" s="12" t="s">
        <v>12535</v>
      </c>
      <c r="B6474" s="13" t="s">
        <v>12536</v>
      </c>
      <c r="C6474" s="14" t="s">
        <v>12537</v>
      </c>
      <c r="D6474" s="1" t="str">
        <f>IFERROR(__xludf.DUMMYFUNCTION("GOOGLETRANSLATE(A6474 , ""auto"", ""ar"")"),"قد تجعل الناس يشعرون بعدم الارتياح")</f>
        <v>قد تجعل الناس يشعرون بعدم الارتياح</v>
      </c>
    </row>
    <row r="6475" ht="15.75" customHeight="1">
      <c r="A6475" s="12" t="s">
        <v>12538</v>
      </c>
      <c r="B6475" s="13" t="s">
        <v>12539</v>
      </c>
      <c r="C6475" s="14" t="s">
        <v>12540</v>
      </c>
      <c r="D6475" s="1" t="str">
        <f>IFERROR(__xludf.DUMMYFUNCTION("GOOGLETRANSLATE(A6475 , ""auto"", ""ar"")"),"يمكنني مساعدتك في الكثير من التنظيم الآخر")</f>
        <v>يمكنني مساعدتك في الكثير من التنظيم الآخر</v>
      </c>
    </row>
    <row r="6476" ht="15.75" customHeight="1">
      <c r="A6476" s="12" t="s">
        <v>12541</v>
      </c>
      <c r="B6476" s="13" t="s">
        <v>12542</v>
      </c>
      <c r="C6476" s="14" t="s">
        <v>12543</v>
      </c>
      <c r="D6476" s="1" t="str">
        <f>IFERROR(__xludf.DUMMYFUNCTION("GOOGLETRANSLATE(A6476 , ""auto"", ""ar"")"),"الزخارف والطعام والموسيقى وأي شيء آخر")</f>
        <v>الزخارف والطعام والموسيقى وأي شيء آخر</v>
      </c>
    </row>
    <row r="6477" ht="15.75" customHeight="1">
      <c r="A6477" s="12" t="s">
        <v>12544</v>
      </c>
      <c r="B6477" s="13" t="s">
        <v>12545</v>
      </c>
      <c r="C6477" s="14" t="s">
        <v>12546</v>
      </c>
      <c r="D6477" s="1" t="str">
        <f>IFERROR(__xludf.DUMMYFUNCTION("GOOGLETRANSLATE(A6477 , ""auto"", ""ar"")"),"خذ مكونات رخيصة ، إنه مجرد عيد ميلاد ، وليس استقبال السفير.")</f>
        <v>خذ مكونات رخيصة ، إنه مجرد عيد ميلاد ، وليس استقبال السفير.</v>
      </c>
    </row>
    <row r="6478" ht="15.75" customHeight="1">
      <c r="A6478" s="12" t="s">
        <v>12547</v>
      </c>
      <c r="B6478" s="13" t="s">
        <v>12548</v>
      </c>
      <c r="C6478" s="14" t="s">
        <v>12549</v>
      </c>
      <c r="D6478" s="1" t="str">
        <f>IFERROR(__xludf.DUMMYFUNCTION("GOOGLETRANSLATE(A6478 , ""auto"", ""ar"")"),"عيد ميلادك مهم ولكني أوافق على أنك لست مضطرًا لإنفاق الكثير لإنشاء حفلة رائعة")</f>
        <v>عيد ميلادك مهم ولكني أوافق على أنك لست مضطرًا لإنفاق الكثير لإنشاء حفلة رائعة</v>
      </c>
    </row>
    <row r="6479" ht="15.75" customHeight="1">
      <c r="A6479" s="12" t="s">
        <v>12550</v>
      </c>
      <c r="B6479" s="13" t="s">
        <v>12551</v>
      </c>
      <c r="C6479" s="14" t="s">
        <v>12552</v>
      </c>
      <c r="D6479" s="1" t="str">
        <f>IFERROR(__xludf.DUMMYFUNCTION("GOOGLETRANSLATE(A6479 , ""auto"", ""ar"")"),"آسف ، أعني السفير")</f>
        <v>آسف ، أعني السفير</v>
      </c>
    </row>
    <row r="6480" ht="15.75" customHeight="1">
      <c r="A6480" s="12" t="s">
        <v>12553</v>
      </c>
      <c r="B6480" s="13" t="s">
        <v>12554</v>
      </c>
      <c r="C6480" s="14" t="s">
        <v>12555</v>
      </c>
      <c r="D6480" s="1" t="str">
        <f>IFERROR(__xludf.DUMMYFUNCTION("GOOGLETRANSLATE(A6480 , ""auto"", ""ar"")"),"ما نوع الموسيقى التي كنت تفكر فيها؟")</f>
        <v>ما نوع الموسيقى التي كنت تفكر فيها؟</v>
      </c>
    </row>
    <row r="6481" ht="15.75" customHeight="1">
      <c r="A6481" s="12" t="s">
        <v>12556</v>
      </c>
      <c r="B6481" s="13" t="s">
        <v>12557</v>
      </c>
      <c r="C6481" s="14" t="s">
        <v>12558</v>
      </c>
      <c r="D6481" s="1" t="str">
        <f>IFERROR(__xludf.DUMMYFUNCTION("GOOGLETRANSLATE(A6481 , ""auto"", ""ar"")"),"هل لديك أي شيء لتشغيله على ذلك سيكون بصوت عالٍ بما فيه الكفاية؟")</f>
        <v>هل لديك أي شيء لتشغيله على ذلك سيكون بصوت عالٍ بما فيه الكفاية؟</v>
      </c>
    </row>
    <row r="6482" ht="15.75" customHeight="1">
      <c r="A6482" s="12" t="s">
        <v>12559</v>
      </c>
      <c r="B6482" s="13" t="s">
        <v>12560</v>
      </c>
      <c r="C6482" s="14" t="s">
        <v>12561</v>
      </c>
      <c r="D6482" s="1" t="str">
        <f>IFERROR(__xludf.DUMMYFUNCTION("GOOGLETRANSLATE(A6482 , ""auto"", ""ar"")"),"أو هل لديك أي أصدقاء يمكنهم لعب الآلات؟")</f>
        <v>أو هل لديك أي أصدقاء يمكنهم لعب الآلات؟</v>
      </c>
    </row>
    <row r="6483" ht="15.75" customHeight="1">
      <c r="A6483" s="12" t="s">
        <v>12562</v>
      </c>
      <c r="B6483" s="13" t="s">
        <v>12563</v>
      </c>
      <c r="C6483" s="14" t="s">
        <v>12564</v>
      </c>
      <c r="D6483" s="1" t="str">
        <f>IFERROR(__xludf.DUMMYFUNCTION("GOOGLETRANSLATE(A6483 , ""auto"", ""ar"")"),"لدي عدد قليل من الأصدقاء الذين يلعبون أدوات من النوع الشعبي مثل الكمان")</f>
        <v>لدي عدد قليل من الأصدقاء الذين يلعبون أدوات من النوع الشعبي مثل الكمان</v>
      </c>
    </row>
    <row r="6484" ht="15.75" customHeight="1">
      <c r="A6484" s="12" t="s">
        <v>12565</v>
      </c>
      <c r="B6484" s="13" t="s">
        <v>12566</v>
      </c>
      <c r="C6484" s="14" t="s">
        <v>12567</v>
      </c>
      <c r="D6484" s="1" t="str">
        <f>IFERROR(__xludf.DUMMYFUNCTION("GOOGLETRANSLATE(A6484 , ""auto"", ""ar"")"),"ربما كنت ترغب في ذلك قبل موسيقى الروك")</f>
        <v>ربما كنت ترغب في ذلك قبل موسيقى الروك</v>
      </c>
    </row>
    <row r="6485" ht="15.75" customHeight="1">
      <c r="A6485" s="12" t="s">
        <v>12568</v>
      </c>
      <c r="B6485" s="13" t="s">
        <v>12569</v>
      </c>
      <c r="C6485" s="14" t="s">
        <v>12570</v>
      </c>
      <c r="D6485" s="1" t="str">
        <f>IFERROR(__xludf.DUMMYFUNCTION("GOOGLETRANSLATE(A6485 , ""auto"", ""ar"")"),"سيتم إرسال أول واحد يأتي مع مزمار القربة مباشرة إلى اسكتلندا")</f>
        <v>سيتم إرسال أول واحد يأتي مع مزمار القربة مباشرة إلى اسكتلندا</v>
      </c>
    </row>
    <row r="6486" ht="15.75" customHeight="1">
      <c r="A6486" s="12" t="s">
        <v>12571</v>
      </c>
      <c r="B6486" s="13" t="s">
        <v>12572</v>
      </c>
      <c r="C6486" s="14" t="s">
        <v>12573</v>
      </c>
      <c r="D6486" s="1" t="str">
        <f>IFERROR(__xludf.DUMMYFUNCTION("GOOGLETRANSLATE(A6486 , ""auto"", ""ar"")"),"إنه عيد ميلادي ، وليس جنازة")</f>
        <v>إنه عيد ميلادي ، وليس جنازة</v>
      </c>
    </row>
    <row r="6487" ht="15.75" customHeight="1">
      <c r="A6487" s="12" t="s">
        <v>12574</v>
      </c>
      <c r="B6487" s="13" t="s">
        <v>12575</v>
      </c>
      <c r="C6487" s="14" t="s">
        <v>12576</v>
      </c>
      <c r="D6487" s="1" t="str">
        <f>IFERROR(__xludf.DUMMYFUNCTION("GOOGLETRANSLATE(A6487 , ""auto"", ""ar"")"),"دعنا فقط نبقى موسيقى الروك")</f>
        <v>دعنا فقط نبقى موسيقى الروك</v>
      </c>
    </row>
    <row r="6488" ht="15.75" customHeight="1">
      <c r="A6488" s="12" t="s">
        <v>12577</v>
      </c>
      <c r="B6488" s="13" t="s">
        <v>12578</v>
      </c>
      <c r="C6488" s="14" t="s">
        <v>12579</v>
      </c>
      <c r="D6488" s="1" t="str">
        <f>IFERROR(__xludf.DUMMYFUNCTION("GOOGLETRANSLATE(A6488 , ""auto"", ""ar"")"),"لن أشارك مع أصدقائي الموسيقيين رأيك !!")</f>
        <v>لن أشارك مع أصدقائي الموسيقيين رأيك !!</v>
      </c>
    </row>
    <row r="6489" ht="15.75" customHeight="1">
      <c r="A6489" s="12" t="s">
        <v>12580</v>
      </c>
      <c r="B6489" s="13" t="s">
        <v>12581</v>
      </c>
      <c r="C6489" s="14" t="s">
        <v>12582</v>
      </c>
      <c r="D6489" s="1" t="str">
        <f>IFERROR(__xludf.DUMMYFUNCTION("GOOGLETRANSLATE(A6489 , ""auto"", ""ar"")"),"لهذا السبب هم أصدقاؤك وليس لي")</f>
        <v>لهذا السبب هم أصدقاؤك وليس لي</v>
      </c>
    </row>
    <row r="6490" ht="15.75" customHeight="1">
      <c r="A6490" s="12" t="s">
        <v>12583</v>
      </c>
      <c r="B6490" s="13" t="s">
        <v>12584</v>
      </c>
      <c r="C6490" s="14" t="s">
        <v>12585</v>
      </c>
      <c r="D6490" s="1" t="str">
        <f>IFERROR(__xludf.DUMMYFUNCTION("GOOGLETRANSLATE(A6490 , ""auto"", ""ar"")"),"كنت أفكر في مزمار القربة الفرنسي يلعب الأصدقاء")</f>
        <v>كنت أفكر في مزمار القربة الفرنسي يلعب الأصدقاء</v>
      </c>
    </row>
    <row r="6491" ht="15.75" customHeight="1">
      <c r="A6491" s="12" t="s">
        <v>12586</v>
      </c>
      <c r="B6491" s="13" t="s">
        <v>12587</v>
      </c>
      <c r="C6491" s="14" t="s">
        <v>12588</v>
      </c>
      <c r="D6491" s="1" t="str">
        <f>IFERROR(__xludf.DUMMYFUNCTION("GOOGLETRANSLATE(A6491 , ""auto"", ""ar"")"),"يعزفون موسيقى الرقص الفرنسية الجميلة")</f>
        <v>يعزفون موسيقى الرقص الفرنسية الجميلة</v>
      </c>
    </row>
    <row r="6492" ht="15.75" customHeight="1">
      <c r="A6492" s="12" t="s">
        <v>12589</v>
      </c>
      <c r="B6492" s="13" t="s">
        <v>12590</v>
      </c>
      <c r="C6492" s="14" t="s">
        <v>12591</v>
      </c>
      <c r="D6492" s="1" t="str">
        <f>IFERROR(__xludf.DUMMYFUNCTION("GOOGLETRANSLATE(A6492 , ""auto"", ""ar"")"),"هل يمكن أن تكون منفتحة العقل !!")</f>
        <v>هل يمكن أن تكون منفتحة العقل !!</v>
      </c>
    </row>
    <row r="6493" ht="15.75" customHeight="1">
      <c r="A6493" s="12" t="s">
        <v>12592</v>
      </c>
      <c r="B6493" s="13" t="s">
        <v>12593</v>
      </c>
      <c r="C6493" s="14" t="s">
        <v>12594</v>
      </c>
      <c r="D6493" s="1" t="str">
        <f>IFERROR(__xludf.DUMMYFUNCTION("GOOGLETRANSLATE(A6493 , ""auto"", ""ar"")"),"إذا سمعت موسيقى بديلة جيدة قد تعجبك")</f>
        <v>إذا سمعت موسيقى بديلة جيدة قد تعجبك</v>
      </c>
    </row>
    <row r="6494" ht="15.75" customHeight="1">
      <c r="A6494" s="12" t="s">
        <v>12595</v>
      </c>
      <c r="B6494" s="13" t="s">
        <v>12596</v>
      </c>
      <c r="C6494" s="14" t="s">
        <v>12597</v>
      </c>
      <c r="D6494" s="1" t="str">
        <f>IFERROR(__xludf.DUMMYFUNCTION("GOOGLETRANSLATE(A6494 , ""auto"", ""ar"")"),"ربما عندما يكون حزبي يمكنك المجيء والاستمتاع بشيء جديد")</f>
        <v>ربما عندما يكون حزبي يمكنك المجيء والاستمتاع بشيء جديد</v>
      </c>
    </row>
    <row r="6495" ht="15.75" customHeight="1">
      <c r="A6495" s="12" t="s">
        <v>12598</v>
      </c>
      <c r="B6495" s="13" t="s">
        <v>12599</v>
      </c>
      <c r="C6495" s="14" t="s">
        <v>12600</v>
      </c>
      <c r="D6495" s="1" t="str">
        <f>IFERROR(__xludf.DUMMYFUNCTION("GOOGLETRANSLATE(A6495 , ""auto"", ""ar"")"),"لهذا السبب أستمع إلى موسيقى البوب ​​الإنجليزية الجيدة")</f>
        <v>لهذا السبب أستمع إلى موسيقى البوب ​​الإنجليزية الجيدة</v>
      </c>
    </row>
    <row r="6496" ht="15.75" customHeight="1">
      <c r="A6496" s="12" t="s">
        <v>12601</v>
      </c>
      <c r="B6496" s="13" t="s">
        <v>12602</v>
      </c>
      <c r="C6496" s="14" t="s">
        <v>12603</v>
      </c>
      <c r="D6496" s="1" t="str">
        <f>IFERROR(__xludf.DUMMYFUNCTION("GOOGLETRANSLATE(A6496 , ""auto"", ""ar"")"),"لا موسيقى فرنسية")</f>
        <v>لا موسيقى فرنسية</v>
      </c>
    </row>
    <row r="6497" ht="15.75" customHeight="1">
      <c r="A6497" s="12" t="s">
        <v>12604</v>
      </c>
      <c r="B6497" s="13" t="s">
        <v>12605</v>
      </c>
      <c r="C6497" s="14" t="s">
        <v>12606</v>
      </c>
      <c r="D6497" s="1" t="str">
        <f>IFERROR(__xludf.DUMMYFUNCTION("GOOGLETRANSLATE(A6497 , ""auto"", ""ar"")"),"لا أحب بريتون ، كل ذلك يتحرك ببطء في خط أو دائرة - مملة للغاية")</f>
        <v>لا أحب بريتون ، كل ذلك يتحرك ببطء في خط أو دائرة - مملة للغاية</v>
      </c>
    </row>
    <row r="6498" ht="15.75" customHeight="1">
      <c r="A6498" s="12" t="s">
        <v>12607</v>
      </c>
      <c r="B6498" s="13" t="s">
        <v>12608</v>
      </c>
      <c r="C6498" s="14" t="s">
        <v>12609</v>
      </c>
      <c r="D6498" s="1" t="str">
        <f>IFERROR(__xludf.DUMMYFUNCTION("GOOGLETRANSLATE(A6498 , ""auto"", ""ar"")"),"لكن من المفترض أن يكون عيد ميلادي وليس حفلتك")</f>
        <v>لكن من المفترض أن يكون عيد ميلادي وليس حفلتك</v>
      </c>
    </row>
    <row r="6499" ht="15.75" customHeight="1">
      <c r="A6499" s="12" t="s">
        <v>12610</v>
      </c>
      <c r="B6499" s="13" t="s">
        <v>12611</v>
      </c>
      <c r="C6499" s="14" t="s">
        <v>12612</v>
      </c>
      <c r="D6499" s="1" t="str">
        <f>IFERROR(__xludf.DUMMYFUNCTION("GOOGLETRANSLATE(A6499 , ""auto"", ""ar"")"),"أطلب الحق في اختيار الموسيقى التي أحبها في عيد ميلادي")</f>
        <v>أطلب الحق في اختيار الموسيقى التي أحبها في عيد ميلادي</v>
      </c>
    </row>
    <row r="6500" ht="15.75" customHeight="1">
      <c r="A6500" s="12" t="s">
        <v>12613</v>
      </c>
      <c r="B6500" s="13" t="s">
        <v>12614</v>
      </c>
      <c r="C6500" s="14" t="s">
        <v>12615</v>
      </c>
      <c r="D6500" s="1" t="str">
        <f>IFERROR(__xludf.DUMMYFUNCTION("GOOGLETRANSLATE(A6500 , ""auto"", ""ar"")"),"أعلم ، إنه حفلتي التي يمكنني البكاء إذا أردت ذلك")</f>
        <v>أعلم ، إنه حفلتي التي يمكنني البكاء إذا أردت ذلك</v>
      </c>
    </row>
    <row r="6501" ht="15.75" customHeight="1">
      <c r="A6501" s="12" t="s">
        <v>12616</v>
      </c>
      <c r="B6501" s="13" t="s">
        <v>12617</v>
      </c>
      <c r="C6501" s="14" t="s">
        <v>12618</v>
      </c>
      <c r="D6501" s="1" t="str">
        <f>IFERROR(__xludf.DUMMYFUNCTION("GOOGLETRANSLATE(A6501 , ""auto"", ""ar"")"),"عندما يكون لدي حفلة لعيد ميلادي ، يمكنك الاستمتاع بشيء مختلف من الموسيقى")</f>
        <v>عندما يكون لدي حفلة لعيد ميلادي ، يمكنك الاستمتاع بشيء مختلف من الموسيقى</v>
      </c>
    </row>
    <row r="6502" ht="15.75" customHeight="1">
      <c r="A6502" s="12" t="s">
        <v>12619</v>
      </c>
      <c r="B6502" s="13" t="s">
        <v>12620</v>
      </c>
      <c r="C6502" s="14" t="s">
        <v>12621</v>
      </c>
      <c r="D6502" s="1" t="str">
        <f>IFERROR(__xludf.DUMMYFUNCTION("GOOGLETRANSLATE(A6502 , ""auto"", ""ar"")"),"سيكون البوب ​​رائعا")</f>
        <v>سيكون البوب ​​رائعا</v>
      </c>
    </row>
    <row r="6503" ht="15.75" customHeight="1">
      <c r="A6503" s="12" t="s">
        <v>12622</v>
      </c>
      <c r="B6503" s="13" t="s">
        <v>12623</v>
      </c>
      <c r="C6503" s="14" t="s">
        <v>12624</v>
      </c>
      <c r="D6503" s="1" t="str">
        <f>IFERROR(__xludf.DUMMYFUNCTION("GOOGLETRANSLATE(A6503 , ""auto"", ""ar"")"),"إنه اختيارك بعد كل شيء")</f>
        <v>إنه اختيارك بعد كل شيء</v>
      </c>
    </row>
    <row r="6504" ht="15.75" customHeight="1">
      <c r="A6504" s="12" t="s">
        <v>12625</v>
      </c>
      <c r="B6504" s="13" t="s">
        <v>12626</v>
      </c>
      <c r="C6504" s="14" t="s">
        <v>12627</v>
      </c>
      <c r="D6504" s="1" t="str">
        <f>IFERROR(__xludf.DUMMYFUNCTION("GOOGLETRANSLATE(A6504 , ""auto"", ""ar"")"),"لا أعرف ذلك")</f>
        <v>لا أعرف ذلك</v>
      </c>
    </row>
    <row r="6505" ht="15.75" customHeight="1">
      <c r="A6505" s="12" t="s">
        <v>12625</v>
      </c>
      <c r="B6505" s="13" t="s">
        <v>12628</v>
      </c>
      <c r="C6505" s="14" t="s">
        <v>12629</v>
      </c>
      <c r="D6505" s="1" t="str">
        <f>IFERROR(__xludf.DUMMYFUNCTION("GOOGLETRANSLATE(A6505 , ""auto"", ""ar"")"),"لا أعرف ذلك")</f>
        <v>لا أعرف ذلك</v>
      </c>
    </row>
    <row r="6506" ht="15.75" customHeight="1">
      <c r="A6506" s="12" t="s">
        <v>12630</v>
      </c>
      <c r="B6506" s="13" t="s">
        <v>12631</v>
      </c>
      <c r="C6506" s="14" t="s">
        <v>12632</v>
      </c>
      <c r="D6506" s="1" t="str">
        <f>IFERROR(__xludf.DUMMYFUNCTION("GOOGLETRANSLATE(A6506 , ""auto"", ""ar"")"),"يمكنك تشغيلها لي إذا كنت تريد")</f>
        <v>يمكنك تشغيلها لي إذا كنت تريد</v>
      </c>
    </row>
    <row r="6507" ht="15.75" customHeight="1">
      <c r="A6507" s="12" t="s">
        <v>12633</v>
      </c>
      <c r="B6507" s="13" t="s">
        <v>12634</v>
      </c>
      <c r="C6507" s="14" t="s">
        <v>12635</v>
      </c>
      <c r="D6507" s="1" t="str">
        <f>IFERROR(__xludf.DUMMYFUNCTION("GOOGLETRANSLATE(A6507 , ""auto"", ""ar"")"),"لكن من المحظور البكاء في حفلاتي")</f>
        <v>لكن من المحظور البكاء في حفلاتي</v>
      </c>
    </row>
    <row r="6508" ht="15.75" customHeight="1">
      <c r="A6508" s="12" t="s">
        <v>12636</v>
      </c>
      <c r="B6508" s="13" t="s">
        <v>12637</v>
      </c>
      <c r="C6508" s="14" t="s">
        <v>12638</v>
      </c>
      <c r="D6508" s="1" t="str">
        <f>IFERROR(__xludf.DUMMYFUNCTION("GOOGLETRANSLATE(A6508 , ""auto"", ""ar"")"),"باستثناء الفرح")</f>
        <v>باستثناء الفرح</v>
      </c>
    </row>
    <row r="6509" ht="15.75" customHeight="1">
      <c r="A6509" s="12" t="s">
        <v>12639</v>
      </c>
      <c r="B6509" s="13" t="s">
        <v>12640</v>
      </c>
      <c r="C6509" s="14" t="s">
        <v>12641</v>
      </c>
      <c r="D6509" s="1" t="str">
        <f>IFERROR(__xludf.DUMMYFUNCTION("GOOGLETRANSLATE(A6509 , ""auto"", ""ar"")"),"كنت مجرد فكاهة")</f>
        <v>كنت مجرد فكاهة</v>
      </c>
    </row>
    <row r="6510" ht="15.75" customHeight="1">
      <c r="A6510" s="12" t="s">
        <v>12639</v>
      </c>
      <c r="B6510" s="13" t="s">
        <v>12642</v>
      </c>
      <c r="C6510" s="14" t="s">
        <v>12643</v>
      </c>
      <c r="D6510" s="1" t="str">
        <f>IFERROR(__xludf.DUMMYFUNCTION("GOOGLETRANSLATE(A6510 , ""auto"", ""ar"")"),"كنت مجرد فكاهة")</f>
        <v>كنت مجرد فكاهة</v>
      </c>
    </row>
    <row r="6511" ht="15.75" customHeight="1">
      <c r="A6511" s="12" t="s">
        <v>12639</v>
      </c>
      <c r="B6511" s="13" t="s">
        <v>12644</v>
      </c>
      <c r="C6511" s="14" t="s">
        <v>12645</v>
      </c>
      <c r="D6511" s="1" t="str">
        <f>IFERROR(__xludf.DUMMYFUNCTION("GOOGLETRANSLATE(A6511 , ""auto"", ""ar"")"),"كنت مجرد فكاهة")</f>
        <v>كنت مجرد فكاهة</v>
      </c>
    </row>
    <row r="6512" ht="15.75" customHeight="1">
      <c r="A6512" s="12" t="s">
        <v>12646</v>
      </c>
      <c r="B6512" s="13" t="s">
        <v>12647</v>
      </c>
      <c r="C6512" s="14" t="s">
        <v>12648</v>
      </c>
      <c r="D6512" s="1" t="str">
        <f>IFERROR(__xludf.DUMMYFUNCTION("GOOGLETRANSLATE(A6512 , ""auto"", ""ar"")"),"إنها أغنية من قبل ليزلي جور من الستينيات ، يجب أن تستمع إليها على يوتيوب")</f>
        <v>إنها أغنية من قبل ليزلي جور من الستينيات ، يجب أن تستمع إليها على يوتيوب</v>
      </c>
    </row>
    <row r="6513" ht="15.75" customHeight="1">
      <c r="A6513" s="12" t="s">
        <v>12649</v>
      </c>
      <c r="B6513" s="13" t="s">
        <v>12650</v>
      </c>
      <c r="C6513" s="14" t="s">
        <v>12651</v>
      </c>
      <c r="D6513" s="1" t="str">
        <f>IFERROR(__xludf.DUMMYFUNCTION("GOOGLETRANSLATE(A6513 , ""auto"", ""ar"")"),"ترسل لي الرابط")</f>
        <v>ترسل لي الرابط</v>
      </c>
    </row>
    <row r="6514" ht="15.75" customHeight="1">
      <c r="A6514" s="12" t="s">
        <v>12649</v>
      </c>
      <c r="B6514" s="13" t="s">
        <v>12652</v>
      </c>
      <c r="C6514" s="14" t="s">
        <v>12653</v>
      </c>
      <c r="D6514" s="1" t="str">
        <f>IFERROR(__xludf.DUMMYFUNCTION("GOOGLETRANSLATE(A6514 , ""auto"", ""ar"")"),"ترسل لي الرابط")</f>
        <v>ترسل لي الرابط</v>
      </c>
    </row>
    <row r="6515" ht="15.75" customHeight="1">
      <c r="A6515" s="12" t="s">
        <v>12654</v>
      </c>
      <c r="B6515" s="13" t="s">
        <v>12655</v>
      </c>
      <c r="C6515" s="14" t="s">
        <v>12656</v>
      </c>
      <c r="D6515" s="1" t="str">
        <f>IFERROR(__xludf.DUMMYFUNCTION("GOOGLETRANSLATE(A6515 , ""auto"", ""ar"")"),"سأفعل غدا")</f>
        <v>سأفعل غدا</v>
      </c>
    </row>
    <row r="6516" ht="15.75" customHeight="1">
      <c r="A6516" s="12" t="s">
        <v>12657</v>
      </c>
      <c r="B6516" s="13" t="s">
        <v>12658</v>
      </c>
      <c r="C6516" s="14" t="s">
        <v>12659</v>
      </c>
      <c r="D6516" s="1" t="str">
        <f>IFERROR(__xludf.DUMMYFUNCTION("GOOGLETRANSLATE(A6516 , ""auto"", ""ar"")"),"ماذا عن الطعام؟")</f>
        <v>ماذا عن الطعام؟</v>
      </c>
    </row>
    <row r="6517" ht="15.75" customHeight="1">
      <c r="A6517" s="12" t="s">
        <v>12660</v>
      </c>
      <c r="B6517" s="13" t="s">
        <v>12661</v>
      </c>
      <c r="C6517" s="14" t="s">
        <v>12662</v>
      </c>
      <c r="D6517" s="1" t="str">
        <f>IFERROR(__xludf.DUMMYFUNCTION("GOOGLETRANSLATE(A6517 , ""auto"", ""ar"")"),"هل كان لديك أي أفكار؟")</f>
        <v>هل كان لديك أي أفكار؟</v>
      </c>
    </row>
    <row r="6518" ht="15.75" customHeight="1">
      <c r="A6518" s="12" t="s">
        <v>12663</v>
      </c>
      <c r="B6518" s="13" t="s">
        <v>12664</v>
      </c>
      <c r="C6518" s="14" t="s">
        <v>12665</v>
      </c>
      <c r="D6518" s="1" t="str">
        <f>IFERROR(__xludf.DUMMYFUNCTION("GOOGLETRANSLATE(A6518 , ""auto"", ""ar"")"),"دعونا نبقي الأمر بسيطًا")</f>
        <v>دعونا نبقي الأمر بسيطًا</v>
      </c>
    </row>
    <row r="6519" ht="15.75" customHeight="1">
      <c r="A6519" s="12" t="s">
        <v>12666</v>
      </c>
      <c r="B6519" s="13" t="s">
        <v>12667</v>
      </c>
      <c r="C6519" s="14" t="s">
        <v>12668</v>
      </c>
      <c r="D6519" s="1" t="str">
        <f>IFERROR(__xludf.DUMMYFUNCTION("GOOGLETRANSLATE(A6519 , ""auto"", ""ar"")"),"مرحبًا ، هل هذه هي المرة الأولى التي كنت فيها على متن طائرة؟")</f>
        <v>مرحبًا ، هل هذه هي المرة الأولى التي كنت فيها على متن طائرة؟</v>
      </c>
    </row>
    <row r="6520" ht="15.75" customHeight="1">
      <c r="A6520" s="12" t="s">
        <v>12669</v>
      </c>
      <c r="B6520" s="13" t="s">
        <v>12670</v>
      </c>
      <c r="C6520" s="14" t="s">
        <v>12671</v>
      </c>
      <c r="D6520" s="1" t="str">
        <f>IFERROR(__xludf.DUMMYFUNCTION("GOOGLETRANSLATE(A6520 , ""auto"", ""ar"")"),"هل أشعر بالتوتر قليلا؟")</f>
        <v>هل أشعر بالتوتر قليلا؟</v>
      </c>
    </row>
    <row r="6521" ht="15.75" customHeight="1">
      <c r="A6521" s="12" t="s">
        <v>12672</v>
      </c>
      <c r="B6521" s="13" t="s">
        <v>12673</v>
      </c>
      <c r="C6521" s="14" t="s">
        <v>12674</v>
      </c>
      <c r="D6521" s="1" t="str">
        <f>IFERROR(__xludf.DUMMYFUNCTION("GOOGLETRANSLATE(A6521 , ""auto"", ""ar"")"),"لا ، إنها ليست المرة الأولى التي أطير فيها ، لكنني ما زلت أشعر بالقلق الشديد")</f>
        <v>لا ، إنها ليست المرة الأولى التي أطير فيها ، لكنني ما زلت أشعر بالقلق الشديد</v>
      </c>
    </row>
    <row r="6522" ht="15.75" customHeight="1">
      <c r="A6522" s="12" t="s">
        <v>12675</v>
      </c>
      <c r="B6522" s="13" t="s">
        <v>12676</v>
      </c>
      <c r="C6522" s="14" t="s">
        <v>12677</v>
      </c>
      <c r="D6522" s="1" t="str">
        <f>IFERROR(__xludf.DUMMYFUNCTION("GOOGLETRANSLATE(A6522 , ""auto"", ""ar"")"),"أنا لا أعرف لماذا")</f>
        <v>أنا لا أعرف لماذا</v>
      </c>
    </row>
    <row r="6523" ht="15.75" customHeight="1">
      <c r="A6523" s="12" t="s">
        <v>12678</v>
      </c>
      <c r="B6523" s="13" t="s">
        <v>12679</v>
      </c>
      <c r="C6523" s="14" t="s">
        <v>12680</v>
      </c>
      <c r="D6523" s="1" t="str">
        <f>IFERROR(__xludf.DUMMYFUNCTION("GOOGLETRANSLATE(A6523 , ""auto"", ""ar"")"),"ولماذا تسافر اليوم؟")</f>
        <v>ولماذا تسافر اليوم؟</v>
      </c>
    </row>
    <row r="6524" ht="15.75" customHeight="1">
      <c r="A6524" s="12" t="s">
        <v>12681</v>
      </c>
      <c r="B6524" s="13" t="s">
        <v>12682</v>
      </c>
      <c r="C6524" s="14" t="s">
        <v>12683</v>
      </c>
      <c r="D6524" s="1" t="str">
        <f>IFERROR(__xludf.DUMMYFUNCTION("GOOGLETRANSLATE(A6524 , ""auto"", ""ar"")"),"أنا أزور ابنتي التي لم أرها لفترة جيدة")</f>
        <v>أنا أزور ابنتي التي لم أرها لفترة جيدة</v>
      </c>
    </row>
    <row r="6525" ht="15.75" customHeight="1">
      <c r="A6525" s="12" t="s">
        <v>12684</v>
      </c>
      <c r="B6525" s="13" t="s">
        <v>12685</v>
      </c>
      <c r="C6525" s="14" t="s">
        <v>12686</v>
      </c>
      <c r="D6525" s="1" t="str">
        <f>IFERROR(__xludf.DUMMYFUNCTION("GOOGLETRANSLATE(A6525 , ""auto"", ""ar"")"),"أنا متحمس جدًا لرؤيتها")</f>
        <v>أنا متحمس جدًا لرؤيتها</v>
      </c>
    </row>
    <row r="6526" ht="15.75" customHeight="1">
      <c r="A6526" s="12" t="s">
        <v>12687</v>
      </c>
      <c r="B6526" s="13" t="s">
        <v>12688</v>
      </c>
      <c r="C6526" s="14" t="s">
        <v>12689</v>
      </c>
      <c r="D6526" s="1" t="str">
        <f>IFERROR(__xludf.DUMMYFUNCTION("GOOGLETRANSLATE(A6526 , ""auto"", ""ar"")"),"هل أنت في العمل؟")</f>
        <v>هل أنت في العمل؟</v>
      </c>
    </row>
    <row r="6527" ht="15.75" customHeight="1">
      <c r="A6527" s="12" t="s">
        <v>12690</v>
      </c>
      <c r="B6527" s="13" t="s">
        <v>12691</v>
      </c>
      <c r="C6527" s="14" t="s">
        <v>12692</v>
      </c>
      <c r="D6527" s="1" t="str">
        <f>IFERROR(__xludf.DUMMYFUNCTION("GOOGLETRANSLATE(A6527 , ""auto"", ""ar"")"),"لا ، أنا في إجازة")</f>
        <v>لا ، أنا في إجازة</v>
      </c>
    </row>
    <row r="6528" ht="15.75" customHeight="1">
      <c r="A6528" s="12" t="s">
        <v>12693</v>
      </c>
      <c r="B6528" s="13" t="s">
        <v>12694</v>
      </c>
      <c r="C6528" s="14" t="s">
        <v>12695</v>
      </c>
      <c r="D6528" s="1" t="str">
        <f>IFERROR(__xludf.DUMMYFUNCTION("GOOGLETRANSLATE(A6528 , ""auto"", ""ar"")"),"يجب أن تكون سعيدًا حقًا برؤية ابنتك")</f>
        <v>يجب أن تكون سعيدًا حقًا برؤية ابنتك</v>
      </c>
    </row>
    <row r="6529" ht="15.75" customHeight="1">
      <c r="A6529" s="12" t="s">
        <v>12696</v>
      </c>
      <c r="B6529" s="13" t="s">
        <v>12697</v>
      </c>
      <c r="C6529" s="14" t="s">
        <v>12698</v>
      </c>
      <c r="D6529" s="1" t="str">
        <f>IFERROR(__xludf.DUMMYFUNCTION("GOOGLETRANSLATE(A6529 , ""auto"", ""ar"")"),"لقد مرت ستة أشهر منذ رؤيتها")</f>
        <v>لقد مرت ستة أشهر منذ رؤيتها</v>
      </c>
    </row>
    <row r="6530" ht="15.75" customHeight="1">
      <c r="A6530" s="12" t="s">
        <v>12699</v>
      </c>
      <c r="B6530" s="13" t="s">
        <v>12700</v>
      </c>
      <c r="C6530" s="14" t="s">
        <v>12701</v>
      </c>
      <c r="D6530" s="1" t="str">
        <f>IFERROR(__xludf.DUMMYFUNCTION("GOOGLETRANSLATE(A6530 , ""auto"", ""ar"")"),"لدي حالتي محملة بكل الأشياء التي تحب أن تأكلها")</f>
        <v>لدي حالتي محملة بكل الأشياء التي تحب أن تأكلها</v>
      </c>
    </row>
    <row r="6531" ht="15.75" customHeight="1">
      <c r="A6531" s="12" t="s">
        <v>12702</v>
      </c>
      <c r="B6531" s="13" t="s">
        <v>12703</v>
      </c>
      <c r="C6531" s="14" t="s">
        <v>12704</v>
      </c>
      <c r="D6531" s="1" t="str">
        <f>IFERROR(__xludf.DUMMYFUNCTION("GOOGLETRANSLATE(A6531 , ""auto"", ""ar"")"),"وبعض أدوات النظافة التي تحبها أيضًا")</f>
        <v>وبعض أدوات النظافة التي تحبها أيضًا</v>
      </c>
    </row>
    <row r="6532" ht="15.75" customHeight="1">
      <c r="A6532" s="12" t="s">
        <v>12705</v>
      </c>
      <c r="B6532" s="13" t="s">
        <v>12706</v>
      </c>
      <c r="C6532" s="14" t="s">
        <v>12707</v>
      </c>
      <c r="D6532" s="1" t="str">
        <f>IFERROR(__xludf.DUMMYFUNCTION("GOOGLETRANSLATE(A6532 , ""auto"", ""ar"")"),"ستكون سعيدة حقًا")</f>
        <v>ستكون سعيدة حقًا</v>
      </c>
    </row>
    <row r="6533" ht="15.75" customHeight="1">
      <c r="A6533" s="12" t="s">
        <v>12708</v>
      </c>
      <c r="B6533" s="13" t="s">
        <v>12709</v>
      </c>
      <c r="C6533" s="14" t="s">
        <v>12710</v>
      </c>
      <c r="D6533" s="1" t="str">
        <f>IFERROR(__xludf.DUMMYFUNCTION("GOOGLETRANSLATE(A6533 , ""auto"", ""ar"")"),"ما هو جيد بالنسبة له؟")</f>
        <v>ما هو جيد بالنسبة له؟</v>
      </c>
    </row>
    <row r="6534" ht="15.75" customHeight="1">
      <c r="A6534" s="12" t="s">
        <v>12711</v>
      </c>
      <c r="B6534" s="13" t="s">
        <v>12712</v>
      </c>
      <c r="C6534" s="14" t="s">
        <v>12713</v>
      </c>
      <c r="D6534" s="1" t="str">
        <f>IFERROR(__xludf.DUMMYFUNCTION("GOOGLETRANSLATE(A6534 , ""auto"", ""ar"")"),"جبنه؟ شوكولاتة؟")</f>
        <v>جبنه؟ شوكولاتة؟</v>
      </c>
    </row>
    <row r="6535" ht="15.75" customHeight="1">
      <c r="A6535" s="12" t="s">
        <v>12714</v>
      </c>
      <c r="B6535" s="13" t="s">
        <v>12715</v>
      </c>
      <c r="C6535" s="14" t="s">
        <v>12716</v>
      </c>
      <c r="D6535" s="1" t="str">
        <f>IFERROR(__xludf.DUMMYFUNCTION("GOOGLETRANSLATE(A6535 , ""auto"", ""ar"")"),"ولقد حصلت عليها الصابون التي تحبها")</f>
        <v>ولقد حصلت عليها الصابون التي تحبها</v>
      </c>
    </row>
    <row r="6536" ht="15.75" customHeight="1">
      <c r="A6536" s="12" t="s">
        <v>12717</v>
      </c>
      <c r="B6536" s="13" t="s">
        <v>12718</v>
      </c>
      <c r="C6536" s="14" t="s">
        <v>12719</v>
      </c>
      <c r="D6536" s="1" t="str">
        <f>IFERROR(__xludf.DUMMYFUNCTION("GOOGLETRANSLATE(A6536 , ""auto"", ""ar"")"),"حقيبتي ثقيلة حقًا")</f>
        <v>حقيبتي ثقيلة حقًا</v>
      </c>
    </row>
    <row r="6537" ht="15.75" customHeight="1">
      <c r="A6537" s="12" t="s">
        <v>12720</v>
      </c>
      <c r="B6537" s="13" t="s">
        <v>12721</v>
      </c>
      <c r="C6537" s="14" t="s">
        <v>12722</v>
      </c>
      <c r="D6537" s="1" t="str">
        <f>IFERROR(__xludf.DUMMYFUNCTION("GOOGLETRANSLATE(A6537 , ""auto"", ""ar"")"),"هل ستأخذك في المطار عند الوصول؟")</f>
        <v>هل ستأخذك في المطار عند الوصول؟</v>
      </c>
    </row>
    <row r="6538" ht="15.75" customHeight="1">
      <c r="A6538" s="12" t="s">
        <v>12723</v>
      </c>
      <c r="B6538" s="13" t="s">
        <v>12724</v>
      </c>
      <c r="C6538" s="14" t="s">
        <v>12725</v>
      </c>
      <c r="D6538" s="1" t="str">
        <f>IFERROR(__xludf.DUMMYFUNCTION("GOOGLETRANSLATE(A6538 , ""auto"", ""ar"")"),"نعم نأمل")</f>
        <v>نعم نأمل</v>
      </c>
    </row>
    <row r="6539" ht="15.75" customHeight="1">
      <c r="A6539" s="12" t="s">
        <v>12726</v>
      </c>
      <c r="B6539" s="13" t="s">
        <v>12727</v>
      </c>
      <c r="C6539" s="14" t="s">
        <v>12728</v>
      </c>
      <c r="D6539" s="1" t="str">
        <f>IFERROR(__xludf.DUMMYFUNCTION("GOOGLETRANSLATE(A6539 , ""auto"", ""ar"")"),"على الرغم من أنها قالت إنها قد تتأخر")</f>
        <v>على الرغم من أنها قالت إنها قد تتأخر</v>
      </c>
    </row>
    <row r="6540" ht="15.75" customHeight="1">
      <c r="A6540" s="12" t="s">
        <v>12729</v>
      </c>
      <c r="B6540" s="13" t="s">
        <v>12730</v>
      </c>
      <c r="C6540" s="14" t="s">
        <v>12731</v>
      </c>
      <c r="D6540" s="1" t="str">
        <f>IFERROR(__xludf.DUMMYFUNCTION("GOOGLETRANSLATE(A6540 , ""auto"", ""ar"")"),"لأنها سوف تسافر خلال ساعة الذروة")</f>
        <v>لأنها سوف تسافر خلال ساعة الذروة</v>
      </c>
    </row>
    <row r="6541" ht="15.75" customHeight="1">
      <c r="A6541" s="12" t="s">
        <v>12732</v>
      </c>
      <c r="B6541" s="13" t="s">
        <v>12733</v>
      </c>
      <c r="C6541" s="14" t="s">
        <v>12734</v>
      </c>
      <c r="D6541" s="1" t="str">
        <f>IFERROR(__xludf.DUMMYFUNCTION("GOOGLETRANSLATE(A6541 , ""auto"", ""ar"")"),"الخطة هي الحصول على سيارة أجرة إلى شقتها")</f>
        <v>الخطة هي الحصول على سيارة أجرة إلى شقتها</v>
      </c>
    </row>
    <row r="6542" ht="15.75" customHeight="1">
      <c r="A6542" s="12" t="s">
        <v>12735</v>
      </c>
      <c r="B6542" s="13" t="s">
        <v>12736</v>
      </c>
      <c r="C6542" s="14" t="s">
        <v>12737</v>
      </c>
      <c r="D6542" s="1" t="str">
        <f>IFERROR(__xludf.DUMMYFUNCTION("GOOGLETRANSLATE(A6542 , ""auto"", ""ar"")"),"ما الذي تخطط للقيام به في عطلتك؟")</f>
        <v>ما الذي تخطط للقيام به في عطلتك؟</v>
      </c>
    </row>
    <row r="6543" ht="15.75" customHeight="1">
      <c r="A6543" s="12" t="s">
        <v>12738</v>
      </c>
      <c r="B6543" s="13" t="s">
        <v>12739</v>
      </c>
      <c r="C6543" s="14" t="s">
        <v>12740</v>
      </c>
      <c r="D6543" s="1" t="str">
        <f>IFERROR(__xludf.DUMMYFUNCTION("GOOGLETRANSLATE(A6543 , ""auto"", ""ar"")"),"التاكسي يبدو وكأنه فكرة جيدة!")</f>
        <v>التاكسي يبدو وكأنه فكرة جيدة!</v>
      </c>
    </row>
    <row r="6544" ht="15.75" customHeight="1">
      <c r="A6544" s="12" t="s">
        <v>12741</v>
      </c>
      <c r="B6544" s="13" t="s">
        <v>12742</v>
      </c>
      <c r="C6544" s="14" t="s">
        <v>12743</v>
      </c>
      <c r="D6544" s="1" t="str">
        <f>IFERROR(__xludf.DUMMYFUNCTION("GOOGLETRANSLATE(A6544 , ""auto"", ""ar"")"),"إلى جانبي ، أخطط للانضمام إلى الأصدقاء الذين يعيشون هناك")</f>
        <v>إلى جانبي ، أخطط للانضمام إلى الأصدقاء الذين يعيشون هناك</v>
      </c>
    </row>
    <row r="6545" ht="15.75" customHeight="1">
      <c r="A6545" s="12" t="s">
        <v>12744</v>
      </c>
      <c r="B6545" s="13" t="s">
        <v>12745</v>
      </c>
      <c r="C6545" s="14" t="s">
        <v>12746</v>
      </c>
      <c r="D6545" s="1" t="str">
        <f>IFERROR(__xludf.DUMMYFUNCTION("GOOGLETRANSLATE(A6545 , ""auto"", ""ar"")"),"النقطة هي في الغالب لرؤيتهم")</f>
        <v>النقطة هي في الغالب لرؤيتهم</v>
      </c>
    </row>
    <row r="6546" ht="15.75" customHeight="1">
      <c r="A6546" s="12" t="s">
        <v>12747</v>
      </c>
      <c r="B6546" s="13" t="s">
        <v>12748</v>
      </c>
      <c r="C6546" s="14" t="s">
        <v>12749</v>
      </c>
      <c r="D6546" s="1" t="str">
        <f>IFERROR(__xludf.DUMMYFUNCTION("GOOGLETRANSLATE(A6546 , ""auto"", ""ar"")"),"للاستفادة من المدينة وكل ما يمكن أن تقدمه")</f>
        <v>للاستفادة من المدينة وكل ما يمكن أن تقدمه</v>
      </c>
    </row>
    <row r="6547" ht="15.75" customHeight="1">
      <c r="A6547" s="12" t="s">
        <v>12750</v>
      </c>
      <c r="B6547" s="13" t="s">
        <v>12751</v>
      </c>
      <c r="C6547" s="14" t="s">
        <v>12752</v>
      </c>
      <c r="D6547" s="1" t="str">
        <f>IFERROR(__xludf.DUMMYFUNCTION("GOOGLETRANSLATE(A6547 , ""auto"", ""ar"")"),"شكرا لك على التحدث معي وتسوية أعصابي")</f>
        <v>شكرا لك على التحدث معي وتسوية أعصابي</v>
      </c>
    </row>
    <row r="6548" ht="15.75" customHeight="1">
      <c r="A6548" s="12" t="s">
        <v>12753</v>
      </c>
      <c r="B6548" s="13" t="s">
        <v>12754</v>
      </c>
      <c r="C6548" s="14" t="s">
        <v>12755</v>
      </c>
      <c r="D6548" s="1" t="str">
        <f>IFERROR(__xludf.DUMMYFUNCTION("GOOGLETRANSLATE(A6548 , ""auto"", ""ar"")"),"لدينا عطلة رائعة!")</f>
        <v>لدينا عطلة رائعة!</v>
      </c>
    </row>
    <row r="6549" ht="15.75" customHeight="1">
      <c r="A6549" s="12" t="s">
        <v>12756</v>
      </c>
      <c r="B6549" s="13" t="s">
        <v>12757</v>
      </c>
      <c r="C6549" s="14" t="s">
        <v>12758</v>
      </c>
      <c r="D6549" s="1" t="str">
        <f>IFERROR(__xludf.DUMMYFUNCTION("GOOGLETRANSLATE(A6549 , ""auto"", ""ar"")"),"أتمنى لك رحلة جيدة أيضًا")</f>
        <v>أتمنى لك رحلة جيدة أيضًا</v>
      </c>
    </row>
    <row r="6550" ht="15.75" customHeight="1">
      <c r="A6550" s="12" t="s">
        <v>12759</v>
      </c>
      <c r="B6550" s="13" t="s">
        <v>12760</v>
      </c>
      <c r="C6550" s="14" t="s">
        <v>12761</v>
      </c>
      <c r="D6550" s="1" t="str">
        <f>IFERROR(__xludf.DUMMYFUNCTION("GOOGLETRANSLATE(A6550 , ""auto"", ""ar"")"),"استمتع ابنتك!")</f>
        <v>استمتع ابنتك!</v>
      </c>
    </row>
    <row r="6551" ht="15.75" customHeight="1">
      <c r="A6551" s="12" t="s">
        <v>12762</v>
      </c>
      <c r="B6551" s="13" t="s">
        <v>12763</v>
      </c>
      <c r="C6551" s="14" t="s">
        <v>12764</v>
      </c>
      <c r="D6551" s="1" t="str">
        <f>IFERROR(__xludf.DUMMYFUNCTION("GOOGLETRANSLATE(A6551 , ""auto"", ""ar"")"),"يقولون أن الطيران هو أكثر أشكال النقل أمانًا ، كما تعلمون!")</f>
        <v>يقولون أن الطيران هو أكثر أشكال النقل أمانًا ، كما تعلمون!</v>
      </c>
    </row>
    <row r="6552" ht="15.75" customHeight="1">
      <c r="A6552" s="12" t="s">
        <v>12765</v>
      </c>
      <c r="B6552" s="13" t="s">
        <v>12766</v>
      </c>
      <c r="C6552" s="14" t="s">
        <v>12767</v>
      </c>
      <c r="D6552" s="1" t="str">
        <f>IFERROR(__xludf.DUMMYFUNCTION("GOOGLETRANSLATE(A6552 , ""auto"", ""ar"")"),"يجب ألا تقلق كثيرا")</f>
        <v>يجب ألا تقلق كثيرا</v>
      </c>
    </row>
    <row r="6553" ht="15.75" customHeight="1">
      <c r="A6553" s="12" t="s">
        <v>12768</v>
      </c>
      <c r="B6553" s="13" t="s">
        <v>12769</v>
      </c>
      <c r="C6553" s="14" t="s">
        <v>12770</v>
      </c>
      <c r="D6553" s="1" t="str">
        <f>IFERROR(__xludf.DUMMYFUNCTION("GOOGLETRANSLATE(A6553 , ""auto"", ""ar"")"),"اه انا اعرف")</f>
        <v>اه انا اعرف</v>
      </c>
    </row>
    <row r="6554" ht="15.75" customHeight="1">
      <c r="A6554" s="12" t="s">
        <v>12771</v>
      </c>
      <c r="B6554" s="13" t="s">
        <v>12772</v>
      </c>
      <c r="C6554" s="14" t="s">
        <v>12773</v>
      </c>
      <c r="D6554" s="1" t="str">
        <f>IFERROR(__xludf.DUMMYFUNCTION("GOOGLETRANSLATE(A6554 , ""auto"", ""ar"")"),"لكنك تعلم ، أن كونك متوترة قليلاً على الطائرات ليس شيئًا عقلانيًا")</f>
        <v>لكنك تعلم ، أن كونك متوترة قليلاً على الطائرات ليس شيئًا عقلانيًا</v>
      </c>
    </row>
    <row r="6555" ht="15.75" customHeight="1">
      <c r="A6555" s="12" t="s">
        <v>12774</v>
      </c>
      <c r="B6555" s="13" t="s">
        <v>12775</v>
      </c>
      <c r="C6555" s="14" t="s">
        <v>12776</v>
      </c>
      <c r="D6555" s="1" t="str">
        <f>IFERROR(__xludf.DUMMYFUNCTION("GOOGLETRANSLATE(A6555 , ""auto"", ""ar"")"),"هناك شيء غير طبيعي حقًا حول كائن يمكن تعليقه كبيرًا وثقيلًا يمكن تعليقه")</f>
        <v>هناك شيء غير طبيعي حقًا حول كائن يمكن تعليقه كبيرًا وثقيلًا يمكن تعليقه</v>
      </c>
    </row>
    <row r="6556" ht="15.75" customHeight="1">
      <c r="A6556" s="12" t="s">
        <v>12777</v>
      </c>
      <c r="B6556" s="13" t="s">
        <v>12778</v>
      </c>
      <c r="C6556" s="14" t="s">
        <v>12779</v>
      </c>
      <c r="D6556" s="1" t="str">
        <f>IFERROR(__xludf.DUMMYFUNCTION("GOOGLETRANSLATE(A6556 , ""auto"", ""ar"")"),"10 أميال فوق الأرض")</f>
        <v>10 أميال فوق الأرض</v>
      </c>
    </row>
    <row r="6557" ht="15.75" customHeight="1">
      <c r="A6557" s="12" t="s">
        <v>12780</v>
      </c>
      <c r="B6557" s="13" t="s">
        <v>12781</v>
      </c>
      <c r="C6557" s="14" t="s">
        <v>12782</v>
      </c>
      <c r="D6557" s="1" t="str">
        <f>IFERROR(__xludf.DUMMYFUNCTION("GOOGLETRANSLATE(A6557 , ""auto"", ""ar"")"),"حسنًا ، تخيل عندما يصبح السفر إلى الفضاء تجاريًا")</f>
        <v>حسنًا ، تخيل عندما يصبح السفر إلى الفضاء تجاريًا</v>
      </c>
    </row>
    <row r="6558" ht="15.75" customHeight="1">
      <c r="A6558" s="12" t="s">
        <v>12783</v>
      </c>
      <c r="B6558" s="13" t="s">
        <v>12784</v>
      </c>
      <c r="C6558" s="14" t="s">
        <v>12785</v>
      </c>
      <c r="D6558" s="1" t="str">
        <f>IFERROR(__xludf.DUMMYFUNCTION("GOOGLETRANSLATE(A6558 , ""auto"", ""ar"")"),"سيكون هذا الأمر صدمة بالنسبة لك أليس كذلك!")</f>
        <v>سيكون هذا الأمر صدمة بالنسبة لك أليس كذلك!</v>
      </c>
    </row>
    <row r="6559" ht="15.75" customHeight="1">
      <c r="A6559" s="12" t="s">
        <v>12786</v>
      </c>
      <c r="B6559" s="13" t="s">
        <v>12787</v>
      </c>
      <c r="C6559" s="14" t="s">
        <v>12788</v>
      </c>
      <c r="D6559" s="1" t="str">
        <f>IFERROR(__xludf.DUMMYFUNCTION("GOOGLETRANSLATE(A6559 , ""auto"", ""ar"")"),"أوه ، نعم ، أخبرني عن ذلك")</f>
        <v>أوه ، نعم ، أخبرني عن ذلك</v>
      </c>
    </row>
    <row r="6560" ht="15.75" customHeight="1">
      <c r="A6560" s="12" t="s">
        <v>12789</v>
      </c>
      <c r="B6560" s="13" t="s">
        <v>12790</v>
      </c>
      <c r="C6560" s="14" t="s">
        <v>12791</v>
      </c>
      <c r="D6560" s="1" t="str">
        <f>IFERROR(__xludf.DUMMYFUNCTION("GOOGLETRANSLATE(A6560 , ""auto"", ""ar"")"),"لكن في الوقت نفسه ، الابتعاد عن الأرض ، دون جاذبية ، الأمر مختلف")</f>
        <v>لكن في الوقت نفسه ، الابتعاد عن الأرض ، دون جاذبية ، الأمر مختلف</v>
      </c>
    </row>
    <row r="6561" ht="15.75" customHeight="1">
      <c r="A6561" s="12" t="s">
        <v>12792</v>
      </c>
      <c r="B6561" s="13" t="s">
        <v>12793</v>
      </c>
      <c r="C6561" s="14" t="s">
        <v>12794</v>
      </c>
      <c r="D6561" s="1" t="str">
        <f>IFERROR(__xludf.DUMMYFUNCTION("GOOGLETRANSLATE(A6561 , ""auto"", ""ar"")"),"لن ننهار ، لأنه لا يوجد صعودًا وهبوطًا حقًا")</f>
        <v>لن ننهار ، لأنه لا يوجد صعودًا وهبوطًا حقًا</v>
      </c>
    </row>
    <row r="6562" ht="15.75" customHeight="1">
      <c r="A6562" s="12" t="s">
        <v>12795</v>
      </c>
      <c r="B6562" s="13" t="s">
        <v>12796</v>
      </c>
      <c r="C6562" s="14" t="s">
        <v>12797</v>
      </c>
      <c r="D6562" s="1" t="str">
        <f>IFERROR(__xludf.DUMMYFUNCTION("GOOGLETRANSLATE(A6562 , ""auto"", ""ar"")"),"لا ، في الفضاء ، في الواقع ، إنه أشبه بالغواصة")</f>
        <v>لا ، في الفضاء ، في الواقع ، إنه أشبه بالغواصة</v>
      </c>
    </row>
    <row r="6563" ht="15.75" customHeight="1">
      <c r="A6563" s="12" t="s">
        <v>12798</v>
      </c>
      <c r="B6563" s="13" t="s">
        <v>12799</v>
      </c>
      <c r="C6563" s="14" t="s">
        <v>12800</v>
      </c>
      <c r="D6563" s="1" t="str">
        <f>IFERROR(__xludf.DUMMYFUNCTION("GOOGLETRANSLATE(A6563 , ""auto"", ""ar"")"),"يجب أن تكون سفينة الفضاء صلبة")</f>
        <v>يجب أن تكون سفينة الفضاء صلبة</v>
      </c>
    </row>
    <row r="6564" ht="15.75" customHeight="1">
      <c r="A6564" s="12" t="s">
        <v>12801</v>
      </c>
      <c r="B6564" s="13" t="s">
        <v>12802</v>
      </c>
      <c r="C6564" s="14" t="s">
        <v>12803</v>
      </c>
      <c r="D6564" s="1" t="str">
        <f>IFERROR(__xludf.DUMMYFUNCTION("GOOGLETRANSLATE(A6564 , ""auto"", ""ar"")"),"السبب إذا كان هناك ثقب في الهيكل ، فمن المحتمل أن نوت قريبًا")</f>
        <v>السبب إذا كان هناك ثقب في الهيكل ، فمن المحتمل أن نوت قريبًا</v>
      </c>
    </row>
    <row r="6565" ht="15.75" customHeight="1">
      <c r="A6565" s="12" t="s">
        <v>12804</v>
      </c>
      <c r="B6565" s="13" t="s">
        <v>12805</v>
      </c>
      <c r="C6565" s="14" t="s">
        <v>12806</v>
      </c>
      <c r="D6565" s="1" t="str">
        <f>IFERROR(__xludf.DUMMYFUNCTION("GOOGLETRANSLATE(A6565 , ""auto"", ""ar"")"),"مثل الغواصة")</f>
        <v>مثل الغواصة</v>
      </c>
    </row>
    <row r="6566" ht="15.75" customHeight="1">
      <c r="A6566" s="12" t="s">
        <v>12807</v>
      </c>
      <c r="B6566" s="13" t="s">
        <v>12808</v>
      </c>
      <c r="C6566" s="14" t="s">
        <v>12809</v>
      </c>
      <c r="D6566" s="1" t="str">
        <f>IFERROR(__xludf.DUMMYFUNCTION("GOOGLETRANSLATE(A6566 , ""auto"", ""ar"")"),"إنه أمر سخيف")</f>
        <v>إنه أمر سخيف</v>
      </c>
    </row>
    <row r="6567" ht="15.75" customHeight="1">
      <c r="A6567" s="12" t="s">
        <v>12810</v>
      </c>
      <c r="B6567" s="13" t="s">
        <v>12811</v>
      </c>
      <c r="C6567" s="14" t="s">
        <v>12812</v>
      </c>
      <c r="D6567" s="1" t="str">
        <f>IFERROR(__xludf.DUMMYFUNCTION("GOOGLETRANSLATE(A6567 , ""auto"", ""ar"")"),"لكنني أعتقد أنني سأكون أقل خوفًا")</f>
        <v>لكنني أعتقد أنني سأكون أقل خوفًا</v>
      </c>
    </row>
    <row r="6568" ht="15.75" customHeight="1">
      <c r="A6568" s="12" t="s">
        <v>12813</v>
      </c>
      <c r="B6568" s="13" t="s">
        <v>12814</v>
      </c>
      <c r="C6568" s="14" t="s">
        <v>12815</v>
      </c>
      <c r="D6568" s="1" t="str">
        <f>IFERROR(__xludf.DUMMYFUNCTION("GOOGLETRANSLATE(A6568 , ""auto"", ""ar"")"),"حسنًا ، ألا يمكنك إجبار نفسك على أن تكون عقلانيًا حيال ذلك؟")</f>
        <v>حسنًا ، ألا يمكنك إجبار نفسك على أن تكون عقلانيًا حيال ذلك؟</v>
      </c>
    </row>
    <row r="6569" ht="15.75" customHeight="1">
      <c r="A6569" s="12" t="s">
        <v>12816</v>
      </c>
      <c r="B6569" s="13" t="s">
        <v>12817</v>
      </c>
      <c r="C6569" s="14" t="s">
        <v>12818</v>
      </c>
      <c r="D6569" s="1" t="str">
        <f>IFERROR(__xludf.DUMMYFUNCTION("GOOGLETRANSLATE(A6569 , ""auto"", ""ar"")"),"التواجد في الفضاء أسوأ من التواجد هنا الآن")</f>
        <v>التواجد في الفضاء أسوأ من التواجد هنا الآن</v>
      </c>
    </row>
    <row r="6570" ht="15.75" customHeight="1">
      <c r="A6570" s="12" t="s">
        <v>12819</v>
      </c>
      <c r="B6570" s="13" t="s">
        <v>12820</v>
      </c>
      <c r="C6570" s="14" t="s">
        <v>12821</v>
      </c>
      <c r="D6570" s="1" t="str">
        <f>IFERROR(__xludf.DUMMYFUNCTION("GOOGLETRANSLATE(A6570 , ""auto"", ""ar"")"),"هل ما زلت خائفًا حقًا بعد ما قلته للتو؟")</f>
        <v>هل ما زلت خائفًا حقًا بعد ما قلته للتو؟</v>
      </c>
    </row>
    <row r="6571" ht="15.75" customHeight="1">
      <c r="A6571" s="12" t="s">
        <v>12822</v>
      </c>
      <c r="B6571" s="13" t="s">
        <v>12823</v>
      </c>
      <c r="C6571" s="14" t="s">
        <v>12824</v>
      </c>
      <c r="D6571" s="1" t="str">
        <f>IFERROR(__xludf.DUMMYFUNCTION("GOOGLETRANSLATE(A6571 , ""auto"", ""ar"")"),"نعم بالتاكيد")</f>
        <v>نعم بالتاكيد</v>
      </c>
    </row>
    <row r="6572" ht="15.75" customHeight="1">
      <c r="A6572" s="12" t="s">
        <v>12825</v>
      </c>
      <c r="B6572" s="13" t="s">
        <v>12826</v>
      </c>
      <c r="C6572" s="14" t="s">
        <v>12827</v>
      </c>
      <c r="D6572" s="1" t="str">
        <f>IFERROR(__xludf.DUMMYFUNCTION("GOOGLETRANSLATE(A6572 , ""auto"", ""ar"")"),"إنه ليس خوفًا حقًا")</f>
        <v>إنه ليس خوفًا حقًا</v>
      </c>
    </row>
    <row r="6573" ht="15.75" customHeight="1">
      <c r="A6573" s="12" t="s">
        <v>12828</v>
      </c>
      <c r="B6573" s="13" t="s">
        <v>12829</v>
      </c>
      <c r="C6573" s="14" t="s">
        <v>12830</v>
      </c>
      <c r="D6573" s="1" t="str">
        <f>IFERROR(__xludf.DUMMYFUNCTION("GOOGLETRANSLATE(A6573 , ""auto"", ""ar"")"),"أشبه نوعا من التوتر")</f>
        <v>أشبه نوعا من التوتر</v>
      </c>
    </row>
    <row r="6574" ht="15.75" customHeight="1">
      <c r="A6574" s="12" t="s">
        <v>12831</v>
      </c>
      <c r="B6574" s="13" t="s">
        <v>12832</v>
      </c>
      <c r="C6574" s="14" t="s">
        <v>12833</v>
      </c>
      <c r="D6574" s="1" t="str">
        <f>IFERROR(__xludf.DUMMYFUNCTION("GOOGLETRANSLATE(A6574 , ""auto"", ""ar"")"),"لكنك لست متوترة حيال ذلك ، أليس كذلك؟")</f>
        <v>لكنك لست متوترة حيال ذلك ، أليس كذلك؟</v>
      </c>
    </row>
    <row r="6575" ht="15.75" customHeight="1">
      <c r="A6575" s="12" t="s">
        <v>12834</v>
      </c>
      <c r="B6575" s="13" t="s">
        <v>12835</v>
      </c>
      <c r="C6575" s="14" t="s">
        <v>12836</v>
      </c>
      <c r="D6575" s="1" t="str">
        <f>IFERROR(__xludf.DUMMYFUNCTION("GOOGLETRANSLATE(A6575 , ""auto"", ""ar"")"),"حتى عندما يكون هناك اضطراب؟")</f>
        <v>حتى عندما يكون هناك اضطراب؟</v>
      </c>
    </row>
    <row r="6576" ht="15.75" customHeight="1">
      <c r="A6576" s="12" t="s">
        <v>12837</v>
      </c>
      <c r="B6576" s="13" t="s">
        <v>12838</v>
      </c>
      <c r="C6576" s="14" t="s">
        <v>12839</v>
      </c>
      <c r="D6576" s="1" t="str">
        <f>IFERROR(__xludf.DUMMYFUNCTION("GOOGLETRANSLATE(A6576 , ""auto"", ""ar"")"),"لا ، إنه مثل الدوران")</f>
        <v>لا ، إنه مثل الدوران</v>
      </c>
    </row>
    <row r="6577" ht="15.75" customHeight="1">
      <c r="A6577" s="12" t="s">
        <v>12840</v>
      </c>
      <c r="B6577" s="13" t="s">
        <v>12841</v>
      </c>
      <c r="C6577" s="14" t="s">
        <v>12842</v>
      </c>
      <c r="D6577" s="1" t="str">
        <f>IFERROR(__xludf.DUMMYFUNCTION("GOOGLETRANSLATE(A6577 , ""auto"", ""ar"")"),"شيء مذهل!")</f>
        <v>شيء مذهل!</v>
      </c>
    </row>
    <row r="6578" ht="15.75" customHeight="1">
      <c r="A6578" s="12" t="s">
        <v>12843</v>
      </c>
      <c r="B6578" s="13" t="s">
        <v>12844</v>
      </c>
      <c r="C6578" s="14" t="s">
        <v>12845</v>
      </c>
      <c r="D6578" s="1" t="str">
        <f>IFERROR(__xludf.DUMMYFUNCTION("GOOGLETRANSLATE(A6578 , ""auto"", ""ar"")"),"ولديهم خدمة مذهلة")</f>
        <v>ولديهم خدمة مذهلة</v>
      </c>
    </row>
    <row r="6579" ht="15.75" customHeight="1">
      <c r="A6579" s="12" t="s">
        <v>12846</v>
      </c>
      <c r="B6579" s="13" t="s">
        <v>12847</v>
      </c>
      <c r="C6579" s="14" t="s">
        <v>12848</v>
      </c>
      <c r="D6579" s="1" t="str">
        <f>IFERROR(__xludf.DUMMYFUNCTION("GOOGLETRANSLATE(A6579 , ""auto"", ""ar"")"),"أنا أحب ذلك عندما يعطون طعام مجاني!")</f>
        <v>أنا أحب ذلك عندما يعطون طعام مجاني!</v>
      </c>
    </row>
    <row r="6580" ht="15.75" customHeight="1">
      <c r="A6580" s="12" t="s">
        <v>12849</v>
      </c>
      <c r="B6580" s="13" t="s">
        <v>12850</v>
      </c>
      <c r="C6580" s="14" t="s">
        <v>12851</v>
      </c>
      <c r="D6580" s="1" t="str">
        <f>IFERROR(__xludf.DUMMYFUNCTION("GOOGLETRANSLATE(A6580 , ""auto"", ""ar"")"),"خاصة عندما يكون هناك اضطراب ويذهب كل الشاي والقهوة في كل مكان!")</f>
        <v>خاصة عندما يكون هناك اضطراب ويذهب كل الشاي والقهوة في كل مكان!</v>
      </c>
    </row>
    <row r="6581" ht="15.75" customHeight="1">
      <c r="A6581" s="12" t="s">
        <v>12852</v>
      </c>
      <c r="B6581" s="13" t="s">
        <v>12853</v>
      </c>
      <c r="C6581" s="14" t="s">
        <v>12854</v>
      </c>
      <c r="D6581" s="1" t="str">
        <f>IFERROR(__xludf.DUMMYFUNCTION("GOOGLETRANSLATE(A6581 , ""auto"", ""ar"")"),"هذا فرحان حقًا")</f>
        <v>هذا فرحان حقًا</v>
      </c>
    </row>
    <row r="6582" ht="15.75" customHeight="1">
      <c r="A6582" s="12" t="s">
        <v>12855</v>
      </c>
      <c r="B6582" s="13" t="s">
        <v>12856</v>
      </c>
      <c r="C6582" s="14" t="s">
        <v>12857</v>
      </c>
      <c r="D6582" s="1" t="str">
        <f>IFERROR(__xludf.DUMMYFUNCTION("GOOGLETRANSLATE(A6582 , ""auto"", ""ar"")"),"سأعطيك ذلك ، إنه ممتع")</f>
        <v>سأعطيك ذلك ، إنه ممتع</v>
      </c>
    </row>
    <row r="6583" ht="15.75" customHeight="1">
      <c r="A6583" s="12" t="s">
        <v>12858</v>
      </c>
      <c r="B6583" s="13" t="s">
        <v>12859</v>
      </c>
      <c r="C6583" s="14" t="s">
        <v>12860</v>
      </c>
      <c r="D6583" s="1" t="str">
        <f>IFERROR(__xludf.DUMMYFUNCTION("GOOGLETRANSLATE(A6583 , ""auto"", ""ar"")"),"لكنها أيضًا مرهقة للغاية بالنسبة لأشخاص مثلي")</f>
        <v>لكنها أيضًا مرهقة للغاية بالنسبة لأشخاص مثلي</v>
      </c>
    </row>
    <row r="6584" ht="15.75" customHeight="1">
      <c r="A6584" s="12" t="s">
        <v>12861</v>
      </c>
      <c r="B6584" s="13" t="s">
        <v>12862</v>
      </c>
      <c r="C6584" s="14" t="s">
        <v>12863</v>
      </c>
      <c r="D6584" s="1" t="str">
        <f>IFERROR(__xludf.DUMMYFUNCTION("GOOGLETRANSLATE(A6584 , ""auto"", ""ar"")"),"آه ، لا تقلق")</f>
        <v>آه ، لا تقلق</v>
      </c>
    </row>
    <row r="6585" ht="15.75" customHeight="1">
      <c r="A6585" s="12" t="s">
        <v>12864</v>
      </c>
      <c r="B6585" s="13" t="s">
        <v>12865</v>
      </c>
      <c r="C6585" s="14" t="s">
        <v>12866</v>
      </c>
      <c r="D6585" s="1" t="str">
        <f>IFERROR(__xludf.DUMMYFUNCTION("GOOGLETRANSLATE(A6585 , ""auto"", ""ar"")"),"يجب أن يجعلك تشعر بتحسن قليلاً ، بالتأكيد!")</f>
        <v>يجب أن يجعلك تشعر بتحسن قليلاً ، بالتأكيد!</v>
      </c>
    </row>
    <row r="6586" ht="15.75" customHeight="1">
      <c r="A6586" s="12" t="s">
        <v>12867</v>
      </c>
      <c r="B6586" s="13" t="s">
        <v>12868</v>
      </c>
      <c r="C6586" s="14" t="s">
        <v>12869</v>
      </c>
      <c r="D6586" s="1" t="str">
        <f>IFERROR(__xludf.DUMMYFUNCTION("GOOGLETRANSLATE(A6586 , ""auto"", ""ar"")"),"سوف نرى")</f>
        <v>سوف نرى</v>
      </c>
    </row>
    <row r="6587" ht="15.75" customHeight="1">
      <c r="A6587" s="12" t="s">
        <v>12867</v>
      </c>
      <c r="B6587" s="13" t="s">
        <v>12870</v>
      </c>
      <c r="C6587" s="14" t="s">
        <v>12871</v>
      </c>
      <c r="D6587" s="1" t="str">
        <f>IFERROR(__xludf.DUMMYFUNCTION("GOOGLETRANSLATE(A6587 , ""auto"", ""ar"")"),"سوف نرى")</f>
        <v>سوف نرى</v>
      </c>
    </row>
    <row r="6588" ht="15.75" customHeight="1">
      <c r="A6588" s="12" t="s">
        <v>12872</v>
      </c>
      <c r="B6588" s="13" t="s">
        <v>12873</v>
      </c>
      <c r="C6588" s="14" t="s">
        <v>12874</v>
      </c>
      <c r="D6588" s="1" t="str">
        <f>IFERROR(__xludf.DUMMYFUNCTION("GOOGLETRANSLATE(A6588 , ""auto"", ""ar"")"),"شكرا لك على دعمك ، على أي حال")</f>
        <v>شكرا لك على دعمك ، على أي حال</v>
      </c>
    </row>
    <row r="6589" ht="15.75" customHeight="1">
      <c r="A6589" s="12" t="s">
        <v>12875</v>
      </c>
      <c r="B6589" s="13" t="s">
        <v>12876</v>
      </c>
      <c r="C6589" s="14" t="s">
        <v>12877</v>
      </c>
      <c r="D6589" s="1" t="str">
        <f>IFERROR(__xludf.DUMMYFUNCTION("GOOGLETRANSLATE(A6589 , ""auto"", ""ar"")"),"هل صنعت قائمة ضيوف للحفلة؟")</f>
        <v>هل صنعت قائمة ضيوف للحفلة؟</v>
      </c>
    </row>
    <row r="6590" ht="15.75" customHeight="1">
      <c r="A6590" s="12" t="s">
        <v>12878</v>
      </c>
      <c r="B6590" s="13" t="s">
        <v>12879</v>
      </c>
      <c r="C6590" s="14" t="s">
        <v>12880</v>
      </c>
      <c r="D6590" s="1" t="str">
        <f>IFERROR(__xludf.DUMMYFUNCTION("GOOGLETRANSLATE(A6590 , ""auto"", ""ar"")"),"هل هناك أشخاص معينون تريد دعوتهم؟")</f>
        <v>هل هناك أشخاص معينون تريد دعوتهم؟</v>
      </c>
    </row>
    <row r="6591" ht="15.75" customHeight="1">
      <c r="A6591" s="12" t="s">
        <v>12881</v>
      </c>
      <c r="B6591" s="13" t="s">
        <v>12882</v>
      </c>
      <c r="C6591" s="14" t="s">
        <v>12883</v>
      </c>
      <c r="D6591" s="1" t="str">
        <f>IFERROR(__xludf.DUMMYFUNCTION("GOOGLETRANSLATE(A6591 , ""auto"", ""ar"")"),"حسنًا ، يعتمد ذلك على المكان الذي نضعه فيه")</f>
        <v>حسنًا ، يعتمد ذلك على المكان الذي نضعه فيه</v>
      </c>
    </row>
    <row r="6592" ht="15.75" customHeight="1">
      <c r="A6592" s="12" t="s">
        <v>12884</v>
      </c>
      <c r="B6592" s="13" t="s">
        <v>12885</v>
      </c>
      <c r="C6592" s="14" t="s">
        <v>12886</v>
      </c>
      <c r="D6592" s="1" t="str">
        <f>IFERROR(__xludf.DUMMYFUNCTION("GOOGLETRANSLATE(A6592 , ""auto"", ""ar"")"),"إذا قمنا بذلك في منزلي ، فلا يمكنني دعوة أكثر من 15 شخصًا")</f>
        <v>إذا قمنا بذلك في منزلي ، فلا يمكنني دعوة أكثر من 15 شخصًا</v>
      </c>
    </row>
    <row r="6593" ht="15.75" customHeight="1">
      <c r="A6593" s="12" t="s">
        <v>12887</v>
      </c>
      <c r="B6593" s="13" t="s">
        <v>12888</v>
      </c>
      <c r="C6593" s="14" t="s">
        <v>12889</v>
      </c>
      <c r="D6593" s="1" t="str">
        <f>IFERROR(__xludf.DUMMYFUNCTION("GOOGLETRANSLATE(A6593 , ""auto"", ""ar"")"),"ولم لا؟")</f>
        <v>ولم لا؟</v>
      </c>
    </row>
    <row r="6594" ht="15.75" customHeight="1">
      <c r="A6594" s="12" t="s">
        <v>12890</v>
      </c>
      <c r="B6594" s="13" t="s">
        <v>12891</v>
      </c>
      <c r="C6594" s="14" t="s">
        <v>12892</v>
      </c>
      <c r="D6594" s="1" t="str">
        <f>IFERROR(__xludf.DUMMYFUNCTION("GOOGLETRANSLATE(A6594 , ""auto"", ""ar"")"),"أعلم أنه ليس لديك مساحة كبيرة")</f>
        <v>أعلم أنه ليس لديك مساحة كبيرة</v>
      </c>
    </row>
    <row r="6595" ht="15.75" customHeight="1">
      <c r="A6595" s="12" t="s">
        <v>12893</v>
      </c>
      <c r="B6595" s="13" t="s">
        <v>12894</v>
      </c>
      <c r="C6595" s="14" t="s">
        <v>12895</v>
      </c>
      <c r="D6595" s="1" t="str">
        <f>IFERROR(__xludf.DUMMYFUNCTION("GOOGLETRANSLATE(A6595 , ""auto"", ""ar"")"),"تتحسن الأطراف عندما يتم سحق الجميع معًا")</f>
        <v>تتحسن الأطراف عندما يتم سحق الجميع معًا</v>
      </c>
    </row>
    <row r="6596" ht="15.75" customHeight="1">
      <c r="A6596" s="12" t="s">
        <v>12896</v>
      </c>
      <c r="B6596" s="13" t="s">
        <v>12897</v>
      </c>
      <c r="C6596" s="14" t="s">
        <v>12898</v>
      </c>
      <c r="D6596" s="1" t="str">
        <f>IFERROR(__xludf.DUMMYFUNCTION("GOOGLETRANSLATE(A6596 , ""auto"", ""ar"")"),"أم أنك قلق بشأن الجيران؟")</f>
        <v>أم أنك قلق بشأن الجيران؟</v>
      </c>
    </row>
    <row r="6597" ht="15.75" customHeight="1">
      <c r="A6597" s="12" t="s">
        <v>12899</v>
      </c>
      <c r="B6597" s="13" t="s">
        <v>12900</v>
      </c>
      <c r="C6597" s="14" t="s">
        <v>12901</v>
      </c>
      <c r="D6597" s="1" t="str">
        <f>IFERROR(__xludf.DUMMYFUNCTION("GOOGLETRANSLATE(A6597 , ""auto"", ""ar"")"),"يمكننا دعوتهم")</f>
        <v>يمكننا دعوتهم</v>
      </c>
    </row>
    <row r="6598" ht="15.75" customHeight="1">
      <c r="A6598" s="12" t="s">
        <v>12902</v>
      </c>
      <c r="B6598" s="13" t="s">
        <v>12903</v>
      </c>
      <c r="C6598" s="14" t="s">
        <v>12904</v>
      </c>
      <c r="D6598" s="1" t="str">
        <f>IFERROR(__xludf.DUMMYFUNCTION("GOOGLETRANSLATE(A6598 , ""auto"", ""ar"")"),"هذا صحيح ، يمكننا")</f>
        <v>هذا صحيح ، يمكننا</v>
      </c>
    </row>
    <row r="6599" ht="15.75" customHeight="1">
      <c r="A6599" s="12" t="s">
        <v>12905</v>
      </c>
      <c r="B6599" s="13" t="s">
        <v>12906</v>
      </c>
      <c r="C6599" s="14" t="s">
        <v>12907</v>
      </c>
      <c r="D6599" s="1" t="str">
        <f>IFERROR(__xludf.DUMMYFUNCTION("GOOGLETRANSLATE(A6599 , ""auto"", ""ar"")"),"بالإضافة إلى ذلك ، الجار الثالث جيد حقًا")</f>
        <v>بالإضافة إلى ذلك ، الجار الثالث جيد حقًا</v>
      </c>
    </row>
    <row r="6600" ht="15.75" customHeight="1">
      <c r="A6600" s="12" t="s">
        <v>12908</v>
      </c>
      <c r="B6600" s="13" t="s">
        <v>12909</v>
      </c>
      <c r="C6600" s="14" t="s">
        <v>12910</v>
      </c>
      <c r="D6600" s="1" t="str">
        <f>IFERROR(__xludf.DUMMYFUNCTION("GOOGLETRANSLATE(A6600 , ""auto"", ""ar"")"),"هل رأيتها من قبل؟")</f>
        <v>هل رأيتها من قبل؟</v>
      </c>
    </row>
    <row r="6601" ht="15.75" customHeight="1">
      <c r="A6601" s="12" t="s">
        <v>12911</v>
      </c>
      <c r="B6601" s="13" t="s">
        <v>12912</v>
      </c>
      <c r="C6601" s="14" t="s">
        <v>12913</v>
      </c>
      <c r="D6601" s="1" t="str">
        <f>IFERROR(__xludf.DUMMYFUNCTION("GOOGLETRANSLATE(A6601 , ""auto"", ""ar"")"),"آه نعم ، ستكون متعة جيدة")</f>
        <v>آه نعم ، ستكون متعة جيدة</v>
      </c>
    </row>
    <row r="6602" ht="15.75" customHeight="1">
      <c r="A6602" s="12" t="s">
        <v>12914</v>
      </c>
      <c r="B6602" s="13" t="s">
        <v>12915</v>
      </c>
      <c r="C6602" s="14" t="s">
        <v>12916</v>
      </c>
      <c r="D6602" s="1" t="str">
        <f>IFERROR(__xludf.DUMMYFUNCTION("GOOGLETRANSLATE(A6602 , ""auto"", ""ar"")"),"فقط المشروبات والوجبات الخفيفة؟")</f>
        <v>فقط المشروبات والوجبات الخفيفة؟</v>
      </c>
    </row>
    <row r="6603" ht="15.75" customHeight="1">
      <c r="A6603" s="12" t="s">
        <v>12917</v>
      </c>
      <c r="B6603" s="13" t="s">
        <v>12918</v>
      </c>
      <c r="C6603" s="14" t="s">
        <v>12919</v>
      </c>
      <c r="D6603" s="1" t="str">
        <f>IFERROR(__xludf.DUMMYFUNCTION("GOOGLETRANSLATE(A6603 , ""auto"", ""ar"")"),"توفير الكثير من الطعام يجعل الأمر أكثر تعقيدًا")</f>
        <v>توفير الكثير من الطعام يجعل الأمر أكثر تعقيدًا</v>
      </c>
    </row>
    <row r="6604" ht="15.75" customHeight="1">
      <c r="A6604" s="12" t="s">
        <v>12920</v>
      </c>
      <c r="B6604" s="13" t="s">
        <v>12921</v>
      </c>
      <c r="C6604" s="14" t="s">
        <v>12922</v>
      </c>
      <c r="D6604" s="1" t="str">
        <f>IFERROR(__xludf.DUMMYFUNCTION("GOOGLETRANSLATE(A6604 , ""auto"", ""ar"")"),"يمكننا حتى أن نطلب من الناس أن يأتيوا بأشياء ، أليس كذلك؟")</f>
        <v>يمكننا حتى أن نطلب من الناس أن يأتيوا بأشياء ، أليس كذلك؟</v>
      </c>
    </row>
    <row r="6605" ht="15.75" customHeight="1">
      <c r="A6605" s="12" t="s">
        <v>12923</v>
      </c>
      <c r="B6605" s="13" t="s">
        <v>12924</v>
      </c>
      <c r="C6605" s="14" t="s">
        <v>12925</v>
      </c>
      <c r="D6605" s="1" t="str">
        <f>IFERROR(__xludf.DUMMYFUNCTION("GOOGLETRANSLATE(A6605 , ""auto"", ""ar"")"),"بالمناسبة شرب أو طعام")</f>
        <v>بالمناسبة شرب أو طعام</v>
      </c>
    </row>
    <row r="6606" ht="15.75" customHeight="1">
      <c r="A6606" s="12" t="s">
        <v>12926</v>
      </c>
      <c r="B6606" s="13" t="s">
        <v>12927</v>
      </c>
      <c r="C6606" s="14" t="s">
        <v>12928</v>
      </c>
      <c r="D6606" s="1" t="str">
        <f>IFERROR(__xludf.DUMMYFUNCTION("GOOGLETRANSLATE(A6606 , ""auto"", ""ar"")"),"فكرة جيدة ، وهذا يجعل الأمر أسهل بكثير وأكثر استرخاء")</f>
        <v>فكرة جيدة ، وهذا يجعل الأمر أسهل بكثير وأكثر استرخاء</v>
      </c>
    </row>
    <row r="6607" ht="15.75" customHeight="1">
      <c r="A6607" s="12" t="s">
        <v>12929</v>
      </c>
      <c r="B6607" s="13" t="s">
        <v>12930</v>
      </c>
      <c r="C6607" s="14" t="s">
        <v>12931</v>
      </c>
      <c r="D6607" s="1" t="str">
        <f>IFERROR(__xludf.DUMMYFUNCTION("GOOGLETRANSLATE(A6607 , ""auto"", ""ar"")"),"هل لديك ما يكفي من اللوحات والنظارات؟")</f>
        <v>هل لديك ما يكفي من اللوحات والنظارات؟</v>
      </c>
    </row>
    <row r="6608" ht="15.75" customHeight="1">
      <c r="A6608" s="12" t="s">
        <v>12932</v>
      </c>
      <c r="B6608" s="13" t="s">
        <v>12933</v>
      </c>
      <c r="C6608" s="14" t="s">
        <v>12934</v>
      </c>
      <c r="D6608" s="1" t="str">
        <f>IFERROR(__xludf.DUMMYFUNCTION("GOOGLETRANSLATE(A6608 , ""auto"", ""ar"")"),"ربما احصل على بعض الجليد من هناك أيضًا")</f>
        <v>ربما احصل على بعض الجليد من هناك أيضًا</v>
      </c>
    </row>
    <row r="6609" ht="15.75" customHeight="1">
      <c r="A6609" s="12" t="s">
        <v>12935</v>
      </c>
      <c r="B6609" s="13" t="s">
        <v>12936</v>
      </c>
      <c r="C6609" s="14" t="s">
        <v>12937</v>
      </c>
      <c r="D6609" s="1" t="str">
        <f>IFERROR(__xludf.DUMMYFUNCTION("GOOGLETRANSLATE(A6609 , ""auto"", ""ar"")"),"يمكننا شراء لوحات بلاستيكية ، هل الأمر أسهل ، أليس كذلك؟")</f>
        <v>يمكننا شراء لوحات بلاستيكية ، هل الأمر أسهل ، أليس كذلك؟</v>
      </c>
    </row>
    <row r="6610" ht="15.75" customHeight="1">
      <c r="A6610" s="12" t="s">
        <v>12938</v>
      </c>
      <c r="B6610" s="13" t="s">
        <v>12939</v>
      </c>
      <c r="C6610" s="14" t="s">
        <v>12940</v>
      </c>
      <c r="D6610" s="1" t="str">
        <f>IFERROR(__xludf.DUMMYFUNCTION("GOOGLETRANSLATE(A6610 , ""auto"", ""ar"")"),"نفس الشيء مع المشروبات")</f>
        <v>نفس الشيء مع المشروبات</v>
      </c>
    </row>
    <row r="6611" ht="15.75" customHeight="1">
      <c r="A6611" s="12" t="s">
        <v>12941</v>
      </c>
      <c r="B6611" s="13" t="s">
        <v>12942</v>
      </c>
      <c r="C6611" s="14" t="s">
        <v>12943</v>
      </c>
      <c r="D6611" s="1" t="str">
        <f>IFERROR(__xludf.DUMMYFUNCTION("GOOGLETRANSLATE(A6611 , ""auto"", ""ar"")"),"يمكننا جدولة الأشياء الأساسية مثل الرقائق")</f>
        <v>يمكننا جدولة الأشياء الأساسية مثل الرقائق</v>
      </c>
    </row>
    <row r="6612" ht="15.75" customHeight="1">
      <c r="A6612" s="12" t="s">
        <v>12944</v>
      </c>
      <c r="B6612" s="13" t="s">
        <v>12945</v>
      </c>
      <c r="C6612" s="14" t="s">
        <v>12946</v>
      </c>
      <c r="D6612" s="1" t="str">
        <f>IFERROR(__xludf.DUMMYFUNCTION("GOOGLETRANSLATE(A6612 , ""auto"", ""ar"")"),"أكره الألواح البلاستيكية")</f>
        <v>أكره الألواح البلاستيكية</v>
      </c>
    </row>
    <row r="6613" ht="15.75" customHeight="1">
      <c r="A6613" s="12" t="s">
        <v>12947</v>
      </c>
      <c r="B6613" s="13" t="s">
        <v>12948</v>
      </c>
      <c r="C6613" s="14" t="s">
        <v>12949</v>
      </c>
      <c r="D6613" s="1" t="str">
        <f>IFERROR(__xludf.DUMMYFUNCTION("GOOGLETRANSLATE(A6613 , ""auto"", ""ar"")"),"أفضل أن يكون لدي الكثير من الأشياء المناسبة حتى لو كان ذلك يعني المزيد من العمل")</f>
        <v>أفضل أن يكون لدي الكثير من الأشياء المناسبة حتى لو كان ذلك يعني المزيد من العمل</v>
      </c>
    </row>
    <row r="6614" ht="15.75" customHeight="1">
      <c r="A6614" s="12" t="s">
        <v>12950</v>
      </c>
      <c r="B6614" s="13" t="s">
        <v>12951</v>
      </c>
      <c r="C6614" s="14" t="s">
        <v>12952</v>
      </c>
      <c r="D6614" s="1" t="str">
        <f>IFERROR(__xludf.DUMMYFUNCTION("GOOGLETRANSLATE(A6614 , ""auto"", ""ar"")"),"لا مانع من القيام بذلك")</f>
        <v>لا مانع من القيام بذلك</v>
      </c>
    </row>
    <row r="6615" ht="15.75" customHeight="1">
      <c r="A6615" s="12" t="s">
        <v>12953</v>
      </c>
      <c r="B6615" s="13" t="s">
        <v>12954</v>
      </c>
      <c r="C6615" s="14" t="s">
        <v>12955</v>
      </c>
      <c r="D6615" s="1" t="str">
        <f>IFERROR(__xludf.DUMMYFUNCTION("GOOGLETRANSLATE(A6615 , ""auto"", ""ar"")"),"هل سيكون هناك موضوع ، أم يجب أن يحضر الناس ما يحلو لهم؟")</f>
        <v>هل سيكون هناك موضوع ، أم يجب أن يحضر الناس ما يحلو لهم؟</v>
      </c>
    </row>
    <row r="6616" ht="15.75" customHeight="1">
      <c r="A6616" s="12" t="s">
        <v>12956</v>
      </c>
      <c r="B6616" s="13" t="s">
        <v>12957</v>
      </c>
      <c r="C6616" s="14" t="s">
        <v>12958</v>
      </c>
      <c r="D6616" s="1" t="str">
        <f>IFERROR(__xludf.DUMMYFUNCTION("GOOGLETRANSLATE(A6616 , ""auto"", ""ar"")"),"ثم سوف نتأكد من أننا لا نتضور جوعا حتى الموت")</f>
        <v>ثم سوف نتأكد من أننا لا نتضور جوعا حتى الموت</v>
      </c>
    </row>
    <row r="6617" ht="15.75" customHeight="1">
      <c r="A6617" s="12" t="s">
        <v>12959</v>
      </c>
      <c r="B6617" s="13" t="s">
        <v>12960</v>
      </c>
      <c r="C6617" s="14" t="s">
        <v>12961</v>
      </c>
      <c r="D6617" s="1" t="str">
        <f>IFERROR(__xludf.DUMMYFUNCTION("GOOGLETRANSLATE(A6617 , ""auto"", ""ar"")"),"حسنًا ، لوحات")</f>
        <v>حسنًا ، لوحات</v>
      </c>
    </row>
    <row r="6618" ht="15.75" customHeight="1">
      <c r="A6618" s="12" t="s">
        <v>12962</v>
      </c>
      <c r="B6618" s="13" t="s">
        <v>12963</v>
      </c>
      <c r="C6618" s="14" t="s">
        <v>12964</v>
      </c>
      <c r="D6618" s="1" t="str">
        <f>IFERROR(__xludf.DUMMYFUNCTION("GOOGLETRANSLATE(A6618 , ""auto"", ""ar"")"),"لا ، ليست هناك حاجة لتعقيد الأشياء بموضوع")</f>
        <v>لا ، ليست هناك حاجة لتعقيد الأشياء بموضوع</v>
      </c>
    </row>
    <row r="6619" ht="15.75" customHeight="1">
      <c r="A6619" s="12" t="s">
        <v>12965</v>
      </c>
      <c r="B6619" s="13" t="s">
        <v>12966</v>
      </c>
      <c r="C6619" s="14" t="s">
        <v>12967</v>
      </c>
      <c r="D6619" s="1" t="str">
        <f>IFERROR(__xludf.DUMMYFUNCTION("GOOGLETRANSLATE(A6619 , ""auto"", ""ar"")"),"هل لدينا نباتي بين أصدقائنا؟")</f>
        <v>هل لدينا نباتي بين أصدقائنا؟</v>
      </c>
    </row>
    <row r="6620" ht="15.75" customHeight="1">
      <c r="A6620" s="12" t="s">
        <v>12968</v>
      </c>
      <c r="B6620" s="13" t="s">
        <v>12969</v>
      </c>
      <c r="C6620" s="14" t="s">
        <v>12970</v>
      </c>
      <c r="D6620" s="1" t="str">
        <f>IFERROR(__xludf.DUMMYFUNCTION("GOOGLETRANSLATE(A6620 , ""auto"", ""ar"")"),"من الجيد دائمًا الحصول على بعض الأطباق الخالية من اللحوم على أي حال.")</f>
        <v>من الجيد دائمًا الحصول على بعض الأطباق الخالية من اللحوم على أي حال.</v>
      </c>
    </row>
    <row r="6621" ht="15.75" customHeight="1">
      <c r="A6621" s="12" t="s">
        <v>12971</v>
      </c>
      <c r="B6621" s="13" t="s">
        <v>12972</v>
      </c>
      <c r="C6621" s="14" t="s">
        <v>12973</v>
      </c>
      <c r="D6621" s="1" t="str">
        <f>IFERROR(__xludf.DUMMYFUNCTION("GOOGLETRANSLATE(A6621 , ""auto"", ""ar"")"),"يمكن للنباتيين فقط تجنب اللحم مع اللحم")</f>
        <v>يمكن للنباتيين فقط تجنب اللحم مع اللحم</v>
      </c>
    </row>
    <row r="6622" ht="15.75" customHeight="1">
      <c r="A6622" s="12" t="s">
        <v>12974</v>
      </c>
      <c r="B6622" s="13" t="s">
        <v>12975</v>
      </c>
      <c r="C6622" s="14" t="s">
        <v>12976</v>
      </c>
      <c r="D6622" s="1" t="str">
        <f>IFERROR(__xludf.DUMMYFUNCTION("GOOGLETRANSLATE(A6622 , ""auto"", ""ar"")"),"لكن النباتيين ، حسنًا ، أعتقد أنه إذا كان هناك شخص آخر سيكون أفضل")</f>
        <v>لكن النباتيين ، حسنًا ، أعتقد أنه إذا كان هناك شخص آخر سيكون أفضل</v>
      </c>
    </row>
    <row r="6623" ht="15.75" customHeight="1">
      <c r="A6623" s="12" t="s">
        <v>12977</v>
      </c>
      <c r="B6623" s="13" t="s">
        <v>12978</v>
      </c>
      <c r="C6623" s="14" t="s">
        <v>12979</v>
      </c>
      <c r="D6623" s="1" t="str">
        <f>IFERROR(__xludf.DUMMYFUNCTION("GOOGLETRANSLATE(A6623 , ""auto"", ""ar"")"),"حسنًا ، كما تعلمون ، سنعتني بالخضروات النيئة")</f>
        <v>حسنًا ، كما تعلمون ، سنعتني بالخضروات النيئة</v>
      </c>
    </row>
    <row r="6624" ht="15.75" customHeight="1">
      <c r="A6624" s="12" t="s">
        <v>12980</v>
      </c>
      <c r="B6624" s="13" t="s">
        <v>12981</v>
      </c>
      <c r="C6624" s="14" t="s">
        <v>12982</v>
      </c>
      <c r="D6624" s="1" t="str">
        <f>IFERROR(__xludf.DUMMYFUNCTION("GOOGLETRANSLATE(A6624 , ""auto"", ""ar"")"),"مثل أي شخص آخر")</f>
        <v>مثل أي شخص آخر</v>
      </c>
    </row>
    <row r="6625" ht="15.75" customHeight="1">
      <c r="A6625" s="12" t="s">
        <v>12983</v>
      </c>
      <c r="B6625" s="13" t="s">
        <v>12984</v>
      </c>
      <c r="C6625" s="14" t="s">
        <v>12985</v>
      </c>
      <c r="D6625" s="1" t="str">
        <f>IFERROR(__xludf.DUMMYFUNCTION("GOOGLETRANSLATE(A6625 , ""auto"", ""ar"")"),"حسنًا ، انظر ، أعتقد أننا ذهبنا جميعًا")</f>
        <v>حسنًا ، انظر ، أعتقد أننا ذهبنا جميعًا</v>
      </c>
    </row>
    <row r="6626" ht="15.75" customHeight="1">
      <c r="A6626" s="12" t="s">
        <v>12986</v>
      </c>
      <c r="B6626" s="13" t="s">
        <v>12987</v>
      </c>
      <c r="C6626" s="14" t="s">
        <v>12988</v>
      </c>
      <c r="D6626" s="1" t="str">
        <f>IFERROR(__xludf.DUMMYFUNCTION("GOOGLETRANSLATE(A6626 , ""auto"", ""ar"")"),"سأفكر في قائمة الضيوف")</f>
        <v>سأفكر في قائمة الضيوف</v>
      </c>
    </row>
    <row r="6627" ht="15.75" customHeight="1">
      <c r="A6627" s="12" t="s">
        <v>12989</v>
      </c>
      <c r="B6627" s="13" t="s">
        <v>12990</v>
      </c>
      <c r="C6627" s="14" t="s">
        <v>12991</v>
      </c>
      <c r="D6627" s="1" t="str">
        <f>IFERROR(__xludf.DUMMYFUNCTION("GOOGLETRANSLATE(A6627 , ""auto"", ""ar"")"),"يجب أن أتركك الآن ، لكن شكرًا لك على كل نصيحتك")</f>
        <v>يجب أن أتركك الآن ، لكن شكرًا لك على كل نصيحتك</v>
      </c>
    </row>
    <row r="6628" ht="15.75" customHeight="1">
      <c r="A6628" s="12" t="s">
        <v>12992</v>
      </c>
      <c r="B6628" s="13" t="s">
        <v>12993</v>
      </c>
      <c r="C6628" s="14" t="s">
        <v>12994</v>
      </c>
      <c r="D6628" s="1" t="str">
        <f>IFERROR(__xludf.DUMMYFUNCTION("GOOGLETRANSLATE(A6628 , ""auto"", ""ar"")"),"على الرحب والسعة!")</f>
        <v>على الرحب والسعة!</v>
      </c>
    </row>
    <row r="6629" ht="15.75" customHeight="1">
      <c r="A6629" s="12" t="s">
        <v>12995</v>
      </c>
      <c r="B6629" s="13" t="s">
        <v>12996</v>
      </c>
      <c r="C6629" s="14" t="s">
        <v>12997</v>
      </c>
      <c r="D6629" s="1" t="str">
        <f>IFERROR(__xludf.DUMMYFUNCTION("GOOGLETRANSLATE(A6629 , ""auto"", ""ar"")"),"صباح الخير يا سيدتي")</f>
        <v>صباح الخير يا سيدتي</v>
      </c>
    </row>
    <row r="6630" ht="15.75" customHeight="1">
      <c r="A6630" s="12" t="s">
        <v>12998</v>
      </c>
      <c r="B6630" s="13" t="s">
        <v>12999</v>
      </c>
      <c r="C6630" s="14" t="s">
        <v>13000</v>
      </c>
      <c r="D6630" s="1" t="str">
        <f>IFERROR(__xludf.DUMMYFUNCTION("GOOGLETRANSLATE(A6630 , ""auto"", ""ar"")"),"استلقي ، أنا أستمع")</f>
        <v>استلقي ، أنا أستمع</v>
      </c>
    </row>
    <row r="6631" ht="15.75" customHeight="1">
      <c r="A6631" s="12" t="s">
        <v>13001</v>
      </c>
      <c r="B6631" s="13" t="s">
        <v>13002</v>
      </c>
      <c r="C6631" s="14" t="s">
        <v>13003</v>
      </c>
      <c r="D6631" s="1" t="str">
        <f>IFERROR(__xludf.DUMMYFUNCTION("GOOGLETRANSLATE(A6631 , ""auto"", ""ar"")"),"هل يجب علي الاستلقاء؟")</f>
        <v>هل يجب علي الاستلقاء؟</v>
      </c>
    </row>
    <row r="6632" ht="15.75" customHeight="1">
      <c r="A6632" s="12" t="s">
        <v>13004</v>
      </c>
      <c r="B6632" s="13" t="s">
        <v>13005</v>
      </c>
      <c r="C6632" s="14" t="s">
        <v>13006</v>
      </c>
      <c r="D6632" s="1" t="str">
        <f>IFERROR(__xludf.DUMMYFUNCTION("GOOGLETRANSLATE(A6632 , ""auto"", ""ar"")"),"أفضل الجلوس فقط")</f>
        <v>أفضل الجلوس فقط</v>
      </c>
    </row>
    <row r="6633" ht="15.75" customHeight="1">
      <c r="A6633" s="12" t="s">
        <v>13007</v>
      </c>
      <c r="B6633" s="13" t="s">
        <v>13008</v>
      </c>
      <c r="C6633" s="14" t="s">
        <v>13009</v>
      </c>
      <c r="D6633" s="1" t="str">
        <f>IFERROR(__xludf.DUMMYFUNCTION("GOOGLETRANSLATE(A6633 , ""auto"", ""ar"")"),"أشعر بالقلق قليلاً من هذا")</f>
        <v>أشعر بالقلق قليلاً من هذا</v>
      </c>
    </row>
    <row r="6634" ht="15.75" customHeight="1">
      <c r="A6634" s="12" t="s">
        <v>13010</v>
      </c>
      <c r="B6634" s="13" t="s">
        <v>13011</v>
      </c>
      <c r="C6634" s="14" t="s">
        <v>13012</v>
      </c>
      <c r="D6634" s="1" t="str">
        <f>IFERROR(__xludf.DUMMYFUNCTION("GOOGLETRANSLATE(A6634 , ""auto"", ""ar"")"),"ما الذي أنت قلق بشأنه؟")</f>
        <v>ما الذي أنت قلق بشأنه؟</v>
      </c>
    </row>
    <row r="6635" ht="15.75" customHeight="1">
      <c r="A6635" s="12" t="s">
        <v>13013</v>
      </c>
      <c r="B6635" s="13" t="s">
        <v>13014</v>
      </c>
      <c r="C6635" s="14" t="s">
        <v>13015</v>
      </c>
      <c r="D6635" s="1" t="str">
        <f>IFERROR(__xludf.DUMMYFUNCTION("GOOGLETRANSLATE(A6635 , ""auto"", ""ar"")"),"أوه ، أنت تعرف كل شيء")</f>
        <v>أوه ، أنت تعرف كل شيء</v>
      </c>
    </row>
    <row r="6636" ht="15.75" customHeight="1">
      <c r="A6636" s="12" t="s">
        <v>13016</v>
      </c>
      <c r="B6636" s="13" t="s">
        <v>13017</v>
      </c>
      <c r="C6636" s="14" t="s">
        <v>13018</v>
      </c>
      <c r="D6636" s="1" t="str">
        <f>IFERROR(__xludf.DUMMYFUNCTION("GOOGLETRANSLATE(A6636 , ""auto"", ""ar"")"),"لا أعرف من أين أبدأ")</f>
        <v>لا أعرف من أين أبدأ</v>
      </c>
    </row>
    <row r="6637" ht="15.75" customHeight="1">
      <c r="A6637" s="12" t="s">
        <v>13019</v>
      </c>
      <c r="B6637" s="13" t="s">
        <v>13020</v>
      </c>
      <c r="C6637" s="14" t="s">
        <v>13021</v>
      </c>
      <c r="D6637" s="1" t="str">
        <f>IFERROR(__xludf.DUMMYFUNCTION("GOOGLETRANSLATE(A6637 , ""auto"", ""ar"")"),"ثم لنبدأ بأسئلة بسيطة")</f>
        <v>ثم لنبدأ بأسئلة بسيطة</v>
      </c>
    </row>
    <row r="6638" ht="15.75" customHeight="1">
      <c r="A6638" s="12" t="s">
        <v>9500</v>
      </c>
      <c r="B6638" s="13" t="s">
        <v>10360</v>
      </c>
      <c r="C6638" s="14" t="s">
        <v>9691</v>
      </c>
      <c r="D6638" s="1" t="str">
        <f>IFERROR(__xludf.DUMMYFUNCTION("GOOGLETRANSLATE(A6638 , ""auto"", ""ar"")"),"أنا آسف")</f>
        <v>أنا آسف</v>
      </c>
    </row>
    <row r="6639" ht="15.75" customHeight="1">
      <c r="A6639" s="12" t="s">
        <v>13022</v>
      </c>
      <c r="B6639" s="13" t="s">
        <v>13023</v>
      </c>
      <c r="C6639" s="14" t="s">
        <v>13024</v>
      </c>
      <c r="D6639" s="1" t="str">
        <f>IFERROR(__xludf.DUMMYFUNCTION("GOOGLETRANSLATE(A6639 , ""auto"", ""ar"")"),"لا أعرف ماذا تقصد")</f>
        <v>لا أعرف ماذا تقصد</v>
      </c>
    </row>
    <row r="6640" ht="15.75" customHeight="1">
      <c r="A6640" s="12" t="s">
        <v>13022</v>
      </c>
      <c r="B6640" s="13" t="s">
        <v>13025</v>
      </c>
      <c r="C6640" s="14" t="s">
        <v>13026</v>
      </c>
      <c r="D6640" s="1" t="str">
        <f>IFERROR(__xludf.DUMMYFUNCTION("GOOGLETRANSLATE(A6640 , ""auto"", ""ar"")"),"لا أعرف ماذا تقصد")</f>
        <v>لا أعرف ماذا تقصد</v>
      </c>
    </row>
    <row r="6641" ht="15.75" customHeight="1">
      <c r="A6641" s="12" t="s">
        <v>13027</v>
      </c>
      <c r="B6641" s="13" t="s">
        <v>13028</v>
      </c>
      <c r="C6641" s="14" t="s">
        <v>13029</v>
      </c>
      <c r="D6641" s="1" t="str">
        <f>IFERROR(__xludf.DUMMYFUNCTION("GOOGLETRANSLATE(A6641 , ""auto"", ""ar"")"),"أنا لست قلقًا بشأن التحدث معك")</f>
        <v>أنا لست قلقًا بشأن التحدث معك</v>
      </c>
    </row>
    <row r="6642" ht="15.75" customHeight="1">
      <c r="A6642" s="12" t="s">
        <v>13030</v>
      </c>
      <c r="B6642" s="13" t="s">
        <v>13031</v>
      </c>
      <c r="C6642" s="14" t="s">
        <v>13032</v>
      </c>
      <c r="D6642" s="1" t="str">
        <f>IFERROR(__xludf.DUMMYFUNCTION("GOOGLETRANSLATE(A6642 , ""auto"", ""ar"")"),"أنا قلق بشأن ... يبدو أنني قلق بشأن كل شيء")</f>
        <v>أنا قلق بشأن ... يبدو أنني قلق بشأن كل شيء</v>
      </c>
    </row>
    <row r="6643" ht="15.75" customHeight="1">
      <c r="A6643" s="12" t="s">
        <v>13033</v>
      </c>
      <c r="B6643" s="13" t="s">
        <v>13034</v>
      </c>
      <c r="C6643" s="14" t="s">
        <v>13035</v>
      </c>
      <c r="D6643" s="1" t="str">
        <f>IFERROR(__xludf.DUMMYFUNCTION("GOOGLETRANSLATE(A6643 , ""auto"", ""ar"")"),"عملي")</f>
        <v>عملي</v>
      </c>
    </row>
    <row r="6644" ht="15.75" customHeight="1">
      <c r="A6644" s="12" t="s">
        <v>8532</v>
      </c>
      <c r="B6644" s="13" t="s">
        <v>8533</v>
      </c>
      <c r="C6644" s="14" t="s">
        <v>8534</v>
      </c>
      <c r="D6644" s="1" t="str">
        <f>IFERROR(__xludf.DUMMYFUNCTION("GOOGLETRANSLATE(A6644 , ""auto"", ""ar"")"),"زوجي")</f>
        <v>زوجي</v>
      </c>
    </row>
    <row r="6645" ht="15.75" customHeight="1">
      <c r="A6645" s="12" t="s">
        <v>13036</v>
      </c>
      <c r="B6645" s="13" t="s">
        <v>13037</v>
      </c>
      <c r="C6645" s="14" t="s">
        <v>13038</v>
      </c>
      <c r="D6645" s="1" t="str">
        <f>IFERROR(__xludf.DUMMYFUNCTION("GOOGLETRANSLATE(A6645 , ""auto"", ""ar"")"),"أطفالي")</f>
        <v>أطفالي</v>
      </c>
    </row>
    <row r="6646" ht="15.75" customHeight="1">
      <c r="A6646" s="12" t="s">
        <v>13039</v>
      </c>
      <c r="B6646" s="13" t="s">
        <v>13040</v>
      </c>
      <c r="C6646" s="14" t="s">
        <v>13041</v>
      </c>
      <c r="D6646" s="1" t="str">
        <f>IFERROR(__xludf.DUMMYFUNCTION("GOOGLETRANSLATE(A6646 , ""auto"", ""ar"")"),"كل شيء ساحق للغاية")</f>
        <v>كل شيء ساحق للغاية</v>
      </c>
    </row>
    <row r="6647" ht="15.75" customHeight="1">
      <c r="A6647" s="12" t="s">
        <v>13042</v>
      </c>
      <c r="B6647" s="13" t="s">
        <v>13043</v>
      </c>
      <c r="C6647" s="14" t="s">
        <v>13044</v>
      </c>
      <c r="D6647" s="1" t="str">
        <f>IFERROR(__xludf.DUMMYFUNCTION("GOOGLETRANSLATE(A6647 , ""auto"", ""ar"")"),"وأنا أتحدث كثيرا")</f>
        <v>وأنا أتحدث كثيرا</v>
      </c>
    </row>
    <row r="6648" ht="15.75" customHeight="1">
      <c r="A6648" s="12" t="s">
        <v>13045</v>
      </c>
      <c r="B6648" s="13" t="s">
        <v>13046</v>
      </c>
      <c r="C6648" s="14" t="s">
        <v>13047</v>
      </c>
      <c r="D6648" s="1" t="str">
        <f>IFERROR(__xludf.DUMMYFUNCTION("GOOGLETRANSLATE(A6648 , ""auto"", ""ar"")"),"شكرا لك على الحديث")</f>
        <v>شكرا لك على الحديث</v>
      </c>
    </row>
    <row r="6649" ht="15.75" customHeight="1">
      <c r="A6649" s="12" t="s">
        <v>13048</v>
      </c>
      <c r="B6649" s="13" t="s">
        <v>13049</v>
      </c>
      <c r="C6649" s="14" t="s">
        <v>13050</v>
      </c>
      <c r="D6649" s="1" t="str">
        <f>IFERROR(__xludf.DUMMYFUNCTION("GOOGLETRANSLATE(A6649 , ""auto"", ""ar"")"),"من المهم أن أختبر اهتمامك")</f>
        <v>من المهم أن أختبر اهتمامك</v>
      </c>
    </row>
    <row r="6650" ht="15.75" customHeight="1">
      <c r="A6650" s="12" t="s">
        <v>13051</v>
      </c>
      <c r="B6650" s="13" t="s">
        <v>13052</v>
      </c>
      <c r="C6650" s="14" t="s">
        <v>13053</v>
      </c>
      <c r="D6650" s="1" t="str">
        <f>IFERROR(__xludf.DUMMYFUNCTION("GOOGLETRANSLATE(A6650 , ""auto"", ""ar"")"),"إذا لم تكن قلقًا في مكتبي")</f>
        <v>إذا لم تكن قلقًا في مكتبي</v>
      </c>
    </row>
    <row r="6651" ht="15.75" customHeight="1">
      <c r="A6651" s="12" t="s">
        <v>13054</v>
      </c>
      <c r="B6651" s="13" t="s">
        <v>13055</v>
      </c>
      <c r="C6651" s="14" t="s">
        <v>13056</v>
      </c>
      <c r="D6651" s="1" t="str">
        <f>IFERROR(__xludf.DUMMYFUNCTION("GOOGLETRANSLATE(A6651 , ""auto"", ""ar"")"),"إنه لأمر جيد أنك لا تخشى التحدث عن نفسك")</f>
        <v>إنه لأمر جيد أنك لا تخشى التحدث عن نفسك</v>
      </c>
    </row>
    <row r="6652" ht="15.75" customHeight="1">
      <c r="A6652" s="12" t="s">
        <v>13057</v>
      </c>
      <c r="B6652" s="13" t="s">
        <v>13058</v>
      </c>
      <c r="C6652" s="14" t="s">
        <v>13059</v>
      </c>
      <c r="D6652" s="1" t="str">
        <f>IFERROR(__xludf.DUMMYFUNCTION("GOOGLETRANSLATE(A6652 , ""auto"", ""ar"")"),"إنها خطوة كبيرة!")</f>
        <v>إنها خطوة كبيرة!</v>
      </c>
    </row>
    <row r="6653" ht="15.75" customHeight="1">
      <c r="A6653" s="12" t="s">
        <v>13060</v>
      </c>
      <c r="B6653" s="13" t="s">
        <v>13061</v>
      </c>
      <c r="C6653" s="14" t="s">
        <v>13062</v>
      </c>
      <c r="D6653" s="1" t="str">
        <f>IFERROR(__xludf.DUMMYFUNCTION("GOOGLETRANSLATE(A6653 , ""auto"", ""ar"")"),"هل تعرف كم من الوقت كنت تشعر بكل هذه المخاوف؟")</f>
        <v>هل تعرف كم من الوقت كنت تشعر بكل هذه المخاوف؟</v>
      </c>
    </row>
    <row r="6654" ht="15.75" customHeight="1">
      <c r="A6654" s="12" t="s">
        <v>13063</v>
      </c>
      <c r="B6654" s="13" t="s">
        <v>13064</v>
      </c>
      <c r="C6654" s="14" t="s">
        <v>13065</v>
      </c>
      <c r="D6654" s="1" t="str">
        <f>IFERROR(__xludf.DUMMYFUNCTION("GOOGLETRANSLATE(A6654 , ""auto"", ""ar"")"),"بدأ هذا العام")</f>
        <v>بدأ هذا العام</v>
      </c>
    </row>
    <row r="6655" ht="15.75" customHeight="1">
      <c r="A6655" s="12" t="s">
        <v>13066</v>
      </c>
      <c r="B6655" s="13" t="s">
        <v>13067</v>
      </c>
      <c r="C6655" s="14" t="s">
        <v>13068</v>
      </c>
      <c r="D6655" s="1" t="str">
        <f>IFERROR(__xludf.DUMMYFUNCTION("GOOGLETRANSLATE(A6655 , ""auto"", ""ar"")"),"عندما عرضت علي الترويج")</f>
        <v>عندما عرضت علي الترويج</v>
      </c>
    </row>
    <row r="6656" ht="15.75" customHeight="1">
      <c r="A6656" s="12" t="s">
        <v>13069</v>
      </c>
      <c r="B6656" s="13" t="s">
        <v>13070</v>
      </c>
      <c r="C6656" s="14" t="s">
        <v>13071</v>
      </c>
      <c r="D6656" s="1" t="str">
        <f>IFERROR(__xludf.DUMMYFUNCTION("GOOGLETRANSLATE(A6656 , ""auto"", ""ar"")"),"رفضته")</f>
        <v>رفضته</v>
      </c>
    </row>
    <row r="6657" ht="15.75" customHeight="1">
      <c r="A6657" s="12" t="s">
        <v>13072</v>
      </c>
      <c r="B6657" s="13" t="s">
        <v>13073</v>
      </c>
      <c r="C6657" s="14" t="s">
        <v>13074</v>
      </c>
      <c r="D6657" s="1" t="str">
        <f>IFERROR(__xludf.DUMMYFUNCTION("GOOGLETRANSLATE(A6657 , ""auto"", ""ar"")"),"ما رأيك أنك خائف منه؟")</f>
        <v>ما رأيك أنك خائف منه؟</v>
      </c>
    </row>
    <row r="6658" ht="15.75" customHeight="1">
      <c r="A6658" s="12" t="s">
        <v>13075</v>
      </c>
      <c r="B6658" s="13" t="s">
        <v>13076</v>
      </c>
      <c r="C6658" s="14" t="s">
        <v>13077</v>
      </c>
      <c r="D6658" s="1" t="str">
        <f>IFERROR(__xludf.DUMMYFUNCTION("GOOGLETRANSLATE(A6658 , ""auto"", ""ar"")"),"مسؤولية")</f>
        <v>مسؤولية</v>
      </c>
    </row>
    <row r="6659" ht="15.75" customHeight="1">
      <c r="A6659" s="12" t="s">
        <v>13078</v>
      </c>
      <c r="B6659" s="13" t="s">
        <v>13079</v>
      </c>
      <c r="C6659" s="14" t="s">
        <v>13080</v>
      </c>
      <c r="D6659" s="1" t="str">
        <f>IFERROR(__xludf.DUMMYFUNCTION("GOOGLETRANSLATE(A6659 , ""auto"", ""ar"")"),"الخوف من الفشل؟")</f>
        <v>الخوف من الفشل؟</v>
      </c>
    </row>
    <row r="6660" ht="15.75" customHeight="1">
      <c r="A6660" s="12" t="s">
        <v>13081</v>
      </c>
      <c r="B6660" s="13" t="s">
        <v>13082</v>
      </c>
      <c r="C6660" s="14" t="s">
        <v>13083</v>
      </c>
      <c r="D6660" s="1" t="str">
        <f>IFERROR(__xludf.DUMMYFUNCTION("GOOGLETRANSLATE(A6660 , ""auto"", ""ar"")"),"أكره وظيفتي ولكني لا أريد أن أتركه")</f>
        <v>أكره وظيفتي ولكني لا أريد أن أتركه</v>
      </c>
    </row>
    <row r="6661" ht="15.75" customHeight="1">
      <c r="A6661" s="12" t="s">
        <v>13084</v>
      </c>
      <c r="B6661" s="13" t="s">
        <v>13085</v>
      </c>
      <c r="C6661" s="14" t="s">
        <v>13086</v>
      </c>
      <c r="D6661" s="1" t="str">
        <f>IFERROR(__xludf.DUMMYFUNCTION("GOOGLETRANSLATE(A6661 , ""auto"", ""ar"")"),"أم ... كيف تُظهر بالضبط مخاوفك؟")</f>
        <v>أم ... كيف تُظهر بالضبط مخاوفك؟</v>
      </c>
    </row>
    <row r="6662" ht="15.75" customHeight="1">
      <c r="A6662" s="12" t="s">
        <v>13087</v>
      </c>
      <c r="B6662" s="13" t="s">
        <v>13088</v>
      </c>
      <c r="C6662" s="14" t="s">
        <v>13089</v>
      </c>
      <c r="D6662" s="1" t="str">
        <f>IFERROR(__xludf.DUMMYFUNCTION("GOOGLETRANSLATE(A6662 , ""auto"", ""ar"")"),"لدي صعوبة في النوم")</f>
        <v>لدي صعوبة في النوم</v>
      </c>
    </row>
    <row r="6663" ht="15.75" customHeight="1">
      <c r="A6663" s="12" t="s">
        <v>13090</v>
      </c>
      <c r="B6663" s="13" t="s">
        <v>13091</v>
      </c>
      <c r="C6663" s="14" t="s">
        <v>13092</v>
      </c>
      <c r="D6663" s="1" t="str">
        <f>IFERROR(__xludf.DUMMYFUNCTION("GOOGLETRANSLATE(A6663 , ""auto"", ""ar"")"),"أفقد الأشياء")</f>
        <v>أفقد الأشياء</v>
      </c>
    </row>
    <row r="6664" ht="15.75" customHeight="1">
      <c r="A6664" s="12" t="s">
        <v>13093</v>
      </c>
      <c r="B6664" s="13" t="s">
        <v>13094</v>
      </c>
      <c r="C6664" s="14" t="s">
        <v>13095</v>
      </c>
      <c r="D6664" s="1" t="str">
        <f>IFERROR(__xludf.DUMMYFUNCTION("GOOGLETRANSLATE(A6664 , ""auto"", ""ar"")"),"نسيت الأشياء")</f>
        <v>نسيت الأشياء</v>
      </c>
    </row>
    <row r="6665" ht="15.75" customHeight="1">
      <c r="A6665" s="12" t="s">
        <v>13096</v>
      </c>
      <c r="B6665" s="13" t="s">
        <v>13097</v>
      </c>
      <c r="C6665" s="14" t="s">
        <v>13098</v>
      </c>
      <c r="D6665" s="1" t="str">
        <f>IFERROR(__xludf.DUMMYFUNCTION("GOOGLETRANSLATE(A6665 , ""auto"", ""ar"")"),"أم ... آسف ما هو السؤال؟")</f>
        <v>أم ... آسف ما هو السؤال؟</v>
      </c>
    </row>
    <row r="6666" ht="15.75" customHeight="1">
      <c r="A6666" s="12" t="s">
        <v>13099</v>
      </c>
      <c r="B6666" s="13" t="s">
        <v>13100</v>
      </c>
      <c r="C6666" s="14" t="s">
        <v>13101</v>
      </c>
      <c r="D6666" s="1" t="str">
        <f>IFERROR(__xludf.DUMMYFUNCTION("GOOGLETRANSLATE(A6666 , ""auto"", ""ar"")"),"حسنًا ، يبدو الموضوع خطيرًا بالنسبة لي")</f>
        <v>حسنًا ، يبدو الموضوع خطيرًا بالنسبة لي</v>
      </c>
    </row>
    <row r="6667" ht="15.75" customHeight="1">
      <c r="A6667" s="12" t="s">
        <v>13102</v>
      </c>
      <c r="B6667" s="13" t="s">
        <v>13103</v>
      </c>
      <c r="C6667" s="14" t="s">
        <v>13104</v>
      </c>
      <c r="D6667" s="1" t="str">
        <f>IFERROR(__xludf.DUMMYFUNCTION("GOOGLETRANSLATE(A6667 , ""auto"", ""ar"")"),"لذلك أقترح أن نلتقي مرة واحدة في الأسبوع لمدة ستة أشهر")</f>
        <v>لذلك أقترح أن نلتقي مرة واحدة في الأسبوع لمدة ستة أشهر</v>
      </c>
    </row>
    <row r="6668" ht="15.75" customHeight="1">
      <c r="A6668" s="12" t="s">
        <v>13105</v>
      </c>
      <c r="B6668" s="13" t="s">
        <v>13106</v>
      </c>
      <c r="C6668" s="14" t="s">
        <v>13107</v>
      </c>
      <c r="D6668" s="1" t="str">
        <f>IFERROR(__xludf.DUMMYFUNCTION("GOOGLETRANSLATE(A6668 , ""auto"", ""ar"")"),"لهذا اليوم ، سيكون ذلك 150 دولار")</f>
        <v>لهذا اليوم ، سيكون ذلك 150 دولار</v>
      </c>
    </row>
    <row r="6669" ht="15.75" customHeight="1">
      <c r="A6669" s="12" t="s">
        <v>13108</v>
      </c>
      <c r="B6669" s="13" t="s">
        <v>13109</v>
      </c>
      <c r="C6669" s="14" t="s">
        <v>13110</v>
      </c>
      <c r="D6669" s="1" t="str">
        <f>IFERROR(__xludf.DUMMYFUNCTION("GOOGLETRANSLATE(A6669 , ""auto"", ""ar"")"),"اجعله مرتين في الأسبوع وضاعف رسومك")</f>
        <v>اجعله مرتين في الأسبوع وضاعف رسومك</v>
      </c>
    </row>
    <row r="6670" ht="15.75" customHeight="1">
      <c r="A6670" s="12" t="s">
        <v>11192</v>
      </c>
      <c r="B6670" s="13" t="s">
        <v>13111</v>
      </c>
      <c r="C6670" s="14" t="s">
        <v>13112</v>
      </c>
      <c r="D6670" s="1" t="str">
        <f>IFERROR(__xludf.DUMMYFUNCTION("GOOGLETRANSLATE(A6670 , ""auto"", ""ar"")"),"من الجيد التحدث معك")</f>
        <v>من الجيد التحدث معك</v>
      </c>
    </row>
    <row r="6671" ht="15.75" customHeight="1">
      <c r="A6671" s="12" t="s">
        <v>13113</v>
      </c>
      <c r="B6671" s="13" t="s">
        <v>13114</v>
      </c>
      <c r="C6671" s="14" t="s">
        <v>13115</v>
      </c>
      <c r="D6671" s="1" t="str">
        <f>IFERROR(__xludf.DUMMYFUNCTION("GOOGLETRANSLATE(A6671 , ""auto"", ""ar"")"),"أشعر بتحسن بالفعل")</f>
        <v>أشعر بتحسن بالفعل</v>
      </c>
    </row>
    <row r="6672" ht="15.75" customHeight="1">
      <c r="A6672" s="12" t="s">
        <v>13116</v>
      </c>
      <c r="B6672" s="13" t="s">
        <v>13117</v>
      </c>
      <c r="C6672" s="14" t="s">
        <v>13118</v>
      </c>
      <c r="D6672" s="1" t="str">
        <f>IFERROR(__xludf.DUMMYFUNCTION("GOOGLETRANSLATE(A6672 , ""auto"", ""ar"")"),"هذا غير مريح للغاية!")</f>
        <v>هذا غير مريح للغاية!</v>
      </c>
    </row>
    <row r="6673" ht="15.75" customHeight="1">
      <c r="A6673" s="12" t="s">
        <v>13119</v>
      </c>
      <c r="B6673" s="13" t="s">
        <v>13120</v>
      </c>
      <c r="C6673" s="14" t="s">
        <v>13121</v>
      </c>
      <c r="D6673" s="1" t="str">
        <f>IFERROR(__xludf.DUMMYFUNCTION("GOOGLETRANSLATE(A6673 , ""auto"", ""ar"")"),"أوه ، لا ، هذا غير ممكن!")</f>
        <v>أوه ، لا ، هذا غير ممكن!</v>
      </c>
    </row>
    <row r="6674" ht="15.75" customHeight="1">
      <c r="A6674" s="12" t="s">
        <v>13122</v>
      </c>
      <c r="B6674" s="13" t="s">
        <v>13123</v>
      </c>
      <c r="C6674" s="14" t="s">
        <v>13124</v>
      </c>
      <c r="D6674" s="1" t="str">
        <f>IFERROR(__xludf.DUMMYFUNCTION("GOOGLETRANSLATE(A6674 , ""auto"", ""ar"")"),"يجب أن أذهب لالتقاط أطفالي في غضون خمس دقائق")</f>
        <v>يجب أن أذهب لالتقاط أطفالي في غضون خمس دقائق</v>
      </c>
    </row>
    <row r="6675" ht="15.75" customHeight="1">
      <c r="A6675" s="12" t="s">
        <v>13125</v>
      </c>
      <c r="B6675" s="13" t="s">
        <v>13126</v>
      </c>
      <c r="C6675" s="14" t="s">
        <v>13127</v>
      </c>
      <c r="D6675" s="1" t="str">
        <f>IFERROR(__xludf.DUMMYFUNCTION("GOOGLETRANSLATE(A6675 , ""auto"", ""ar"")"),"يجب أن أخبر المدرسة أنني سوف أتأخر")</f>
        <v>يجب أن أخبر المدرسة أنني سوف أتأخر</v>
      </c>
    </row>
    <row r="6676" ht="15.75" customHeight="1">
      <c r="A6676" s="12" t="s">
        <v>13128</v>
      </c>
      <c r="B6676" s="13" t="s">
        <v>13129</v>
      </c>
      <c r="C6676" s="14" t="s">
        <v>13130</v>
      </c>
      <c r="D6676" s="1" t="str">
        <f>IFERROR(__xludf.DUMMYFUNCTION("GOOGLETRANSLATE(A6676 , ""auto"", ""ar"")"),"لا تهتم أطفالك")</f>
        <v>لا تهتم أطفالك</v>
      </c>
    </row>
    <row r="6677" ht="15.75" customHeight="1">
      <c r="A6677" s="12" t="s">
        <v>13131</v>
      </c>
      <c r="B6677" s="13" t="s">
        <v>13132</v>
      </c>
      <c r="C6677" s="14" t="s">
        <v>13133</v>
      </c>
      <c r="D6677" s="1" t="str">
        <f>IFERROR(__xludf.DUMMYFUNCTION("GOOGLETRANSLATE(A6677 , ""auto"", ""ar"")"),"ماذا عن لقائي مع عملائنا الجدد؟")</f>
        <v>ماذا عن لقائي مع عملائنا الجدد؟</v>
      </c>
    </row>
    <row r="6678" ht="15.75" customHeight="1">
      <c r="A6678" s="12" t="s">
        <v>13134</v>
      </c>
      <c r="B6678" s="13" t="s">
        <v>13135</v>
      </c>
      <c r="C6678" s="14" t="s">
        <v>13136</v>
      </c>
      <c r="D6678" s="1" t="str">
        <f>IFERROR(__xludf.DUMMYFUNCTION("GOOGLETRANSLATE(A6678 , ""auto"", ""ar"")"),"سيصلون في 3 دقائق!")</f>
        <v>سيصلون في 3 دقائق!</v>
      </c>
    </row>
    <row r="6679" ht="15.75" customHeight="1">
      <c r="A6679" s="12" t="s">
        <v>13137</v>
      </c>
      <c r="B6679" s="13" t="s">
        <v>13138</v>
      </c>
      <c r="C6679" s="14" t="s">
        <v>13139</v>
      </c>
      <c r="D6679" s="1" t="str">
        <f>IFERROR(__xludf.DUMMYFUNCTION("GOOGLETRANSLATE(A6679 , ""auto"", ""ar"")"),"هل هذا موعد مهم للغاية بالنسبة لك؟")</f>
        <v>هل هذا موعد مهم للغاية بالنسبة لك؟</v>
      </c>
    </row>
    <row r="6680" ht="15.75" customHeight="1">
      <c r="A6680" s="12" t="s">
        <v>13140</v>
      </c>
      <c r="B6680" s="13" t="s">
        <v>13141</v>
      </c>
      <c r="C6680" s="14" t="s">
        <v>13142</v>
      </c>
      <c r="D6680" s="1" t="str">
        <f>IFERROR(__xludf.DUMMYFUNCTION("GOOGLETRANSLATE(A6680 , ""auto"", ""ar"")"),"بالطبع هو كذلك")</f>
        <v>بالطبع هو كذلك</v>
      </c>
    </row>
    <row r="6681" ht="15.75" customHeight="1">
      <c r="A6681" s="12" t="s">
        <v>13143</v>
      </c>
      <c r="B6681" s="13" t="s">
        <v>13144</v>
      </c>
      <c r="C6681" s="14" t="s">
        <v>13145</v>
      </c>
      <c r="D6681" s="1" t="str">
        <f>IFERROR(__xludf.DUMMYFUNCTION("GOOGLETRANSLATE(A6681 , ""auto"", ""ar"")"),"هل عندك هاتف؟")</f>
        <v>هل عندك هاتف؟</v>
      </c>
    </row>
    <row r="6682" ht="15.75" customHeight="1">
      <c r="A6682" s="12" t="s">
        <v>13146</v>
      </c>
      <c r="B6682" s="13" t="s">
        <v>13147</v>
      </c>
      <c r="C6682" s="14" t="s">
        <v>13148</v>
      </c>
      <c r="D6682" s="1" t="str">
        <f>IFERROR(__xludf.DUMMYFUNCTION("GOOGLETRANSLATE(A6682 , ""auto"", ""ar"")"),"إذا أرسلت رسالة إلى السكرتير ، فستحذرهم")</f>
        <v>إذا أرسلت رسالة إلى السكرتير ، فستحذرهم</v>
      </c>
    </row>
    <row r="6683" ht="15.75" customHeight="1">
      <c r="A6683" s="12" t="s">
        <v>13149</v>
      </c>
      <c r="B6683" s="13" t="s">
        <v>13150</v>
      </c>
      <c r="C6683" s="14" t="s">
        <v>13151</v>
      </c>
      <c r="D6683" s="1" t="str">
        <f>IFERROR(__xludf.DUMMYFUNCTION("GOOGLETRANSLATE(A6683 , ""auto"", ""ar"")"),"هناك مشكلة في ذلك")</f>
        <v>هناك مشكلة في ذلك</v>
      </c>
    </row>
    <row r="6684" ht="15.75" customHeight="1">
      <c r="A6684" s="12" t="s">
        <v>13152</v>
      </c>
      <c r="B6684" s="13" t="s">
        <v>13153</v>
      </c>
      <c r="C6684" s="14" t="s">
        <v>13154</v>
      </c>
      <c r="D6684" s="1" t="str">
        <f>IFERROR(__xludf.DUMMYFUNCTION("GOOGLETRANSLATE(A6684 , ""auto"", ""ar"")"),"السكرتير مريض اليوم")</f>
        <v>السكرتير مريض اليوم</v>
      </c>
    </row>
    <row r="6685" ht="15.75" customHeight="1">
      <c r="A6685" s="12" t="s">
        <v>13155</v>
      </c>
      <c r="B6685" s="13" t="s">
        <v>13156</v>
      </c>
      <c r="C6685" s="14" t="s">
        <v>13157</v>
      </c>
      <c r="D6685" s="1" t="str">
        <f>IFERROR(__xludf.DUMMYFUNCTION("GOOGLETRANSLATE(A6685 , ""auto"", ""ar"")"),"فكر مرة اخرى")</f>
        <v>فكر مرة اخرى</v>
      </c>
    </row>
    <row r="6686" ht="15.75" customHeight="1">
      <c r="A6686" s="12" t="s">
        <v>13158</v>
      </c>
      <c r="B6686" s="13" t="s">
        <v>13159</v>
      </c>
      <c r="C6686" s="14" t="s">
        <v>13160</v>
      </c>
      <c r="D6686" s="1" t="str">
        <f>IFERROR(__xludf.DUMMYFUNCTION("GOOGLETRANSLATE(A6686 , ""auto"", ""ar"")"),"أنا أدفع لك للتفكير")</f>
        <v>أنا أدفع لك للتفكير</v>
      </c>
    </row>
    <row r="6687" ht="15.75" customHeight="1">
      <c r="A6687" s="12" t="s">
        <v>13161</v>
      </c>
      <c r="B6687" s="13" t="s">
        <v>13162</v>
      </c>
      <c r="C6687" s="14" t="s">
        <v>13163</v>
      </c>
      <c r="D6687" s="1" t="str">
        <f>IFERROR(__xludf.DUMMYFUNCTION("GOOGLETRANSLATE(A6687 , ""auto"", ""ar"")"),"نحن بحاجة إلى حل")</f>
        <v>نحن بحاجة إلى حل</v>
      </c>
    </row>
    <row r="6688" ht="15.75" customHeight="1">
      <c r="A6688" s="12" t="s">
        <v>13164</v>
      </c>
      <c r="B6688" s="13" t="s">
        <v>13165</v>
      </c>
      <c r="C6688" s="14" t="s">
        <v>13166</v>
      </c>
      <c r="D6688" s="1" t="str">
        <f>IFERROR(__xludf.DUMMYFUNCTION("GOOGLETRANSLATE(A6688 , ""auto"", ""ar"")"),"آه ، هل تريد مني أن أقرض لك هاتفي؟")</f>
        <v>آه ، هل تريد مني أن أقرض لك هاتفي؟</v>
      </c>
    </row>
    <row r="6689" ht="15.75" customHeight="1">
      <c r="A6689" s="12" t="s">
        <v>13167</v>
      </c>
      <c r="B6689" s="13" t="s">
        <v>13168</v>
      </c>
      <c r="C6689" s="14" t="s">
        <v>13169</v>
      </c>
      <c r="D6689" s="1" t="str">
        <f>IFERROR(__xludf.DUMMYFUNCTION("GOOGLETRANSLATE(A6689 , ""auto"", ""ar"")"),"لكننا لا نريد أن يعرف العملاء أننا عالقون في المصعد ، أليس كذلك؟")</f>
        <v>لكننا لا نريد أن يعرف العملاء أننا عالقون في المصعد ، أليس كذلك؟</v>
      </c>
    </row>
    <row r="6690" ht="15.75" customHeight="1">
      <c r="A6690" s="12" t="s">
        <v>13170</v>
      </c>
      <c r="B6690" s="13" t="s">
        <v>13171</v>
      </c>
      <c r="C6690" s="14" t="s">
        <v>13172</v>
      </c>
      <c r="D6690" s="1" t="str">
        <f>IFERROR(__xludf.DUMMYFUNCTION("GOOGLETRANSLATE(A6690 , ""auto"", ""ar"")"),"نعم بالتأكيد")</f>
        <v>نعم بالتأكيد</v>
      </c>
    </row>
    <row r="6691" ht="15.75" customHeight="1">
      <c r="A6691" s="12" t="s">
        <v>13173</v>
      </c>
      <c r="B6691" s="13" t="s">
        <v>13174</v>
      </c>
      <c r="C6691" s="14" t="s">
        <v>13175</v>
      </c>
      <c r="D6691" s="1" t="str">
        <f>IFERROR(__xludf.DUMMYFUNCTION("GOOGLETRANSLATE(A6691 , ""auto"", ""ar"")"),"ماذا ستخبرهم؟")</f>
        <v>ماذا ستخبرهم؟</v>
      </c>
    </row>
    <row r="6692" ht="15.75" customHeight="1">
      <c r="A6692" s="12" t="s">
        <v>13176</v>
      </c>
      <c r="B6692" s="13" t="s">
        <v>13177</v>
      </c>
      <c r="C6692" s="14" t="s">
        <v>13178</v>
      </c>
      <c r="D6692" s="1" t="str">
        <f>IFERROR(__xludf.DUMMYFUNCTION("GOOGLETRANSLATE(A6692 , ""auto"", ""ar"")"),"كنت تعود من لوس أنجلوس وتأخرت طائرتك.")</f>
        <v>كنت تعود من لوس أنجلوس وتأخرت طائرتك.</v>
      </c>
    </row>
    <row r="6693" ht="15.75" customHeight="1">
      <c r="A6693" s="12" t="s">
        <v>13179</v>
      </c>
      <c r="B6693" s="13" t="s">
        <v>13180</v>
      </c>
      <c r="C6693" s="14" t="s">
        <v>13181</v>
      </c>
      <c r="D6693" s="1" t="str">
        <f>IFERROR(__xludf.DUMMYFUNCTION("GOOGLETRANSLATE(A6693 , ""auto"", ""ar"")"),"يمكنني الاتصال بهم ، وجعلهم يعتقدون أنني سكرتيرتك")</f>
        <v>يمكنني الاتصال بهم ، وجعلهم يعتقدون أنني سكرتيرتك</v>
      </c>
    </row>
    <row r="6694" ht="15.75" customHeight="1">
      <c r="A6694" s="12" t="s">
        <v>13182</v>
      </c>
      <c r="B6694" s="13" t="s">
        <v>13183</v>
      </c>
      <c r="C6694" s="14" t="s">
        <v>13184</v>
      </c>
      <c r="D6694" s="1" t="str">
        <f>IFERROR(__xludf.DUMMYFUNCTION("GOOGLETRANSLATE(A6694 , ""auto"", ""ar"")"),"طلبت مني أن أحذرهم")</f>
        <v>طلبت مني أن أحذرهم</v>
      </c>
    </row>
    <row r="6695" ht="15.75" customHeight="1">
      <c r="A6695" s="12" t="s">
        <v>13185</v>
      </c>
      <c r="B6695" s="13" t="s">
        <v>13186</v>
      </c>
      <c r="C6695" s="14" t="s">
        <v>13187</v>
      </c>
      <c r="D6695" s="1" t="str">
        <f>IFERROR(__xludf.DUMMYFUNCTION("GOOGLETRANSLATE(A6695 , ""auto"", ""ar"")"),"فكره جيده")</f>
        <v>فكره جيده</v>
      </c>
    </row>
    <row r="6696" ht="15.75" customHeight="1">
      <c r="A6696" s="12" t="s">
        <v>13188</v>
      </c>
      <c r="B6696" s="13" t="s">
        <v>13189</v>
      </c>
      <c r="C6696" s="14" t="s">
        <v>13190</v>
      </c>
      <c r="D6696" s="1" t="str">
        <f>IFERROR(__xludf.DUMMYFUNCTION("GOOGLETRANSLATE(A6696 , ""auto"", ""ar"")"),"الآن أنت تفكر")</f>
        <v>الآن أنت تفكر</v>
      </c>
    </row>
    <row r="6697" ht="15.75" customHeight="1">
      <c r="A6697" s="12" t="s">
        <v>13191</v>
      </c>
      <c r="B6697" s="13" t="s">
        <v>13192</v>
      </c>
      <c r="C6697" s="14" t="s">
        <v>13193</v>
      </c>
      <c r="D6697" s="1" t="str">
        <f>IFERROR(__xludf.DUMMYFUNCTION("GOOGLETRANSLATE(A6697 , ""auto"", ""ar"")"),"مع كون اسم شركتنا XX ، لا يمكننا إخبارهم بأننا عالقون في المصعد الخاص بنا")</f>
        <v>مع كون اسم شركتنا XX ، لا يمكننا إخبارهم بأننا عالقون في المصعد الخاص بنا</v>
      </c>
    </row>
    <row r="6698" ht="15.75" customHeight="1">
      <c r="A6698" s="12" t="s">
        <v>13194</v>
      </c>
      <c r="B6698" s="13" t="s">
        <v>13195</v>
      </c>
      <c r="C6698" s="14" t="s">
        <v>13196</v>
      </c>
      <c r="D6698" s="1" t="str">
        <f>IFERROR(__xludf.DUMMYFUNCTION("GOOGLETRANSLATE(A6698 , ""auto"", ""ar"")"),"سأتصل بهم على الفور ، فما الرقم؟")</f>
        <v>سأتصل بهم على الفور ، فما الرقم؟</v>
      </c>
    </row>
    <row r="6699" ht="15.75" customHeight="1">
      <c r="A6699" s="12" t="s">
        <v>13197</v>
      </c>
      <c r="B6699" s="13" t="s">
        <v>13198</v>
      </c>
      <c r="C6699" s="14" t="s">
        <v>13199</v>
      </c>
      <c r="D6699" s="1" t="str">
        <f>IFERROR(__xludf.DUMMYFUNCTION("GOOGLETRANSLATE(A6699 , ""auto"", ""ar"")"),"أوه لا!")</f>
        <v>أوه لا!</v>
      </c>
    </row>
    <row r="6700" ht="15.75" customHeight="1">
      <c r="A6700" s="12" t="s">
        <v>13200</v>
      </c>
      <c r="B6700" s="13" t="s">
        <v>13201</v>
      </c>
      <c r="C6700" s="14" t="s">
        <v>13202</v>
      </c>
      <c r="D6700" s="1" t="str">
        <f>IFERROR(__xludf.DUMMYFUNCTION("GOOGLETRANSLATE(A6700 , ""auto"", ""ar"")"),"إنه على جهاز الكمبيوتر الخاص بي ، الموجود في مكتبي")</f>
        <v>إنه على جهاز الكمبيوتر الخاص بي ، الموجود في مكتبي</v>
      </c>
    </row>
    <row r="6701" ht="15.75" customHeight="1">
      <c r="A6701" s="12" t="s">
        <v>13203</v>
      </c>
      <c r="B6701" s="13" t="s">
        <v>13204</v>
      </c>
      <c r="C6701" s="14" t="s">
        <v>13205</v>
      </c>
      <c r="D6701" s="1" t="str">
        <f>IFERROR(__xludf.DUMMYFUNCTION("GOOGLETRANSLATE(A6701 , ""auto"", ""ar"")"),"هذا يزداد سوءًا وأسوأ")</f>
        <v>هذا يزداد سوءًا وأسوأ</v>
      </c>
    </row>
    <row r="6702" ht="15.75" customHeight="1">
      <c r="A6702" s="12" t="s">
        <v>13203</v>
      </c>
      <c r="B6702" s="13" t="s">
        <v>13206</v>
      </c>
      <c r="C6702" s="14" t="s">
        <v>13207</v>
      </c>
      <c r="D6702" s="1" t="str">
        <f>IFERROR(__xludf.DUMMYFUNCTION("GOOGLETRANSLATE(A6702 , ""auto"", ""ar"")"),"هذا يزداد سوءًا وأسوأ")</f>
        <v>هذا يزداد سوءًا وأسوأ</v>
      </c>
    </row>
    <row r="6703" ht="15.75" customHeight="1">
      <c r="A6703" s="12" t="s">
        <v>13203</v>
      </c>
      <c r="B6703" s="13" t="s">
        <v>13208</v>
      </c>
      <c r="C6703" s="14" t="s">
        <v>13209</v>
      </c>
      <c r="D6703" s="1" t="str">
        <f>IFERROR(__xludf.DUMMYFUNCTION("GOOGLETRANSLATE(A6703 , ""auto"", ""ar"")"),"هذا يزداد سوءًا وأسوأ")</f>
        <v>هذا يزداد سوءًا وأسوأ</v>
      </c>
    </row>
    <row r="6704" ht="15.75" customHeight="1">
      <c r="A6704" s="12" t="s">
        <v>13210</v>
      </c>
      <c r="B6704" s="13" t="s">
        <v>13211</v>
      </c>
      <c r="C6704" s="14" t="s">
        <v>13212</v>
      </c>
      <c r="D6704" s="1" t="str">
        <f>IFERROR(__xludf.DUMMYFUNCTION("GOOGLETRANSLATE(A6704 , ""auto"", ""ar"")"),"هناك شيء واحد فقط لذلك")</f>
        <v>هناك شيء واحد فقط لذلك</v>
      </c>
    </row>
    <row r="6705" ht="15.75" customHeight="1">
      <c r="A6705" s="12" t="s">
        <v>13213</v>
      </c>
      <c r="B6705" s="13" t="s">
        <v>13214</v>
      </c>
      <c r="C6705" s="14" t="s">
        <v>13215</v>
      </c>
      <c r="D6705" s="1" t="str">
        <f>IFERROR(__xludf.DUMMYFUNCTION("GOOGLETRANSLATE(A6705 , ""auto"", ""ar"")"),"علينا أن نخرج من هنا!")</f>
        <v>علينا أن نخرج من هنا!</v>
      </c>
    </row>
    <row r="6706" ht="15.75" customHeight="1">
      <c r="A6706" s="12" t="s">
        <v>13216</v>
      </c>
      <c r="B6706" s="13" t="s">
        <v>13217</v>
      </c>
      <c r="C6706" s="14" t="s">
        <v>13218</v>
      </c>
      <c r="D6706" s="1" t="str">
        <f>IFERROR(__xludf.DUMMYFUNCTION("GOOGLETRANSLATE(A6706 , ""auto"", ""ar"")"),"اعطني هاتفك")</f>
        <v>اعطني هاتفك</v>
      </c>
    </row>
    <row r="6707" ht="15.75" customHeight="1">
      <c r="A6707" s="12" t="s">
        <v>13219</v>
      </c>
      <c r="B6707" s="13" t="s">
        <v>13220</v>
      </c>
      <c r="C6707" s="14" t="s">
        <v>13221</v>
      </c>
      <c r="D6707" s="1" t="str">
        <f>IFERROR(__xludf.DUMMYFUNCTION("GOOGLETRANSLATE(A6707 , ""auto"", ""ar"")"),"حصلت على جهاز الكمبيوتر المحمول الخاص بي في حقيبتي")</f>
        <v>حصلت على جهاز الكمبيوتر المحمول الخاص بي في حقيبتي</v>
      </c>
    </row>
    <row r="6708" ht="15.75" customHeight="1">
      <c r="A6708" s="12" t="s">
        <v>13222</v>
      </c>
      <c r="B6708" s="13" t="s">
        <v>13223</v>
      </c>
      <c r="C6708" s="14" t="s">
        <v>13224</v>
      </c>
      <c r="D6708" s="1" t="str">
        <f>IFERROR(__xludf.DUMMYFUNCTION("GOOGLETRANSLATE(A6708 , ""auto"", ""ar"")"),"كما قلت")</f>
        <v>كما قلت</v>
      </c>
    </row>
    <row r="6709" ht="15.75" customHeight="1">
      <c r="A6709" s="12" t="s">
        <v>13225</v>
      </c>
      <c r="B6709" s="13" t="s">
        <v>13226</v>
      </c>
      <c r="C6709" s="14" t="s">
        <v>13227</v>
      </c>
      <c r="D6709" s="1" t="str">
        <f>IFERROR(__xludf.DUMMYFUNCTION("GOOGLETRANSLATE(A6709 , ""auto"", ""ar"")"),"كنت سألتقط أطفالي من المدرسة")</f>
        <v>كنت سألتقط أطفالي من المدرسة</v>
      </c>
    </row>
    <row r="6710" ht="15.75" customHeight="1">
      <c r="A6710" s="12" t="s">
        <v>13228</v>
      </c>
      <c r="B6710" s="13" t="s">
        <v>13229</v>
      </c>
      <c r="C6710" s="14" t="s">
        <v>13230</v>
      </c>
      <c r="D6710" s="1" t="str">
        <f>IFERROR(__xludf.DUMMYFUNCTION("GOOGLETRANSLATE(A6710 , ""auto"", ""ar"")"),"اعتقدت أنني سأعمل الليلة في المنزل")</f>
        <v>اعتقدت أنني سأعمل الليلة في المنزل</v>
      </c>
    </row>
    <row r="6711" ht="15.75" customHeight="1">
      <c r="A6711" s="12" t="s">
        <v>13231</v>
      </c>
      <c r="B6711" s="13" t="s">
        <v>13232</v>
      </c>
      <c r="C6711" s="14" t="s">
        <v>13233</v>
      </c>
      <c r="D6711" s="1" t="str">
        <f>IFERROR(__xludf.DUMMYFUNCTION("GOOGLETRANSLATE(A6711 , ""auto"", ""ar"")"),"سنجد هواتفهم في جهاز الكمبيوتر الخاص بي ، لا تقلق.")</f>
        <v>سنجد هواتفهم في جهاز الكمبيوتر الخاص بي ، لا تقلق.</v>
      </c>
    </row>
    <row r="6712" ht="15.75" customHeight="1">
      <c r="A6712" s="12" t="s">
        <v>13234</v>
      </c>
      <c r="B6712" s="13" t="s">
        <v>13235</v>
      </c>
      <c r="C6712" s="14" t="s">
        <v>13236</v>
      </c>
      <c r="D6712" s="1" t="str">
        <f>IFERROR(__xludf.DUMMYFUNCTION("GOOGLETRANSLATE(A6712 , ""auto"", ""ar"")"),"هنا ، سأعطيه لك.")</f>
        <v>هنا ، سأعطيه لك.</v>
      </c>
    </row>
    <row r="6713" ht="15.75" customHeight="1">
      <c r="A6713" s="12" t="s">
        <v>13237</v>
      </c>
      <c r="B6713" s="13" t="s">
        <v>13238</v>
      </c>
      <c r="C6713" s="14" t="s">
        <v>13239</v>
      </c>
      <c r="D6713" s="1" t="str">
        <f>IFERROR(__xludf.DUMMYFUNCTION("GOOGLETRANSLATE(A6713 , ""auto"", ""ar"")"),"في هذه الأثناء")</f>
        <v>في هذه الأثناء</v>
      </c>
    </row>
    <row r="6714" ht="15.75" customHeight="1">
      <c r="A6714" s="12" t="s">
        <v>13237</v>
      </c>
      <c r="B6714" s="13" t="s">
        <v>13240</v>
      </c>
      <c r="C6714" s="14" t="s">
        <v>13241</v>
      </c>
      <c r="D6714" s="1" t="str">
        <f>IFERROR(__xludf.DUMMYFUNCTION("GOOGLETRANSLATE(A6714 , ""auto"", ""ar"")"),"في هذه الأثناء")</f>
        <v>في هذه الأثناء</v>
      </c>
    </row>
    <row r="6715" ht="15.75" customHeight="1">
      <c r="A6715" s="12" t="s">
        <v>13242</v>
      </c>
      <c r="B6715" s="13" t="s">
        <v>13243</v>
      </c>
      <c r="C6715" s="14" t="s">
        <v>13244</v>
      </c>
      <c r="D6715" s="1" t="str">
        <f>IFERROR(__xludf.DUMMYFUNCTION("GOOGLETRANSLATE(A6715 , ""auto"", ""ar"")"),"سأتصل بالمدرسة وأخبرهم أنني سأتأخر قليلاً")</f>
        <v>سأتصل بالمدرسة وأخبرهم أنني سأتأخر قليلاً</v>
      </c>
    </row>
    <row r="6716" ht="15.75" customHeight="1">
      <c r="A6716" s="12" t="s">
        <v>9394</v>
      </c>
      <c r="B6716" s="13" t="s">
        <v>12375</v>
      </c>
      <c r="C6716" s="14" t="s">
        <v>12376</v>
      </c>
      <c r="D6716" s="1" t="str">
        <f>IFERROR(__xludf.DUMMYFUNCTION("GOOGLETRANSLATE(A6716 , ""auto"", ""ar"")"),"شكرًا لك")</f>
        <v>شكرًا لك</v>
      </c>
    </row>
    <row r="6717" ht="15.75" customHeight="1">
      <c r="A6717" s="12" t="s">
        <v>13245</v>
      </c>
      <c r="B6717" s="13" t="s">
        <v>13246</v>
      </c>
      <c r="C6717" s="14" t="s">
        <v>13247</v>
      </c>
      <c r="D6717" s="1" t="str">
        <f>IFERROR(__xludf.DUMMYFUNCTION("GOOGLETRANSLATE(A6717 , ""auto"", ""ar"")"),"هاتفك منخفض للغاية في البطارية")</f>
        <v>هاتفك منخفض للغاية في البطارية</v>
      </c>
    </row>
    <row r="6718" ht="15.75" customHeight="1">
      <c r="A6718" s="12" t="s">
        <v>13248</v>
      </c>
      <c r="B6718" s="13" t="s">
        <v>13249</v>
      </c>
      <c r="C6718" s="14" t="s">
        <v>13250</v>
      </c>
      <c r="D6718" s="1" t="str">
        <f>IFERROR(__xludf.DUMMYFUNCTION("GOOGLETRANSLATE(A6718 , ""auto"", ""ar"")"),"هل قمت بشحنها مؤخرًا؟")</f>
        <v>هل قمت بشحنها مؤخرًا؟</v>
      </c>
    </row>
    <row r="6719" ht="15.75" customHeight="1">
      <c r="A6719" s="12" t="s">
        <v>13251</v>
      </c>
      <c r="B6719" s="13" t="s">
        <v>13252</v>
      </c>
      <c r="C6719" s="14" t="s">
        <v>13253</v>
      </c>
      <c r="D6719" s="1" t="str">
        <f>IFERROR(__xludf.DUMMYFUNCTION("GOOGLETRANSLATE(A6719 , ""auto"", ""ar"")"),"لقد نفدت البطارية للتو")</f>
        <v>لقد نفدت البطارية للتو</v>
      </c>
    </row>
    <row r="6720" ht="15.75" customHeight="1">
      <c r="A6720" s="12" t="s">
        <v>13254</v>
      </c>
      <c r="B6720" s="13" t="s">
        <v>13255</v>
      </c>
      <c r="C6720" s="14" t="s">
        <v>13256</v>
      </c>
      <c r="D6720" s="1" t="str">
        <f>IFERROR(__xludf.DUMMYFUNCTION("GOOGLETRANSLATE(A6720 , ""auto"", ""ar"")"),"ليس لدينا طريقة للتواصل مع أي شخص")</f>
        <v>ليس لدينا طريقة للتواصل مع أي شخص</v>
      </c>
    </row>
    <row r="6721" ht="15.75" customHeight="1">
      <c r="A6721" s="12" t="s">
        <v>13257</v>
      </c>
      <c r="B6721" s="13" t="s">
        <v>13258</v>
      </c>
      <c r="C6721" s="14" t="s">
        <v>13259</v>
      </c>
      <c r="D6721" s="1" t="str">
        <f>IFERROR(__xludf.DUMMYFUNCTION("GOOGLETRANSLATE(A6721 , ""auto"", ""ar"")"),"آه ، هذا يزعج حقًا")</f>
        <v>آه ، هذا يزعج حقًا</v>
      </c>
    </row>
    <row r="6722" ht="15.75" customHeight="1">
      <c r="A6722" s="12" t="s">
        <v>13260</v>
      </c>
      <c r="B6722" s="13" t="s">
        <v>13261</v>
      </c>
      <c r="C6722" s="14" t="s">
        <v>13262</v>
      </c>
      <c r="D6722" s="1" t="str">
        <f>IFERROR(__xludf.DUMMYFUNCTION("GOOGLETRANSLATE(A6722 , ""auto"", ""ar"")"),"آمل أن يصل المسعفون إلى هنا.")</f>
        <v>آمل أن يصل المسعفون إلى هنا.</v>
      </c>
    </row>
    <row r="6723" ht="15.75" customHeight="1">
      <c r="A6723" s="12" t="s">
        <v>13263</v>
      </c>
      <c r="B6723" s="13" t="s">
        <v>13264</v>
      </c>
      <c r="C6723" s="14" t="s">
        <v>13265</v>
      </c>
      <c r="D6723" s="1" t="str">
        <f>IFERROR(__xludf.DUMMYFUNCTION("GOOGLETRANSLATE(A6723 , ""auto"", ""ar"")"),"لا تُصب بالذعر")</f>
        <v>لا تُصب بالذعر</v>
      </c>
    </row>
    <row r="6724" ht="15.75" customHeight="1">
      <c r="A6724" s="12" t="s">
        <v>13263</v>
      </c>
      <c r="B6724" s="13" t="s">
        <v>13266</v>
      </c>
      <c r="C6724" s="14" t="s">
        <v>13267</v>
      </c>
      <c r="D6724" s="1" t="str">
        <f>IFERROR(__xludf.DUMMYFUNCTION("GOOGLETRANSLATE(A6724 , ""auto"", ""ar"")"),"لا تُصب بالذعر")</f>
        <v>لا تُصب بالذعر</v>
      </c>
    </row>
    <row r="6725" ht="15.75" customHeight="1">
      <c r="A6725" s="12" t="s">
        <v>13263</v>
      </c>
      <c r="B6725" s="13" t="s">
        <v>13268</v>
      </c>
      <c r="C6725" s="14" t="s">
        <v>13269</v>
      </c>
      <c r="D6725" s="1" t="str">
        <f>IFERROR(__xludf.DUMMYFUNCTION("GOOGLETRANSLATE(A6725 , ""auto"", ""ar"")"),"لا تُصب بالذعر")</f>
        <v>لا تُصب بالذعر</v>
      </c>
    </row>
    <row r="6726" ht="15.75" customHeight="1">
      <c r="A6726" s="12" t="s">
        <v>13270</v>
      </c>
      <c r="B6726" s="13" t="s">
        <v>13271</v>
      </c>
      <c r="C6726" s="14" t="s">
        <v>13272</v>
      </c>
      <c r="D6726" s="1" t="str">
        <f>IFERROR(__xludf.DUMMYFUNCTION("GOOGLETRANSLATE(A6726 , ""auto"", ""ar"")"),"نحن لسنا بجروح!")</f>
        <v>نحن لسنا بجروح!</v>
      </c>
    </row>
    <row r="6727" ht="15.75" customHeight="1">
      <c r="A6727" s="12" t="s">
        <v>13273</v>
      </c>
      <c r="B6727" s="13" t="s">
        <v>13274</v>
      </c>
      <c r="C6727" s="14" t="s">
        <v>13275</v>
      </c>
      <c r="D6727" s="1" t="str">
        <f>IFERROR(__xludf.DUMMYFUNCTION("GOOGLETRANSLATE(A6727 , ""auto"", ""ar"")"),"لماذا لا نضغط فقط على زر الإنذار")</f>
        <v>لماذا لا نضغط فقط على زر الإنذار</v>
      </c>
    </row>
    <row r="6728" ht="15.75" customHeight="1">
      <c r="A6728" s="12" t="s">
        <v>13276</v>
      </c>
      <c r="B6728" s="13" t="s">
        <v>13277</v>
      </c>
      <c r="C6728" s="14" t="s">
        <v>13278</v>
      </c>
      <c r="D6728" s="1" t="str">
        <f>IFERROR(__xludf.DUMMYFUNCTION("GOOGLETRANSLATE(A6728 , ""auto"", ""ar"")"),"لماذا لم تفكر في ذلك من قبل؟")</f>
        <v>لماذا لم تفكر في ذلك من قبل؟</v>
      </c>
    </row>
    <row r="6729" ht="15.75" customHeight="1">
      <c r="A6729" s="12" t="s">
        <v>13279</v>
      </c>
      <c r="B6729" s="13" t="s">
        <v>13280</v>
      </c>
      <c r="C6729" s="14" t="s">
        <v>13281</v>
      </c>
      <c r="D6729" s="1" t="str">
        <f>IFERROR(__xludf.DUMMYFUNCTION("GOOGLETRANSLATE(A6729 , ""auto"", ""ar"")"),"أنا أدفع لك أن أفكر!")</f>
        <v>أنا أدفع لك أن أفكر!</v>
      </c>
    </row>
    <row r="6730" ht="15.75" customHeight="1">
      <c r="A6730" s="12" t="s">
        <v>13282</v>
      </c>
      <c r="B6730" s="13" t="s">
        <v>13283</v>
      </c>
      <c r="C6730" s="14" t="s">
        <v>13284</v>
      </c>
      <c r="D6730" s="1" t="str">
        <f>IFERROR(__xludf.DUMMYFUNCTION("GOOGLETRANSLATE(A6730 , ""auto"", ""ar"")"),"أعتقد أن مسار الغابات هذا يقودنا إلى طريق مسدود")</f>
        <v>أعتقد أن مسار الغابات هذا يقودنا إلى طريق مسدود</v>
      </c>
    </row>
    <row r="6731" ht="15.75" customHeight="1">
      <c r="A6731" s="12" t="s">
        <v>13285</v>
      </c>
      <c r="B6731" s="13" t="s">
        <v>13286</v>
      </c>
      <c r="C6731" s="14" t="s">
        <v>13287</v>
      </c>
      <c r="D6731" s="1" t="str">
        <f>IFERROR(__xludf.DUMMYFUNCTION("GOOGLETRANSLATE(A6731 , ""auto"", ""ar"")"),"هل كنت هنا من قبل؟")</f>
        <v>هل كنت هنا من قبل؟</v>
      </c>
    </row>
    <row r="6732" ht="15.75" customHeight="1">
      <c r="A6732" s="12" t="s">
        <v>13288</v>
      </c>
      <c r="B6732" s="13" t="s">
        <v>13289</v>
      </c>
      <c r="C6732" s="14" t="s">
        <v>13290</v>
      </c>
      <c r="D6732" s="1" t="str">
        <f>IFERROR(__xludf.DUMMYFUNCTION("GOOGLETRANSLATE(A6732 , ""auto"", ""ar"")"),"إنها مشكلة")</f>
        <v>إنها مشكلة</v>
      </c>
    </row>
    <row r="6733" ht="15.75" customHeight="1">
      <c r="A6733" s="12" t="s">
        <v>13291</v>
      </c>
      <c r="B6733" s="13" t="s">
        <v>13292</v>
      </c>
      <c r="C6733" s="14" t="s">
        <v>13293</v>
      </c>
      <c r="D6733" s="1" t="str">
        <f>IFERROR(__xludf.DUMMYFUNCTION("GOOGLETRANSLATE(A6733 , ""auto"", ""ar"")"),"لا ، أنا لا أعرف المنطقة.")</f>
        <v>لا ، أنا لا أعرف المنطقة.</v>
      </c>
    </row>
    <row r="6734" ht="15.75" customHeight="1">
      <c r="A6734" s="12" t="s">
        <v>13294</v>
      </c>
      <c r="B6734" s="13" t="s">
        <v>13295</v>
      </c>
      <c r="C6734" s="14" t="s">
        <v>13296</v>
      </c>
      <c r="D6734" s="1" t="str">
        <f>IFERROR(__xludf.DUMMYFUNCTION("GOOGLETRANSLATE(A6734 , ""auto"", ""ar"")"),"هل تعتقد أننا يجب أن نعود؟")</f>
        <v>هل تعتقد أننا يجب أن نعود؟</v>
      </c>
    </row>
    <row r="6735" ht="15.75" customHeight="1">
      <c r="A6735" s="12" t="s">
        <v>13297</v>
      </c>
      <c r="B6735" s="13" t="s">
        <v>13298</v>
      </c>
      <c r="C6735" s="14" t="s">
        <v>13299</v>
      </c>
      <c r="D6735" s="1" t="str">
        <f>IFERROR(__xludf.DUMMYFUNCTION("GOOGLETRANSLATE(A6735 , ""auto"", ""ar"")"),"نعم ، أعتقد أنه سيكون من الحكمة استعادة خطواتنا")</f>
        <v>نعم ، أعتقد أنه سيكون من الحكمة استعادة خطواتنا</v>
      </c>
    </row>
    <row r="6736" ht="15.75" customHeight="1">
      <c r="A6736" s="12" t="s">
        <v>13300</v>
      </c>
      <c r="B6736" s="13" t="s">
        <v>13301</v>
      </c>
      <c r="C6736" s="14" t="s">
        <v>13302</v>
      </c>
      <c r="D6736" s="1" t="str">
        <f>IFERROR(__xludf.DUMMYFUNCTION("GOOGLETRANSLATE(A6736 , ""auto"", ""ar"")"),"منذ متى كنا نسير على هذا المسار؟")</f>
        <v>منذ متى كنا نسير على هذا المسار؟</v>
      </c>
    </row>
    <row r="6737" ht="15.75" customHeight="1">
      <c r="A6737" s="12" t="s">
        <v>11655</v>
      </c>
      <c r="B6737" s="13" t="s">
        <v>13303</v>
      </c>
      <c r="C6737" s="14" t="s">
        <v>13304</v>
      </c>
      <c r="D6737" s="1" t="str">
        <f>IFERROR(__xludf.DUMMYFUNCTION("GOOGLETRANSLATE(A6737 , ""auto"", ""ar"")"),"إنها فكرةجيدة")</f>
        <v>إنها فكرةجيدة</v>
      </c>
    </row>
    <row r="6738" ht="15.75" customHeight="1">
      <c r="A6738" s="12" t="s">
        <v>13305</v>
      </c>
      <c r="B6738" s="13" t="s">
        <v>13306</v>
      </c>
      <c r="C6738" s="14" t="s">
        <v>13307</v>
      </c>
      <c r="D6738" s="1" t="str">
        <f>IFERROR(__xludf.DUMMYFUNCTION("GOOGLETRANSLATE(A6738 , ""auto"", ""ar"")"),"كم الوقت الان؟")</f>
        <v>كم الوقت الان؟</v>
      </c>
    </row>
    <row r="6739" ht="15.75" customHeight="1">
      <c r="A6739" s="12" t="s">
        <v>13308</v>
      </c>
      <c r="B6739" s="13" t="s">
        <v>13309</v>
      </c>
      <c r="C6739" s="14" t="s">
        <v>13310</v>
      </c>
      <c r="D6739" s="1" t="str">
        <f>IFERROR(__xludf.DUMMYFUNCTION("GOOGLETRANSLATE(A6739 , ""auto"", ""ar"")"),"هل لديك هاتفك أو مشاهدة؟")</f>
        <v>هل لديك هاتفك أو مشاهدة؟</v>
      </c>
    </row>
    <row r="6740" ht="15.75" customHeight="1">
      <c r="A6740" s="12" t="s">
        <v>13311</v>
      </c>
      <c r="B6740" s="13" t="s">
        <v>13312</v>
      </c>
      <c r="C6740" s="14" t="s">
        <v>13313</v>
      </c>
      <c r="D6740" s="1" t="str">
        <f>IFERROR(__xludf.DUMMYFUNCTION("GOOGLETRANSLATE(A6740 , ""auto"", ""ar"")"),"نعم ، لدي ساعة.")</f>
        <v>نعم ، لدي ساعة.</v>
      </c>
    </row>
    <row r="6741" ht="15.75" customHeight="1">
      <c r="A6741" s="12" t="s">
        <v>13314</v>
      </c>
      <c r="B6741" s="13" t="s">
        <v>13315</v>
      </c>
      <c r="C6741" s="14" t="s">
        <v>13316</v>
      </c>
      <c r="D6741" s="1" t="str">
        <f>IFERROR(__xludf.DUMMYFUNCTION("GOOGLETRANSLATE(A6741 , ""auto"", ""ar"")"),"هاتفي مقفل.")</f>
        <v>هاتفي مقفل.</v>
      </c>
    </row>
    <row r="6742" ht="15.75" customHeight="1">
      <c r="A6742" s="12" t="s">
        <v>13317</v>
      </c>
      <c r="B6742" s="13" t="s">
        <v>13318</v>
      </c>
      <c r="C6742" s="14" t="s">
        <v>13319</v>
      </c>
      <c r="D6742" s="1" t="str">
        <f>IFERROR(__xludf.DUMMYFUNCTION("GOOGLETRANSLATE(A6742 , ""auto"", ""ar"")"),"الساعة 8:00 بالفعل")</f>
        <v>الساعة 8:00 بالفعل</v>
      </c>
    </row>
    <row r="6743" ht="15.75" customHeight="1">
      <c r="A6743" s="12" t="s">
        <v>13320</v>
      </c>
      <c r="B6743" s="13" t="s">
        <v>13321</v>
      </c>
      <c r="C6743" s="14" t="s">
        <v>13322</v>
      </c>
      <c r="D6743" s="1" t="str">
        <f>IFERROR(__xludf.DUMMYFUNCTION("GOOGLETRANSLATE(A6743 , ""auto"", ""ar"")"),"المكان يزداد ظلام")</f>
        <v>المكان يزداد ظلام</v>
      </c>
    </row>
    <row r="6744" ht="15.75" customHeight="1">
      <c r="A6744" s="12" t="s">
        <v>13323</v>
      </c>
      <c r="B6744" s="13" t="s">
        <v>13324</v>
      </c>
      <c r="C6744" s="14" t="s">
        <v>13325</v>
      </c>
      <c r="D6744" s="1" t="str">
        <f>IFERROR(__xludf.DUMMYFUNCTION("GOOGLETRANSLATE(A6744 , ""auto"", ""ar"")"),"هل لديك أي عشاء؟")</f>
        <v>هل لديك أي عشاء؟</v>
      </c>
    </row>
    <row r="6745" ht="15.75" customHeight="1">
      <c r="A6745" s="12" t="s">
        <v>13326</v>
      </c>
      <c r="B6745" s="13" t="s">
        <v>13327</v>
      </c>
      <c r="C6745" s="14" t="s">
        <v>13328</v>
      </c>
      <c r="D6745" s="1" t="str">
        <f>IFERROR(__xludf.DUMMYFUNCTION("GOOGLETRANSLATE(A6745 , ""auto"", ""ar"")"),"هل لديك فكرة عن المدة التي استغرقناها للوصول إلى هذه النقطة في الغابة؟")</f>
        <v>هل لديك فكرة عن المدة التي استغرقناها للوصول إلى هذه النقطة في الغابة؟</v>
      </c>
    </row>
    <row r="6746" ht="15.75" customHeight="1">
      <c r="A6746" s="12" t="s">
        <v>13329</v>
      </c>
      <c r="B6746" s="13" t="s">
        <v>13330</v>
      </c>
      <c r="C6746" s="14" t="s">
        <v>13331</v>
      </c>
      <c r="D6746" s="1" t="str">
        <f>IFERROR(__xludf.DUMMYFUNCTION("GOOGLETRANSLATE(A6746 , ""auto"", ""ar"")"),"أعتقد أنه مرت أربع ساعات منذ أن سارنا على هذا المسار")</f>
        <v>أعتقد أنه مرت أربع ساعات منذ أن سارنا على هذا المسار</v>
      </c>
    </row>
    <row r="6747" ht="15.75" customHeight="1">
      <c r="A6747" s="12" t="s">
        <v>13332</v>
      </c>
      <c r="B6747" s="13" t="s">
        <v>13333</v>
      </c>
      <c r="C6747" s="14" t="s">
        <v>13334</v>
      </c>
      <c r="D6747" s="1" t="str">
        <f>IFERROR(__xludf.DUMMYFUNCTION("GOOGLETRANSLATE(A6747 , ""auto"", ""ar"")"),"لدي بعض البسكويت في حقيبة الظهر الخاصة بي")</f>
        <v>لدي بعض البسكويت في حقيبة الظهر الخاصة بي</v>
      </c>
    </row>
    <row r="6748" ht="15.75" customHeight="1">
      <c r="A6748" s="12" t="s">
        <v>13335</v>
      </c>
      <c r="B6748" s="13" t="s">
        <v>13336</v>
      </c>
      <c r="C6748" s="14" t="s">
        <v>13337</v>
      </c>
      <c r="D6748" s="1" t="str">
        <f>IFERROR(__xludf.DUMMYFUNCTION("GOOGLETRANSLATE(A6748 , ""auto"", ""ar"")"),"كان من الأفضل أن نتحرك بسرعة")</f>
        <v>كان من الأفضل أن نتحرك بسرعة</v>
      </c>
    </row>
    <row r="6749" ht="15.75" customHeight="1">
      <c r="A6749" s="12" t="s">
        <v>13338</v>
      </c>
      <c r="B6749" s="13" t="s">
        <v>13339</v>
      </c>
      <c r="C6749" s="14" t="s">
        <v>13340</v>
      </c>
      <c r="D6749" s="1" t="str">
        <f>IFERROR(__xludf.DUMMYFUNCTION("GOOGLETRANSLATE(A6749 , ""auto"", ""ar"")"),"المشكلة هي الضوء")</f>
        <v>المشكلة هي الضوء</v>
      </c>
    </row>
    <row r="6750" ht="15.75" customHeight="1">
      <c r="A6750" s="12" t="s">
        <v>13341</v>
      </c>
      <c r="B6750" s="13" t="s">
        <v>13342</v>
      </c>
      <c r="C6750" s="14" t="s">
        <v>13343</v>
      </c>
      <c r="D6750" s="1" t="str">
        <f>IFERROR(__xludf.DUMMYFUNCTION("GOOGLETRANSLATE(A6750 , ""auto"", ""ar"")"),"قد نفقد أنفسنا أو نسير على عقبة ونؤذينا")</f>
        <v>قد نفقد أنفسنا أو نسير على عقبة ونؤذينا</v>
      </c>
    </row>
    <row r="6751" ht="15.75" customHeight="1">
      <c r="A6751" s="12" t="s">
        <v>13344</v>
      </c>
      <c r="B6751" s="13" t="s">
        <v>13345</v>
      </c>
      <c r="C6751" s="14" t="s">
        <v>13346</v>
      </c>
      <c r="D6751" s="1" t="str">
        <f>IFERROR(__xludf.DUMMYFUNCTION("GOOGLETRANSLATE(A6751 , ""auto"", ""ar"")"),"نعم ، يجب أن نسرع.")</f>
        <v>نعم ، يجب أن نسرع.</v>
      </c>
    </row>
    <row r="6752" ht="15.75" customHeight="1">
      <c r="A6752" s="12" t="s">
        <v>13347</v>
      </c>
      <c r="B6752" s="13" t="s">
        <v>13348</v>
      </c>
      <c r="C6752" s="14" t="s">
        <v>13349</v>
      </c>
      <c r="D6752" s="1" t="str">
        <f>IFERROR(__xludf.DUMMYFUNCTION("GOOGLETRANSLATE(A6752 , ""auto"", ""ar"")"),"لنكن حذرين في خطواتنا")</f>
        <v>لنكن حذرين في خطواتنا</v>
      </c>
    </row>
    <row r="6753" ht="15.75" customHeight="1">
      <c r="A6753" s="12" t="s">
        <v>13350</v>
      </c>
      <c r="B6753" s="13" t="s">
        <v>13351</v>
      </c>
      <c r="C6753" s="14" t="s">
        <v>13352</v>
      </c>
      <c r="D6753" s="1" t="str">
        <f>IFERROR(__xludf.DUMMYFUNCTION("GOOGLETRANSLATE(A6753 , ""auto"", ""ar"")"),"وعلى جانبك")</f>
        <v>وعلى جانبك</v>
      </c>
    </row>
    <row r="6754" ht="15.75" customHeight="1">
      <c r="A6754" s="12" t="s">
        <v>13353</v>
      </c>
      <c r="B6754" s="13" t="s">
        <v>13354</v>
      </c>
      <c r="C6754" s="14" t="s">
        <v>13355</v>
      </c>
      <c r="D6754" s="1" t="str">
        <f>IFERROR(__xludf.DUMMYFUNCTION("GOOGLETRANSLATE(A6754 , ""auto"", ""ar"")"),"أربع ساعات؟")</f>
        <v>أربع ساعات؟</v>
      </c>
    </row>
    <row r="6755" ht="15.75" customHeight="1">
      <c r="A6755" s="12" t="s">
        <v>13356</v>
      </c>
      <c r="B6755" s="13" t="s">
        <v>13357</v>
      </c>
      <c r="C6755" s="14" t="s">
        <v>13358</v>
      </c>
      <c r="D6755" s="1" t="str">
        <f>IFERROR(__xludf.DUMMYFUNCTION("GOOGLETRANSLATE(A6755 , ""auto"", ""ar"")"),"لحسن الحظ لدي هاتفي علي")</f>
        <v>لحسن الحظ لدي هاتفي علي</v>
      </c>
    </row>
    <row r="6756" ht="15.75" customHeight="1">
      <c r="A6756" s="12" t="s">
        <v>13359</v>
      </c>
      <c r="B6756" s="13" t="s">
        <v>13360</v>
      </c>
      <c r="C6756" s="14" t="s">
        <v>13361</v>
      </c>
      <c r="D6756" s="1" t="str">
        <f>IFERROR(__xludf.DUMMYFUNCTION("GOOGLETRANSLATE(A6756 , ""auto"", ""ar"")"),"كان لدينا تنبيه أفضل لعائلاتنا")</f>
        <v>كان لدينا تنبيه أفضل لعائلاتنا</v>
      </c>
    </row>
    <row r="6757" ht="15.75" customHeight="1">
      <c r="A6757" s="12" t="s">
        <v>13362</v>
      </c>
      <c r="B6757" s="13" t="s">
        <v>13363</v>
      </c>
      <c r="C6757" s="14" t="s">
        <v>13364</v>
      </c>
      <c r="D6757" s="1" t="str">
        <f>IFERROR(__xludf.DUMMYFUNCTION("GOOGLETRANSLATE(A6757 , ""auto"", ""ar"")"),"يجب أن نقول لهم عن مشكلتنا")</f>
        <v>يجب أن نقول لهم عن مشكلتنا</v>
      </c>
    </row>
    <row r="6758" ht="15.75" customHeight="1">
      <c r="A6758" s="12" t="s">
        <v>13365</v>
      </c>
      <c r="B6758" s="13" t="s">
        <v>13366</v>
      </c>
      <c r="C6758" s="14" t="s">
        <v>13367</v>
      </c>
      <c r="D6758" s="1" t="str">
        <f>IFERROR(__xludf.DUMMYFUNCTION("GOOGLETRANSLATE(A6758 , ""auto"", ""ar"")"),"عظيم ، على الأقل أرسل نصًا لتحذيرهم.")</f>
        <v>عظيم ، على الأقل أرسل نصًا لتحذيرهم.</v>
      </c>
    </row>
    <row r="6759" ht="15.75" customHeight="1">
      <c r="A6759" s="12" t="s">
        <v>13368</v>
      </c>
      <c r="B6759" s="13" t="s">
        <v>13369</v>
      </c>
      <c r="C6759" s="14" t="s">
        <v>13370</v>
      </c>
      <c r="D6759" s="1" t="str">
        <f>IFERROR(__xludf.DUMMYFUNCTION("GOOGLETRANSLATE(A6759 , ""auto"", ""ar"")"),"يمكننا استخدام الشعلة في هاتفي")</f>
        <v>يمكننا استخدام الشعلة في هاتفي</v>
      </c>
    </row>
    <row r="6760" ht="15.75" customHeight="1">
      <c r="A6760" s="12" t="s">
        <v>13371</v>
      </c>
      <c r="B6760" s="13" t="s">
        <v>13372</v>
      </c>
      <c r="C6760" s="14" t="s">
        <v>13373</v>
      </c>
      <c r="D6760" s="1" t="str">
        <f>IFERROR(__xludf.DUMMYFUNCTION("GOOGLETRANSLATE(A6760 , ""auto"", ""ar"")"),"هذا هو هاتفي ، وليس لك")</f>
        <v>هذا هو هاتفي ، وليس لك</v>
      </c>
    </row>
    <row r="6761" ht="15.75" customHeight="1">
      <c r="A6761" s="12" t="s">
        <v>13374</v>
      </c>
      <c r="B6761" s="13" t="s">
        <v>13375</v>
      </c>
      <c r="C6761" s="14" t="s">
        <v>13376</v>
      </c>
      <c r="D6761" s="1" t="str">
        <f>IFERROR(__xludf.DUMMYFUNCTION("GOOGLETRANSLATE(A6761 , ""auto"", ""ar"")"),"هل هذا هو هاتفك")</f>
        <v>هل هذا هو هاتفك</v>
      </c>
    </row>
    <row r="6762" ht="15.75" customHeight="1">
      <c r="A6762" s="12" t="s">
        <v>13377</v>
      </c>
      <c r="B6762" s="13" t="s">
        <v>13378</v>
      </c>
      <c r="C6762" s="14" t="s">
        <v>13379</v>
      </c>
      <c r="D6762" s="1" t="str">
        <f>IFERROR(__xludf.DUMMYFUNCTION("GOOGLETRANSLATE(A6762 , ""auto"", ""ar"")"),"لا ، هذا هو هاتف نيا")</f>
        <v>لا ، هذا هو هاتف نيا</v>
      </c>
    </row>
    <row r="6763" ht="15.75" customHeight="1">
      <c r="A6763" s="12" t="s">
        <v>13380</v>
      </c>
      <c r="B6763" s="13" t="s">
        <v>13381</v>
      </c>
      <c r="C6763" s="14" t="s">
        <v>13382</v>
      </c>
      <c r="D6763" s="1" t="str">
        <f>IFERROR(__xludf.DUMMYFUNCTION("GOOGLETRANSLATE(A6763 , ""auto"", ""ar"")"),"نعم ، ولكن دعونا نحفظه")</f>
        <v>نعم ، ولكن دعونا نحفظه</v>
      </c>
    </row>
    <row r="6764" ht="15.75" customHeight="1">
      <c r="A6764" s="12" t="s">
        <v>13383</v>
      </c>
      <c r="B6764" s="13" t="s">
        <v>13384</v>
      </c>
      <c r="C6764" s="14" t="s">
        <v>13385</v>
      </c>
      <c r="D6764" s="1" t="str">
        <f>IFERROR(__xludf.DUMMYFUNCTION("GOOGLETRANSLATE(A6764 , ""auto"", ""ar"")"),"هل لديك أي ملابس دافئة؟")</f>
        <v>هل لديك أي ملابس دافئة؟</v>
      </c>
    </row>
    <row r="6765" ht="15.75" customHeight="1">
      <c r="A6765" s="12" t="s">
        <v>13185</v>
      </c>
      <c r="B6765" s="13" t="s">
        <v>13386</v>
      </c>
      <c r="C6765" s="14" t="s">
        <v>13387</v>
      </c>
      <c r="D6765" s="1" t="str">
        <f>IFERROR(__xludf.DUMMYFUNCTION("GOOGLETRANSLATE(A6765 , ""auto"", ""ar"")"),"فكره جيده")</f>
        <v>فكره جيده</v>
      </c>
    </row>
    <row r="6766" ht="15.75" customHeight="1">
      <c r="A6766" s="12" t="s">
        <v>13388</v>
      </c>
      <c r="B6766" s="13" t="s">
        <v>13389</v>
      </c>
      <c r="C6766" s="14" t="s">
        <v>13390</v>
      </c>
      <c r="D6766" s="1" t="str">
        <f>IFERROR(__xludf.DUMMYFUNCTION("GOOGLETRANSLATE(A6766 , ""auto"", ""ar"")"),"كان من الأفضل أن نتحرك")</f>
        <v>كان من الأفضل أن نتحرك</v>
      </c>
    </row>
    <row r="6767" ht="15.75" customHeight="1">
      <c r="A6767" s="12" t="s">
        <v>13391</v>
      </c>
      <c r="B6767" s="13" t="s">
        <v>13392</v>
      </c>
      <c r="C6767" s="14" t="s">
        <v>13393</v>
      </c>
      <c r="D6767" s="1" t="str">
        <f>IFERROR(__xludf.DUMMYFUNCTION("GOOGLETRANSLATE(A6767 , ""auto"", ""ar"")"),"مع سقوط الليل ، قد يصبح الجو باردًا بسرعة كافية الآن.")</f>
        <v>مع سقوط الليل ، قد يصبح الجو باردًا بسرعة كافية الآن.</v>
      </c>
    </row>
    <row r="6768" ht="15.75" customHeight="1">
      <c r="A6768" s="12" t="s">
        <v>13394</v>
      </c>
      <c r="B6768" s="13" t="s">
        <v>13395</v>
      </c>
      <c r="C6768" s="14" t="s">
        <v>13396</v>
      </c>
      <c r="D6768" s="1" t="str">
        <f>IFERROR(__xludf.DUMMYFUNCTION("GOOGLETRANSLATE(A6768 , ""auto"", ""ar"")"),"فقط سترة ووشاح")</f>
        <v>فقط سترة ووشاح</v>
      </c>
    </row>
    <row r="6769" ht="15.75" customHeight="1">
      <c r="A6769" s="12" t="s">
        <v>13397</v>
      </c>
      <c r="B6769" s="13" t="s">
        <v>13398</v>
      </c>
      <c r="C6769" s="14" t="s">
        <v>13399</v>
      </c>
      <c r="D6769" s="1" t="str">
        <f>IFERROR(__xludf.DUMMYFUNCTION("GOOGLETRANSLATE(A6769 , ""auto"", ""ar"")"),"دعونا نحاول المشي بشكل أسرع قليلاً لتدفئة أنفسنا.")</f>
        <v>دعونا نحاول المشي بشكل أسرع قليلاً لتدفئة أنفسنا.</v>
      </c>
    </row>
    <row r="6770" ht="15.75" customHeight="1">
      <c r="A6770" s="12" t="s">
        <v>13400</v>
      </c>
      <c r="B6770" s="13" t="s">
        <v>13401</v>
      </c>
      <c r="C6770" s="14" t="s">
        <v>13402</v>
      </c>
      <c r="D6770" s="1" t="str">
        <f>IFERROR(__xludf.DUMMYFUNCTION("GOOGLETRANSLATE(A6770 , ""auto"", ""ar"")"),"أعتقد أنه لا يزال لدي بعض الماء الساخن في حقيبتي")</f>
        <v>أعتقد أنه لا يزال لدي بعض الماء الساخن في حقيبتي</v>
      </c>
    </row>
    <row r="6771" ht="15.75" customHeight="1">
      <c r="A6771" s="12" t="s">
        <v>13403</v>
      </c>
      <c r="B6771" s="13" t="s">
        <v>13404</v>
      </c>
      <c r="C6771" s="14" t="s">
        <v>13405</v>
      </c>
      <c r="D6771" s="1" t="str">
        <f>IFERROR(__xludf.DUMMYFUNCTION("GOOGLETRANSLATE(A6771 , ""auto"", ""ar"")"),"هل تريد بعض الشاي أو القهوة؟")</f>
        <v>هل تريد بعض الشاي أو القهوة؟</v>
      </c>
    </row>
    <row r="6772" ht="15.75" customHeight="1">
      <c r="A6772" s="12" t="s">
        <v>13406</v>
      </c>
      <c r="B6772" s="13" t="s">
        <v>13407</v>
      </c>
      <c r="C6772" s="14" t="s">
        <v>13408</v>
      </c>
      <c r="D6772" s="1" t="str">
        <f>IFERROR(__xludf.DUMMYFUNCTION("GOOGLETRANSLATE(A6772 , ""auto"", ""ar"")"),"أحب بعض الشاي ولكن من الأفضل ألا نتوقف")</f>
        <v>أحب بعض الشاي ولكن من الأفضل ألا نتوقف</v>
      </c>
    </row>
    <row r="6773" ht="15.75" customHeight="1">
      <c r="A6773" s="12" t="s">
        <v>13409</v>
      </c>
      <c r="B6773" s="13" t="s">
        <v>13410</v>
      </c>
      <c r="C6773" s="14" t="s">
        <v>13411</v>
      </c>
      <c r="D6773" s="1" t="str">
        <f>IFERROR(__xludf.DUMMYFUNCTION("GOOGLETRANSLATE(A6773 , ""auto"", ""ar"")"),"حسنًا ، سنأخذها لاحقًا.")</f>
        <v>حسنًا ، سنأخذها لاحقًا.</v>
      </c>
    </row>
    <row r="6774" ht="15.75" customHeight="1">
      <c r="A6774" s="12" t="s">
        <v>13412</v>
      </c>
      <c r="B6774" s="13" t="s">
        <v>13413</v>
      </c>
      <c r="C6774" s="14" t="s">
        <v>13414</v>
      </c>
      <c r="D6774" s="1" t="str">
        <f>IFERROR(__xludf.DUMMYFUNCTION("GOOGLETRANSLATE(A6774 , ""auto"", ""ar"")"),"صباح الخير يا سيدتي ، تعال وجلس إذا كنت ترغب في ذلك")</f>
        <v>صباح الخير يا سيدتي ، تعال وجلس إذا كنت ترغب في ذلك</v>
      </c>
    </row>
    <row r="6775" ht="15.75" customHeight="1">
      <c r="A6775" s="12" t="s">
        <v>13415</v>
      </c>
      <c r="B6775" s="13" t="s">
        <v>13416</v>
      </c>
      <c r="C6775" s="14" t="s">
        <v>13417</v>
      </c>
      <c r="D6775" s="1" t="str">
        <f>IFERROR(__xludf.DUMMYFUNCTION("GOOGLETRANSLATE(A6775 , ""auto"", ""ar"")"),"أشعر بالتوتر قليلاً لأكون صادقًا")</f>
        <v>أشعر بالتوتر قليلاً لأكون صادقًا</v>
      </c>
    </row>
    <row r="6776" ht="15.75" customHeight="1">
      <c r="A6776" s="12" t="s">
        <v>13418</v>
      </c>
      <c r="B6776" s="13" t="s">
        <v>13419</v>
      </c>
      <c r="C6776" s="14" t="s">
        <v>13420</v>
      </c>
      <c r="D6776" s="1" t="str">
        <f>IFERROR(__xludf.DUMMYFUNCTION("GOOGLETRANSLATE(A6776 , ""auto"", ""ar"")"),"انه عادي")</f>
        <v>انه عادي</v>
      </c>
    </row>
    <row r="6777" ht="15.75" customHeight="1">
      <c r="A6777" s="12" t="s">
        <v>13421</v>
      </c>
      <c r="B6777" s="13" t="s">
        <v>13422</v>
      </c>
      <c r="C6777" s="14" t="s">
        <v>13423</v>
      </c>
      <c r="D6777" s="1" t="str">
        <f>IFERROR(__xludf.DUMMYFUNCTION("GOOGLETRANSLATE(A6777 , ""auto"", ""ar"")"),"فقط استرخ واكتشف أن كل شيء يسير على ما يرام")</f>
        <v>فقط استرخ واكتشف أن كل شيء يسير على ما يرام</v>
      </c>
    </row>
    <row r="6778" ht="15.75" customHeight="1">
      <c r="A6778" s="12" t="s">
        <v>13424</v>
      </c>
      <c r="B6778" s="13" t="s">
        <v>13425</v>
      </c>
      <c r="C6778" s="14" t="s">
        <v>13426</v>
      </c>
      <c r="D6778" s="1" t="str">
        <f>IFERROR(__xludf.DUMMYFUNCTION("GOOGLETRANSLATE(A6778 , ""auto"", ""ar"")"),"من اين نبدأ؟")</f>
        <v>من اين نبدأ؟</v>
      </c>
    </row>
    <row r="6779" ht="15.75" customHeight="1">
      <c r="A6779" s="12" t="s">
        <v>13427</v>
      </c>
      <c r="B6779" s="13" t="s">
        <v>13428</v>
      </c>
      <c r="C6779" s="14" t="s">
        <v>13429</v>
      </c>
      <c r="D6779" s="1" t="str">
        <f>IFERROR(__xludf.DUMMYFUNCTION("GOOGLETRANSLATE(A6779 , ""auto"", ""ar"")"),"أفضل جزء هو ، تخبرني لماذا تريد المجيء.")</f>
        <v>أفضل جزء هو ، تخبرني لماذا تريد المجيء.</v>
      </c>
    </row>
    <row r="6780" ht="15.75" customHeight="1">
      <c r="A6780" s="12" t="s">
        <v>13430</v>
      </c>
      <c r="B6780" s="13" t="s">
        <v>13431</v>
      </c>
      <c r="C6780" s="14" t="s">
        <v>13432</v>
      </c>
      <c r="D6780" s="1" t="str">
        <f>IFERROR(__xludf.DUMMYFUNCTION("GOOGLETRANSLATE(A6780 , ""auto"", ""ar"")"),"ولكن يمكنك أيضًا التحدث معي عن شيء آخر")</f>
        <v>ولكن يمكنك أيضًا التحدث معي عن شيء آخر</v>
      </c>
    </row>
    <row r="6781" ht="15.75" customHeight="1">
      <c r="A6781" s="12" t="s">
        <v>13433</v>
      </c>
      <c r="B6781" s="13" t="s">
        <v>13434</v>
      </c>
      <c r="C6781" s="14" t="s">
        <v>13435</v>
      </c>
      <c r="D6781" s="1" t="str">
        <f>IFERROR(__xludf.DUMMYFUNCTION("GOOGLETRANSLATE(A6781 , ""auto"", ""ar"")"),"أشعر بالإرهاق من كل شيء يحدث في الوقت الحالي")</f>
        <v>أشعر بالإرهاق من كل شيء يحدث في الوقت الحالي</v>
      </c>
    </row>
    <row r="6782" ht="15.75" customHeight="1">
      <c r="A6782" s="12" t="s">
        <v>13436</v>
      </c>
      <c r="B6782" s="13" t="s">
        <v>13437</v>
      </c>
      <c r="C6782" s="14" t="s">
        <v>13438</v>
      </c>
      <c r="D6782" s="1" t="str">
        <f>IFERROR(__xludf.DUMMYFUNCTION("GOOGLETRANSLATE(A6782 , ""auto"", ""ar"")"),"إنه كما يحلو لك")</f>
        <v>إنه كما يحلو لك</v>
      </c>
    </row>
    <row r="6783" ht="15.75" customHeight="1">
      <c r="A6783" s="12" t="s">
        <v>13439</v>
      </c>
      <c r="B6783" s="13" t="s">
        <v>13440</v>
      </c>
      <c r="C6783" s="14" t="s">
        <v>13441</v>
      </c>
      <c r="D6783" s="1" t="str">
        <f>IFERROR(__xludf.DUMMYFUNCTION("GOOGLETRANSLATE(A6783 , ""auto"", ""ar"")"),"تستطيع اخباري اكثر؟")</f>
        <v>تستطيع اخباري اكثر؟</v>
      </c>
    </row>
    <row r="6784" ht="15.75" customHeight="1">
      <c r="A6784" s="12" t="s">
        <v>13442</v>
      </c>
      <c r="B6784" s="13" t="s">
        <v>13443</v>
      </c>
      <c r="C6784" s="14" t="s">
        <v>13444</v>
      </c>
      <c r="D6784" s="1" t="str">
        <f>IFERROR(__xludf.DUMMYFUNCTION("GOOGLETRANSLATE(A6784 , ""auto"", ""ar"")"),"العمل مرهق")</f>
        <v>العمل مرهق</v>
      </c>
    </row>
    <row r="6785" ht="15.75" customHeight="1">
      <c r="A6785" s="12" t="s">
        <v>13445</v>
      </c>
      <c r="B6785" s="13" t="s">
        <v>13446</v>
      </c>
      <c r="C6785" s="14" t="s">
        <v>13447</v>
      </c>
      <c r="D6785" s="1" t="str">
        <f>IFERROR(__xludf.DUMMYFUNCTION("GOOGLETRANSLATE(A6785 , ""auto"", ""ar"")"),"زوجي لا يفهم مدى توتر وظيفتي")</f>
        <v>زوجي لا يفهم مدى توتر وظيفتي</v>
      </c>
    </row>
    <row r="6786" ht="15.75" customHeight="1">
      <c r="A6786" s="12" t="s">
        <v>13448</v>
      </c>
      <c r="B6786" s="13" t="s">
        <v>13449</v>
      </c>
      <c r="C6786" s="14" t="s">
        <v>13450</v>
      </c>
      <c r="D6786" s="1" t="str">
        <f>IFERROR(__xludf.DUMMYFUNCTION("GOOGLETRANSLATE(A6786 , ""auto"", ""ar"")"),"هل أخبرتها ذلك؟")</f>
        <v>هل أخبرتها ذلك؟</v>
      </c>
    </row>
    <row r="6787" ht="15.75" customHeight="1">
      <c r="A6787" s="12" t="s">
        <v>13451</v>
      </c>
      <c r="B6787" s="13" t="s">
        <v>13452</v>
      </c>
      <c r="C6787" s="14" t="s">
        <v>13453</v>
      </c>
      <c r="D6787" s="1" t="str">
        <f>IFERROR(__xludf.DUMMYFUNCTION("GOOGLETRANSLATE(A6787 , ""auto"", ""ar"")"),"يقول إنه إذا لم يعجبني وظيفتي ، فقم بتغييره")</f>
        <v>يقول إنه إذا لم يعجبني وظيفتي ، فقم بتغييره</v>
      </c>
    </row>
    <row r="6788" ht="15.75" customHeight="1">
      <c r="A6788" s="12" t="s">
        <v>13454</v>
      </c>
      <c r="B6788" s="13" t="s">
        <v>13455</v>
      </c>
      <c r="C6788" s="14" t="s">
        <v>13456</v>
      </c>
      <c r="D6788" s="1" t="str">
        <f>IFERROR(__xludf.DUMMYFUNCTION("GOOGLETRANSLATE(A6788 , ""auto"", ""ar"")"),"أعمل كمدير للمشروع لشركة الشركات الكبيرة")</f>
        <v>أعمل كمدير للمشروع لشركة الشركات الكبيرة</v>
      </c>
    </row>
    <row r="6789" ht="15.75" customHeight="1">
      <c r="A6789" s="12" t="s">
        <v>13457</v>
      </c>
      <c r="B6789" s="13" t="s">
        <v>13458</v>
      </c>
      <c r="C6789" s="14" t="s">
        <v>13459</v>
      </c>
      <c r="D6789" s="1" t="str">
        <f>IFERROR(__xludf.DUMMYFUNCTION("GOOGLETRANSLATE(A6789 , ""auto"", ""ar"")"),"إنه عاطل عن العمل في الوقت الحالي")</f>
        <v>إنه عاطل عن العمل في الوقت الحالي</v>
      </c>
    </row>
    <row r="6790" ht="15.75" customHeight="1">
      <c r="A6790" s="12" t="s">
        <v>13460</v>
      </c>
      <c r="B6790" s="13" t="s">
        <v>13461</v>
      </c>
      <c r="C6790" s="14" t="s">
        <v>13462</v>
      </c>
      <c r="D6790" s="1" t="str">
        <f>IFERROR(__xludf.DUMMYFUNCTION("GOOGLETRANSLATE(A6790 , ""auto"", ""ar"")"),"إنه لا يبذل الكثير من الجهد للحصول على وظيفة جديدة")</f>
        <v>إنه لا يبذل الكثير من الجهد للحصول على وظيفة جديدة</v>
      </c>
    </row>
    <row r="6791" ht="15.75" customHeight="1">
      <c r="A6791" s="12" t="s">
        <v>13463</v>
      </c>
      <c r="B6791" s="13" t="s">
        <v>13464</v>
      </c>
      <c r="C6791" s="14" t="s">
        <v>13465</v>
      </c>
      <c r="D6791" s="1" t="str">
        <f>IFERROR(__xludf.DUMMYFUNCTION("GOOGLETRANSLATE(A6791 , ""auto"", ""ar"")"),"وضعه لا يجعله يضع نفسه في موقفك")</f>
        <v>وضعه لا يجعله يضع نفسه في موقفك</v>
      </c>
    </row>
    <row r="6792" ht="15.75" customHeight="1">
      <c r="A6792" s="12" t="s">
        <v>13466</v>
      </c>
      <c r="B6792" s="13" t="s">
        <v>13467</v>
      </c>
      <c r="C6792" s="14" t="s">
        <v>13468</v>
      </c>
      <c r="D6792" s="1" t="str">
        <f>IFERROR(__xludf.DUMMYFUNCTION("GOOGLETRANSLATE(A6792 , ""auto"", ""ar"")"),"لأن عليهم قضاء بعض أيام الاسترخاء")</f>
        <v>لأن عليهم قضاء بعض أيام الاسترخاء</v>
      </c>
    </row>
    <row r="6793" ht="15.75" customHeight="1">
      <c r="A6793" s="12" t="s">
        <v>13469</v>
      </c>
      <c r="B6793" s="13" t="s">
        <v>13470</v>
      </c>
      <c r="C6793" s="14" t="s">
        <v>13471</v>
      </c>
      <c r="D6793" s="1" t="str">
        <f>IFERROR(__xludf.DUMMYFUNCTION("GOOGLETRANSLATE(A6793 , ""auto"", ""ar"")"),"إنه يستريح كثيرًا عليك.")</f>
        <v>إنه يستريح كثيرًا عليك.</v>
      </c>
    </row>
    <row r="6794" ht="15.75" customHeight="1">
      <c r="A6794" s="12" t="s">
        <v>13472</v>
      </c>
      <c r="B6794" s="13" t="s">
        <v>13473</v>
      </c>
      <c r="C6794" s="14" t="s">
        <v>13474</v>
      </c>
      <c r="D6794" s="1" t="str">
        <f>IFERROR(__xludf.DUMMYFUNCTION("GOOGLETRANSLATE(A6794 , ""auto"", ""ar"")"),"وأعتقد أنه يشعر بالملل قليلاً خلال اليوم")</f>
        <v>وأعتقد أنه يشعر بالملل قليلاً خلال اليوم</v>
      </c>
    </row>
    <row r="6795" ht="15.75" customHeight="1">
      <c r="A6795" s="12" t="s">
        <v>13475</v>
      </c>
      <c r="B6795" s="13" t="s">
        <v>13476</v>
      </c>
      <c r="C6795" s="14" t="s">
        <v>13477</v>
      </c>
      <c r="D6795" s="1" t="str">
        <f>IFERROR(__xludf.DUMMYFUNCTION("GOOGLETRANSLATE(A6795 , ""auto"", ""ar"")"),"يود أن يجدك متاحًا في الليل")</f>
        <v>يود أن يجدك متاحًا في الليل</v>
      </c>
    </row>
    <row r="6796" ht="15.75" customHeight="1">
      <c r="A6796" s="12" t="s">
        <v>13478</v>
      </c>
      <c r="B6796" s="13" t="s">
        <v>13479</v>
      </c>
      <c r="C6796" s="14" t="s">
        <v>13480</v>
      </c>
      <c r="D6796" s="1" t="str">
        <f>IFERROR(__xludf.DUMMYFUNCTION("GOOGLETRANSLATE(A6796 , ""auto"", ""ar"")"),"نعم وأنا أحضر المال")</f>
        <v>نعم وأنا أحضر المال</v>
      </c>
    </row>
    <row r="6797" ht="15.75" customHeight="1">
      <c r="A6797" s="12" t="s">
        <v>13481</v>
      </c>
      <c r="B6797" s="13" t="s">
        <v>13482</v>
      </c>
      <c r="C6797" s="14" t="s">
        <v>13483</v>
      </c>
      <c r="D6797" s="1" t="str">
        <f>IFERROR(__xludf.DUMMYFUNCTION("GOOGLETRANSLATE(A6797 , ""auto"", ""ar"")"),"لا أستطيع تغيير الوظائف في الوقت الحالي أو أن أكون عاطلاً عن العمل")</f>
        <v>لا أستطيع تغيير الوظائف في الوقت الحالي أو أن أكون عاطلاً عن العمل</v>
      </c>
    </row>
    <row r="6798" ht="15.75" customHeight="1">
      <c r="A6798" s="12" t="s">
        <v>13484</v>
      </c>
      <c r="B6798" s="13" t="s">
        <v>13485</v>
      </c>
      <c r="C6798" s="14" t="s">
        <v>13486</v>
      </c>
      <c r="D6798" s="1" t="str">
        <f>IFERROR(__xludf.DUMMYFUNCTION("GOOGLETRANSLATE(A6798 , ""auto"", ""ar"")"),"أحصل من العمل ولا يزال يتعين علي الطهي.")</f>
        <v>أحصل من العمل ولا يزال يتعين علي الطهي.</v>
      </c>
    </row>
    <row r="6799" ht="15.75" customHeight="1">
      <c r="A6799" s="12" t="s">
        <v>13487</v>
      </c>
      <c r="B6799" s="13" t="s">
        <v>13488</v>
      </c>
      <c r="C6799" s="14" t="s">
        <v>13489</v>
      </c>
      <c r="D6799" s="1" t="str">
        <f>IFERROR(__xludf.DUMMYFUNCTION("GOOGLETRANSLATE(A6799 , ""auto"", ""ar"")"),"هل لديك أي اقتراحات حول كيفية التحدث معه حول هذا؟")</f>
        <v>هل لديك أي اقتراحات حول كيفية التحدث معه حول هذا؟</v>
      </c>
    </row>
    <row r="6800" ht="15.75" customHeight="1">
      <c r="A6800" s="12" t="s">
        <v>13490</v>
      </c>
      <c r="B6800" s="13" t="s">
        <v>13491</v>
      </c>
      <c r="C6800" s="14" t="s">
        <v>13492</v>
      </c>
      <c r="D6800" s="1" t="str">
        <f>IFERROR(__xludf.DUMMYFUNCTION("GOOGLETRANSLATE(A6800 , ""auto"", ""ar"")"),"يمكنك التحدث معه عن مشاعرك")</f>
        <v>يمكنك التحدث معه عن مشاعرك</v>
      </c>
    </row>
    <row r="6801" ht="15.75" customHeight="1">
      <c r="A6801" s="12" t="s">
        <v>13493</v>
      </c>
      <c r="B6801" s="13" t="s">
        <v>13494</v>
      </c>
      <c r="C6801" s="14" t="s">
        <v>13495</v>
      </c>
      <c r="D6801" s="1" t="str">
        <f>IFERROR(__xludf.DUMMYFUNCTION("GOOGLETRANSLATE(A6801 , ""auto"", ""ar"")"),"أخبره أنك متعب وتحتاج إلى مساعدته")</f>
        <v>أخبره أنك متعب وتحتاج إلى مساعدته</v>
      </c>
    </row>
    <row r="6802" ht="15.75" customHeight="1">
      <c r="A6802" s="12" t="s">
        <v>13496</v>
      </c>
      <c r="B6802" s="13" t="s">
        <v>13497</v>
      </c>
      <c r="C6802" s="14" t="s">
        <v>13498</v>
      </c>
      <c r="D6802" s="1" t="str">
        <f>IFERROR(__xludf.DUMMYFUNCTION("GOOGLETRANSLATE(A6802 , ""auto"", ""ar"")"),"امنحه سببًا للقيام بذلك")</f>
        <v>امنحه سببًا للقيام بذلك</v>
      </c>
    </row>
    <row r="6803" ht="15.75" customHeight="1">
      <c r="A6803" s="12" t="s">
        <v>13499</v>
      </c>
      <c r="B6803" s="13" t="s">
        <v>13500</v>
      </c>
      <c r="C6803" s="14" t="s">
        <v>13501</v>
      </c>
      <c r="D6803" s="1" t="str">
        <f>IFERROR(__xludf.DUMMYFUNCTION("GOOGLETRANSLATE(A6803 , ""auto"", ""ar"")"),"مرحبًا ، هذه هي المرة الأولى التي رأيتك فيها هنا!")</f>
        <v>مرحبًا ، هذه هي المرة الأولى التي رأيتك فيها هنا!</v>
      </c>
    </row>
    <row r="6804" ht="15.75" customHeight="1">
      <c r="A6804" s="12" t="s">
        <v>13502</v>
      </c>
      <c r="B6804" s="13" t="s">
        <v>13503</v>
      </c>
      <c r="C6804" s="14" t="s">
        <v>13504</v>
      </c>
      <c r="D6804" s="1" t="str">
        <f>IFERROR(__xludf.DUMMYFUNCTION("GOOGLETRANSLATE(A6804 , ""auto"", ""ar"")"),"أوه حقًا!")</f>
        <v>أوه حقًا!</v>
      </c>
    </row>
    <row r="6805" ht="15.75" customHeight="1">
      <c r="A6805" s="12" t="s">
        <v>13505</v>
      </c>
      <c r="B6805" s="13" t="s">
        <v>13506</v>
      </c>
      <c r="C6805" s="14" t="s">
        <v>13507</v>
      </c>
      <c r="D6805" s="1" t="str">
        <f>IFERROR(__xludf.DUMMYFUNCTION("GOOGLETRANSLATE(A6805 , ""auto"", ""ar"")"),"هذا مضحك")</f>
        <v>هذا مضحك</v>
      </c>
    </row>
    <row r="6806" ht="15.75" customHeight="1">
      <c r="A6806" s="12" t="s">
        <v>13508</v>
      </c>
      <c r="B6806" s="13" t="s">
        <v>13509</v>
      </c>
      <c r="C6806" s="14" t="s">
        <v>13510</v>
      </c>
      <c r="D6806" s="1" t="str">
        <f>IFERROR(__xludf.DUMMYFUNCTION("GOOGLETRANSLATE(A6806 , ""auto"", ""ar"")"),"لقد قادم إلى هنا لفترة من الوقت")</f>
        <v>لقد قادم إلى هنا لفترة من الوقت</v>
      </c>
    </row>
    <row r="6807" ht="15.75" customHeight="1">
      <c r="A6807" s="12" t="s">
        <v>13511</v>
      </c>
      <c r="B6807" s="13" t="s">
        <v>13512</v>
      </c>
      <c r="C6807" s="14" t="s">
        <v>13513</v>
      </c>
      <c r="D6807" s="1" t="str">
        <f>IFERROR(__xludf.DUMMYFUNCTION("GOOGLETRANSLATE(A6807 , ""auto"", ""ar"")"),"إنه جميل هنا")</f>
        <v>إنه جميل هنا</v>
      </c>
    </row>
    <row r="6808" ht="15.75" customHeight="1">
      <c r="A6808" s="12" t="s">
        <v>13514</v>
      </c>
      <c r="B6808" s="13" t="s">
        <v>13515</v>
      </c>
      <c r="C6808" s="14" t="s">
        <v>13516</v>
      </c>
      <c r="D6808" s="1" t="str">
        <f>IFERROR(__xludf.DUMMYFUNCTION("GOOGLETRANSLATE(A6808 , ""auto"", ""ar"")"),"نعم انها لطيفة جدا.")</f>
        <v>نعم انها لطيفة جدا.</v>
      </c>
    </row>
    <row r="6809" ht="15.75" customHeight="1">
      <c r="A6809" s="12" t="s">
        <v>13517</v>
      </c>
      <c r="B6809" s="13" t="s">
        <v>13518</v>
      </c>
      <c r="C6809" s="14" t="s">
        <v>13519</v>
      </c>
      <c r="D6809" s="1" t="str">
        <f>IFERROR(__xludf.DUMMYFUNCTION("GOOGLETRANSLATE(A6809 , ""auto"", ""ar"")"),"أحاول أن أعطي المزيد للبط والبجعات أكثر من هذه النورس الجشع")</f>
        <v>أحاول أن أعطي المزيد للبط والبجعات أكثر من هذه النورس الجشع</v>
      </c>
    </row>
    <row r="6810" ht="15.75" customHeight="1">
      <c r="A6810" s="12" t="s">
        <v>13520</v>
      </c>
      <c r="B6810" s="13" t="s">
        <v>13521</v>
      </c>
      <c r="C6810" s="14" t="s">
        <v>13522</v>
      </c>
      <c r="D6810" s="1" t="str">
        <f>IFERROR(__xludf.DUMMYFUNCTION("GOOGLETRANSLATE(A6810 , ""auto"", ""ar"")"),"حذر!")</f>
        <v>حذر!</v>
      </c>
    </row>
    <row r="6811" ht="15.75" customHeight="1">
      <c r="A6811" s="12" t="s">
        <v>13520</v>
      </c>
      <c r="B6811" s="13" t="s">
        <v>13523</v>
      </c>
      <c r="C6811" s="14" t="s">
        <v>13524</v>
      </c>
      <c r="D6811" s="1" t="str">
        <f>IFERROR(__xludf.DUMMYFUNCTION("GOOGLETRANSLATE(A6811 , ""auto"", ""ar"")"),"حذر!")</f>
        <v>حذر!</v>
      </c>
    </row>
    <row r="6812" ht="15.75" customHeight="1">
      <c r="A6812" s="12" t="s">
        <v>13520</v>
      </c>
      <c r="B6812" s="13" t="s">
        <v>13525</v>
      </c>
      <c r="C6812" s="14" t="s">
        <v>13526</v>
      </c>
      <c r="D6812" s="1" t="str">
        <f>IFERROR(__xludf.DUMMYFUNCTION("GOOGLETRANSLATE(A6812 , ""auto"", ""ar"")"),"حذر!")</f>
        <v>حذر!</v>
      </c>
    </row>
    <row r="6813" ht="15.75" customHeight="1">
      <c r="A6813" s="12" t="s">
        <v>13527</v>
      </c>
      <c r="B6813" s="13" t="s">
        <v>13528</v>
      </c>
      <c r="C6813" s="14" t="s">
        <v>13529</v>
      </c>
      <c r="D6813" s="1" t="str">
        <f>IFERROR(__xludf.DUMMYFUNCTION("GOOGLETRANSLATE(A6813 , ""auto"", ""ar"")"),"لا تسقط")</f>
        <v>لا تسقط</v>
      </c>
    </row>
    <row r="6814" ht="15.75" customHeight="1">
      <c r="A6814" s="12" t="s">
        <v>13530</v>
      </c>
      <c r="B6814" s="13" t="s">
        <v>13531</v>
      </c>
      <c r="C6814" s="14" t="s">
        <v>13532</v>
      </c>
      <c r="D6814" s="1" t="str">
        <f>IFERROR(__xludf.DUMMYFUNCTION("GOOGLETRANSLATE(A6814 , ""auto"", ""ar"")"),"شكرا لك ، تعثرت!")</f>
        <v>شكرا لك ، تعثرت!</v>
      </c>
    </row>
    <row r="6815" ht="15.75" customHeight="1">
      <c r="A6815" s="12" t="s">
        <v>13533</v>
      </c>
      <c r="B6815" s="13" t="s">
        <v>13534</v>
      </c>
      <c r="C6815" s="14" t="s">
        <v>13535</v>
      </c>
      <c r="D6815" s="1" t="str">
        <f>IFERROR(__xludf.DUMMYFUNCTION("GOOGLETRANSLATE(A6815 , ""auto"", ""ar"")"),"أردت أن أرى البط مرة أخرى ، إنها لطيفة جدًا!")</f>
        <v>أردت أن أرى البط مرة أخرى ، إنها لطيفة جدًا!</v>
      </c>
    </row>
    <row r="6816" ht="15.75" customHeight="1">
      <c r="A6816" s="12" t="s">
        <v>13536</v>
      </c>
      <c r="B6816" s="13" t="s">
        <v>13537</v>
      </c>
      <c r="C6816" s="14" t="s">
        <v>13538</v>
      </c>
      <c r="D6816" s="1" t="str">
        <f>IFERROR(__xludf.DUMMYFUNCTION("GOOGLETRANSLATE(A6816 , ""auto"", ""ar"")"),"هل هذا كلبك؟")</f>
        <v>هل هذا كلبك؟</v>
      </c>
    </row>
    <row r="6817" ht="15.75" customHeight="1">
      <c r="A6817" s="12" t="s">
        <v>13539</v>
      </c>
      <c r="B6817" s="13" t="s">
        <v>13540</v>
      </c>
      <c r="C6817" s="14" t="s">
        <v>13541</v>
      </c>
      <c r="D6817" s="1" t="str">
        <f>IFERROR(__xludf.DUMMYFUNCTION("GOOGLETRANSLATE(A6817 , ""auto"", ""ar"")"),"إنه جميل")</f>
        <v>إنه جميل</v>
      </c>
    </row>
    <row r="6818" ht="15.75" customHeight="1">
      <c r="A6818" s="12" t="s">
        <v>13542</v>
      </c>
      <c r="B6818" s="13" t="s">
        <v>13543</v>
      </c>
      <c r="C6818" s="14" t="s">
        <v>13544</v>
      </c>
      <c r="D6818" s="1" t="str">
        <f>IFERROR(__xludf.DUMMYFUNCTION("GOOGLETRANSLATE(A6818 , ""auto"", ""ar"")"),"اسمه فينتنا ، إنها قصة طويلة")</f>
        <v>اسمه فينتنا ، إنها قصة طويلة</v>
      </c>
    </row>
    <row r="6819" ht="15.75" customHeight="1">
      <c r="A6819" s="12" t="s">
        <v>13545</v>
      </c>
      <c r="B6819" s="13" t="s">
        <v>13546</v>
      </c>
      <c r="C6819" s="14" t="s">
        <v>13547</v>
      </c>
      <c r="D6819" s="1" t="str">
        <f>IFERROR(__xludf.DUMMYFUNCTION("GOOGLETRANSLATE(A6819 , ""auto"", ""ar"")"),"أحب أن أتجول هنا")</f>
        <v>أحب أن أتجول هنا</v>
      </c>
    </row>
    <row r="6820" ht="15.75" customHeight="1">
      <c r="A6820" s="12" t="s">
        <v>13548</v>
      </c>
      <c r="B6820" s="13" t="s">
        <v>13549</v>
      </c>
      <c r="C6820" s="14" t="s">
        <v>13550</v>
      </c>
      <c r="D6820" s="1" t="str">
        <f>IFERROR(__xludf.DUMMYFUNCTION("GOOGLETRANSLATE(A6820 , ""auto"", ""ar"")"),"هل سبق لك أن كنت في الغابة القريبة؟")</f>
        <v>هل سبق لك أن كنت في الغابة القريبة؟</v>
      </c>
    </row>
    <row r="6821" ht="15.75" customHeight="1">
      <c r="A6821" s="12" t="s">
        <v>13551</v>
      </c>
      <c r="B6821" s="13" t="s">
        <v>13552</v>
      </c>
      <c r="C6821" s="14" t="s">
        <v>13553</v>
      </c>
      <c r="D6821" s="1" t="str">
        <f>IFERROR(__xludf.DUMMYFUNCTION("GOOGLETRANSLATE(A6821 , ""auto"", ""ar"")"),"أوه ، أنا لا أذهب بالقرب من الغابة")</f>
        <v>أوه ، أنا لا أذهب بالقرب من الغابة</v>
      </c>
    </row>
    <row r="6822" ht="15.75" customHeight="1">
      <c r="A6822" s="12" t="s">
        <v>13554</v>
      </c>
      <c r="B6822" s="13" t="s">
        <v>13555</v>
      </c>
      <c r="C6822" s="14" t="s">
        <v>13556</v>
      </c>
      <c r="D6822" s="1" t="str">
        <f>IFERROR(__xludf.DUMMYFUNCTION("GOOGLETRANSLATE(A6822 , ""auto"", ""ar"")"),"أخبرني عن فاتنا")</f>
        <v>أخبرني عن فاتنا</v>
      </c>
    </row>
    <row r="6823" ht="15.75" customHeight="1">
      <c r="A6823" s="12" t="s">
        <v>13557</v>
      </c>
      <c r="B6823" s="13" t="s">
        <v>13558</v>
      </c>
      <c r="C6823" s="14" t="s">
        <v>13559</v>
      </c>
      <c r="D6823" s="1" t="str">
        <f>IFERROR(__xludf.DUMMYFUNCTION("GOOGLETRANSLATE(A6823 , ""auto"", ""ar"")"),"إنه ليس اسمًا سمعته من قبل")</f>
        <v>إنه ليس اسمًا سمعته من قبل</v>
      </c>
    </row>
    <row r="6824" ht="15.75" customHeight="1">
      <c r="A6824" s="12" t="s">
        <v>13560</v>
      </c>
      <c r="B6824" s="13" t="s">
        <v>13561</v>
      </c>
      <c r="C6824" s="14" t="s">
        <v>13562</v>
      </c>
      <c r="D6824" s="1" t="str">
        <f>IFERROR(__xludf.DUMMYFUNCTION("GOOGLETRANSLATE(A6824 , ""auto"", ""ar"")"),"الأمر بسيط للغاية ، في الواقع")</f>
        <v>الأمر بسيط للغاية ، في الواقع</v>
      </c>
    </row>
    <row r="6825" ht="15.75" customHeight="1">
      <c r="A6825" s="12" t="s">
        <v>13563</v>
      </c>
      <c r="B6825" s="13" t="s">
        <v>13564</v>
      </c>
      <c r="C6825" s="14" t="s">
        <v>13565</v>
      </c>
      <c r="D6825" s="1" t="str">
        <f>IFERROR(__xludf.DUMMYFUNCTION("GOOGLETRANSLATE(A6825 , ""auto"", ""ar"")"),"ولدت في يوم العطلة ، لذلك اتفقنا على الاتصال بها فينتنا ، كما في التقويم")</f>
        <v>ولدت في يوم العطلة ، لذلك اتفقنا على الاتصال بها فينتنا ، كما في التقويم</v>
      </c>
    </row>
    <row r="6826" ht="15.75" customHeight="1">
      <c r="A6826" s="12" t="s">
        <v>13566</v>
      </c>
      <c r="B6826" s="13" t="s">
        <v>13567</v>
      </c>
      <c r="C6826" s="14" t="s">
        <v>13568</v>
      </c>
      <c r="D6826" s="1" t="str">
        <f>IFERROR(__xludf.DUMMYFUNCTION("GOOGLETRANSLATE(A6826 , ""auto"", ""ar"")"),"إنه أمر سخيف ، لكنه جعلنا نضحك مع والدي")</f>
        <v>إنه أمر سخيف ، لكنه جعلنا نضحك مع والدي</v>
      </c>
    </row>
    <row r="6827" ht="15.75" customHeight="1">
      <c r="A6827" s="12" t="s">
        <v>13569</v>
      </c>
      <c r="B6827" s="13" t="s">
        <v>13570</v>
      </c>
      <c r="C6827" s="14" t="s">
        <v>13571</v>
      </c>
      <c r="D6827" s="1" t="str">
        <f>IFERROR(__xludf.DUMMYFUNCTION("GOOGLETRANSLATE(A6827 , ""auto"", ""ar"")"),"إنه أمر سخيف")</f>
        <v>إنه أمر سخيف</v>
      </c>
    </row>
    <row r="6828" ht="15.75" customHeight="1">
      <c r="A6828" s="12" t="s">
        <v>13572</v>
      </c>
      <c r="B6828" s="13" t="s">
        <v>13573</v>
      </c>
      <c r="C6828" s="14" t="s">
        <v>13574</v>
      </c>
      <c r="D6828" s="1" t="str">
        <f>IFERROR(__xludf.DUMMYFUNCTION("GOOGLETRANSLATE(A6828 , ""auto"", ""ar"")"),"إنه لأمر جيد أنهم لم يعالجوا أسماء أطفالهم")</f>
        <v>إنه لأمر جيد أنهم لم يعالجوا أسماء أطفالهم</v>
      </c>
    </row>
    <row r="6829" ht="15.75" customHeight="1">
      <c r="A6829" s="12" t="s">
        <v>9385</v>
      </c>
      <c r="B6829" s="13" t="s">
        <v>12129</v>
      </c>
      <c r="C6829" s="14" t="s">
        <v>12130</v>
      </c>
      <c r="D6829" s="1" t="str">
        <f>IFERROR(__xludf.DUMMYFUNCTION("GOOGLETRANSLATE(A6829 , ""auto"", ""ar"")"),"لماذا؟")</f>
        <v>لماذا؟</v>
      </c>
    </row>
    <row r="6830" ht="15.75" customHeight="1">
      <c r="A6830" s="12" t="s">
        <v>13575</v>
      </c>
      <c r="B6830" s="13" t="s">
        <v>13576</v>
      </c>
      <c r="C6830" s="14" t="s">
        <v>13577</v>
      </c>
      <c r="D6830" s="1" t="str">
        <f>IFERROR(__xludf.DUMMYFUNCTION("GOOGLETRANSLATE(A6830 , ""auto"", ""ar"")"),"لأنك ستطلق عليك الصوم الكبير أو شيء من هذا القبيل")</f>
        <v>لأنك ستطلق عليك الصوم الكبير أو شيء من هذا القبيل</v>
      </c>
    </row>
    <row r="6831" ht="15.75" customHeight="1">
      <c r="A6831" s="12" t="s">
        <v>13578</v>
      </c>
      <c r="B6831" s="13" t="s">
        <v>13579</v>
      </c>
      <c r="C6831" s="14" t="s">
        <v>13580</v>
      </c>
      <c r="D6831" s="1" t="str">
        <f>IFERROR(__xludf.DUMMYFUNCTION("GOOGLETRANSLATE(A6831 , ""auto"", ""ar"")"),"أنا قليلا من الوثني")</f>
        <v>أنا قليلا من الوثني</v>
      </c>
    </row>
    <row r="6832" ht="15.75" customHeight="1">
      <c r="A6832" s="12" t="s">
        <v>13581</v>
      </c>
      <c r="B6832" s="13" t="s">
        <v>13582</v>
      </c>
      <c r="C6832" s="14" t="s">
        <v>13583</v>
      </c>
      <c r="D6832" s="1" t="str">
        <f>IFERROR(__xludf.DUMMYFUNCTION("GOOGLETRANSLATE(A6832 , ""auto"", ""ar"")"),"لا أعرف أي شيء عن الأيام المقدسة أو الأحداث الدينية")</f>
        <v>لا أعرف أي شيء عن الأيام المقدسة أو الأحداث الدينية</v>
      </c>
    </row>
    <row r="6833" ht="15.75" customHeight="1">
      <c r="A6833" s="12" t="s">
        <v>11814</v>
      </c>
      <c r="B6833" s="13" t="s">
        <v>10360</v>
      </c>
      <c r="C6833" s="14" t="s">
        <v>9691</v>
      </c>
      <c r="D6833" s="1" t="str">
        <f>IFERROR(__xludf.DUMMYFUNCTION("GOOGLETRANSLATE(A6833 , ""auto"", ""ar"")"),"آسف")</f>
        <v>آسف</v>
      </c>
    </row>
    <row r="6834" ht="15.75" customHeight="1">
      <c r="A6834" s="12" t="s">
        <v>13584</v>
      </c>
      <c r="B6834" s="13" t="s">
        <v>13585</v>
      </c>
      <c r="C6834" s="14" t="s">
        <v>13586</v>
      </c>
      <c r="D6834" s="1" t="str">
        <f>IFERROR(__xludf.DUMMYFUNCTION("GOOGLETRANSLATE(A6834 , ""auto"", ""ar"")"),"تخيل أن تولد في يوم القديس إغناطيوس ، أو يوم الصعود")</f>
        <v>تخيل أن تولد في يوم القديس إغناطيوس ، أو يوم الصعود</v>
      </c>
    </row>
    <row r="6835" ht="15.75" customHeight="1">
      <c r="A6835" s="12" t="s">
        <v>13587</v>
      </c>
      <c r="B6835" s="13" t="s">
        <v>13588</v>
      </c>
      <c r="C6835" s="14" t="s">
        <v>13589</v>
      </c>
      <c r="D6835" s="1" t="str">
        <f>IFERROR(__xludf.DUMMYFUNCTION("GOOGLETRANSLATE(A6835 , ""auto"", ""ar"")"),"هاها!")</f>
        <v>هاها!</v>
      </c>
    </row>
    <row r="6836" ht="15.75" customHeight="1">
      <c r="A6836" s="12" t="s">
        <v>13590</v>
      </c>
      <c r="B6836" s="13" t="s">
        <v>13591</v>
      </c>
      <c r="C6836" s="14" t="s">
        <v>13592</v>
      </c>
      <c r="D6836" s="1" t="str">
        <f>IFERROR(__xludf.DUMMYFUNCTION("GOOGLETRANSLATE(A6836 , ""auto"", ""ar"")"),"لا أرى ما تعنيه الآن")</f>
        <v>لا أرى ما تعنيه الآن</v>
      </c>
    </row>
    <row r="6837" ht="15.75" customHeight="1">
      <c r="A6837" s="12" t="s">
        <v>13593</v>
      </c>
      <c r="B6837" s="13" t="s">
        <v>13594</v>
      </c>
      <c r="C6837" s="14" t="s">
        <v>13595</v>
      </c>
      <c r="D6837" s="1" t="str">
        <f>IFERROR(__xludf.DUMMYFUNCTION("GOOGLETRANSLATE(A6837 , ""auto"", ""ar"")"),"يا انظر ، هل هذا هو الحزين هناك")</f>
        <v>يا انظر ، هل هذا هو الحزين هناك</v>
      </c>
    </row>
    <row r="6838" ht="15.75" customHeight="1">
      <c r="A6838" s="12" t="s">
        <v>13596</v>
      </c>
      <c r="B6838" s="13" t="s">
        <v>13597</v>
      </c>
      <c r="C6838" s="14" t="s">
        <v>13598</v>
      </c>
      <c r="D6838" s="1" t="str">
        <f>IFERROR(__xludf.DUMMYFUNCTION("GOOGLETRANSLATE(A6838 , ""auto"", ""ar"")"),"كم هو جميل!")</f>
        <v>كم هو جميل!</v>
      </c>
    </row>
    <row r="6839" ht="15.75" customHeight="1">
      <c r="A6839" s="12" t="s">
        <v>13599</v>
      </c>
      <c r="B6839" s="13" t="s">
        <v>13600</v>
      </c>
      <c r="C6839" s="14" t="s">
        <v>13601</v>
      </c>
      <c r="D6839" s="1" t="str">
        <f>IFERROR(__xludf.DUMMYFUNCTION("GOOGLETRANSLATE(A6839 , ""auto"", ""ar"")"),"يجب أن ألتقط صورة لها")</f>
        <v>يجب أن ألتقط صورة لها</v>
      </c>
    </row>
    <row r="6840" ht="15.75" customHeight="1">
      <c r="A6840" s="12" t="s">
        <v>13602</v>
      </c>
      <c r="B6840" s="13" t="s">
        <v>13603</v>
      </c>
      <c r="C6840" s="14" t="s">
        <v>13604</v>
      </c>
      <c r="D6840" s="1" t="str">
        <f>IFERROR(__xludf.DUMMYFUNCTION("GOOGLETRANSLATE(A6840 , ""auto"", ""ar"")"),"لا تقترب جدا!")</f>
        <v>لا تقترب جدا!</v>
      </c>
    </row>
    <row r="6841" ht="15.75" customHeight="1">
      <c r="A6841" s="12" t="s">
        <v>13605</v>
      </c>
      <c r="B6841" s="13" t="s">
        <v>13606</v>
      </c>
      <c r="C6841" s="14" t="s">
        <v>13607</v>
      </c>
      <c r="D6841" s="1" t="str">
        <f>IFERROR(__xludf.DUMMYFUNCTION("GOOGLETRANSLATE(A6841 , ""auto"", ""ar"")"),"إنه مكان جميل حقًا")</f>
        <v>إنه مكان جميل حقًا</v>
      </c>
    </row>
    <row r="6842" ht="15.75" customHeight="1">
      <c r="A6842" s="12" t="s">
        <v>13608</v>
      </c>
      <c r="B6842" s="13" t="s">
        <v>13609</v>
      </c>
      <c r="C6842" s="14" t="s">
        <v>13610</v>
      </c>
      <c r="D6842" s="1" t="str">
        <f>IFERROR(__xludf.DUMMYFUNCTION("GOOGLETRANSLATE(A6842 , ""auto"", ""ar"")"),"هل تعيش بعيدا من هنا؟")</f>
        <v>هل تعيش بعيدا من هنا؟</v>
      </c>
    </row>
    <row r="6843" ht="15.75" customHeight="1">
      <c r="A6843" s="12" t="s">
        <v>13611</v>
      </c>
      <c r="B6843" s="13" t="s">
        <v>13612</v>
      </c>
      <c r="C6843" s="14" t="s">
        <v>13613</v>
      </c>
      <c r="D6843" s="1" t="str">
        <f>IFERROR(__xludf.DUMMYFUNCTION("GOOGLETRANSLATE(A6843 , ""auto"", ""ar"")"),"انتظر ، لا بد لي من التقاط كلبي")</f>
        <v>انتظر ، لا بد لي من التقاط كلبي</v>
      </c>
    </row>
    <row r="6844" ht="15.75" customHeight="1">
      <c r="A6844" s="12" t="s">
        <v>9266</v>
      </c>
      <c r="B6844" s="13" t="s">
        <v>13614</v>
      </c>
      <c r="C6844" s="14" t="s">
        <v>13615</v>
      </c>
      <c r="D6844" s="1" t="str">
        <f>IFERROR(__xludf.DUMMYFUNCTION("GOOGLETRANSLATE(A6844 , ""auto"", ""ar"")"),"يجب على  أن أذهب")</f>
        <v>يجب على  أن أذهب</v>
      </c>
    </row>
    <row r="6845" ht="15.75" customHeight="1">
      <c r="A6845" s="12" t="s">
        <v>13616</v>
      </c>
      <c r="B6845" s="13" t="s">
        <v>13617</v>
      </c>
      <c r="C6845" s="14" t="s">
        <v>13618</v>
      </c>
      <c r="D6845" s="1" t="str">
        <f>IFERROR(__xludf.DUMMYFUNCTION("GOOGLETRANSLATE(A6845 , ""auto"", ""ar"")"),"أنا أعيش هناك")</f>
        <v>أنا أعيش هناك</v>
      </c>
    </row>
    <row r="6846" ht="15.75" customHeight="1">
      <c r="A6846" s="12" t="s">
        <v>13619</v>
      </c>
      <c r="B6846" s="13" t="s">
        <v>13620</v>
      </c>
      <c r="C6846" s="14" t="s">
        <v>13621</v>
      </c>
      <c r="D6846" s="1" t="str">
        <f>IFERROR(__xludf.DUMMYFUNCTION("GOOGLETRANSLATE(A6846 , ""auto"", ""ar"")"),"أوه ، انظر لا أستطيع الانتظار حتى تمسكه")</f>
        <v>أوه ، انظر لا أستطيع الانتظار حتى تمسكه</v>
      </c>
    </row>
    <row r="6847" ht="15.75" customHeight="1">
      <c r="A6847" s="12" t="s">
        <v>13622</v>
      </c>
      <c r="B6847" s="13" t="s">
        <v>13623</v>
      </c>
      <c r="C6847" s="14" t="s">
        <v>13624</v>
      </c>
      <c r="D6847" s="1" t="str">
        <f>IFERROR(__xludf.DUMMYFUNCTION("GOOGLETRANSLATE(A6847 , ""auto"", ""ar"")"),"قد أراك غدا")</f>
        <v>قد أراك غدا</v>
      </c>
    </row>
    <row r="6848" ht="15.75" customHeight="1">
      <c r="A6848" s="12" t="s">
        <v>13625</v>
      </c>
      <c r="B6848" s="13" t="s">
        <v>13626</v>
      </c>
      <c r="C6848" s="14" t="s">
        <v>13627</v>
      </c>
      <c r="D6848" s="1" t="str">
        <f>IFERROR(__xludf.DUMMYFUNCTION("GOOGLETRANSLATE(A6848 , ""auto"", ""ar"")"),"أي نوع من الزبدة؟")</f>
        <v>أي نوع من الزبدة؟</v>
      </c>
    </row>
    <row r="6849" ht="15.75" customHeight="1">
      <c r="A6849" s="12" t="s">
        <v>13628</v>
      </c>
      <c r="B6849" s="13" t="s">
        <v>13629</v>
      </c>
      <c r="C6849" s="14" t="s">
        <v>13630</v>
      </c>
      <c r="D6849" s="1" t="str">
        <f>IFERROR(__xludf.DUMMYFUNCTION("GOOGLETRANSLATE(A6849 , ""auto"", ""ar"")"),"وما هي الخضروات التي نخدمها مع هذه الأسماك؟")</f>
        <v>وما هي الخضروات التي نخدمها مع هذه الأسماك؟</v>
      </c>
    </row>
    <row r="6850" ht="15.75" customHeight="1">
      <c r="A6850" s="12" t="s">
        <v>13631</v>
      </c>
      <c r="B6850" s="13" t="s">
        <v>13632</v>
      </c>
      <c r="C6850" s="14" t="s">
        <v>13633</v>
      </c>
      <c r="D6850" s="1" t="str">
        <f>IFERROR(__xludf.DUMMYFUNCTION("GOOGLETRANSLATE(A6850 , ""auto"", ""ar"")"),"سيكون لدينا زبدة الثوم")</f>
        <v>سيكون لدينا زبدة الثوم</v>
      </c>
    </row>
    <row r="6851" ht="15.75" customHeight="1">
      <c r="A6851" s="12" t="s">
        <v>13634</v>
      </c>
      <c r="B6851" s="13" t="s">
        <v>13635</v>
      </c>
      <c r="C6851" s="14" t="s">
        <v>13636</v>
      </c>
      <c r="D6851" s="1" t="str">
        <f>IFERROR(__xludf.DUMMYFUNCTION("GOOGLETRANSLATE(A6851 , ""auto"", ""ar"")"),"أفضل العودة إلى المنزل")</f>
        <v>أفضل العودة إلى المنزل</v>
      </c>
    </row>
    <row r="6852" ht="15.75" customHeight="1">
      <c r="A6852" s="12" t="s">
        <v>13637</v>
      </c>
      <c r="B6852" s="13" t="s">
        <v>13638</v>
      </c>
      <c r="C6852" s="14" t="s">
        <v>13639</v>
      </c>
      <c r="D6852" s="1" t="str">
        <f>IFERROR(__xludf.DUMMYFUNCTION("GOOGLETRANSLATE(A6852 , ""auto"", ""ar"")"),"حسنًا ، سألت عن الخضار ، لقد قدمت اختياري للخضروات فقط ، وليس مرافقة أخرى")</f>
        <v>حسنًا ، سألت عن الخضار ، لقد قدمت اختياري للخضروات فقط ، وليس مرافقة أخرى</v>
      </c>
    </row>
    <row r="6853" ht="15.75" customHeight="1">
      <c r="A6853" s="12" t="s">
        <v>13640</v>
      </c>
      <c r="B6853" s="13" t="s">
        <v>13641</v>
      </c>
      <c r="C6853" s="14" t="s">
        <v>13642</v>
      </c>
      <c r="D6853" s="1" t="str">
        <f>IFERROR(__xludf.DUMMYFUNCTION("GOOGLETRANSLATE(A6853 , ""auto"", ""ar"")"),"لا أعتقد أن المعكرونة والأسماك تسيران بشكل جيد معًا")</f>
        <v>لا أعتقد أن المعكرونة والأسماك تسيران بشكل جيد معًا</v>
      </c>
    </row>
    <row r="6854" ht="15.75" customHeight="1">
      <c r="A6854" s="12" t="s">
        <v>13643</v>
      </c>
      <c r="B6854" s="13" t="s">
        <v>13644</v>
      </c>
      <c r="C6854" s="14" t="s">
        <v>13645</v>
      </c>
      <c r="D6854" s="1" t="str">
        <f>IFERROR(__xludf.DUMMYFUNCTION("GOOGLETRANSLATE(A6854 , ""auto"", ""ar"")"),"لدينا جميع تفضيلات مختلفة")</f>
        <v>لدينا جميع تفضيلات مختلفة</v>
      </c>
    </row>
    <row r="6855" ht="15.75" customHeight="1">
      <c r="A6855" s="12" t="s">
        <v>13646</v>
      </c>
      <c r="B6855" s="13" t="s">
        <v>13647</v>
      </c>
      <c r="C6855" s="14" t="s">
        <v>13648</v>
      </c>
      <c r="D6855" s="1" t="str">
        <f>IFERROR(__xludf.DUMMYFUNCTION("GOOGLETRANSLATE(A6855 , ""auto"", ""ar"")"),"ما رأيك في البطاطس؟")</f>
        <v>ما رأيك في البطاطس؟</v>
      </c>
    </row>
    <row r="6856" ht="15.75" customHeight="1">
      <c r="A6856" s="12" t="s">
        <v>13649</v>
      </c>
      <c r="B6856" s="13" t="s">
        <v>13650</v>
      </c>
      <c r="C6856" s="14" t="s">
        <v>13651</v>
      </c>
      <c r="D6856" s="1" t="str">
        <f>IFERROR(__xludf.DUMMYFUNCTION("GOOGLETRANSLATE(A6856 , ""auto"", ""ar"")"),"لا ، لا بطاطس مع سمكة ، اعتمادا على ذوق بلدي")</f>
        <v>لا ، لا بطاطس مع سمكة ، اعتمادا على ذوق بلدي</v>
      </c>
    </row>
    <row r="6857" ht="15.75" customHeight="1">
      <c r="A6857" s="12" t="s">
        <v>13652</v>
      </c>
      <c r="B6857" s="13" t="s">
        <v>13653</v>
      </c>
      <c r="C6857" s="14" t="s">
        <v>13654</v>
      </c>
      <c r="D6857" s="1" t="str">
        <f>IFERROR(__xludf.DUMMYFUNCTION("GOOGLETRANSLATE(A6857 , ""auto"", ""ar"")"),"ما رأيك يا سيدي؟")</f>
        <v>ما رأيك يا سيدي؟</v>
      </c>
    </row>
    <row r="6858" ht="15.75" customHeight="1">
      <c r="A6858" s="12" t="s">
        <v>13655</v>
      </c>
      <c r="B6858" s="13" t="s">
        <v>13656</v>
      </c>
      <c r="C6858" s="14" t="s">
        <v>13657</v>
      </c>
      <c r="D6858" s="1" t="str">
        <f>IFERROR(__xludf.DUMMYFUNCTION("GOOGLETRANSLATE(A6858 , ""auto"", ""ar"")"),"الخضار هو")</f>
        <v>الخضار هو</v>
      </c>
    </row>
    <row r="6859" ht="15.75" customHeight="1">
      <c r="A6859" s="12" t="s">
        <v>13658</v>
      </c>
      <c r="B6859" s="13" t="s">
        <v>13659</v>
      </c>
      <c r="C6859" s="14" t="s">
        <v>13660</v>
      </c>
      <c r="D6859" s="1" t="str">
        <f>IFERROR(__xludf.DUMMYFUNCTION("GOOGLETRANSLATE(A6859 , ""auto"", ""ar"")"),"يمكن للعميل دائمًا إضافة طلب جانبي إذا رغبوا في ذلك")</f>
        <v>يمكن للعميل دائمًا إضافة طلب جانبي إذا رغبوا في ذلك</v>
      </c>
    </row>
    <row r="6860" ht="15.75" customHeight="1">
      <c r="A6860" s="12" t="s">
        <v>13661</v>
      </c>
      <c r="B6860" s="13" t="s">
        <v>13662</v>
      </c>
      <c r="C6860" s="14" t="s">
        <v>13663</v>
      </c>
      <c r="D6860" s="1" t="str">
        <f>IFERROR(__xludf.DUMMYFUNCTION("GOOGLETRANSLATE(A6860 , ""auto"", ""ar"")"),"هل يمكنك الآن البدء في إعداد البطاطس؟")</f>
        <v>هل يمكنك الآن البدء في إعداد البطاطس؟</v>
      </c>
    </row>
    <row r="6861" ht="15.75" customHeight="1">
      <c r="A6861" s="12" t="s">
        <v>13664</v>
      </c>
      <c r="B6861" s="13" t="s">
        <v>13665</v>
      </c>
      <c r="C6861" s="14" t="s">
        <v>13666</v>
      </c>
      <c r="D6861" s="1" t="str">
        <f>IFERROR(__xludf.DUMMYFUNCTION("GOOGLETRANSLATE(A6861 , ""auto"", ""ar"")"),"هذا يبدو كثيرا")</f>
        <v>هذا يبدو كثيرا</v>
      </c>
    </row>
    <row r="6862" ht="15.75" customHeight="1">
      <c r="A6862" s="12" t="s">
        <v>13667</v>
      </c>
      <c r="B6862" s="13" t="s">
        <v>13668</v>
      </c>
      <c r="C6862" s="14" t="s">
        <v>13669</v>
      </c>
      <c r="D6862" s="1" t="str">
        <f>IFERROR(__xludf.DUMMYFUNCTION("GOOGLETRANSLATE(A6862 , ""auto"", ""ar"")"),"ما هو النبيذ؟")</f>
        <v>ما هو النبيذ؟</v>
      </c>
    </row>
    <row r="6863" ht="15.75" customHeight="1">
      <c r="A6863" s="12" t="s">
        <v>13670</v>
      </c>
      <c r="B6863" s="13" t="s">
        <v>13671</v>
      </c>
      <c r="C6863" s="14" t="s">
        <v>13672</v>
      </c>
      <c r="D6863" s="1" t="str">
        <f>IFERROR(__xludf.DUMMYFUNCTION("GOOGLETRANSLATE(A6863 , ""auto"", ""ar"")"),"أبيض أم وردي؟")</f>
        <v>أبيض أم وردي؟</v>
      </c>
    </row>
    <row r="6864" ht="15.75" customHeight="1">
      <c r="A6864" s="12" t="s">
        <v>13673</v>
      </c>
      <c r="B6864" s="13" t="s">
        <v>13674</v>
      </c>
      <c r="C6864" s="14" t="s">
        <v>13675</v>
      </c>
      <c r="D6864" s="1" t="str">
        <f>IFERROR(__xludf.DUMMYFUNCTION("GOOGLETRANSLATE(A6864 , ""auto"", ""ar"")"),"الآن ماذا للحلوى؟")</f>
        <v>الآن ماذا للحلوى؟</v>
      </c>
    </row>
    <row r="6865" ht="15.75" customHeight="1">
      <c r="A6865" s="12" t="s">
        <v>13676</v>
      </c>
      <c r="B6865" s="13" t="s">
        <v>13677</v>
      </c>
      <c r="C6865" s="14" t="s">
        <v>13678</v>
      </c>
      <c r="D6865" s="1" t="str">
        <f>IFERROR(__xludf.DUMMYFUNCTION("GOOGLETRANSLATE(A6865 , ""auto"", ""ar"")"),"أقترح حلوى خفيفة")</f>
        <v>أقترح حلوى خفيفة</v>
      </c>
    </row>
    <row r="6866" ht="15.75" customHeight="1">
      <c r="A6866" s="12" t="s">
        <v>13679</v>
      </c>
      <c r="B6866" s="13" t="s">
        <v>13680</v>
      </c>
      <c r="C6866" s="14" t="s">
        <v>13681</v>
      </c>
      <c r="D6866" s="1" t="str">
        <f>IFERROR(__xludf.DUMMYFUNCTION("GOOGLETRANSLATE(A6866 , ""auto"", ""ar"")"),"ربما شيء الليمون؟")</f>
        <v>ربما شيء الليمون؟</v>
      </c>
    </row>
    <row r="6867" ht="15.75" customHeight="1">
      <c r="A6867" s="12" t="s">
        <v>13682</v>
      </c>
      <c r="B6867" s="13" t="s">
        <v>13683</v>
      </c>
      <c r="C6867" s="14" t="s">
        <v>13684</v>
      </c>
      <c r="D6867" s="1" t="str">
        <f>IFERROR(__xludf.DUMMYFUNCTION("GOOGLETRANSLATE(A6867 , ""auto"", ""ar"")"),"تورتة الليمون ربما؟")</f>
        <v>تورتة الليمون ربما؟</v>
      </c>
    </row>
    <row r="6868" ht="15.75" customHeight="1">
      <c r="A6868" s="12" t="s">
        <v>13685</v>
      </c>
      <c r="B6868" s="13" t="s">
        <v>13686</v>
      </c>
      <c r="C6868" s="14" t="s">
        <v>13687</v>
      </c>
      <c r="D6868" s="1" t="str">
        <f>IFERROR(__xludf.DUMMYFUNCTION("GOOGLETRANSLATE(A6868 , ""auto"", ""ar"")"),"تبدو الحلوى الخفيفة فكرة جيدة")</f>
        <v>تبدو الحلوى الخفيفة فكرة جيدة</v>
      </c>
    </row>
    <row r="6869" ht="15.75" customHeight="1">
      <c r="A6869" s="12" t="s">
        <v>13688</v>
      </c>
      <c r="B6869" s="13" t="s">
        <v>13689</v>
      </c>
      <c r="C6869" s="14" t="s">
        <v>13690</v>
      </c>
      <c r="D6869" s="1" t="str">
        <f>IFERROR(__xludf.DUMMYFUNCTION("GOOGLETRANSLATE(A6869 , ""auto"", ""ar"")"),"إما فطيرة الليمون أو أناناس")</f>
        <v>إما فطيرة الليمون أو أناناس</v>
      </c>
    </row>
    <row r="6870" ht="15.75" customHeight="1">
      <c r="A6870" s="12" t="s">
        <v>13691</v>
      </c>
      <c r="B6870" s="13" t="s">
        <v>13692</v>
      </c>
      <c r="C6870" s="14" t="s">
        <v>13693</v>
      </c>
      <c r="D6870" s="1" t="str">
        <f>IFERROR(__xludf.DUMMYFUNCTION("GOOGLETRANSLATE(A6870 , ""auto"", ""ar"")"),"كلاهما المفضلات")</f>
        <v>كلاهما المفضلات</v>
      </c>
    </row>
    <row r="6871" ht="15.75" customHeight="1">
      <c r="A6871" s="12" t="s">
        <v>13694</v>
      </c>
      <c r="B6871" s="13" t="s">
        <v>13695</v>
      </c>
      <c r="C6871" s="14" t="s">
        <v>13696</v>
      </c>
      <c r="D6871" s="1" t="str">
        <f>IFERROR(__xludf.DUMMYFUNCTION("GOOGLETRANSLATE(A6871 , ""auto"", ""ar"")"),"اى واحدة تفضل؟")</f>
        <v>اى واحدة تفضل؟</v>
      </c>
    </row>
    <row r="6872" ht="15.75" customHeight="1">
      <c r="A6872" s="12" t="s">
        <v>13697</v>
      </c>
      <c r="B6872" s="13" t="s">
        <v>13698</v>
      </c>
      <c r="C6872" s="14" t="s">
        <v>13699</v>
      </c>
      <c r="D6872" s="1" t="str">
        <f>IFERROR(__xludf.DUMMYFUNCTION("GOOGLETRANSLATE(A6872 , ""auto"", ""ar"")"),"سأسمح لك بالاختيار لأنك ستكون الشخص الذي يصنعه")</f>
        <v>سأسمح لك بالاختيار لأنك ستكون الشخص الذي يصنعه</v>
      </c>
    </row>
    <row r="6873" ht="15.75" customHeight="1">
      <c r="A6873" s="12" t="s">
        <v>13700</v>
      </c>
      <c r="B6873" s="13" t="s">
        <v>13701</v>
      </c>
      <c r="C6873" s="14" t="s">
        <v>13702</v>
      </c>
      <c r="D6873" s="1" t="str">
        <f>IFERROR(__xludf.DUMMYFUNCTION("GOOGLETRANSLATE(A6873 , ""auto"", ""ar"")"),"من الصعب الاختيار")</f>
        <v>من الصعب الاختيار</v>
      </c>
    </row>
    <row r="6874" ht="15.75" customHeight="1">
      <c r="A6874" s="12" t="s">
        <v>13703</v>
      </c>
      <c r="B6874" s="13" t="s">
        <v>13704</v>
      </c>
      <c r="C6874" s="14" t="s">
        <v>13705</v>
      </c>
      <c r="D6874" s="1" t="str">
        <f>IFERROR(__xludf.DUMMYFUNCTION("GOOGLETRANSLATE(A6874 , ""auto"", ""ar"")"),"شخصيا ، سأقوم بشرائح أناناس مع أرماجناك")</f>
        <v>شخصيا ، سأقوم بشرائح أناناس مع أرماجناك</v>
      </c>
    </row>
    <row r="6875" ht="15.75" customHeight="1">
      <c r="A6875" s="12" t="s">
        <v>13706</v>
      </c>
      <c r="B6875" s="13" t="s">
        <v>13707</v>
      </c>
      <c r="C6875" s="14" t="s">
        <v>13708</v>
      </c>
      <c r="D6875" s="1" t="str">
        <f>IFERROR(__xludf.DUMMYFUNCTION("GOOGLETRANSLATE(A6875 , ""auto"", ""ar"")"),"هل سأجعلك شوكولاتة ساخنة؟")</f>
        <v>هل سأجعلك شوكولاتة ساخنة؟</v>
      </c>
    </row>
    <row r="6876" ht="15.75" customHeight="1">
      <c r="A6876" s="12" t="s">
        <v>13709</v>
      </c>
      <c r="B6876" s="13" t="s">
        <v>13710</v>
      </c>
      <c r="C6876" s="14" t="s">
        <v>13711</v>
      </c>
      <c r="D6876" s="1" t="str">
        <f>IFERROR(__xludf.DUMMYFUNCTION("GOOGLETRANSLATE(A6876 , ""auto"", ""ar"")"),"كل شيء سيبدو أفضل بعد مشروب دافئ لطيف")</f>
        <v>كل شيء سيبدو أفضل بعد مشروب دافئ لطيف</v>
      </c>
    </row>
    <row r="6877" ht="15.75" customHeight="1">
      <c r="A6877" s="12" t="s">
        <v>13712</v>
      </c>
      <c r="B6877" s="13" t="s">
        <v>13713</v>
      </c>
      <c r="C6877" s="14" t="s">
        <v>13714</v>
      </c>
      <c r="D6877" s="1" t="str">
        <f>IFERROR(__xludf.DUMMYFUNCTION("GOOGLETRANSLATE(A6877 , ""auto"", ""ar"")"),"هذا حلو ، لكني أفضل القهوة")</f>
        <v>هذا حلو ، لكني أفضل القهوة</v>
      </c>
    </row>
    <row r="6878" ht="15.75" customHeight="1">
      <c r="A6878" s="12" t="s">
        <v>13715</v>
      </c>
      <c r="B6878" s="13" t="s">
        <v>13716</v>
      </c>
      <c r="C6878" s="14" t="s">
        <v>13717</v>
      </c>
      <c r="D6878" s="1" t="str">
        <f>IFERROR(__xludf.DUMMYFUNCTION("GOOGLETRANSLATE(A6878 , ""auto"", ""ar"")"),"مع السكر ولكن المثل الأعلى سيكون caipirinha!")</f>
        <v>مع السكر ولكن المثل الأعلى سيكون caipirinha!</v>
      </c>
    </row>
    <row r="6879" ht="15.75" customHeight="1">
      <c r="A6879" s="12" t="s">
        <v>13718</v>
      </c>
      <c r="B6879" s="13" t="s">
        <v>13719</v>
      </c>
      <c r="C6879" s="14" t="s">
        <v>13720</v>
      </c>
      <c r="D6879" s="1" t="str">
        <f>IFERROR(__xludf.DUMMYFUNCTION("GOOGLETRANSLATE(A6879 , ""auto"", ""ar"")"),"يا عزيزي!")</f>
        <v>يا عزيزي!</v>
      </c>
    </row>
    <row r="6880" ht="15.75" customHeight="1">
      <c r="A6880" s="12" t="s">
        <v>13721</v>
      </c>
      <c r="B6880" s="13" t="s">
        <v>13722</v>
      </c>
      <c r="C6880" s="14" t="s">
        <v>13723</v>
      </c>
      <c r="D6880" s="1" t="str">
        <f>IFERROR(__xludf.DUMMYFUNCTION("GOOGLETRANSLATE(A6880 , ""auto"", ""ar"")"),"يجب أن يكون يومًا صعبًا حقًا")</f>
        <v>يجب أن يكون يومًا صعبًا حقًا</v>
      </c>
    </row>
    <row r="6881" ht="15.75" customHeight="1">
      <c r="A6881" s="12" t="s">
        <v>13724</v>
      </c>
      <c r="B6881" s="13" t="s">
        <v>13725</v>
      </c>
      <c r="C6881" s="14" t="s">
        <v>13726</v>
      </c>
      <c r="D6881" s="1" t="str">
        <f>IFERROR(__xludf.DUMMYFUNCTION("GOOGLETRANSLATE(A6881 , ""auto"", ""ar"")"),"هل تريد التحدث عن ذلك؟")</f>
        <v>هل تريد التحدث عن ذلك؟</v>
      </c>
    </row>
    <row r="6882" ht="15.75" customHeight="1">
      <c r="A6882" s="12" t="s">
        <v>13727</v>
      </c>
      <c r="B6882" s="13" t="s">
        <v>13728</v>
      </c>
      <c r="C6882" s="14" t="s">
        <v>13729</v>
      </c>
      <c r="D6882" s="1" t="str">
        <f>IFERROR(__xludf.DUMMYFUNCTION("GOOGLETRANSLATE(A6882 , ""auto"", ""ar"")"),"ما الذي حدث في العمل في النهاية؟")</f>
        <v>ما الذي حدث في العمل في النهاية؟</v>
      </c>
    </row>
    <row r="6883" ht="15.75" customHeight="1">
      <c r="A6883" s="12" t="s">
        <v>13730</v>
      </c>
      <c r="B6883" s="13" t="s">
        <v>13731</v>
      </c>
      <c r="C6883" s="14" t="s">
        <v>13732</v>
      </c>
      <c r="D6883" s="1" t="str">
        <f>IFERROR(__xludf.DUMMYFUNCTION("GOOGLETRANSLATE(A6883 , ""auto"", ""ar"")"),"هل تمكنت من تلبية الموعد النهائي؟")</f>
        <v>هل تمكنت من تلبية الموعد النهائي؟</v>
      </c>
    </row>
    <row r="6884" ht="15.75" customHeight="1">
      <c r="A6884" s="12" t="s">
        <v>13733</v>
      </c>
      <c r="B6884" s="13" t="s">
        <v>13734</v>
      </c>
      <c r="C6884" s="14" t="s">
        <v>13735</v>
      </c>
      <c r="D6884" s="1" t="str">
        <f>IFERROR(__xludf.DUMMYFUNCTION("GOOGLETRANSLATE(A6884 , ""auto"", ""ar"")"),"نعم ، يوم شاق جدا")</f>
        <v>نعم ، يوم شاق جدا</v>
      </c>
    </row>
    <row r="6885" ht="15.75" customHeight="1">
      <c r="A6885" s="12" t="s">
        <v>13736</v>
      </c>
      <c r="B6885" s="13" t="s">
        <v>13737</v>
      </c>
      <c r="C6885" s="14" t="s">
        <v>13738</v>
      </c>
      <c r="D6885" s="1" t="str">
        <f>IFERROR(__xludf.DUMMYFUNCTION("GOOGLETRANSLATE(A6885 , ""auto"", ""ar"")"),"لقد فقدنا عقدًا مهمًا ولا نفهم السبب")</f>
        <v>لقد فقدنا عقدًا مهمًا ولا نفهم السبب</v>
      </c>
    </row>
    <row r="6886" ht="15.75" customHeight="1">
      <c r="A6886" s="12" t="s">
        <v>13739</v>
      </c>
      <c r="B6886" s="13" t="s">
        <v>13740</v>
      </c>
      <c r="C6886" s="14" t="s">
        <v>13741</v>
      </c>
      <c r="D6886" s="1" t="str">
        <f>IFERROR(__xludf.DUMMYFUNCTION("GOOGLETRANSLATE(A6886 , ""auto"", ""ar"")"),"ألم يشرحوا لماذا؟")</f>
        <v>ألم يشرحوا لماذا؟</v>
      </c>
    </row>
    <row r="6887" ht="15.75" customHeight="1">
      <c r="A6887" s="12" t="s">
        <v>13742</v>
      </c>
      <c r="B6887" s="13" t="s">
        <v>13743</v>
      </c>
      <c r="C6887" s="14" t="s">
        <v>13744</v>
      </c>
      <c r="D6887" s="1" t="str">
        <f>IFERROR(__xludf.DUMMYFUNCTION("GOOGLETRANSLATE(A6887 , ""auto"", ""ar"")"),"لا تفسيرات على الإطلاق؟")</f>
        <v>لا تفسيرات على الإطلاق؟</v>
      </c>
    </row>
    <row r="6888" ht="15.75" customHeight="1">
      <c r="A6888" s="12" t="s">
        <v>13745</v>
      </c>
      <c r="B6888" s="13" t="s">
        <v>13746</v>
      </c>
      <c r="C6888" s="14" t="s">
        <v>13747</v>
      </c>
      <c r="D6888" s="1" t="str">
        <f>IFERROR(__xludf.DUMMYFUNCTION("GOOGLETRANSLATE(A6888 , ""auto"", ""ar"")"),"نعم ، بالطبع كان لدينا بعض شرح للقيام به")</f>
        <v>نعم ، بالطبع كان لدينا بعض شرح للقيام به</v>
      </c>
    </row>
    <row r="6889" ht="15.75" customHeight="1">
      <c r="A6889" s="12" t="s">
        <v>13748</v>
      </c>
      <c r="B6889" s="13" t="s">
        <v>13749</v>
      </c>
      <c r="C6889" s="14" t="s">
        <v>13750</v>
      </c>
      <c r="D6889" s="1" t="str">
        <f>IFERROR(__xludf.DUMMYFUNCTION("GOOGLETRANSLATE(A6889 , ""auto"", ""ar"")"),"نحن لا نرد على جميع متطلباتهم التقنية")</f>
        <v>نحن لا نرد على جميع متطلباتهم التقنية</v>
      </c>
    </row>
    <row r="6890" ht="15.75" customHeight="1">
      <c r="A6890" s="12" t="s">
        <v>13751</v>
      </c>
      <c r="B6890" s="13" t="s">
        <v>13752</v>
      </c>
      <c r="C6890" s="14" t="s">
        <v>13753</v>
      </c>
      <c r="D6890" s="1" t="str">
        <f>IFERROR(__xludf.DUMMYFUNCTION("GOOGLETRANSLATE(A6890 , ""auto"", ""ar"")"),"علاوة على ذلك ، كنا باهظ الثمن")</f>
        <v>علاوة على ذلك ، كنا باهظ الثمن</v>
      </c>
    </row>
    <row r="6891" ht="15.75" customHeight="1">
      <c r="A6891" s="12" t="s">
        <v>13754</v>
      </c>
      <c r="B6891" s="13" t="s">
        <v>13755</v>
      </c>
      <c r="C6891" s="14" t="s">
        <v>13756</v>
      </c>
      <c r="D6891" s="1" t="str">
        <f>IFERROR(__xludf.DUMMYFUNCTION("GOOGLETRANSLATE(A6891 , ""auto"", ""ar"")"),"من كان وظيفته للتفاوض على العقد؟")</f>
        <v>من كان وظيفته للتفاوض على العقد؟</v>
      </c>
    </row>
    <row r="6892" ht="15.75" customHeight="1">
      <c r="A6892" s="12" t="s">
        <v>13757</v>
      </c>
      <c r="B6892" s="13" t="s">
        <v>13758</v>
      </c>
      <c r="C6892" s="14" t="s">
        <v>13759</v>
      </c>
      <c r="D6892" s="1" t="str">
        <f>IFERROR(__xludf.DUMMYFUNCTION("GOOGLETRANSLATE(A6892 , ""auto"", ""ar"")"),"بالتأكيد هناك طريقة لخفض الأسعار قليلاً؟")</f>
        <v>بالتأكيد هناك طريقة لخفض الأسعار قليلاً؟</v>
      </c>
    </row>
    <row r="6893" ht="15.75" customHeight="1">
      <c r="A6893" s="12" t="s">
        <v>13760</v>
      </c>
      <c r="B6893" s="13" t="s">
        <v>13761</v>
      </c>
      <c r="C6893" s="14" t="s">
        <v>13762</v>
      </c>
      <c r="D6893" s="1" t="str">
        <f>IFERROR(__xludf.DUMMYFUNCTION("GOOGLETRANSLATE(A6893 , ""auto"", ""ar"")"),"دعنا نذهب للقيام ببعض الرماية")</f>
        <v>دعنا نذهب للقيام ببعض الرماية</v>
      </c>
    </row>
    <row r="6894" ht="15.75" customHeight="1">
      <c r="A6894" s="12" t="s">
        <v>13763</v>
      </c>
      <c r="B6894" s="13" t="s">
        <v>13764</v>
      </c>
      <c r="C6894" s="14" t="s">
        <v>13765</v>
      </c>
      <c r="D6894" s="1" t="str">
        <f>IFERROR(__xludf.DUMMYFUNCTION("GOOGLETRANSLATE(A6894 , ""auto"", ""ar"")"),"لقد كانت ممتعة حقًا أمس")</f>
        <v>لقد كانت ممتعة حقًا أمس</v>
      </c>
    </row>
    <row r="6895" ht="15.75" customHeight="1">
      <c r="A6895" s="12" t="s">
        <v>13766</v>
      </c>
      <c r="B6895" s="13" t="s">
        <v>13767</v>
      </c>
      <c r="C6895" s="14" t="s">
        <v>13768</v>
      </c>
      <c r="D6895" s="1" t="str">
        <f>IFERROR(__xludf.DUMMYFUNCTION("GOOGLETRANSLATE(A6895 , ""auto"", ""ar"")"),"أنا متأكد من أنك ستستمتع به!")</f>
        <v>أنا متأكد من أنك ستستمتع به!</v>
      </c>
    </row>
    <row r="6896" ht="15.75" customHeight="1">
      <c r="A6896" s="12" t="s">
        <v>13769</v>
      </c>
      <c r="B6896" s="13" t="s">
        <v>13770</v>
      </c>
      <c r="C6896" s="14" t="s">
        <v>13771</v>
      </c>
      <c r="D6896" s="1" t="str">
        <f>IFERROR(__xludf.DUMMYFUNCTION("GOOGLETRANSLATE(A6896 , ""auto"", ""ar"")"),"آه ، الرماية؟")</f>
        <v>آه ، الرماية؟</v>
      </c>
    </row>
    <row r="6897" ht="15.75" customHeight="1">
      <c r="A6897" s="12" t="s">
        <v>13772</v>
      </c>
      <c r="B6897" s="13" t="s">
        <v>13773</v>
      </c>
      <c r="C6897" s="14" t="s">
        <v>13774</v>
      </c>
      <c r="D6897" s="1" t="str">
        <f>IFERROR(__xludf.DUMMYFUNCTION("GOOGLETRANSLATE(A6897 , ""auto"", ""ar"")"),"إنه أصلي تمامًا")</f>
        <v>إنه أصلي تمامًا</v>
      </c>
    </row>
    <row r="6898" ht="15.75" customHeight="1">
      <c r="A6898" s="12" t="s">
        <v>13775</v>
      </c>
      <c r="B6898" s="13" t="s">
        <v>13776</v>
      </c>
      <c r="C6898" s="14" t="s">
        <v>13777</v>
      </c>
      <c r="D6898" s="1" t="str">
        <f>IFERROR(__xludf.DUMMYFUNCTION("GOOGLETRANSLATE(A6898 , ""auto"", ""ar"")"),"هل يمكننا القيام بذلك عن قرب؟")</f>
        <v>هل يمكننا القيام بذلك عن قرب؟</v>
      </c>
    </row>
    <row r="6899" ht="15.75" customHeight="1">
      <c r="A6899" s="12" t="s">
        <v>13778</v>
      </c>
      <c r="B6899" s="13" t="s">
        <v>13779</v>
      </c>
      <c r="C6899" s="14" t="s">
        <v>13780</v>
      </c>
      <c r="D6899" s="1" t="str">
        <f>IFERROR(__xludf.DUMMYFUNCTION("GOOGLETRANSLATE(A6899 , ""auto"", ""ar"")"),"انا لم افعل ذلك من قبل")</f>
        <v>انا لم افعل ذلك من قبل</v>
      </c>
    </row>
    <row r="6900" ht="15.75" customHeight="1">
      <c r="A6900" s="12" t="s">
        <v>13781</v>
      </c>
      <c r="B6900" s="13" t="s">
        <v>13782</v>
      </c>
      <c r="C6900" s="14" t="s">
        <v>13783</v>
      </c>
      <c r="D6900" s="1" t="str">
        <f>IFERROR(__xludf.DUMMYFUNCTION("GOOGLETRANSLATE(A6900 , ""auto"", ""ar"")"),"انت ماذا؟")</f>
        <v>انت ماذا؟</v>
      </c>
    </row>
    <row r="6901" ht="15.75" customHeight="1">
      <c r="A6901" s="12" t="s">
        <v>13784</v>
      </c>
      <c r="B6901" s="13" t="s">
        <v>13785</v>
      </c>
      <c r="C6901" s="14" t="s">
        <v>13786</v>
      </c>
      <c r="D6901" s="1" t="str">
        <f>IFERROR(__xludf.DUMMYFUNCTION("GOOGLETRANSLATE(A6901 , ""auto"", ""ar"")"),"آسف ، لم ألتقط ما قلته")</f>
        <v>آسف ، لم ألتقط ما قلته</v>
      </c>
    </row>
    <row r="6902" ht="15.75" customHeight="1">
      <c r="A6902" s="12" t="s">
        <v>13787</v>
      </c>
      <c r="B6902" s="13" t="s">
        <v>13788</v>
      </c>
      <c r="C6902" s="14" t="s">
        <v>13789</v>
      </c>
      <c r="D6902" s="1" t="str">
        <f>IFERROR(__xludf.DUMMYFUNCTION("GOOGLETRANSLATE(A6902 , ""auto"", ""ar"")"),"نعم ، أنا أسأل عما إذا كان بإمكاننا تصوير الرماية القريبة")</f>
        <v>نعم ، أنا أسأل عما إذا كان بإمكاننا تصوير الرماية القريبة</v>
      </c>
    </row>
    <row r="6903" ht="15.75" customHeight="1">
      <c r="A6903" s="12" t="s">
        <v>13790</v>
      </c>
      <c r="B6903" s="13" t="s">
        <v>13791</v>
      </c>
      <c r="C6903" s="14" t="s">
        <v>13792</v>
      </c>
      <c r="D6903" s="1" t="str">
        <f>IFERROR(__xludf.DUMMYFUNCTION("GOOGLETRANSLATE(A6903 , ""auto"", ""ar"")"),"أوه نعم ، هناك فقط خلف ملاعب التنس")</f>
        <v>أوه نعم ، هناك فقط خلف ملاعب التنس</v>
      </c>
    </row>
    <row r="6904" ht="15.75" customHeight="1">
      <c r="A6904" s="12" t="s">
        <v>13793</v>
      </c>
      <c r="B6904" s="13" t="s">
        <v>13794</v>
      </c>
      <c r="C6904" s="14" t="s">
        <v>13795</v>
      </c>
      <c r="D6904" s="1" t="str">
        <f>IFERROR(__xludf.DUMMYFUNCTION("GOOGLETRANSLATE(A6904 , ""auto"", ""ar"")"),"هناك حوالي 10 ممرات واثنين من المدربين")</f>
        <v>هناك حوالي 10 ممرات واثنين من المدربين</v>
      </c>
    </row>
    <row r="6905" ht="15.75" customHeight="1">
      <c r="A6905" s="12" t="s">
        <v>13796</v>
      </c>
      <c r="B6905" s="13" t="s">
        <v>13797</v>
      </c>
      <c r="C6905" s="14" t="s">
        <v>13798</v>
      </c>
      <c r="D6905" s="1" t="str">
        <f>IFERROR(__xludf.DUMMYFUNCTION("GOOGLETRANSLATE(A6905 , ""auto"", ""ar"")"),"الرماية رياضة متعبة جدا")</f>
        <v>الرماية رياضة متعبة جدا</v>
      </c>
    </row>
    <row r="6906" ht="15.75" customHeight="1">
      <c r="A6906" s="12" t="s">
        <v>13799</v>
      </c>
      <c r="B6906" s="13" t="s">
        <v>13800</v>
      </c>
      <c r="C6906" s="14" t="s">
        <v>13801</v>
      </c>
      <c r="D6906" s="1" t="str">
        <f>IFERROR(__xludf.DUMMYFUNCTION("GOOGLETRANSLATE(A6906 , ""auto"", ""ar"")"),"أفضل البقاء بجوار المسبح")</f>
        <v>أفضل البقاء بجوار المسبح</v>
      </c>
    </row>
    <row r="6907" ht="15.75" customHeight="1">
      <c r="A6907" s="12" t="s">
        <v>13799</v>
      </c>
      <c r="B6907" s="13" t="s">
        <v>13802</v>
      </c>
      <c r="C6907" s="14" t="s">
        <v>13803</v>
      </c>
      <c r="D6907" s="1" t="str">
        <f>IFERROR(__xludf.DUMMYFUNCTION("GOOGLETRANSLATE(A6907 , ""auto"", ""ar"")"),"أفضل البقاء بجوار المسبح")</f>
        <v>أفضل البقاء بجوار المسبح</v>
      </c>
    </row>
    <row r="6908" ht="15.75" customHeight="1">
      <c r="A6908" s="12" t="s">
        <v>13804</v>
      </c>
      <c r="B6908" s="13" t="s">
        <v>13805</v>
      </c>
      <c r="C6908" s="14" t="s">
        <v>13806</v>
      </c>
      <c r="D6908" s="1" t="str">
        <f>IFERROR(__xludf.DUMMYFUNCTION("GOOGLETRANSLATE(A6908 , ""auto"", ""ar"")"),"هذا ممل للغاية")</f>
        <v>هذا ممل للغاية</v>
      </c>
    </row>
    <row r="6909" ht="15.75" customHeight="1">
      <c r="A6909" s="12" t="s">
        <v>13807</v>
      </c>
      <c r="B6909" s="13" t="s">
        <v>13808</v>
      </c>
      <c r="C6909" s="14" t="s">
        <v>13809</v>
      </c>
      <c r="D6909" s="1" t="str">
        <f>IFERROR(__xludf.DUMMYFUNCTION("GOOGLETRANSLATE(A6909 , ""auto"", ""ar"")"),"تعال ، لقد كان لدي ما يكفي من الإرهاق في الشمس والقيام بالكلمات المتقاطعة")</f>
        <v>تعال ، لقد كان لدي ما يكفي من الإرهاق في الشمس والقيام بالكلمات المتقاطعة</v>
      </c>
    </row>
    <row r="6910" ht="15.75" customHeight="1">
      <c r="A6910" s="12" t="s">
        <v>13810</v>
      </c>
      <c r="B6910" s="13" t="s">
        <v>13811</v>
      </c>
      <c r="C6910" s="14" t="s">
        <v>13812</v>
      </c>
      <c r="D6910" s="1" t="str">
        <f>IFERROR(__xludf.DUMMYFUNCTION("GOOGLETRANSLATE(A6910 , ""auto"", ""ar"")"),"إذا كنت لا تحب الرماية ، فماذا عن تسلق الصخور؟")</f>
        <v>إذا كنت لا تحب الرماية ، فماذا عن تسلق الصخور؟</v>
      </c>
    </row>
    <row r="6911" ht="15.75" customHeight="1">
      <c r="A6911" s="12" t="s">
        <v>13813</v>
      </c>
      <c r="B6911" s="13" t="s">
        <v>13814</v>
      </c>
      <c r="C6911" s="14" t="s">
        <v>13815</v>
      </c>
      <c r="D6911" s="1" t="str">
        <f>IFERROR(__xludf.DUMMYFUNCTION("GOOGLETRANSLATE(A6911 , ""auto"", ""ar"")"),"انتظر ، هذا متعب للغاية")</f>
        <v>انتظر ، هذا متعب للغاية</v>
      </c>
    </row>
    <row r="6912" ht="15.75" customHeight="1">
      <c r="A6912" s="12" t="s">
        <v>13816</v>
      </c>
      <c r="B6912" s="13" t="s">
        <v>13817</v>
      </c>
      <c r="C6912" s="14" t="s">
        <v>13818</v>
      </c>
      <c r="D6912" s="1" t="str">
        <f>IFERROR(__xludf.DUMMYFUNCTION("GOOGLETRANSLATE(A6912 , ""auto"", ""ar"")"),"ماذا تقترح؟")</f>
        <v>ماذا تقترح؟</v>
      </c>
    </row>
    <row r="6913" ht="15.75" customHeight="1">
      <c r="A6913" s="12" t="s">
        <v>13819</v>
      </c>
      <c r="B6913" s="13" t="s">
        <v>13820</v>
      </c>
      <c r="C6913" s="14" t="s">
        <v>13821</v>
      </c>
      <c r="D6913" s="1" t="str">
        <f>IFERROR(__xludf.DUMMYFUNCTION("GOOGLETRANSLATE(A6913 , ""auto"", ""ar"")"),"بخلاف البقاء بجوار المجموعة بالطبع!")</f>
        <v>بخلاف البقاء بجوار المجموعة بالطبع!</v>
      </c>
    </row>
    <row r="6914" ht="15.75" customHeight="1">
      <c r="A6914" s="12" t="s">
        <v>13822</v>
      </c>
      <c r="B6914" s="13" t="s">
        <v>13823</v>
      </c>
      <c r="C6914" s="14" t="s">
        <v>13824</v>
      </c>
      <c r="D6914" s="1" t="str">
        <f>IFERROR(__xludf.DUMMYFUNCTION("GOOGLETRANSLATE(A6914 , ""auto"", ""ar"")"),"أبدو رائعا في التسلق")</f>
        <v>أبدو رائعا في التسلق</v>
      </c>
    </row>
    <row r="6915" ht="15.75" customHeight="1">
      <c r="A6915" s="12" t="s">
        <v>13825</v>
      </c>
      <c r="B6915" s="13" t="s">
        <v>13826</v>
      </c>
      <c r="C6915" s="14" t="s">
        <v>13827</v>
      </c>
      <c r="D6915" s="1" t="str">
        <f>IFERROR(__xludf.DUMMYFUNCTION("GOOGLETRANSLATE(A6915 , ""auto"", ""ar"")"),"أين هي في المنطقة إمكانية صنع هذه الرياضة؟")</f>
        <v>أين هي في المنطقة إمكانية صنع هذه الرياضة؟</v>
      </c>
    </row>
    <row r="6916" ht="15.75" customHeight="1">
      <c r="A6916" s="12" t="s">
        <v>13828</v>
      </c>
      <c r="B6916" s="13" t="s">
        <v>13829</v>
      </c>
      <c r="C6916" s="14" t="s">
        <v>13830</v>
      </c>
      <c r="D6916" s="1" t="str">
        <f>IFERROR(__xludf.DUMMYFUNCTION("GOOGLETRANSLATE(A6916 , ""auto"", ""ar"")"),"يمكنك رؤيتهم من هنا")</f>
        <v>يمكنك رؤيتهم من هنا</v>
      </c>
    </row>
    <row r="6917" ht="15.75" customHeight="1">
      <c r="A6917" s="12" t="s">
        <v>13831</v>
      </c>
      <c r="B6917" s="13" t="s">
        <v>13832</v>
      </c>
      <c r="C6917" s="14" t="s">
        <v>13833</v>
      </c>
      <c r="D6917" s="1" t="str">
        <f>IFERROR(__xludf.DUMMYFUNCTION("GOOGLETRANSLATE(A6917 , ""auto"", ""ar"")"),"انها ليست عالية جدا")</f>
        <v>انها ليست عالية جدا</v>
      </c>
    </row>
    <row r="6918" ht="15.75" customHeight="1">
      <c r="A6918" s="12" t="s">
        <v>13831</v>
      </c>
      <c r="B6918" s="13" t="s">
        <v>13834</v>
      </c>
      <c r="C6918" s="14" t="s">
        <v>13835</v>
      </c>
      <c r="D6918" s="1" t="str">
        <f>IFERROR(__xludf.DUMMYFUNCTION("GOOGLETRANSLATE(A6918 , ""auto"", ""ar"")"),"انها ليست عالية جدا")</f>
        <v>انها ليست عالية جدا</v>
      </c>
    </row>
    <row r="6919" ht="15.75" customHeight="1">
      <c r="A6919" s="12" t="s">
        <v>13836</v>
      </c>
      <c r="B6919" s="13" t="s">
        <v>13837</v>
      </c>
      <c r="C6919" s="14" t="s">
        <v>13838</v>
      </c>
      <c r="D6919" s="1" t="str">
        <f>IFERROR(__xludf.DUMMYFUNCTION("GOOGLETRANSLATE(A6919 , ""auto"", ""ar"")"),"لكن لديهم مستويات مختلفة من الصعوبة")</f>
        <v>لكن لديهم مستويات مختلفة من الصعوبة</v>
      </c>
    </row>
    <row r="6920" ht="15.75" customHeight="1">
      <c r="A6920" s="12" t="s">
        <v>13839</v>
      </c>
      <c r="B6920" s="13" t="s">
        <v>13840</v>
      </c>
      <c r="C6920" s="14" t="s">
        <v>13841</v>
      </c>
      <c r="D6920" s="1" t="str">
        <f>IFERROR(__xludf.DUMMYFUNCTION("GOOGLETRANSLATE(A6920 , ""auto"", ""ar"")"),"لذا فهي ممتعة لجميع العائلة")</f>
        <v>لذا فهي ممتعة لجميع العائلة</v>
      </c>
    </row>
    <row r="6921" ht="15.75" customHeight="1">
      <c r="A6921" s="12" t="s">
        <v>13842</v>
      </c>
      <c r="B6921" s="13" t="s">
        <v>13843</v>
      </c>
      <c r="C6921" s="14" t="s">
        <v>13844</v>
      </c>
      <c r="D6921" s="1" t="str">
        <f>IFERROR(__xludf.DUMMYFUNCTION("GOOGLETRANSLATE(A6921 , ""auto"", ""ar"")"),"هكذا يقولون!")</f>
        <v>هكذا يقولون!</v>
      </c>
    </row>
    <row r="6922" ht="15.75" customHeight="1">
      <c r="A6922" s="12" t="s">
        <v>13842</v>
      </c>
      <c r="B6922" s="13" t="s">
        <v>13845</v>
      </c>
      <c r="C6922" s="14" t="s">
        <v>13846</v>
      </c>
      <c r="D6922" s="1" t="str">
        <f>IFERROR(__xludf.DUMMYFUNCTION("GOOGLETRANSLATE(A6922 , ""auto"", ""ar"")"),"هكذا يقولون!")</f>
        <v>هكذا يقولون!</v>
      </c>
    </row>
    <row r="6923" ht="15.75" customHeight="1">
      <c r="A6923" s="12" t="s">
        <v>13847</v>
      </c>
      <c r="B6923" s="13" t="s">
        <v>13848</v>
      </c>
      <c r="C6923" s="14" t="s">
        <v>13849</v>
      </c>
      <c r="D6923" s="1" t="str">
        <f>IFERROR(__xludf.DUMMYFUNCTION("GOOGLETRANSLATE(A6923 , ""auto"", ""ar"")"),"حسنًا ، لكن هل هناك دليل لمساعدتنا؟")</f>
        <v>حسنًا ، لكن هل هناك دليل لمساعدتنا؟</v>
      </c>
    </row>
    <row r="6924" ht="15.75" customHeight="1">
      <c r="A6924" s="12" t="s">
        <v>13850</v>
      </c>
      <c r="B6924" s="13" t="s">
        <v>13851</v>
      </c>
      <c r="C6924" s="14" t="s">
        <v>13852</v>
      </c>
      <c r="D6924" s="1" t="str">
        <f>IFERROR(__xludf.DUMMYFUNCTION("GOOGLETRANSLATE(A6924 , ""auto"", ""ar"")"),"نعم ، يجب أن يكون هناك شخص ما هناك")</f>
        <v>نعم ، يجب أن يكون هناك شخص ما هناك</v>
      </c>
    </row>
    <row r="6925" ht="15.75" customHeight="1">
      <c r="A6925" s="12" t="s">
        <v>13853</v>
      </c>
      <c r="B6925" s="13" t="s">
        <v>13854</v>
      </c>
      <c r="C6925" s="14" t="s">
        <v>13855</v>
      </c>
      <c r="D6925" s="1" t="str">
        <f>IFERROR(__xludf.DUMMYFUNCTION("GOOGLETRANSLATE(A6925 , ""auto"", ""ar"")"),"على الأقل شخص يمكنه إخراجنا من الخروج")</f>
        <v>على الأقل شخص يمكنه إخراجنا من الخروج</v>
      </c>
    </row>
    <row r="6926" ht="15.75" customHeight="1">
      <c r="A6926" s="12" t="s">
        <v>13856</v>
      </c>
      <c r="B6926" s="13" t="s">
        <v>13857</v>
      </c>
      <c r="C6926" s="14" t="s">
        <v>13858</v>
      </c>
      <c r="D6926" s="1" t="str">
        <f>IFERROR(__xludf.DUMMYFUNCTION("GOOGLETRANSLATE(A6926 , ""auto"", ""ar"")"),"إنه آمن جدًا ، أنا متأكد")</f>
        <v>إنه آمن جدًا ، أنا متأكد</v>
      </c>
    </row>
    <row r="6927" ht="15.75" customHeight="1">
      <c r="A6927" s="12" t="s">
        <v>13859</v>
      </c>
      <c r="B6927" s="13" t="s">
        <v>13860</v>
      </c>
      <c r="C6927" s="14" t="s">
        <v>13861</v>
      </c>
      <c r="D6927" s="1" t="str">
        <f>IFERROR(__xludf.DUMMYFUNCTION("GOOGLETRANSLATE(A6927 , ""auto"", ""ar"")"),"إذن هل أنت مستعد من أجل ذلك؟")</f>
        <v>إذن هل أنت مستعد من أجل ذلك؟</v>
      </c>
    </row>
    <row r="6928" ht="15.75" customHeight="1">
      <c r="A6928" s="12" t="s">
        <v>13862</v>
      </c>
      <c r="B6928" s="13" t="s">
        <v>13863</v>
      </c>
      <c r="C6928" s="14" t="s">
        <v>13864</v>
      </c>
      <c r="D6928" s="1" t="str">
        <f>IFERROR(__xludf.DUMMYFUNCTION("GOOGLETRANSLATE(A6928 , ""auto"", ""ar"")"),"أود أن أحاول التسلق")</f>
        <v>أود أن أحاول التسلق</v>
      </c>
    </row>
    <row r="6929" ht="15.75" customHeight="1">
      <c r="A6929" s="12" t="s">
        <v>13865</v>
      </c>
      <c r="B6929" s="13" t="s">
        <v>13866</v>
      </c>
      <c r="C6929" s="14" t="s">
        <v>13867</v>
      </c>
      <c r="D6929" s="1" t="str">
        <f>IFERROR(__xludf.DUMMYFUNCTION("GOOGLETRANSLATE(A6929 , ""auto"", ""ar"")"),"لكنني أتساءل عما إذا كان من الأفضل البقاء هنا بهدوء بجوار حمام السباحة")</f>
        <v>لكنني أتساءل عما إذا كان من الأفضل البقاء هنا بهدوء بجوار حمام السباحة</v>
      </c>
    </row>
    <row r="6930" ht="15.75" customHeight="1">
      <c r="A6930" s="12" t="s">
        <v>13868</v>
      </c>
      <c r="B6930" s="13" t="s">
        <v>13869</v>
      </c>
      <c r="C6930" s="14" t="s">
        <v>13870</v>
      </c>
      <c r="D6930" s="1" t="str">
        <f>IFERROR(__xludf.DUMMYFUNCTION("GOOGLETRANSLATE(A6930 , ""auto"", ""ar"")"),"لكنك تريد دائمًا البقاء بهدوء بجوار حمام السباحة كلما كنا في عطلة")</f>
        <v>لكنك تريد دائمًا البقاء بهدوء بجوار حمام السباحة كلما كنا في عطلة</v>
      </c>
    </row>
    <row r="6931" ht="15.75" customHeight="1">
      <c r="A6931" s="12" t="s">
        <v>13871</v>
      </c>
      <c r="B6931" s="13" t="s">
        <v>13872</v>
      </c>
      <c r="C6931" s="14" t="s">
        <v>13873</v>
      </c>
      <c r="D6931" s="1" t="str">
        <f>IFERROR(__xludf.DUMMYFUNCTION("GOOGLETRANSLATE(A6931 , ""auto"", ""ar"")"),"في الواقع اعتقدت أنني تمكنت من إقناعك لمرة واحدة!")</f>
        <v>في الواقع اعتقدت أنني تمكنت من إقناعك لمرة واحدة!</v>
      </c>
    </row>
    <row r="6932" ht="15.75" customHeight="1">
      <c r="A6932" s="12" t="s">
        <v>13874</v>
      </c>
      <c r="B6932" s="13" t="s">
        <v>13875</v>
      </c>
      <c r="C6932" s="14" t="s">
        <v>13876</v>
      </c>
      <c r="D6932" s="1" t="str">
        <f>IFERROR(__xludf.DUMMYFUNCTION("GOOGLETRANSLATE(A6932 , ""auto"", ""ar"")"),"هل ستقول نفس الشيء غدًا؟")</f>
        <v>هل ستقول نفس الشيء غدًا؟</v>
      </c>
    </row>
    <row r="6933" ht="15.75" customHeight="1">
      <c r="A6933" s="12" t="s">
        <v>13877</v>
      </c>
      <c r="B6933" s="13" t="s">
        <v>13878</v>
      </c>
      <c r="C6933" s="14" t="s">
        <v>13879</v>
      </c>
      <c r="D6933" s="1" t="str">
        <f>IFERROR(__xludf.DUMMYFUNCTION("GOOGLETRANSLATE(A6933 , ""auto"", ""ar"")"),"ربما غدا سيكون لدي شجاعة أكثر بقليل لأذهب لتسلق الصخور معك")</f>
        <v>ربما غدا سيكون لدي شجاعة أكثر بقليل لأذهب لتسلق الصخور معك</v>
      </c>
    </row>
    <row r="6934" ht="15.75" customHeight="1">
      <c r="A6934" s="12" t="s">
        <v>13880</v>
      </c>
      <c r="B6934" s="13" t="s">
        <v>13881</v>
      </c>
      <c r="C6934" s="14" t="s">
        <v>13882</v>
      </c>
      <c r="D6934" s="1" t="str">
        <f>IFERROR(__xludf.DUMMYFUNCTION("GOOGLETRANSLATE(A6934 , ""auto"", ""ar"")"),"أو ، يمكن أن نذهب الآن ، بينما لم يكن لديك ما يكفي من الوقت لتغيير رأيك!")</f>
        <v>أو ، يمكن أن نذهب الآن ، بينما لم يكن لديك ما يكفي من الوقت لتغيير رأيك!</v>
      </c>
    </row>
    <row r="6935" ht="15.75" customHeight="1">
      <c r="A6935" s="12" t="s">
        <v>13883</v>
      </c>
      <c r="B6935" s="13" t="s">
        <v>13884</v>
      </c>
      <c r="C6935" s="14" t="s">
        <v>13885</v>
      </c>
      <c r="D6935" s="1" t="str">
        <f>IFERROR(__xludf.DUMMYFUNCTION("GOOGLETRANSLATE(A6935 , ""auto"", ""ar"")"),"أود أن أذهب معك ، لكن ليس اليوم")</f>
        <v>أود أن أذهب معك ، لكن ليس اليوم</v>
      </c>
    </row>
    <row r="6936" ht="15.75" customHeight="1">
      <c r="A6936" s="12" t="s">
        <v>13886</v>
      </c>
      <c r="B6936" s="13" t="s">
        <v>13887</v>
      </c>
      <c r="C6936" s="14" t="s">
        <v>13888</v>
      </c>
      <c r="D6936" s="1" t="str">
        <f>IFERROR(__xludf.DUMMYFUNCTION("GOOGLETRANSLATE(A6936 , ""auto"", ""ar"")"),"ماذا بحق الجحيم تفعلون")</f>
        <v>ماذا بحق الجحيم تفعلون</v>
      </c>
    </row>
    <row r="6937" ht="15.75" customHeight="1">
      <c r="A6937" s="12" t="s">
        <v>13889</v>
      </c>
      <c r="B6937" s="13" t="s">
        <v>13890</v>
      </c>
      <c r="C6937" s="14" t="s">
        <v>13891</v>
      </c>
      <c r="D6937" s="1" t="str">
        <f>IFERROR(__xludf.DUMMYFUNCTION("GOOGLETRANSLATE(A6937 , ""auto"", ""ar"")"),"ولم لا")</f>
        <v>ولم لا</v>
      </c>
    </row>
    <row r="6938" ht="15.75" customHeight="1">
      <c r="A6938" s="12" t="s">
        <v>13892</v>
      </c>
      <c r="B6938" s="13" t="s">
        <v>13893</v>
      </c>
      <c r="C6938" s="14" t="s">
        <v>13894</v>
      </c>
      <c r="D6938" s="1" t="str">
        <f>IFERROR(__xludf.DUMMYFUNCTION("GOOGLETRANSLATE(A6938 , ""auto"", ""ar"")"),"لقد غادر جميع الأطفال الآن حتى لا يعترضون طريقنا")</f>
        <v>لقد غادر جميع الأطفال الآن حتى لا يعترضون طريقنا</v>
      </c>
    </row>
    <row r="6939" ht="15.75" customHeight="1">
      <c r="A6939" s="12" t="s">
        <v>13895</v>
      </c>
      <c r="B6939" s="13" t="s">
        <v>13896</v>
      </c>
      <c r="C6939" s="14" t="s">
        <v>13897</v>
      </c>
      <c r="D6939" s="1" t="str">
        <f>IFERROR(__xludf.DUMMYFUNCTION("GOOGLETRANSLATE(A6939 , ""auto"", ""ar"")"),"لدينا حمام السباحة لكلا منا")</f>
        <v>لدينا حمام السباحة لكلا منا</v>
      </c>
    </row>
    <row r="6940" ht="15.75" customHeight="1">
      <c r="A6940" s="12" t="s">
        <v>13898</v>
      </c>
      <c r="B6940" s="13" t="s">
        <v>13899</v>
      </c>
      <c r="C6940" s="14" t="s">
        <v>13900</v>
      </c>
      <c r="D6940" s="1" t="str">
        <f>IFERROR(__xludf.DUMMYFUNCTION("GOOGLETRANSLATE(A6940 , ""auto"", ""ar"")"),"سأسابقك إلى الجانب الآخر")</f>
        <v>سأسابقك إلى الجانب الآخر</v>
      </c>
    </row>
    <row r="6941" ht="15.75" customHeight="1">
      <c r="A6941" s="12" t="s">
        <v>13901</v>
      </c>
      <c r="B6941" s="13" t="s">
        <v>13902</v>
      </c>
      <c r="C6941" s="14" t="s">
        <v>13903</v>
      </c>
      <c r="D6941" s="1" t="str">
        <f>IFERROR(__xludf.DUMMYFUNCTION("GOOGLETRANSLATE(A6941 , ""auto"", ""ar"")"),"أنا متأكد من أنني سأفوز")</f>
        <v>أنا متأكد من أنني سأفوز</v>
      </c>
    </row>
    <row r="6942" ht="15.75" customHeight="1">
      <c r="A6942" s="12" t="s">
        <v>13904</v>
      </c>
      <c r="B6942" s="13" t="s">
        <v>13905</v>
      </c>
      <c r="C6942" s="14" t="s">
        <v>13906</v>
      </c>
      <c r="D6942" s="1" t="str">
        <f>IFERROR(__xludf.DUMMYFUNCTION("GOOGLETRANSLATE(A6942 , ""auto"", ""ar"")"),"هيا بنا نذهب!")</f>
        <v>هيا بنا نذهب!</v>
      </c>
    </row>
    <row r="6943" ht="15.75" customHeight="1">
      <c r="A6943" s="12" t="s">
        <v>9291</v>
      </c>
      <c r="B6943" s="13" t="s">
        <v>13907</v>
      </c>
      <c r="C6943" s="14" t="s">
        <v>13908</v>
      </c>
      <c r="D6943" s="1" t="str">
        <f>IFERROR(__xludf.DUMMYFUNCTION("GOOGLETRANSLATE(A6943 , ""auto"", ""ar"")"),"ما هو الخطأ؟")</f>
        <v>ما هو الخطأ؟</v>
      </c>
    </row>
    <row r="6944" ht="15.75" customHeight="1">
      <c r="A6944" s="12" t="s">
        <v>9291</v>
      </c>
      <c r="B6944" s="13" t="s">
        <v>13909</v>
      </c>
      <c r="C6944" s="14" t="s">
        <v>13910</v>
      </c>
      <c r="D6944" s="1" t="str">
        <f>IFERROR(__xludf.DUMMYFUNCTION("GOOGLETRANSLATE(A6944 , ""auto"", ""ar"")"),"ما هو الخطأ؟")</f>
        <v>ما هو الخطأ؟</v>
      </c>
    </row>
    <row r="6945" ht="15.75" customHeight="1">
      <c r="A6945" s="12" t="s">
        <v>9291</v>
      </c>
      <c r="B6945" s="13" t="s">
        <v>13911</v>
      </c>
      <c r="C6945" s="14" t="s">
        <v>13912</v>
      </c>
      <c r="D6945" s="1" t="str">
        <f>IFERROR(__xludf.DUMMYFUNCTION("GOOGLETRANSLATE(A6945 , ""auto"", ""ar"")"),"ما هو الخطأ؟")</f>
        <v>ما هو الخطأ؟</v>
      </c>
    </row>
    <row r="6946" ht="15.75" customHeight="1">
      <c r="A6946" s="12" t="s">
        <v>9291</v>
      </c>
      <c r="B6946" s="13" t="s">
        <v>13913</v>
      </c>
      <c r="C6946" s="14" t="s">
        <v>13914</v>
      </c>
      <c r="D6946" s="1" t="str">
        <f>IFERROR(__xludf.DUMMYFUNCTION("GOOGLETRANSLATE(A6946 , ""auto"", ""ar"")"),"ما هو الخطأ؟")</f>
        <v>ما هو الخطأ؟</v>
      </c>
    </row>
    <row r="6947" ht="15.75" customHeight="1">
      <c r="A6947" s="12" t="s">
        <v>13915</v>
      </c>
      <c r="B6947" s="13" t="s">
        <v>13916</v>
      </c>
      <c r="C6947" s="14" t="s">
        <v>13917</v>
      </c>
      <c r="D6947" s="1" t="str">
        <f>IFERROR(__xludf.DUMMYFUNCTION("GOOGLETRANSLATE(A6947 , ""auto"", ""ar"")"),"اريد الخروج")</f>
        <v>اريد الخروج</v>
      </c>
    </row>
    <row r="6948" ht="15.75" customHeight="1">
      <c r="A6948" s="12" t="s">
        <v>13918</v>
      </c>
      <c r="B6948" s="13" t="s">
        <v>13919</v>
      </c>
      <c r="C6948" s="14" t="s">
        <v>13920</v>
      </c>
      <c r="D6948" s="1" t="str">
        <f>IFERROR(__xludf.DUMMYFUNCTION("GOOGLETRANSLATE(A6948 , ""auto"", ""ar"")"),"هل يمكننا النزول؟")</f>
        <v>هل يمكننا النزول؟</v>
      </c>
    </row>
    <row r="6949" ht="15.75" customHeight="1">
      <c r="A6949" s="12" t="s">
        <v>13921</v>
      </c>
      <c r="B6949" s="13" t="s">
        <v>13922</v>
      </c>
      <c r="C6949" s="14" t="s">
        <v>13923</v>
      </c>
      <c r="D6949" s="1" t="str">
        <f>IFERROR(__xludf.DUMMYFUNCTION("GOOGLETRANSLATE(A6949 , ""auto"", ""ar"")"),"لا ، سوف تحاول أن تجعلني أبقى على")</f>
        <v>لا ، سوف تحاول أن تجعلني أبقى على</v>
      </c>
    </row>
    <row r="6950" ht="15.75" customHeight="1">
      <c r="A6950" s="12" t="s">
        <v>13924</v>
      </c>
      <c r="B6950" s="13" t="s">
        <v>13925</v>
      </c>
      <c r="C6950" s="14" t="s">
        <v>13926</v>
      </c>
      <c r="D6950" s="1" t="str">
        <f>IFERROR(__xludf.DUMMYFUNCTION("GOOGLETRANSLATE(A6950 , ""auto"", ""ar"")"),"لكنني حقًا لا أريد أن أكون على هذه الطائرة")</f>
        <v>لكنني حقًا لا أريد أن أكون على هذه الطائرة</v>
      </c>
    </row>
    <row r="6951" ht="15.75" customHeight="1">
      <c r="A6951" s="12" t="s">
        <v>9538</v>
      </c>
      <c r="B6951" s="13" t="s">
        <v>13927</v>
      </c>
      <c r="C6951" s="14" t="s">
        <v>13928</v>
      </c>
      <c r="D6951" s="1" t="str">
        <f>IFERROR(__xludf.DUMMYFUNCTION("GOOGLETRANSLATE(A6951 , ""auto"", ""ar"")"),"إلى أين تذهب؟")</f>
        <v>إلى أين تذهب؟</v>
      </c>
    </row>
    <row r="6952" ht="15.75" customHeight="1">
      <c r="A6952" s="12" t="s">
        <v>13929</v>
      </c>
      <c r="B6952" s="13" t="s">
        <v>13930</v>
      </c>
      <c r="C6952" s="14" t="s">
        <v>13931</v>
      </c>
      <c r="D6952" s="1" t="str">
        <f>IFERROR(__xludf.DUMMYFUNCTION("GOOGLETRANSLATE(A6952 , ""auto"", ""ar"")"),"أنت ذاهب في إجازة؟")</f>
        <v>أنت ذاهب في إجازة؟</v>
      </c>
    </row>
    <row r="6953" ht="15.75" customHeight="1">
      <c r="A6953" s="12" t="s">
        <v>13932</v>
      </c>
      <c r="B6953" s="13" t="s">
        <v>13933</v>
      </c>
      <c r="C6953" s="14" t="s">
        <v>13934</v>
      </c>
      <c r="D6953" s="1" t="str">
        <f>IFERROR(__xludf.DUMMYFUNCTION("GOOGLETRANSLATE(A6953 , ""auto"", ""ar"")"),"هل هذا عن العمل؟")</f>
        <v>هل هذا عن العمل؟</v>
      </c>
    </row>
    <row r="6954" ht="15.75" customHeight="1">
      <c r="A6954" s="12" t="s">
        <v>13935</v>
      </c>
      <c r="B6954" s="13" t="s">
        <v>13936</v>
      </c>
      <c r="C6954" s="14" t="s">
        <v>13937</v>
      </c>
      <c r="D6954" s="1" t="str">
        <f>IFERROR(__xludf.DUMMYFUNCTION("GOOGLETRANSLATE(A6954 , ""auto"", ""ar"")"),"مديري لن يكون سعيدا")</f>
        <v>مديري لن يكون سعيدا</v>
      </c>
    </row>
    <row r="6955" ht="15.75" customHeight="1">
      <c r="A6955" s="12" t="s">
        <v>13935</v>
      </c>
      <c r="B6955" s="13" t="s">
        <v>13938</v>
      </c>
      <c r="C6955" s="14" t="s">
        <v>13939</v>
      </c>
      <c r="D6955" s="1" t="str">
        <f>IFERROR(__xludf.DUMMYFUNCTION("GOOGLETRANSLATE(A6955 , ""auto"", ""ar"")"),"مديري لن يكون سعيدا")</f>
        <v>مديري لن يكون سعيدا</v>
      </c>
    </row>
    <row r="6956" ht="15.75" customHeight="1">
      <c r="A6956" s="12" t="s">
        <v>13940</v>
      </c>
      <c r="B6956" s="13" t="s">
        <v>13941</v>
      </c>
      <c r="C6956" s="14" t="s">
        <v>13942</v>
      </c>
      <c r="D6956" s="1" t="str">
        <f>IFERROR(__xludf.DUMMYFUNCTION("GOOGLETRANSLATE(A6956 , ""auto"", ""ar"")"),"نعم ، إنه للعمل")</f>
        <v>نعم ، إنه للعمل</v>
      </c>
    </row>
    <row r="6957" ht="15.75" customHeight="1">
      <c r="A6957" s="12" t="s">
        <v>13943</v>
      </c>
      <c r="B6957" s="13" t="s">
        <v>13944</v>
      </c>
      <c r="C6957" s="14" t="s">
        <v>13945</v>
      </c>
      <c r="D6957" s="1" t="str">
        <f>IFERROR(__xludf.DUMMYFUNCTION("GOOGLETRANSLATE(A6957 , ""auto"", ""ar"")"),"لكنني لم أعد العرض التقديمي الذي من المفترض أن أفعله أثناء وجوده هناك")</f>
        <v>لكنني لم أعد العرض التقديمي الذي من المفترض أن أفعله أثناء وجوده هناك</v>
      </c>
    </row>
    <row r="6958" ht="15.75" customHeight="1">
      <c r="A6958" s="12" t="s">
        <v>13946</v>
      </c>
      <c r="B6958" s="13" t="s">
        <v>13947</v>
      </c>
      <c r="C6958" s="14" t="s">
        <v>13948</v>
      </c>
      <c r="D6958" s="1" t="str">
        <f>IFERROR(__xludf.DUMMYFUNCTION("GOOGLETRANSLATE(A6958 , ""auto"", ""ar"")"),"وأنا حقًا لا أثق في هذا الشيء للبقاء في الهواء")</f>
        <v>وأنا حقًا لا أثق في هذا الشيء للبقاء في الهواء</v>
      </c>
    </row>
    <row r="6959" ht="15.75" customHeight="1">
      <c r="A6959" s="12" t="s">
        <v>13949</v>
      </c>
      <c r="B6959" s="13" t="s">
        <v>13950</v>
      </c>
      <c r="C6959" s="14" t="s">
        <v>13951</v>
      </c>
      <c r="D6959" s="1" t="str">
        <f>IFERROR(__xludf.DUMMYFUNCTION("GOOGLETRANSLATE(A6959 , ""auto"", ""ar"")"),"صراحة")</f>
        <v>صراحة</v>
      </c>
    </row>
    <row r="6960" ht="15.75" customHeight="1">
      <c r="A6960" s="12" t="s">
        <v>13949</v>
      </c>
      <c r="B6960" s="13" t="s">
        <v>13952</v>
      </c>
      <c r="C6960" s="14" t="s">
        <v>13953</v>
      </c>
      <c r="D6960" s="1" t="str">
        <f>IFERROR(__xludf.DUMMYFUNCTION("GOOGLETRANSLATE(A6960 , ""auto"", ""ar"")"),"صراحة")</f>
        <v>صراحة</v>
      </c>
    </row>
    <row r="6961" ht="15.75" customHeight="1">
      <c r="A6961" s="12" t="s">
        <v>13949</v>
      </c>
      <c r="B6961" s="13" t="s">
        <v>13954</v>
      </c>
      <c r="C6961" s="14" t="s">
        <v>13955</v>
      </c>
      <c r="D6961" s="1" t="str">
        <f>IFERROR(__xludf.DUMMYFUNCTION("GOOGLETRANSLATE(A6961 , ""auto"", ""ar"")"),"صراحة")</f>
        <v>صراحة</v>
      </c>
    </row>
    <row r="6962" ht="15.75" customHeight="1">
      <c r="A6962" s="12" t="s">
        <v>13956</v>
      </c>
      <c r="B6962" s="13" t="s">
        <v>13957</v>
      </c>
      <c r="C6962" s="14" t="s">
        <v>13958</v>
      </c>
      <c r="D6962" s="1" t="str">
        <f>IFERROR(__xludf.DUMMYFUNCTION("GOOGLETRANSLATE(A6962 , ""auto"", ""ar"")"),"أنا لا أثق حقًا بأي شخص في الوقت الحالي")</f>
        <v>أنا لا أثق حقًا بأي شخص في الوقت الحالي</v>
      </c>
    </row>
    <row r="6963" ht="15.75" customHeight="1">
      <c r="A6963" s="12" t="s">
        <v>13959</v>
      </c>
      <c r="B6963" s="13" t="s">
        <v>13960</v>
      </c>
      <c r="C6963" s="14" t="s">
        <v>13961</v>
      </c>
      <c r="D6963" s="1" t="str">
        <f>IFERROR(__xludf.DUMMYFUNCTION("GOOGLETRANSLATE(A6963 , ""auto"", ""ar"")"),"ما هو العرض التقديمي؟")</f>
        <v>ما هو العرض التقديمي؟</v>
      </c>
    </row>
    <row r="6964" ht="15.75" customHeight="1">
      <c r="A6964" s="12" t="s">
        <v>13962</v>
      </c>
      <c r="B6964" s="13" t="s">
        <v>13963</v>
      </c>
      <c r="C6964" s="14" t="s">
        <v>13964</v>
      </c>
      <c r="D6964" s="1" t="str">
        <f>IFERROR(__xludf.DUMMYFUNCTION("GOOGLETRANSLATE(A6964 , ""auto"", ""ar"")"),"قد يكون لديك وقت للتفكير في الأمر الآن")</f>
        <v>قد يكون لديك وقت للتفكير في الأمر الآن</v>
      </c>
    </row>
    <row r="6965" ht="15.75" customHeight="1">
      <c r="A6965" s="12" t="s">
        <v>13965</v>
      </c>
      <c r="B6965" s="13" t="s">
        <v>13966</v>
      </c>
      <c r="C6965" s="14" t="s">
        <v>13967</v>
      </c>
      <c r="D6965" s="1" t="str">
        <f>IFERROR(__xludf.DUMMYFUNCTION("GOOGLETRANSLATE(A6965 , ""auto"", ""ar"")"),"أعتقد أننا نعمل بشكل جيد هنا")</f>
        <v>أعتقد أننا نعمل بشكل جيد هنا</v>
      </c>
    </row>
    <row r="6966" ht="15.75" customHeight="1">
      <c r="A6966" s="12" t="s">
        <v>13968</v>
      </c>
      <c r="B6966" s="13" t="s">
        <v>13969</v>
      </c>
      <c r="C6966" s="14" t="s">
        <v>13970</v>
      </c>
      <c r="D6966" s="1" t="str">
        <f>IFERROR(__xludf.DUMMYFUNCTION("GOOGLETRANSLATE(A6966 , ""auto"", ""ar"")"),"مرة واحدة فوق الغيوم ، كل شيء هادئ")</f>
        <v>مرة واحدة فوق الغيوم ، كل شيء هادئ</v>
      </c>
    </row>
    <row r="6967" ht="15.75" customHeight="1">
      <c r="A6967" s="12" t="s">
        <v>13971</v>
      </c>
      <c r="B6967" s="13" t="s">
        <v>13972</v>
      </c>
      <c r="C6967" s="14" t="s">
        <v>13973</v>
      </c>
      <c r="D6967" s="1" t="str">
        <f>IFERROR(__xludf.DUMMYFUNCTION("GOOGLETRANSLATE(A6967 , ""auto"", ""ar"")"),"هناك ضوء")</f>
        <v>هناك ضوء</v>
      </c>
    </row>
    <row r="6968" ht="15.75" customHeight="1">
      <c r="A6968" s="12" t="s">
        <v>13974</v>
      </c>
      <c r="B6968" s="13" t="s">
        <v>13975</v>
      </c>
      <c r="C6968" s="14" t="s">
        <v>13976</v>
      </c>
      <c r="D6968" s="1" t="str">
        <f>IFERROR(__xludf.DUMMYFUNCTION("GOOGLETRANSLATE(A6968 , ""auto"", ""ar"")"),"يمنحك الأفكار")</f>
        <v>يمنحك الأفكار</v>
      </c>
    </row>
    <row r="6969" ht="15.75" customHeight="1">
      <c r="A6969" s="12" t="s">
        <v>13977</v>
      </c>
      <c r="B6969" s="13" t="s">
        <v>13978</v>
      </c>
      <c r="C6969" s="14" t="s">
        <v>13979</v>
      </c>
      <c r="D6969" s="1" t="str">
        <f>IFERROR(__xludf.DUMMYFUNCTION("GOOGLETRANSLATE(A6969 , ""auto"", ""ar"")"),"والطائرة نقل آمن للغاية")</f>
        <v>والطائرة نقل آمن للغاية</v>
      </c>
    </row>
    <row r="6970" ht="15.75" customHeight="1">
      <c r="A6970" s="12" t="s">
        <v>13980</v>
      </c>
      <c r="B6970" s="13" t="s">
        <v>13981</v>
      </c>
      <c r="C6970" s="14" t="s">
        <v>13982</v>
      </c>
      <c r="D6970" s="1" t="str">
        <f>IFERROR(__xludf.DUMMYFUNCTION("GOOGLETRANSLATE(A6970 , ""auto"", ""ar"")"),"إنها الطريقة الأكثر أمانًا للسفر في الهواء")</f>
        <v>إنها الطريقة الأكثر أمانًا للسفر في الهواء</v>
      </c>
    </row>
    <row r="6971" ht="15.75" customHeight="1">
      <c r="A6971" s="12" t="s">
        <v>13983</v>
      </c>
      <c r="B6971" s="13" t="s">
        <v>13984</v>
      </c>
      <c r="C6971" s="14" t="s">
        <v>13985</v>
      </c>
      <c r="D6971" s="1" t="str">
        <f>IFERROR(__xludf.DUMMYFUNCTION("GOOGLETRANSLATE(A6971 , ""auto"", ""ar"")"),"ربما تكون على حق")</f>
        <v>ربما تكون على حق</v>
      </c>
    </row>
    <row r="6972" ht="15.75" customHeight="1">
      <c r="A6972" s="12" t="s">
        <v>13986</v>
      </c>
      <c r="B6972" s="13" t="s">
        <v>13987</v>
      </c>
      <c r="C6972" s="14" t="s">
        <v>13988</v>
      </c>
      <c r="D6972" s="1" t="str">
        <f>IFERROR(__xludf.DUMMYFUNCTION("GOOGLETRANSLATE(A6972 , ""auto"", ""ar"")"),"انا لا امزح")</f>
        <v>انا لا امزح</v>
      </c>
    </row>
    <row r="6973" ht="15.75" customHeight="1">
      <c r="A6973" s="12" t="s">
        <v>13989</v>
      </c>
      <c r="B6973" s="13" t="s">
        <v>13990</v>
      </c>
      <c r="C6973" s="14" t="s">
        <v>13991</v>
      </c>
      <c r="D6973" s="1" t="str">
        <f>IFERROR(__xludf.DUMMYFUNCTION("GOOGLETRANSLATE(A6973 , ""auto"", ""ar"")"),"أنا نزل")</f>
        <v>أنا نزل</v>
      </c>
    </row>
    <row r="6974" ht="15.75" customHeight="1">
      <c r="A6974" s="12" t="s">
        <v>13992</v>
      </c>
      <c r="B6974" s="13" t="s">
        <v>13993</v>
      </c>
      <c r="C6974" s="14" t="s">
        <v>13994</v>
      </c>
      <c r="D6974" s="1" t="str">
        <f>IFERROR(__xludf.DUMMYFUNCTION("GOOGLETRANSLATE(A6974 , ""auto"", ""ar"")"),"انتظر!")</f>
        <v>انتظر!</v>
      </c>
    </row>
    <row r="6975" ht="15.75" customHeight="1">
      <c r="A6975" s="12" t="s">
        <v>13995</v>
      </c>
      <c r="B6975" s="13" t="s">
        <v>13996</v>
      </c>
      <c r="C6975" s="14" t="s">
        <v>13997</v>
      </c>
      <c r="D6975" s="1" t="str">
        <f>IFERROR(__xludf.DUMMYFUNCTION("GOOGLETRANSLATE(A6975 , ""auto"", ""ar"")"),"يقدمون وجبة إفطار ممتازة بعد الإقلاع")</f>
        <v>يقدمون وجبة إفطار ممتازة بعد الإقلاع</v>
      </c>
    </row>
    <row r="6976" ht="15.75" customHeight="1">
      <c r="A6976" s="12" t="s">
        <v>13998</v>
      </c>
      <c r="B6976" s="13" t="s">
        <v>13999</v>
      </c>
      <c r="C6976" s="14" t="s">
        <v>14000</v>
      </c>
      <c r="D6976" s="1" t="str">
        <f>IFERROR(__xludf.DUMMYFUNCTION("GOOGLETRANSLATE(A6976 , ""auto"", ""ar"")"),"هل تحب البصل؟")</f>
        <v>هل تحب البصل؟</v>
      </c>
    </row>
    <row r="6977" ht="15.75" customHeight="1">
      <c r="A6977" s="12" t="s">
        <v>14001</v>
      </c>
      <c r="B6977" s="13" t="s">
        <v>14002</v>
      </c>
      <c r="C6977" s="14" t="s">
        <v>14003</v>
      </c>
      <c r="D6977" s="1" t="str">
        <f>IFERROR(__xludf.DUMMYFUNCTION("GOOGLETRANSLATE(A6977 , ""auto"", ""ar"")"),"هل يكفي التعويض عن التواجد في هذا السجن؟")</f>
        <v>هل يكفي التعويض عن التواجد في هذا السجن؟</v>
      </c>
    </row>
    <row r="6978" ht="15.75" customHeight="1">
      <c r="A6978" s="12" t="s">
        <v>14004</v>
      </c>
      <c r="B6978" s="13" t="s">
        <v>14005</v>
      </c>
      <c r="C6978" s="14" t="s">
        <v>14006</v>
      </c>
      <c r="D6978" s="1" t="str">
        <f>IFERROR(__xludf.DUMMYFUNCTION("GOOGLETRANSLATE(A6978 , ""auto"", ""ar"")"),"من المحتمل ان تكون")</f>
        <v>من المحتمل ان تكون</v>
      </c>
    </row>
    <row r="6979" ht="15.75" customHeight="1">
      <c r="A6979" s="12" t="s">
        <v>14004</v>
      </c>
      <c r="B6979" s="13" t="s">
        <v>14007</v>
      </c>
      <c r="C6979" s="14" t="s">
        <v>14008</v>
      </c>
      <c r="D6979" s="1" t="str">
        <f>IFERROR(__xludf.DUMMYFUNCTION("GOOGLETRANSLATE(A6979 , ""auto"", ""ar"")"),"من المحتمل ان تكون")</f>
        <v>من المحتمل ان تكون</v>
      </c>
    </row>
    <row r="6980" ht="15.75" customHeight="1">
      <c r="A6980" s="12" t="s">
        <v>14009</v>
      </c>
      <c r="B6980" s="13" t="s">
        <v>14010</v>
      </c>
      <c r="C6980" s="14" t="s">
        <v>14011</v>
      </c>
      <c r="D6980" s="1" t="str">
        <f>IFERROR(__xludf.DUMMYFUNCTION("GOOGLETRANSLATE(A6980 , ""auto"", ""ar"")"),"ما النكهات التي لديهم؟")</f>
        <v>ما النكهات التي لديهم؟</v>
      </c>
    </row>
    <row r="6981" ht="15.75" customHeight="1">
      <c r="A6981" s="12" t="s">
        <v>14012</v>
      </c>
      <c r="B6981" s="13" t="s">
        <v>14013</v>
      </c>
      <c r="C6981" s="14" t="s">
        <v>14014</v>
      </c>
      <c r="D6981" s="1" t="str">
        <f>IFERROR(__xludf.DUMMYFUNCTION("GOOGLETRANSLATE(A6981 , ""auto"", ""ar"")"),"أحصل على طائرة كل أسبوع")</f>
        <v>أحصل على طائرة كل أسبوع</v>
      </c>
    </row>
    <row r="6982" ht="15.75" customHeight="1">
      <c r="A6982" s="12" t="s">
        <v>14015</v>
      </c>
      <c r="B6982" s="13" t="s">
        <v>14016</v>
      </c>
      <c r="C6982" s="14" t="s">
        <v>14017</v>
      </c>
      <c r="D6982" s="1" t="str">
        <f>IFERROR(__xludf.DUMMYFUNCTION("GOOGLETRANSLATE(A6982 , ""auto"", ""ar"")"),"أحيانًا حتى عدة مرات في الأسبوع")</f>
        <v>أحيانًا حتى عدة مرات في الأسبوع</v>
      </c>
    </row>
    <row r="6983" ht="15.75" customHeight="1">
      <c r="A6983" s="12" t="s">
        <v>14018</v>
      </c>
      <c r="B6983" s="13" t="s">
        <v>14019</v>
      </c>
      <c r="C6983" s="14" t="s">
        <v>14020</v>
      </c>
      <c r="D6983" s="1" t="str">
        <f>IFERROR(__xludf.DUMMYFUNCTION("GOOGLETRANSLATE(A6983 , ""auto"", ""ar"")"),"هذا لطيف حقًا")</f>
        <v>هذا لطيف حقًا</v>
      </c>
    </row>
    <row r="6984" ht="15.75" customHeight="1">
      <c r="A6984" s="12" t="s">
        <v>14021</v>
      </c>
      <c r="B6984" s="13" t="s">
        <v>14022</v>
      </c>
      <c r="C6984" s="14" t="s">
        <v>14023</v>
      </c>
      <c r="D6984" s="1" t="str">
        <f>IFERROR(__xludf.DUMMYFUNCTION("GOOGLETRANSLATE(A6984 , ""auto"", ""ar"")"),"وفريق اليوم هو واحد من المفضلات الخاصة بي")</f>
        <v>وفريق اليوم هو واحد من المفضلات الخاصة بي</v>
      </c>
    </row>
    <row r="6985" ht="15.75" customHeight="1">
      <c r="A6985" s="12" t="s">
        <v>14024</v>
      </c>
      <c r="B6985" s="13" t="s">
        <v>14025</v>
      </c>
      <c r="C6985" s="14" t="s">
        <v>14026</v>
      </c>
      <c r="D6985" s="1" t="str">
        <f>IFERROR(__xludf.DUMMYFUNCTION("GOOGLETRANSLATE(A6985 , ""auto"", ""ar"")"),"إنهم يعرفونني جيدًا")</f>
        <v>إنهم يعرفونني جيدًا</v>
      </c>
    </row>
    <row r="6986" ht="15.75" customHeight="1">
      <c r="A6986" s="12" t="s">
        <v>14027</v>
      </c>
      <c r="B6986" s="13" t="s">
        <v>14028</v>
      </c>
      <c r="C6986" s="14" t="s">
        <v>14029</v>
      </c>
      <c r="D6986" s="1" t="str">
        <f>IFERROR(__xludf.DUMMYFUNCTION("GOOGLETRANSLATE(A6986 , ""auto"", ""ar"")"),"يعطونني دائمًا كعكات إضافية")</f>
        <v>يعطونني دائمًا كعكات إضافية</v>
      </c>
    </row>
    <row r="6987" ht="15.75" customHeight="1">
      <c r="A6987" s="12" t="s">
        <v>14030</v>
      </c>
      <c r="B6987" s="13" t="s">
        <v>14031</v>
      </c>
      <c r="C6987" s="14" t="s">
        <v>14032</v>
      </c>
      <c r="D6987" s="1" t="str">
        <f>IFERROR(__xludf.DUMMYFUNCTION("GOOGLETRANSLATE(A6987 , ""auto"", ""ar"")"),"سأطلب منهم لك أيضًا")</f>
        <v>سأطلب منهم لك أيضًا</v>
      </c>
    </row>
    <row r="6988" ht="15.75" customHeight="1">
      <c r="A6988" s="12" t="s">
        <v>14033</v>
      </c>
      <c r="B6988" s="13" t="s">
        <v>14034</v>
      </c>
      <c r="C6988" s="14" t="s">
        <v>14035</v>
      </c>
      <c r="D6988" s="1" t="str">
        <f>IFERROR(__xludf.DUMMYFUNCTION("GOOGLETRANSLATE(A6988 , ""auto"", ""ar"")"),"ابق ، سترى")</f>
        <v>ابق ، سترى</v>
      </c>
    </row>
    <row r="6989" ht="15.75" customHeight="1">
      <c r="A6989" s="12" t="s">
        <v>14036</v>
      </c>
      <c r="B6989" s="13" t="s">
        <v>14037</v>
      </c>
      <c r="C6989" s="14" t="s">
        <v>14038</v>
      </c>
      <c r="D6989" s="1" t="str">
        <f>IFERROR(__xludf.DUMMYFUNCTION("GOOGLETRANSLATE(A6989 , ""auto"", ""ar"")"),"إنه ليس سيئًا كما تعتقد")</f>
        <v>إنه ليس سيئًا كما تعتقد</v>
      </c>
    </row>
    <row r="6990" ht="15.75" customHeight="1">
      <c r="A6990" s="12" t="s">
        <v>14039</v>
      </c>
      <c r="B6990" s="13" t="s">
        <v>14040</v>
      </c>
      <c r="C6990" s="14" t="s">
        <v>14041</v>
      </c>
      <c r="D6990" s="1" t="str">
        <f>IFERROR(__xludf.DUMMYFUNCTION("GOOGLETRANSLATE(A6990 , ""auto"", ""ar"")"),"هذا جميل جدا!")</f>
        <v>هذا جميل جدا!</v>
      </c>
    </row>
    <row r="6991" ht="15.75" customHeight="1">
      <c r="A6991" s="12" t="s">
        <v>14042</v>
      </c>
      <c r="B6991" s="13" t="s">
        <v>14043</v>
      </c>
      <c r="C6991" s="14" t="s">
        <v>14044</v>
      </c>
      <c r="D6991" s="1" t="str">
        <f>IFERROR(__xludf.DUMMYFUNCTION("GOOGLETRANSLATE(A6991 , ""auto"", ""ar"")"),"وعندما تصل إلى هناك ، ستكون فخوراً بنفسك!")</f>
        <v>وعندما تصل إلى هناك ، ستكون فخوراً بنفسك!</v>
      </c>
    </row>
    <row r="6992" ht="15.75" customHeight="1">
      <c r="A6992" s="12" t="s">
        <v>14045</v>
      </c>
      <c r="B6992" s="13" t="s">
        <v>14046</v>
      </c>
      <c r="C6992" s="14" t="s">
        <v>14047</v>
      </c>
      <c r="D6992" s="1" t="str">
        <f>IFERROR(__xludf.DUMMYFUNCTION("GOOGLETRANSLATE(A6992 , ""auto"", ""ar"")"),"حسنا")</f>
        <v>حسنا</v>
      </c>
    </row>
    <row r="6993" ht="15.75" customHeight="1">
      <c r="A6993" s="12" t="s">
        <v>14048</v>
      </c>
      <c r="B6993" s="13" t="s">
        <v>14049</v>
      </c>
      <c r="C6993" s="14" t="s">
        <v>14050</v>
      </c>
      <c r="D6993" s="1" t="str">
        <f>IFERROR(__xludf.DUMMYFUNCTION("GOOGLETRANSLATE(A6993 , ""auto"", ""ar"")"),"إذا كنت متأكدًا جدًا")</f>
        <v>إذا كنت متأكدًا جدًا</v>
      </c>
    </row>
    <row r="6994" ht="15.75" customHeight="1">
      <c r="A6994" s="12" t="s">
        <v>14051</v>
      </c>
      <c r="B6994" s="13" t="s">
        <v>14052</v>
      </c>
      <c r="C6994" s="14" t="s">
        <v>14053</v>
      </c>
      <c r="D6994" s="1" t="str">
        <f>IFERROR(__xludf.DUMMYFUNCTION("GOOGLETRANSLATE(A6994 , ""auto"", ""ar"")"),"أنا أحب كعكة جيدة")</f>
        <v>أنا أحب كعكة جيدة</v>
      </c>
    </row>
    <row r="6995" ht="15.75" customHeight="1">
      <c r="A6995" s="12" t="s">
        <v>14054</v>
      </c>
      <c r="B6995" s="13" t="s">
        <v>14055</v>
      </c>
      <c r="C6995" s="14" t="s">
        <v>14056</v>
      </c>
      <c r="D6995" s="1" t="str">
        <f>IFERROR(__xludf.DUMMYFUNCTION("GOOGLETRANSLATE(A6995 , ""auto"", ""ar"")"),"أوه ، ها هي المضيفة!")</f>
        <v>أوه ، ها هي المضيفة!</v>
      </c>
    </row>
    <row r="6996" ht="15.75" customHeight="1">
      <c r="A6996" s="12" t="s">
        <v>14057</v>
      </c>
      <c r="B6996" s="13" t="s">
        <v>14058</v>
      </c>
      <c r="C6996" s="14" t="s">
        <v>14059</v>
      </c>
      <c r="D6996" s="1" t="str">
        <f>IFERROR(__xludf.DUMMYFUNCTION("GOOGLETRANSLATE(A6996 , ""auto"", ""ar"")"),"كريستين ، هل لديك أي كعكة مقدمًا لصديقي؟")</f>
        <v>كريستين ، هل لديك أي كعكة مقدمًا لصديقي؟</v>
      </c>
    </row>
    <row r="6997" ht="15.75" customHeight="1">
      <c r="A6997" s="12" t="s">
        <v>14060</v>
      </c>
      <c r="B6997" s="13" t="s">
        <v>14061</v>
      </c>
      <c r="C6997" s="14" t="s">
        <v>14062</v>
      </c>
      <c r="D6997" s="1" t="str">
        <f>IFERROR(__xludf.DUMMYFUNCTION("GOOGLETRANSLATE(A6997 , ""auto"", ""ar"")"),"إنها أول ليلة له هنا")</f>
        <v>إنها أول ليلة له هنا</v>
      </c>
    </row>
    <row r="6998" ht="15.75" customHeight="1">
      <c r="A6998" s="12" t="s">
        <v>14063</v>
      </c>
      <c r="B6998" s="13" t="s">
        <v>14064</v>
      </c>
      <c r="C6998" s="14" t="s">
        <v>14065</v>
      </c>
      <c r="D6998" s="1" t="str">
        <f>IFERROR(__xludf.DUMMYFUNCTION("GOOGLETRANSLATE(A6998 , ""auto"", ""ar"")"),"لذلك من الجيد؟")</f>
        <v>لذلك من الجيد؟</v>
      </c>
    </row>
    <row r="6999" ht="15.75" customHeight="1">
      <c r="A6999" s="12" t="s">
        <v>14066</v>
      </c>
      <c r="B6999" s="13" t="s">
        <v>14067</v>
      </c>
      <c r="C6999" s="14" t="s">
        <v>14068</v>
      </c>
      <c r="D6999" s="1" t="str">
        <f>IFERROR(__xludf.DUMMYFUNCTION("GOOGLETRANSLATE(A6999 , ""auto"", ""ar"")"),"على الرغم من أنني قلق بعض الشيء بشأن حقيقة أن لديهم أفران على متن")</f>
        <v>على الرغم من أنني قلق بعض الشيء بشأن حقيقة أن لديهم أفران على متن</v>
      </c>
    </row>
    <row r="7000" ht="15.75" customHeight="1">
      <c r="A7000" s="12" t="s">
        <v>14069</v>
      </c>
      <c r="B7000" s="13" t="s">
        <v>14070</v>
      </c>
      <c r="C7000" s="14" t="s">
        <v>14071</v>
      </c>
      <c r="D7000" s="1" t="str">
        <f>IFERROR(__xludf.DUMMYFUNCTION("GOOGLETRANSLATE(A7000 , ""auto"", ""ar"")"),"أ!")</f>
        <v>أ!</v>
      </c>
    </row>
    <row r="7001" ht="15.75" customHeight="1">
      <c r="A7001" s="12" t="s">
        <v>14072</v>
      </c>
      <c r="B7001" s="13" t="s">
        <v>14073</v>
      </c>
      <c r="C7001" s="14" t="s">
        <v>14074</v>
      </c>
      <c r="D7001" s="1" t="str">
        <f>IFERROR(__xludf.DUMMYFUNCTION("GOOGLETRANSLATE(A7001 , ""auto"", ""ar"")"),"لقد أقلعنا ولم تلاحظ حتى")</f>
        <v>لقد أقلعنا ولم تلاحظ حتى</v>
      </c>
    </row>
    <row r="7002" ht="15.75" customHeight="1">
      <c r="A7002" s="12" t="s">
        <v>14075</v>
      </c>
      <c r="B7002" s="13" t="s">
        <v>14076</v>
      </c>
      <c r="C7002" s="14" t="s">
        <v>14077</v>
      </c>
      <c r="D7002" s="1" t="str">
        <f>IFERROR(__xludf.DUMMYFUNCTION("GOOGLETRANSLATE(A7002 , ""auto"", ""ar"")"),"انظروا كيف كانت الغيوم جميلة هناك!")</f>
        <v>انظروا كيف كانت الغيوم جميلة هناك!</v>
      </c>
    </row>
    <row r="7003" ht="15.75" customHeight="1">
      <c r="A7003" s="12" t="s">
        <v>14078</v>
      </c>
      <c r="B7003" s="13" t="s">
        <v>14079</v>
      </c>
      <c r="C7003" s="14" t="s">
        <v>14080</v>
      </c>
      <c r="D7003" s="1" t="str">
        <f>IFERROR(__xludf.DUMMYFUNCTION("GOOGLETRANSLATE(A7003 , ""auto"", ""ar"")"),"مرحبا ملكة جمال هل يمكنني التحدث معك لبضع لحظات من فضلك؟")</f>
        <v>مرحبا ملكة جمال هل يمكنني التحدث معك لبضع لحظات من فضلك؟</v>
      </c>
    </row>
    <row r="7004" ht="15.75" customHeight="1">
      <c r="A7004" s="12" t="s">
        <v>14081</v>
      </c>
      <c r="B7004" s="13" t="s">
        <v>14082</v>
      </c>
      <c r="C7004" s="14" t="s">
        <v>14083</v>
      </c>
      <c r="D7004" s="1" t="str">
        <f>IFERROR(__xludf.DUMMYFUNCTION("GOOGLETRANSLATE(A7004 , ""auto"", ""ar"")"),"أنا آسف ، قصدت سيدي!")</f>
        <v>أنا آسف ، قصدت سيدي!</v>
      </c>
    </row>
    <row r="7005" ht="15.75" customHeight="1">
      <c r="A7005" s="12" t="s">
        <v>14084</v>
      </c>
      <c r="B7005" s="13" t="s">
        <v>14085</v>
      </c>
      <c r="C7005" s="14" t="s">
        <v>14086</v>
      </c>
      <c r="D7005" s="1" t="str">
        <f>IFERROR(__xludf.DUMMYFUNCTION("GOOGLETRANSLATE(A7005 , ""auto"", ""ar"")"),"حسنًا ، أخبرني ما الذي يجلب لك هنا")</f>
        <v>حسنًا ، أخبرني ما الذي يجلب لك هنا</v>
      </c>
    </row>
    <row r="7006" ht="15.75" customHeight="1">
      <c r="A7006" s="12" t="s">
        <v>14084</v>
      </c>
      <c r="B7006" s="13" t="s">
        <v>14087</v>
      </c>
      <c r="C7006" s="14" t="s">
        <v>14088</v>
      </c>
      <c r="D7006" s="1" t="str">
        <f>IFERROR(__xludf.DUMMYFUNCTION("GOOGLETRANSLATE(A7006 , ""auto"", ""ar"")"),"حسنًا ، أخبرني ما الذي يجلب لك هنا")</f>
        <v>حسنًا ، أخبرني ما الذي يجلب لك هنا</v>
      </c>
    </row>
    <row r="7007" ht="15.75" customHeight="1">
      <c r="A7007" s="12" t="s">
        <v>14089</v>
      </c>
      <c r="B7007" s="13" t="s">
        <v>14090</v>
      </c>
      <c r="C7007" s="14" t="s">
        <v>14091</v>
      </c>
      <c r="D7007" s="1" t="str">
        <f>IFERROR(__xludf.DUMMYFUNCTION("GOOGLETRANSLATE(A7007 , ""auto"", ""ar"")"),"يتعرض أحد أصدقائي للتخويف لأنه يرتدي النظارات")</f>
        <v>يتعرض أحد أصدقائي للتخويف لأنه يرتدي النظارات</v>
      </c>
    </row>
    <row r="7008" ht="15.75" customHeight="1">
      <c r="A7008" s="12" t="s">
        <v>14092</v>
      </c>
      <c r="B7008" s="13" t="s">
        <v>14093</v>
      </c>
      <c r="C7008" s="14" t="s">
        <v>14094</v>
      </c>
      <c r="D7008" s="1" t="str">
        <f>IFERROR(__xludf.DUMMYFUNCTION("GOOGLETRANSLATE(A7008 , ""auto"", ""ar"")"),"اريد مساعدته")</f>
        <v>اريد مساعدته</v>
      </c>
    </row>
    <row r="7009" ht="15.75" customHeight="1">
      <c r="A7009" s="12" t="s">
        <v>14095</v>
      </c>
      <c r="B7009" s="13" t="s">
        <v>14096</v>
      </c>
      <c r="C7009" s="14" t="s">
        <v>14097</v>
      </c>
      <c r="D7009" s="1" t="str">
        <f>IFERROR(__xludf.DUMMYFUNCTION("GOOGLETRANSLATE(A7009 , ""auto"", ""ar"")"),"كيف تلعب ارتداء النظارات دورًا في هذه الأعمال الوحشية؟")</f>
        <v>كيف تلعب ارتداء النظارات دورًا في هذه الأعمال الوحشية؟</v>
      </c>
    </row>
    <row r="7010" ht="15.75" customHeight="1">
      <c r="A7010" s="12" t="s">
        <v>14098</v>
      </c>
      <c r="B7010" s="13" t="s">
        <v>14099</v>
      </c>
      <c r="C7010" s="14" t="s">
        <v>14100</v>
      </c>
      <c r="D7010" s="1" t="str">
        <f>IFERROR(__xludf.DUMMYFUNCTION("GOOGLETRANSLATE(A7010 , ""auto"", ""ar"")"),"انهم ندفه")</f>
        <v>انهم ندفه</v>
      </c>
    </row>
    <row r="7011" ht="15.75" customHeight="1">
      <c r="A7011" s="12" t="s">
        <v>14101</v>
      </c>
      <c r="B7011" s="13" t="s">
        <v>14102</v>
      </c>
      <c r="C7011" s="14" t="s">
        <v>14103</v>
      </c>
      <c r="D7011" s="1" t="str">
        <f>IFERROR(__xludf.DUMMYFUNCTION("GOOGLETRANSLATE(A7011 , ""auto"", ""ar"")"),"يسمونه أسماء مثل ""عيون مربعة""")</f>
        <v>يسمونه أسماء مثل "عيون مربعة"</v>
      </c>
    </row>
    <row r="7012" ht="15.75" customHeight="1">
      <c r="A7012" s="12" t="s">
        <v>14104</v>
      </c>
      <c r="B7012" s="13" t="s">
        <v>14105</v>
      </c>
      <c r="C7012" s="14" t="s">
        <v>14106</v>
      </c>
      <c r="D7012" s="1" t="str">
        <f>IFERROR(__xludf.DUMMYFUNCTION("GOOGLETRANSLATE(A7012 , ""auto"", ""ar"")"),"لكن هذا لا يخبرني ماذا تفعل النظارات في هذه الحالة؟")</f>
        <v>لكن هذا لا يخبرني ماذا تفعل النظارات في هذه الحالة؟</v>
      </c>
    </row>
    <row r="7013" ht="15.75" customHeight="1">
      <c r="A7013" s="12" t="s">
        <v>14107</v>
      </c>
      <c r="B7013" s="13" t="s">
        <v>14108</v>
      </c>
      <c r="C7013" s="14" t="s">
        <v>14109</v>
      </c>
      <c r="D7013" s="1" t="str">
        <f>IFERROR(__xludf.DUMMYFUNCTION("GOOGLETRANSLATE(A7013 , ""auto"", ""ar"")"),"هذا لأنه مختلف عن أي شخص آخر")</f>
        <v>هذا لأنه مختلف عن أي شخص آخر</v>
      </c>
    </row>
    <row r="7014" ht="15.75" customHeight="1">
      <c r="A7014" s="12" t="s">
        <v>14110</v>
      </c>
      <c r="B7014" s="13" t="s">
        <v>14111</v>
      </c>
      <c r="C7014" s="14" t="s">
        <v>14112</v>
      </c>
      <c r="D7014" s="1" t="str">
        <f>IFERROR(__xludf.DUMMYFUNCTION("GOOGLETRANSLATE(A7014 , ""auto"", ""ar"")"),"لا أحد يرتدي النظارات")</f>
        <v>لا أحد يرتدي النظارات</v>
      </c>
    </row>
    <row r="7015" ht="15.75" customHeight="1">
      <c r="A7015" s="12" t="s">
        <v>14113</v>
      </c>
      <c r="B7015" s="13" t="s">
        <v>14114</v>
      </c>
      <c r="C7015" s="14" t="s">
        <v>14115</v>
      </c>
      <c r="D7015" s="1" t="str">
        <f>IFERROR(__xludf.DUMMYFUNCTION("GOOGLETRANSLATE(A7015 , ""auto"", ""ar"")"),"الأولاد السيئون يطلقون عليه أسماء")</f>
        <v>الأولاد السيئون يطلقون عليه أسماء</v>
      </c>
    </row>
    <row r="7016" ht="15.75" customHeight="1">
      <c r="A7016" s="12" t="s">
        <v>14116</v>
      </c>
      <c r="B7016" s="13" t="s">
        <v>14117</v>
      </c>
      <c r="C7016" s="14" t="s">
        <v>14118</v>
      </c>
      <c r="D7016" s="1" t="str">
        <f>IFERROR(__xludf.DUMMYFUNCTION("GOOGLETRANSLATE(A7016 , ""auto"", ""ar"")"),"ربما تكون نظارته مروعة!")</f>
        <v>ربما تكون نظارته مروعة!</v>
      </c>
    </row>
    <row r="7017" ht="15.75" customHeight="1">
      <c r="A7017" s="12" t="s">
        <v>14119</v>
      </c>
      <c r="B7017" s="13" t="s">
        <v>14120</v>
      </c>
      <c r="C7017" s="14" t="s">
        <v>14121</v>
      </c>
      <c r="D7017" s="1" t="str">
        <f>IFERROR(__xludf.DUMMYFUNCTION("GOOGLETRANSLATE(A7017 , ""auto"", ""ar"")"),"حتى لو كانوا كذلك ، يجب أن يكون الناس أكثر تعاطفًا")</f>
        <v>حتى لو كانوا كذلك ، يجب أن يكون الناس أكثر تعاطفًا</v>
      </c>
    </row>
    <row r="7018" ht="15.75" customHeight="1">
      <c r="A7018" s="12" t="s">
        <v>14122</v>
      </c>
      <c r="B7018" s="13" t="s">
        <v>14123</v>
      </c>
      <c r="C7018" s="14" t="s">
        <v>14124</v>
      </c>
      <c r="D7018" s="1" t="str">
        <f>IFERROR(__xludf.DUMMYFUNCTION("GOOGLETRANSLATE(A7018 , ""auto"", ""ar"")"),"كلماتك تبدو متسقة بعض الشيء")</f>
        <v>كلماتك تبدو متسقة بعض الشيء</v>
      </c>
    </row>
    <row r="7019" ht="15.75" customHeight="1">
      <c r="A7019" s="12" t="s">
        <v>14125</v>
      </c>
      <c r="B7019" s="13" t="s">
        <v>14126</v>
      </c>
      <c r="C7019" s="14" t="s">
        <v>14127</v>
      </c>
      <c r="D7019" s="1" t="str">
        <f>IFERROR(__xludf.DUMMYFUNCTION("GOOGLETRANSLATE(A7019 , ""auto"", ""ar"")"),"لا أعرف ما تتوقعه مني")</f>
        <v>لا أعرف ما تتوقعه مني</v>
      </c>
    </row>
    <row r="7020" ht="15.75" customHeight="1">
      <c r="A7020" s="12" t="s">
        <v>14128</v>
      </c>
      <c r="B7020" s="13" t="s">
        <v>14129</v>
      </c>
      <c r="C7020" s="14" t="s">
        <v>14130</v>
      </c>
      <c r="D7020" s="1" t="str">
        <f>IFERROR(__xludf.DUMMYFUNCTION("GOOGLETRANSLATE(A7020 , ""auto"", ""ar"")"),"حسنًا ، ربما أحتاج إلى شرح")</f>
        <v>حسنًا ، ربما أحتاج إلى شرح</v>
      </c>
    </row>
    <row r="7021" ht="15.75" customHeight="1">
      <c r="A7021" s="12" t="s">
        <v>14131</v>
      </c>
      <c r="B7021" s="13" t="s">
        <v>14132</v>
      </c>
      <c r="C7021" s="14" t="s">
        <v>14133</v>
      </c>
      <c r="D7021" s="1" t="str">
        <f>IFERROR(__xludf.DUMMYFUNCTION("GOOGLETRANSLATE(A7021 , ""auto"", ""ar"")"),"ربما أحتاج أن أشرح")</f>
        <v>ربما أحتاج أن أشرح</v>
      </c>
    </row>
    <row r="7022" ht="15.75" customHeight="1">
      <c r="A7022" s="12" t="s">
        <v>14134</v>
      </c>
      <c r="B7022" s="13" t="s">
        <v>14135</v>
      </c>
      <c r="C7022" s="14" t="s">
        <v>14136</v>
      </c>
      <c r="D7022" s="1" t="str">
        <f>IFERROR(__xludf.DUMMYFUNCTION("GOOGLETRANSLATE(A7022 , ""auto"", ""ar"")"),"لقد جئت للتحدث إليكم لأنك مدرس وطلاب آخرون يزعجون صديقي")</f>
        <v>لقد جئت للتحدث إليكم لأنك مدرس وطلاب آخرون يزعجون صديقي</v>
      </c>
    </row>
    <row r="7023" ht="15.75" customHeight="1">
      <c r="A7023" s="12" t="s">
        <v>14137</v>
      </c>
      <c r="B7023" s="13" t="s">
        <v>14138</v>
      </c>
      <c r="C7023" s="14" t="s">
        <v>14139</v>
      </c>
      <c r="D7023" s="1" t="str">
        <f>IFERROR(__xludf.DUMMYFUNCTION("GOOGLETRANSLATE(A7023 , ""auto"", ""ar"")"),"السبب في أنهم قاسيون له هو أنه يرتدي النظارات")</f>
        <v>السبب في أنهم قاسيون له هو أنه يرتدي النظارات</v>
      </c>
    </row>
    <row r="7024" ht="15.75" customHeight="1">
      <c r="A7024" s="12" t="s">
        <v>14140</v>
      </c>
      <c r="B7024" s="13" t="s">
        <v>14141</v>
      </c>
      <c r="C7024" s="14" t="s">
        <v>14142</v>
      </c>
      <c r="D7024" s="1" t="str">
        <f>IFERROR(__xludf.DUMMYFUNCTION("GOOGLETRANSLATE(A7024 , ""auto"", ""ar"")"),"أحتاج نصيحتك حول كيفية مساعدته")</f>
        <v>أحتاج نصيحتك حول كيفية مساعدته</v>
      </c>
    </row>
    <row r="7025" ht="15.75" customHeight="1">
      <c r="A7025" s="12" t="s">
        <v>14143</v>
      </c>
      <c r="B7025" s="13" t="s">
        <v>14144</v>
      </c>
      <c r="C7025" s="14" t="s">
        <v>14145</v>
      </c>
      <c r="D7025" s="1" t="str">
        <f>IFERROR(__xludf.DUMMYFUNCTION("GOOGLETRANSLATE(A7025 , ""auto"", ""ar"")"),"هل يمكنك إعطاء جميع الطلاب بعض النظارات؟")</f>
        <v>هل يمكنك إعطاء جميع الطلاب بعض النظارات؟</v>
      </c>
    </row>
    <row r="7026" ht="15.75" customHeight="1">
      <c r="A7026" s="12" t="s">
        <v>14146</v>
      </c>
      <c r="B7026" s="13" t="s">
        <v>14147</v>
      </c>
      <c r="C7026" s="14" t="s">
        <v>14148</v>
      </c>
      <c r="D7026" s="1" t="str">
        <f>IFERROR(__xludf.DUMMYFUNCTION("GOOGLETRANSLATE(A7026 , ""auto"", ""ar"")"),"سيكون ذلك سخيفًا")</f>
        <v>سيكون ذلك سخيفًا</v>
      </c>
    </row>
    <row r="7027" ht="15.75" customHeight="1">
      <c r="A7027" s="12" t="s">
        <v>14149</v>
      </c>
      <c r="B7027" s="13" t="s">
        <v>14150</v>
      </c>
      <c r="C7027" s="14" t="s">
        <v>14151</v>
      </c>
      <c r="D7027" s="1" t="str">
        <f>IFERROR(__xludf.DUMMYFUNCTION("GOOGLETRANSLATE(A7027 , ""auto"", ""ar"")"),"هل هذا لا يزال غبيا؟")</f>
        <v>هل هذا لا يزال غبيا؟</v>
      </c>
    </row>
    <row r="7028" ht="15.75" customHeight="1">
      <c r="A7028" s="12" t="s">
        <v>14152</v>
      </c>
      <c r="B7028" s="13" t="s">
        <v>14153</v>
      </c>
      <c r="C7028" s="14" t="s">
        <v>14154</v>
      </c>
      <c r="D7028" s="1" t="str">
        <f>IFERROR(__xludf.DUMMYFUNCTION("GOOGLETRANSLATE(A7028 , ""auto"", ""ar"")"),"في الواقع قد يكون هذا حلًا جيدًا")</f>
        <v>في الواقع قد يكون هذا حلًا جيدًا</v>
      </c>
    </row>
    <row r="7029" ht="15.75" customHeight="1">
      <c r="A7029" s="12" t="s">
        <v>14155</v>
      </c>
      <c r="B7029" s="13" t="s">
        <v>14156</v>
      </c>
      <c r="C7029" s="14" t="s">
        <v>14157</v>
      </c>
      <c r="D7029" s="1" t="str">
        <f>IFERROR(__xludf.DUMMYFUNCTION("GOOGLETRANSLATE(A7029 , ""auto"", ""ar"")"),"لكنني مجرد طفل لذلك لا يمكنني الحصول عليه العدسات")</f>
        <v>لكنني مجرد طفل لذلك لا يمكنني الحصول عليه العدسات</v>
      </c>
    </row>
    <row r="7030" ht="15.75" customHeight="1">
      <c r="A7030" s="12" t="s">
        <v>14158</v>
      </c>
      <c r="B7030" s="13" t="s">
        <v>14159</v>
      </c>
      <c r="C7030" s="14" t="s">
        <v>14160</v>
      </c>
      <c r="D7030" s="1" t="str">
        <f>IFERROR(__xludf.DUMMYFUNCTION("GOOGLETRANSLATE(A7030 , ""auto"", ""ar"")"),"سأقترح أنه يسأل والديه لهم")</f>
        <v>سأقترح أنه يسأل والديه لهم</v>
      </c>
    </row>
    <row r="7031" ht="15.75" customHeight="1">
      <c r="A7031" s="12" t="s">
        <v>14161</v>
      </c>
      <c r="B7031" s="13" t="s">
        <v>14162</v>
      </c>
      <c r="C7031" s="14" t="s">
        <v>14163</v>
      </c>
      <c r="D7031" s="1" t="str">
        <f>IFERROR(__xludf.DUMMYFUNCTION("GOOGLETRANSLATE(A7031 , ""auto"", ""ar"")"),"في الواقع ، كل هذا يتوقف على شكل النظارات")</f>
        <v>في الواقع ، كل هذا يتوقف على شكل النظارات</v>
      </c>
    </row>
    <row r="7032" ht="15.75" customHeight="1">
      <c r="A7032" s="12" t="s">
        <v>14164</v>
      </c>
      <c r="B7032" s="13" t="s">
        <v>14165</v>
      </c>
      <c r="C7032" s="14" t="s">
        <v>14166</v>
      </c>
      <c r="D7032" s="1" t="str">
        <f>IFERROR(__xludf.DUMMYFUNCTION("GOOGLETRANSLATE(A7032 , ""auto"", ""ar"")"),"نعم ، قد يكون ذلك جزءًا من المشكلة")</f>
        <v>نعم ، قد يكون ذلك جزءًا من المشكلة</v>
      </c>
    </row>
    <row r="7033" ht="15.75" customHeight="1">
      <c r="A7033" s="12" t="s">
        <v>14167</v>
      </c>
      <c r="B7033" s="13" t="s">
        <v>14168</v>
      </c>
      <c r="C7033" s="14" t="s">
        <v>14169</v>
      </c>
      <c r="D7033" s="1" t="str">
        <f>IFERROR(__xludf.DUMMYFUNCTION("GOOGLETRANSLATE(A7033 , ""auto"", ""ar"")"),"هم قبيح جدا")</f>
        <v>هم قبيح جدا</v>
      </c>
    </row>
    <row r="7034" ht="15.75" customHeight="1">
      <c r="A7034" s="12" t="s">
        <v>14170</v>
      </c>
      <c r="B7034" s="13" t="s">
        <v>2861</v>
      </c>
      <c r="C7034" s="14" t="s">
        <v>14171</v>
      </c>
      <c r="D7034" s="1" t="str">
        <f>IFERROR(__xludf.DUMMYFUNCTION("GOOGLETRANSLATE(A7034 , ""auto"", ""ar"")"),"على سبيل المثال")</f>
        <v>على سبيل المثال</v>
      </c>
    </row>
    <row r="7035" ht="15.75" customHeight="1">
      <c r="A7035" s="12" t="s">
        <v>14172</v>
      </c>
      <c r="B7035" s="13" t="s">
        <v>14173</v>
      </c>
      <c r="C7035" s="14" t="s">
        <v>14174</v>
      </c>
      <c r="D7035" s="1" t="str">
        <f>IFERROR(__xludf.DUMMYFUNCTION("GOOGLETRANSLATE(A7035 , ""auto"", ""ar"")"),"إذا كانت الإطارات مستديرة")</f>
        <v>إذا كانت الإطارات مستديرة</v>
      </c>
    </row>
    <row r="7036" ht="15.75" customHeight="1">
      <c r="A7036" s="12" t="s">
        <v>14175</v>
      </c>
      <c r="B7036" s="13" t="s">
        <v>14176</v>
      </c>
      <c r="C7036" s="14" t="s">
        <v>14177</v>
      </c>
      <c r="D7036" s="1" t="str">
        <f>IFERROR(__xludf.DUMMYFUNCTION("GOOGLETRANSLATE(A7036 , ""auto"", ""ar"")"),"قد يكون النموذج المستدير الذي يزعج الطلاب بدلاً من النظارات أنفسهم")</f>
        <v>قد يكون النموذج المستدير الذي يزعج الطلاب بدلاً من النظارات أنفسهم</v>
      </c>
    </row>
    <row r="7037" ht="15.75" customHeight="1">
      <c r="A7037" s="12" t="s">
        <v>14178</v>
      </c>
      <c r="B7037" s="13" t="s">
        <v>14179</v>
      </c>
      <c r="C7037" s="14" t="s">
        <v>14180</v>
      </c>
      <c r="D7037" s="1" t="str">
        <f>IFERROR(__xludf.DUMMYFUNCTION("GOOGLETRANSLATE(A7037 , ""auto"", ""ar"")"),"أنا آسف لأنني لم أقصد الضغط على ""إرسال""")</f>
        <v>أنا آسف لأنني لم أقصد الضغط على "إرسال"</v>
      </c>
    </row>
    <row r="7038" ht="15.75" customHeight="1">
      <c r="A7038" s="12" t="s">
        <v>14181</v>
      </c>
      <c r="B7038" s="13" t="s">
        <v>14182</v>
      </c>
      <c r="C7038" s="14" t="s">
        <v>14183</v>
      </c>
      <c r="D7038" s="1" t="str">
        <f>IFERROR(__xludf.DUMMYFUNCTION("GOOGLETRANSLATE(A7038 , ""auto"", ""ar"")"),"أردت أن أقول إنني أفكر فيه")</f>
        <v>أردت أن أقول إنني أفكر فيه</v>
      </c>
    </row>
    <row r="7039" ht="15.75" customHeight="1">
      <c r="A7039" s="12" t="s">
        <v>14184</v>
      </c>
      <c r="B7039" s="13" t="s">
        <v>14185</v>
      </c>
      <c r="C7039" s="14" t="s">
        <v>14186</v>
      </c>
      <c r="D7039" s="1" t="str">
        <f>IFERROR(__xludf.DUMMYFUNCTION("GOOGLETRANSLATE(A7039 , ""auto"", ""ar"")"),"سؤال واحد ، ساندرا:")</f>
        <v>سؤال واحد ، ساندرا:</v>
      </c>
    </row>
    <row r="7040" ht="15.75" customHeight="1">
      <c r="A7040" s="12" t="s">
        <v>9341</v>
      </c>
      <c r="B7040" s="13" t="s">
        <v>8103</v>
      </c>
      <c r="C7040" s="14" t="s">
        <v>2027</v>
      </c>
      <c r="D7040" s="1" t="str">
        <f>IFERROR(__xludf.DUMMYFUNCTION("GOOGLETRANSLATE(A7040 , ""auto"", ""ar"")"),"تمام")</f>
        <v>تمام</v>
      </c>
    </row>
    <row r="7041" ht="15.75" customHeight="1">
      <c r="A7041" s="12" t="s">
        <v>14187</v>
      </c>
      <c r="B7041" s="13" t="s">
        <v>14188</v>
      </c>
      <c r="C7041" s="14" t="s">
        <v>14189</v>
      </c>
      <c r="D7041" s="1" t="str">
        <f>IFERROR(__xludf.DUMMYFUNCTION("GOOGLETRANSLATE(A7041 , ""auto"", ""ar"")"),"أدرك أن المشكلة تتطلب انعكاسًا شاملاً")</f>
        <v>أدرك أن المشكلة تتطلب انعكاسًا شاملاً</v>
      </c>
    </row>
    <row r="7042" ht="15.75" customHeight="1">
      <c r="A7042" s="12" t="s">
        <v>14190</v>
      </c>
      <c r="B7042" s="13" t="s">
        <v>14191</v>
      </c>
      <c r="C7042" s="14" t="s">
        <v>14192</v>
      </c>
      <c r="D7042" s="1" t="str">
        <f>IFERROR(__xludf.DUMMYFUNCTION("GOOGLETRANSLATE(A7042 , ""auto"", ""ar"")"),"سنأخذ السؤال لاحقًا")</f>
        <v>سنأخذ السؤال لاحقًا</v>
      </c>
    </row>
    <row r="7043" ht="15.75" customHeight="1">
      <c r="A7043" s="12" t="s">
        <v>14193</v>
      </c>
      <c r="B7043" s="13" t="s">
        <v>14194</v>
      </c>
      <c r="C7043" s="14" t="s">
        <v>14195</v>
      </c>
      <c r="D7043" s="1" t="str">
        <f>IFERROR(__xludf.DUMMYFUNCTION("GOOGLETRANSLATE(A7043 , ""auto"", ""ar"")"),"كنت سعيدا أن أجادل معك")</f>
        <v>كنت سعيدا أن أجادل معك</v>
      </c>
    </row>
    <row r="7044" ht="15.75" customHeight="1">
      <c r="A7044" s="12" t="s">
        <v>14196</v>
      </c>
      <c r="B7044" s="13" t="s">
        <v>14197</v>
      </c>
      <c r="C7044" s="14" t="s">
        <v>14198</v>
      </c>
      <c r="D7044" s="1" t="str">
        <f>IFERROR(__xludf.DUMMYFUNCTION("GOOGLETRANSLATE(A7044 , ""auto"", ""ar"")"),"أنا معجب بعمق ما تقوله")</f>
        <v>أنا معجب بعمق ما تقوله</v>
      </c>
    </row>
    <row r="7045" ht="15.75" customHeight="1">
      <c r="A7045" s="12" t="s">
        <v>14199</v>
      </c>
      <c r="B7045" s="13" t="s">
        <v>14200</v>
      </c>
      <c r="C7045" s="14" t="s">
        <v>14201</v>
      </c>
      <c r="D7045" s="1" t="str">
        <f>IFERROR(__xludf.DUMMYFUNCTION("GOOGLETRANSLATE(A7045 , ""auto"", ""ar"")"),"هناك الكثير من البط هذا العام")</f>
        <v>هناك الكثير من البط هذا العام</v>
      </c>
    </row>
    <row r="7046" ht="15.75" customHeight="1">
      <c r="A7046" s="12" t="s">
        <v>14202</v>
      </c>
      <c r="B7046" s="13" t="s">
        <v>14203</v>
      </c>
      <c r="C7046" s="14" t="s">
        <v>14204</v>
      </c>
      <c r="D7046" s="1" t="str">
        <f>IFERROR(__xludf.DUMMYFUNCTION("GOOGLETRANSLATE(A7046 , ""auto"", ""ar"")"),"أتساءل لماذا")</f>
        <v>أتساءل لماذا</v>
      </c>
    </row>
    <row r="7047" ht="15.75" customHeight="1">
      <c r="A7047" s="12" t="s">
        <v>14205</v>
      </c>
      <c r="B7047" s="13" t="s">
        <v>14206</v>
      </c>
      <c r="C7047" s="14" t="s">
        <v>14207</v>
      </c>
      <c r="D7047" s="1" t="str">
        <f>IFERROR(__xludf.DUMMYFUNCTION("GOOGLETRANSLATE(A7047 , ""auto"", ""ar"")"),"هل استخدم البط للعيش في الاسطبلات؟")</f>
        <v>هل استخدم البط للعيش في الاسطبلات؟</v>
      </c>
    </row>
    <row r="7048" ht="15.75" customHeight="1">
      <c r="A7048" s="12" t="s">
        <v>14208</v>
      </c>
      <c r="B7048" s="13" t="s">
        <v>14209</v>
      </c>
      <c r="C7048" s="14" t="s">
        <v>14210</v>
      </c>
      <c r="D7048" s="1" t="str">
        <f>IFERROR(__xludf.DUMMYFUNCTION("GOOGLETRANSLATE(A7048 , ""auto"", ""ar"")"),"يبدو الأمر كما هو الحال في شبكة شارلوت")</f>
        <v>يبدو الأمر كما هو الحال في شبكة شارلوت</v>
      </c>
    </row>
    <row r="7049" ht="15.75" customHeight="1">
      <c r="A7049" s="12" t="s">
        <v>14211</v>
      </c>
      <c r="B7049" s="13" t="s">
        <v>14212</v>
      </c>
      <c r="C7049" s="14" t="s">
        <v>14213</v>
      </c>
      <c r="D7049" s="1" t="str">
        <f>IFERROR(__xludf.DUMMYFUNCTION("GOOGLETRANSLATE(A7049 , ""auto"", ""ar"")"),"مع كل الحيوانات التي تعيش مع بعضها البعض")</f>
        <v>مع كل الحيوانات التي تعيش مع بعضها البعض</v>
      </c>
    </row>
    <row r="7050" ht="15.75" customHeight="1">
      <c r="A7050" s="12" t="s">
        <v>14214</v>
      </c>
      <c r="B7050" s="13" t="s">
        <v>14215</v>
      </c>
      <c r="C7050" s="14" t="s">
        <v>14216</v>
      </c>
      <c r="D7050" s="1" t="str">
        <f>IFERROR(__xludf.DUMMYFUNCTION("GOOGLETRANSLATE(A7050 , ""auto"", ""ar"")"),"أتساءل عما إذا كانوا ينقصون على الإطلاق ضد الطبقة العليا للمزارع المهيمنة")</f>
        <v>أتساءل عما إذا كانوا ينقصون على الإطلاق ضد الطبقة العليا للمزارع المهيمنة</v>
      </c>
    </row>
    <row r="7051" ht="15.75" customHeight="1">
      <c r="A7051" s="12" t="s">
        <v>14217</v>
      </c>
      <c r="B7051" s="13" t="s">
        <v>14218</v>
      </c>
      <c r="C7051" s="14" t="s">
        <v>14219</v>
      </c>
      <c r="D7051" s="1" t="str">
        <f>IFERROR(__xludf.DUMMYFUNCTION("GOOGLETRANSLATE(A7051 , ""auto"", ""ar"")"),"آسف")</f>
        <v>آسف</v>
      </c>
    </row>
    <row r="7052" ht="15.75" customHeight="1">
      <c r="A7052" s="12" t="s">
        <v>14220</v>
      </c>
      <c r="B7052" s="13" t="s">
        <v>14221</v>
      </c>
      <c r="C7052" s="14" t="s">
        <v>14222</v>
      </c>
      <c r="D7052" s="1" t="str">
        <f>IFERROR(__xludf.DUMMYFUNCTION("GOOGLETRANSLATE(A7052 , ""auto"", ""ar"")"),"أنا مجرد سخيف")</f>
        <v>أنا مجرد سخيف</v>
      </c>
    </row>
    <row r="7053" ht="15.75" customHeight="1">
      <c r="A7053" s="12" t="s">
        <v>14220</v>
      </c>
      <c r="B7053" s="13" t="s">
        <v>14223</v>
      </c>
      <c r="C7053" s="14" t="s">
        <v>14224</v>
      </c>
      <c r="D7053" s="1" t="str">
        <f>IFERROR(__xludf.DUMMYFUNCTION("GOOGLETRANSLATE(A7053 , ""auto"", ""ar"")"),"أنا مجرد سخيف")</f>
        <v>أنا مجرد سخيف</v>
      </c>
    </row>
    <row r="7054" ht="15.75" customHeight="1">
      <c r="A7054" s="12" t="s">
        <v>14225</v>
      </c>
      <c r="B7054" s="13" t="s">
        <v>14226</v>
      </c>
      <c r="C7054" s="14" t="s">
        <v>14227</v>
      </c>
      <c r="D7054" s="1" t="str">
        <f>IFERROR(__xludf.DUMMYFUNCTION("GOOGLETRANSLATE(A7054 , ""auto"", ""ar"")"),"كم مرة تأتي إلى هنا؟")</f>
        <v>كم مرة تأتي إلى هنا؟</v>
      </c>
    </row>
    <row r="7055" ht="15.75" customHeight="1">
      <c r="A7055" s="12" t="s">
        <v>14228</v>
      </c>
      <c r="B7055" s="13" t="s">
        <v>14229</v>
      </c>
      <c r="C7055" s="14" t="s">
        <v>14230</v>
      </c>
      <c r="D7055" s="1" t="str">
        <f>IFERROR(__xludf.DUMMYFUNCTION("GOOGLETRANSLATE(A7055 , ""auto"", ""ar"")"),"لم أراك من قبل")</f>
        <v>لم أراك من قبل</v>
      </c>
    </row>
    <row r="7056" ht="15.75" customHeight="1">
      <c r="A7056" s="12" t="s">
        <v>14231</v>
      </c>
      <c r="B7056" s="13" t="s">
        <v>14232</v>
      </c>
      <c r="C7056" s="14" t="s">
        <v>14233</v>
      </c>
      <c r="D7056" s="1" t="str">
        <f>IFERROR(__xludf.DUMMYFUNCTION("GOOGLETRANSLATE(A7056 , ""auto"", ""ar"")"),"صحيح أنني لا أعرف ذلك")</f>
        <v>صحيح أنني لا أعرف ذلك</v>
      </c>
    </row>
    <row r="7057" ht="15.75" customHeight="1">
      <c r="A7057" s="12" t="s">
        <v>14234</v>
      </c>
      <c r="B7057" s="13" t="s">
        <v>14235</v>
      </c>
      <c r="C7057" s="14" t="s">
        <v>14236</v>
      </c>
      <c r="D7057" s="1" t="str">
        <f>IFERROR(__xludf.DUMMYFUNCTION("GOOGLETRANSLATE(A7057 , ""auto"", ""ar"")"),"الفئة الاجتماعية والاقتصادية الجديدة")</f>
        <v>الفئة الاجتماعية والاقتصادية الجديدة</v>
      </c>
    </row>
    <row r="7058" ht="15.75" customHeight="1">
      <c r="A7058" s="12" t="s">
        <v>14237</v>
      </c>
      <c r="B7058" s="13" t="s">
        <v>14238</v>
      </c>
      <c r="C7058" s="14" t="s">
        <v>14239</v>
      </c>
      <c r="D7058" s="1" t="str">
        <f>IFERROR(__xludf.DUMMYFUNCTION("GOOGLETRANSLATE(A7058 , ""auto"", ""ar"")"),"هل تعتقد أن هجرات البطة ستعمل على عوامل اجتماعية اقتصادية؟")</f>
        <v>هل تعتقد أن هجرات البطة ستعمل على عوامل اجتماعية اقتصادية؟</v>
      </c>
    </row>
    <row r="7059" ht="15.75" customHeight="1">
      <c r="A7059" s="12" t="s">
        <v>14240</v>
      </c>
      <c r="B7059" s="13" t="s">
        <v>14241</v>
      </c>
      <c r="C7059" s="14" t="s">
        <v>14242</v>
      </c>
      <c r="D7059" s="1" t="str">
        <f>IFERROR(__xludf.DUMMYFUNCTION("GOOGLETRANSLATE(A7059 , ""auto"", ""ar"")"),"ربما زاد التلوث؟")</f>
        <v>ربما زاد التلوث؟</v>
      </c>
    </row>
    <row r="7060" ht="15.75" customHeight="1">
      <c r="A7060" s="12" t="s">
        <v>14243</v>
      </c>
      <c r="B7060" s="13" t="s">
        <v>14244</v>
      </c>
      <c r="C7060" s="14" t="s">
        <v>14245</v>
      </c>
      <c r="D7060" s="1" t="str">
        <f>IFERROR(__xludf.DUMMYFUNCTION("GOOGLETRANSLATE(A7060 , ""auto"", ""ar"")"),"تغير المناخ")</f>
        <v>تغير المناخ</v>
      </c>
    </row>
    <row r="7061" ht="15.75" customHeight="1">
      <c r="A7061" s="12" t="s">
        <v>14246</v>
      </c>
      <c r="B7061" s="13" t="s">
        <v>14247</v>
      </c>
      <c r="C7061" s="14" t="s">
        <v>14248</v>
      </c>
      <c r="D7061" s="1" t="str">
        <f>IFERROR(__xludf.DUMMYFUNCTION("GOOGLETRANSLATE(A7061 , ""auto"", ""ar"")"),"وترامب")</f>
        <v>وترامب</v>
      </c>
    </row>
    <row r="7062" ht="15.75" customHeight="1">
      <c r="A7062" s="12" t="s">
        <v>14249</v>
      </c>
      <c r="B7062" s="13" t="s">
        <v>14250</v>
      </c>
      <c r="C7062" s="14" t="s">
        <v>14251</v>
      </c>
      <c r="D7062" s="1" t="str">
        <f>IFERROR(__xludf.DUMMYFUNCTION("GOOGLETRANSLATE(A7062 , ""auto"", ""ar"")"),"كل شيء هو خطأ ترامب في الوقت الحاضر")</f>
        <v>كل شيء هو خطأ ترامب في الوقت الحاضر</v>
      </c>
    </row>
    <row r="7063" ht="15.75" customHeight="1">
      <c r="A7063" s="12" t="s">
        <v>14252</v>
      </c>
      <c r="B7063" s="13" t="s">
        <v>14253</v>
      </c>
      <c r="C7063" s="14" t="s">
        <v>14254</v>
      </c>
      <c r="D7063" s="1" t="str">
        <f>IFERROR(__xludf.DUMMYFUNCTION("GOOGLETRANSLATE(A7063 , ""auto"", ""ar"")"),"هذا صحيح بالنسبة للقرارات قصيرة الأجل")</f>
        <v>هذا صحيح بالنسبة للقرارات قصيرة الأجل</v>
      </c>
    </row>
    <row r="7064" ht="15.75" customHeight="1">
      <c r="A7064" s="12" t="s">
        <v>14255</v>
      </c>
      <c r="B7064" s="13" t="s">
        <v>14256</v>
      </c>
      <c r="C7064" s="14" t="s">
        <v>14257</v>
      </c>
      <c r="D7064" s="1" t="str">
        <f>IFERROR(__xludf.DUMMYFUNCTION("GOOGLETRANSLATE(A7064 , ""auto"", ""ar"")"),"تعال!")</f>
        <v>تعال!</v>
      </c>
    </row>
    <row r="7065" ht="15.75" customHeight="1">
      <c r="A7065" s="12" t="s">
        <v>14255</v>
      </c>
      <c r="B7065" s="13" t="s">
        <v>14258</v>
      </c>
      <c r="C7065" s="14" t="s">
        <v>14259</v>
      </c>
      <c r="D7065" s="1" t="str">
        <f>IFERROR(__xludf.DUMMYFUNCTION("GOOGLETRANSLATE(A7065 , ""auto"", ""ar"")"),"تعال!")</f>
        <v>تعال!</v>
      </c>
    </row>
    <row r="7066" ht="15.75" customHeight="1">
      <c r="A7066" s="12" t="s">
        <v>14260</v>
      </c>
      <c r="B7066" s="13" t="s">
        <v>14261</v>
      </c>
      <c r="C7066" s="14" t="s">
        <v>14262</v>
      </c>
      <c r="D7066" s="1" t="str">
        <f>IFERROR(__xludf.DUMMYFUNCTION("GOOGLETRANSLATE(A7066 , ""auto"", ""ar"")"),"مكافحة ترام")</f>
        <v>مكافحة ترام</v>
      </c>
    </row>
    <row r="7067" ht="15.75" customHeight="1">
      <c r="A7067" s="12" t="s">
        <v>14263</v>
      </c>
      <c r="B7067" s="13" t="s">
        <v>14264</v>
      </c>
      <c r="C7067" s="14" t="s">
        <v>14265</v>
      </c>
      <c r="D7067" s="1" t="str">
        <f>IFERROR(__xludf.DUMMYFUNCTION("GOOGLETRANSLATE(A7067 , ""auto"", ""ar"")"),"هناك مساحة كبيرة!")</f>
        <v>هناك مساحة كبيرة!</v>
      </c>
    </row>
    <row r="7068" ht="15.75" customHeight="1">
      <c r="A7068" s="12" t="s">
        <v>14263</v>
      </c>
      <c r="B7068" s="13" t="s">
        <v>14266</v>
      </c>
      <c r="C7068" s="14" t="s">
        <v>14267</v>
      </c>
      <c r="D7068" s="1" t="str">
        <f>IFERROR(__xludf.DUMMYFUNCTION("GOOGLETRANSLATE(A7068 , ""auto"", ""ar"")"),"هناك مساحة كبيرة!")</f>
        <v>هناك مساحة كبيرة!</v>
      </c>
    </row>
    <row r="7069" ht="15.75" customHeight="1">
      <c r="A7069" s="12" t="s">
        <v>14268</v>
      </c>
      <c r="B7069" s="13" t="s">
        <v>14269</v>
      </c>
      <c r="C7069" s="14" t="s">
        <v>14270</v>
      </c>
      <c r="D7069" s="1" t="str">
        <f>IFERROR(__xludf.DUMMYFUNCTION("GOOGLETRANSLATE(A7069 , ""auto"", ""ar"")"),"أنا لا أؤيد ترامب على الإطلاق")</f>
        <v>أنا لا أؤيد ترامب على الإطلاق</v>
      </c>
    </row>
    <row r="7070" ht="15.75" customHeight="1">
      <c r="A7070" s="12" t="s">
        <v>14271</v>
      </c>
      <c r="B7070" s="13" t="s">
        <v>14272</v>
      </c>
      <c r="C7070" s="14" t="s">
        <v>14273</v>
      </c>
      <c r="D7070" s="1" t="str">
        <f>IFERROR(__xludf.DUMMYFUNCTION("GOOGLETRANSLATE(A7070 , ""auto"", ""ar"")"),"أنا عملي")</f>
        <v>أنا عملي</v>
      </c>
    </row>
    <row r="7071" ht="15.75" customHeight="1">
      <c r="A7071" s="12" t="s">
        <v>14274</v>
      </c>
      <c r="B7071" s="13" t="s">
        <v>14275</v>
      </c>
      <c r="C7071" s="14" t="s">
        <v>14276</v>
      </c>
      <c r="D7071" s="1" t="str">
        <f>IFERROR(__xludf.DUMMYFUNCTION("GOOGLETRANSLATE(A7071 , ""auto"", ""ar"")"),"أسمعك يا أخي!")</f>
        <v>أسمعك يا أخي!</v>
      </c>
    </row>
    <row r="7072" ht="15.75" customHeight="1">
      <c r="A7072" s="12" t="s">
        <v>14277</v>
      </c>
      <c r="B7072" s="13" t="s">
        <v>14278</v>
      </c>
      <c r="C7072" s="14" t="s">
        <v>14279</v>
      </c>
      <c r="D7072" s="1" t="str">
        <f>IFERROR(__xludf.DUMMYFUNCTION("GOOGLETRANSLATE(A7072 , ""auto"", ""ar"")"),"دعونا نحارب المعركة الجيدة وندافع عن حقوق الأشخاص العاجزين في كل مكان")</f>
        <v>دعونا نحارب المعركة الجيدة وندافع عن حقوق الأشخاص العاجزين في كل مكان</v>
      </c>
    </row>
    <row r="7073" ht="15.75" customHeight="1">
      <c r="A7073" s="12" t="s">
        <v>14280</v>
      </c>
      <c r="B7073" s="13" t="s">
        <v>14281</v>
      </c>
      <c r="C7073" s="14" t="s">
        <v>14282</v>
      </c>
      <c r="D7073" s="1" t="str">
        <f>IFERROR(__xludf.DUMMYFUNCTION("GOOGLETRANSLATE(A7073 , ""auto"", ""ar"")"),"والنحل!")</f>
        <v>والنحل!</v>
      </c>
    </row>
    <row r="7074" ht="15.75" customHeight="1">
      <c r="A7074" s="12" t="s">
        <v>14283</v>
      </c>
      <c r="B7074" s="13" t="s">
        <v>14284</v>
      </c>
      <c r="C7074" s="14" t="s">
        <v>14285</v>
      </c>
      <c r="D7074" s="1" t="str">
        <f>IFERROR(__xludf.DUMMYFUNCTION("GOOGLETRANSLATE(A7074 , ""auto"", ""ar"")"),"أنا قلق للغاية بشأن اختفاء النحل")</f>
        <v>أنا قلق للغاية بشأن اختفاء النحل</v>
      </c>
    </row>
    <row r="7075" ht="15.75" customHeight="1">
      <c r="A7075" s="12" t="s">
        <v>14286</v>
      </c>
      <c r="B7075" s="13" t="s">
        <v>14287</v>
      </c>
      <c r="C7075" s="14" t="s">
        <v>14288</v>
      </c>
      <c r="D7075" s="1" t="str">
        <f>IFERROR(__xludf.DUMMYFUNCTION("GOOGLETRANSLATE(A7075 , ""auto"", ""ar"")"),"والنحل أيضا")</f>
        <v>والنحل أيضا</v>
      </c>
    </row>
    <row r="7076" ht="15.75" customHeight="1">
      <c r="A7076" s="12" t="s">
        <v>14289</v>
      </c>
      <c r="B7076" s="13" t="s">
        <v>14290</v>
      </c>
      <c r="C7076" s="14" t="s">
        <v>14291</v>
      </c>
      <c r="D7076" s="1" t="str">
        <f>IFERROR(__xludf.DUMMYFUNCTION("GOOGLETRANSLATE(A7076 , ""auto"", ""ar"")"),"أي شيء آخر؟")</f>
        <v>أي شيء آخر؟</v>
      </c>
    </row>
    <row r="7077" ht="15.75" customHeight="1">
      <c r="A7077" s="12" t="s">
        <v>14292</v>
      </c>
      <c r="B7077" s="13" t="s">
        <v>14293</v>
      </c>
      <c r="C7077" s="14" t="s">
        <v>14294</v>
      </c>
      <c r="D7077" s="1" t="str">
        <f>IFERROR(__xludf.DUMMYFUNCTION("GOOGLETRANSLATE(A7077 , ""auto"", ""ar"")"),"ماذا عن الدلافين؟")</f>
        <v>ماذا عن الدلافين؟</v>
      </c>
    </row>
    <row r="7078" ht="15.75" customHeight="1">
      <c r="A7078" s="12" t="s">
        <v>14295</v>
      </c>
      <c r="B7078" s="13" t="s">
        <v>14296</v>
      </c>
      <c r="C7078" s="14" t="s">
        <v>14297</v>
      </c>
      <c r="D7078" s="1" t="str">
        <f>IFERROR(__xludf.DUMMYFUNCTION("GOOGLETRANSLATE(A7078 , ""auto"", ""ar"")"),"إنها لطيفة وتبدو جيدة في الملصقات")</f>
        <v>إنها لطيفة وتبدو جيدة في الملصقات</v>
      </c>
    </row>
    <row r="7079" ht="15.75" customHeight="1">
      <c r="A7079" s="12" t="s">
        <v>14298</v>
      </c>
      <c r="B7079" s="13" t="s">
        <v>14299</v>
      </c>
      <c r="C7079" s="14" t="s">
        <v>14300</v>
      </c>
      <c r="D7079" s="1" t="str">
        <f>IFERROR(__xludf.DUMMYFUNCTION("GOOGLETRANSLATE(A7079 , ""auto"", ""ar"")"),"الجميع يحب الدلافين")</f>
        <v>الجميع يحب الدلافين</v>
      </c>
    </row>
    <row r="7080" ht="15.75" customHeight="1">
      <c r="A7080" s="12" t="s">
        <v>14301</v>
      </c>
      <c r="B7080" s="13" t="s">
        <v>14302</v>
      </c>
      <c r="C7080" s="14" t="s">
        <v>14303</v>
      </c>
      <c r="D7080" s="1" t="str">
        <f>IFERROR(__xludf.DUMMYFUNCTION("GOOGLETRANSLATE(A7080 , ""auto"", ""ar"")"),"أعرف شخصًا لا يحب الدلافين لأنهم لا يملكون شارب")</f>
        <v>أعرف شخصًا لا يحب الدلافين لأنهم لا يملكون شارب</v>
      </c>
    </row>
    <row r="7081" ht="15.75" customHeight="1">
      <c r="A7081" s="12" t="s">
        <v>14304</v>
      </c>
      <c r="B7081" s="13" t="s">
        <v>14305</v>
      </c>
      <c r="C7081" s="14" t="s">
        <v>14306</v>
      </c>
      <c r="D7081" s="1" t="str">
        <f>IFERROR(__xludf.DUMMYFUNCTION("GOOGLETRANSLATE(A7081 , ""auto"", ""ar"")"),"أحب هذا الشخص القطط لأن لديهم شوارب")</f>
        <v>أحب هذا الشخص القطط لأن لديهم شوارب</v>
      </c>
    </row>
    <row r="7082" ht="15.75" customHeight="1">
      <c r="A7082" s="12" t="s">
        <v>14307</v>
      </c>
      <c r="B7082" s="13" t="s">
        <v>14308</v>
      </c>
      <c r="C7082" s="14" t="s">
        <v>14309</v>
      </c>
      <c r="D7082" s="1" t="str">
        <f>IFERROR(__xludf.DUMMYFUNCTION("GOOGLETRANSLATE(A7082 , ""auto"", ""ar"")"),"شنب؟!")</f>
        <v>شنب؟!</v>
      </c>
    </row>
    <row r="7083" ht="15.75" customHeight="1">
      <c r="A7083" s="12" t="s">
        <v>14310</v>
      </c>
      <c r="B7083" s="13" t="s">
        <v>14311</v>
      </c>
      <c r="C7083" s="14" t="s">
        <v>14312</v>
      </c>
      <c r="D7083" s="1" t="str">
        <f>IFERROR(__xludf.DUMMYFUNCTION("GOOGLETRANSLATE(A7083 , ""auto"", ""ar"")"),"ما هم؟")</f>
        <v>ما هم؟</v>
      </c>
    </row>
    <row r="7084" ht="15.75" customHeight="1">
      <c r="A7084" s="12" t="s">
        <v>14313</v>
      </c>
      <c r="B7084" s="13" t="s">
        <v>14314</v>
      </c>
      <c r="C7084" s="14" t="s">
        <v>14315</v>
      </c>
      <c r="D7084" s="1" t="str">
        <f>IFERROR(__xludf.DUMMYFUNCTION("GOOGLETRANSLATE(A7084 , ""auto"", ""ar"")"),"القطط السادة التي تشرب كونياك")</f>
        <v>القطط السادة التي تشرب كونياك</v>
      </c>
    </row>
    <row r="7085" ht="15.75" customHeight="1">
      <c r="A7085" s="12" t="s">
        <v>14316</v>
      </c>
      <c r="B7085" s="13" t="s">
        <v>14317</v>
      </c>
      <c r="C7085" s="14" t="s">
        <v>14318</v>
      </c>
      <c r="D7085" s="1" t="str">
        <f>IFERROR(__xludf.DUMMYFUNCTION("GOOGLETRANSLATE(A7085 , ""auto"", ""ar"")"),"الشوارب هي ما يحمله بعض الرجال بين الفم والأنف")</f>
        <v>الشوارب هي ما يحمله بعض الرجال بين الفم والأنف</v>
      </c>
    </row>
    <row r="7086" ht="15.75" customHeight="1">
      <c r="A7086" s="12" t="s">
        <v>14319</v>
      </c>
      <c r="B7086" s="13" t="s">
        <v>14320</v>
      </c>
      <c r="C7086" s="14" t="s">
        <v>14321</v>
      </c>
      <c r="D7086" s="1" t="str">
        <f>IFERROR(__xludf.DUMMYFUNCTION("GOOGLETRANSLATE(A7086 , ""auto"", ""ar"")"),"والقطط")</f>
        <v>والقطط</v>
      </c>
    </row>
    <row r="7087" ht="15.75" customHeight="1">
      <c r="A7087" s="12" t="s">
        <v>14322</v>
      </c>
      <c r="B7087" s="13" t="s">
        <v>14323</v>
      </c>
      <c r="C7087" s="14" t="s">
        <v>14324</v>
      </c>
      <c r="D7087" s="1" t="str">
        <f>IFERROR(__xludf.DUMMYFUNCTION("GOOGLETRANSLATE(A7087 , ""auto"", ""ar"")"),"مهما كانت")</f>
        <v>مهما كانت</v>
      </c>
    </row>
    <row r="7088" ht="15.75" customHeight="1">
      <c r="A7088" s="12" t="s">
        <v>14325</v>
      </c>
      <c r="B7088" s="13" t="s">
        <v>14326</v>
      </c>
      <c r="C7088" s="14" t="s">
        <v>14327</v>
      </c>
      <c r="D7088" s="1" t="str">
        <f>IFERROR(__xludf.DUMMYFUNCTION("GOOGLETRANSLATE(A7088 , ""auto"", ""ar"")"),"يستخدمون للركض إلى غرفة")</f>
        <v>يستخدمون للركض إلى غرفة</v>
      </c>
    </row>
    <row r="7089" ht="15.75" customHeight="1">
      <c r="A7089" s="12" t="s">
        <v>14328</v>
      </c>
      <c r="B7089" s="13" t="s">
        <v>14329</v>
      </c>
      <c r="C7089" s="14" t="s">
        <v>14330</v>
      </c>
      <c r="D7089" s="1" t="str">
        <f>IFERROR(__xludf.DUMMYFUNCTION("GOOGLETRANSLATE(A7089 , ""auto"", ""ar"")"),"يجب أن يكون لديك قطط خاصة إذا شربوا براندي")</f>
        <v>يجب أن يكون لديك قطط خاصة إذا شربوا براندي</v>
      </c>
    </row>
    <row r="7090" ht="15.75" customHeight="1">
      <c r="A7090" s="12" t="s">
        <v>14331</v>
      </c>
      <c r="B7090" s="13" t="s">
        <v>14332</v>
      </c>
      <c r="C7090" s="14" t="s">
        <v>14333</v>
      </c>
      <c r="D7090" s="1" t="str">
        <f>IFERROR(__xludf.DUMMYFUNCTION("GOOGLETRANSLATE(A7090 , ""auto"", ""ar"")"),"قطتي لا توافق بالفعل على شرب حليب الصويا")</f>
        <v>قطتي لا توافق بالفعل على شرب حليب الصويا</v>
      </c>
    </row>
    <row r="7091" ht="15.75" customHeight="1">
      <c r="A7091" s="12" t="s">
        <v>8073</v>
      </c>
      <c r="B7091" s="13" t="s">
        <v>14334</v>
      </c>
      <c r="C7091" s="14" t="s">
        <v>14335</v>
      </c>
      <c r="D7091" s="1" t="str">
        <f>IFERROR(__xludf.DUMMYFUNCTION("GOOGLETRANSLATE(A7091 , ""auto"", ""ar"")"),"مرحبًا")</f>
        <v>مرحبًا</v>
      </c>
    </row>
    <row r="7092" ht="15.75" customHeight="1">
      <c r="A7092" s="12" t="s">
        <v>14336</v>
      </c>
      <c r="B7092" s="13" t="s">
        <v>14337</v>
      </c>
      <c r="C7092" s="14" t="s">
        <v>14338</v>
      </c>
      <c r="D7092" s="1" t="str">
        <f>IFERROR(__xludf.DUMMYFUNCTION("GOOGLETRANSLATE(A7092 , ""auto"", ""ar"")"),"أنا سعيد لأنني وجدتك")</f>
        <v>أنا سعيد لأنني وجدتك</v>
      </c>
    </row>
    <row r="7093" ht="15.75" customHeight="1">
      <c r="A7093" s="12" t="s">
        <v>14339</v>
      </c>
      <c r="B7093" s="13" t="s">
        <v>14340</v>
      </c>
      <c r="C7093" s="14" t="s">
        <v>14341</v>
      </c>
      <c r="D7093" s="1" t="str">
        <f>IFERROR(__xludf.DUMMYFUNCTION("GOOGLETRANSLATE(A7093 , ""auto"", ""ar"")"),"لقد تهت")</f>
        <v>لقد تهت</v>
      </c>
    </row>
    <row r="7094" ht="15.75" customHeight="1">
      <c r="A7094" s="12" t="s">
        <v>14339</v>
      </c>
      <c r="B7094" s="13" t="s">
        <v>14342</v>
      </c>
      <c r="C7094" s="14" t="s">
        <v>14343</v>
      </c>
      <c r="D7094" s="1" t="str">
        <f>IFERROR(__xludf.DUMMYFUNCTION("GOOGLETRANSLATE(A7094 , ""auto"", ""ar"")"),"لقد تهت")</f>
        <v>لقد تهت</v>
      </c>
    </row>
    <row r="7095" ht="15.75" customHeight="1">
      <c r="A7095" s="12" t="s">
        <v>14344</v>
      </c>
      <c r="B7095" s="13" t="s">
        <v>14345</v>
      </c>
      <c r="C7095" s="14" t="s">
        <v>14346</v>
      </c>
      <c r="D7095" s="1" t="str">
        <f>IFERROR(__xludf.DUMMYFUNCTION("GOOGLETRANSLATE(A7095 , ""auto"", ""ar"")"),"لقد كنت أسير في دوائر للأعمار")</f>
        <v>لقد كنت أسير في دوائر للأعمار</v>
      </c>
    </row>
    <row r="7096" ht="15.75" customHeight="1">
      <c r="A7096" s="12" t="s">
        <v>14347</v>
      </c>
      <c r="B7096" s="13" t="s">
        <v>14348</v>
      </c>
      <c r="C7096" s="14" t="s">
        <v>14349</v>
      </c>
      <c r="D7096" s="1" t="str">
        <f>IFERROR(__xludf.DUMMYFUNCTION("GOOGLETRANSLATE(A7096 , ""auto"", ""ar"")"),"هل تعرف الطريق للخروج من هذه الأشجار؟")</f>
        <v>هل تعرف الطريق للخروج من هذه الأشجار؟</v>
      </c>
    </row>
    <row r="7097" ht="15.75" customHeight="1">
      <c r="A7097" s="12" t="s">
        <v>14350</v>
      </c>
      <c r="B7097" s="13" t="s">
        <v>14351</v>
      </c>
      <c r="C7097" s="14" t="s">
        <v>14352</v>
      </c>
      <c r="D7097" s="1" t="str">
        <f>IFERROR(__xludf.DUMMYFUNCTION("GOOGLETRANSLATE(A7097 , ""auto"", ""ar"")"),"لا ، لم أكن هنا من قبل")</f>
        <v>لا ، لم أكن هنا من قبل</v>
      </c>
    </row>
    <row r="7098" ht="15.75" customHeight="1">
      <c r="A7098" s="12" t="s">
        <v>14353</v>
      </c>
      <c r="B7098" s="13" t="s">
        <v>14354</v>
      </c>
      <c r="C7098" s="14" t="s">
        <v>14355</v>
      </c>
      <c r="D7098" s="1" t="str">
        <f>IFERROR(__xludf.DUMMYFUNCTION("GOOGLETRANSLATE(A7098 , ""auto"", ""ar"")"),"ولكن ربما يمكننا محاولة المضي قدمًا في نفس الاتجاه")</f>
        <v>ولكن ربما يمكننا محاولة المضي قدمًا في نفس الاتجاه</v>
      </c>
    </row>
    <row r="7099" ht="15.75" customHeight="1">
      <c r="A7099" s="12" t="s">
        <v>14356</v>
      </c>
      <c r="B7099" s="13" t="s">
        <v>14357</v>
      </c>
      <c r="C7099" s="14" t="s">
        <v>14358</v>
      </c>
      <c r="D7099" s="1" t="str">
        <f>IFERROR(__xludf.DUMMYFUNCTION("GOOGLETRANSLATE(A7099 , ""auto"", ""ar"")"),"نعم ، ولكن أي اتجاه؟")</f>
        <v>نعم ، ولكن أي اتجاه؟</v>
      </c>
    </row>
    <row r="7100" ht="15.75" customHeight="1">
      <c r="A7100" s="12" t="s">
        <v>14359</v>
      </c>
      <c r="B7100" s="13" t="s">
        <v>14360</v>
      </c>
      <c r="C7100" s="14" t="s">
        <v>14361</v>
      </c>
      <c r="D7100" s="1" t="str">
        <f>IFERROR(__xludf.DUMMYFUNCTION("GOOGLETRANSLATE(A7100 , ""auto"", ""ar"")"),"أعتقد أنني جئت من هذا الطريق")</f>
        <v>أعتقد أنني جئت من هذا الطريق</v>
      </c>
    </row>
    <row r="7101" ht="15.75" customHeight="1">
      <c r="A7101" s="12" t="s">
        <v>14362</v>
      </c>
      <c r="B7101" s="13" t="s">
        <v>14363</v>
      </c>
      <c r="C7101" s="14" t="s">
        <v>14364</v>
      </c>
      <c r="D7101" s="1" t="str">
        <f>IFERROR(__xludf.DUMMYFUNCTION("GOOGLETRANSLATE(A7101 , ""auto"", ""ar"")"),"ولكن يبدو هناك أيضًا مألوف")</f>
        <v>ولكن يبدو هناك أيضًا مألوف</v>
      </c>
    </row>
    <row r="7102" ht="15.75" customHeight="1">
      <c r="A7102" s="12" t="s">
        <v>14365</v>
      </c>
      <c r="B7102" s="13" t="s">
        <v>14366</v>
      </c>
      <c r="C7102" s="14" t="s">
        <v>14367</v>
      </c>
      <c r="D7102" s="1" t="str">
        <f>IFERROR(__xludf.DUMMYFUNCTION("GOOGLETRANSLATE(A7102 , ""auto"", ""ar"")"),"ألا يزال من المفترض أن ينمو الطحلب شمالًا؟")</f>
        <v>ألا يزال من المفترض أن ينمو الطحلب شمالًا؟</v>
      </c>
    </row>
    <row r="7103" ht="15.75" customHeight="1">
      <c r="A7103" s="12" t="s">
        <v>14368</v>
      </c>
      <c r="B7103" s="13" t="s">
        <v>14369</v>
      </c>
      <c r="C7103" s="14" t="s">
        <v>14370</v>
      </c>
      <c r="D7103" s="1" t="str">
        <f>IFERROR(__xludf.DUMMYFUNCTION("GOOGLETRANSLATE(A7103 , ""auto"", ""ar"")"),"في أسوأ الأحوال")</f>
        <v>في أسوأ الأحوال</v>
      </c>
    </row>
    <row r="7104" ht="15.75" customHeight="1">
      <c r="A7104" s="12" t="s">
        <v>14371</v>
      </c>
      <c r="B7104" s="13" t="s">
        <v>14372</v>
      </c>
      <c r="C7104" s="14" t="s">
        <v>14373</v>
      </c>
      <c r="D7104" s="1" t="str">
        <f>IFERROR(__xludf.DUMMYFUNCTION("GOOGLETRANSLATE(A7104 , ""auto"", ""ar"")"),"نختار بشكل عشوائي")</f>
        <v>نختار بشكل عشوائي</v>
      </c>
    </row>
    <row r="7105" ht="15.75" customHeight="1">
      <c r="A7105" s="12" t="s">
        <v>14371</v>
      </c>
      <c r="B7105" s="13" t="s">
        <v>14374</v>
      </c>
      <c r="C7105" s="14" t="s">
        <v>14375</v>
      </c>
      <c r="D7105" s="1" t="str">
        <f>IFERROR(__xludf.DUMMYFUNCTION("GOOGLETRANSLATE(A7105 , ""auto"", ""ar"")"),"نختار بشكل عشوائي")</f>
        <v>نختار بشكل عشوائي</v>
      </c>
    </row>
    <row r="7106" ht="15.75" customHeight="1">
      <c r="A7106" s="12" t="s">
        <v>14376</v>
      </c>
      <c r="B7106" s="13" t="s">
        <v>14377</v>
      </c>
      <c r="C7106" s="14" t="s">
        <v>14378</v>
      </c>
      <c r="D7106" s="1" t="str">
        <f>IFERROR(__xludf.DUMMYFUNCTION("GOOGLETRANSLATE(A7106 , ""auto"", ""ar"")"),"سننتهي في حياة الناس")</f>
        <v>سننتهي في حياة الناس</v>
      </c>
    </row>
    <row r="7107" ht="15.75" customHeight="1">
      <c r="A7107" s="12" t="s">
        <v>14379</v>
      </c>
      <c r="B7107" s="13" t="s">
        <v>14380</v>
      </c>
      <c r="C7107" s="14" t="s">
        <v>14381</v>
      </c>
      <c r="D7107" s="1" t="str">
        <f>IFERROR(__xludf.DUMMYFUNCTION("GOOGLETRANSLATE(A7107 , ""auto"", ""ar"")"),"سننتهي هناك")</f>
        <v>سننتهي هناك</v>
      </c>
    </row>
    <row r="7108" ht="15.75" customHeight="1">
      <c r="A7108" s="12" t="s">
        <v>14382</v>
      </c>
      <c r="B7108" s="13" t="s">
        <v>14383</v>
      </c>
      <c r="C7108" s="14" t="s">
        <v>14384</v>
      </c>
      <c r="D7108" s="1" t="str">
        <f>IFERROR(__xludf.DUMMYFUNCTION("GOOGLETRANSLATE(A7108 , ""auto"", ""ar"")"),"أقترح أن نذهب بهذه الطريقة ونلتزم معًا عن كثب")</f>
        <v>أقترح أن نذهب بهذه الطريقة ونلتزم معًا عن كثب</v>
      </c>
    </row>
    <row r="7109" ht="15.75" customHeight="1">
      <c r="A7109" s="12" t="s">
        <v>14385</v>
      </c>
      <c r="B7109" s="13" t="s">
        <v>14386</v>
      </c>
      <c r="C7109" s="14" t="s">
        <v>14387</v>
      </c>
      <c r="D7109" s="1" t="str">
        <f>IFERROR(__xludf.DUMMYFUNCTION("GOOGLETRANSLATE(A7109 , ""auto"", ""ar"")"),"بدأ الضوء يتلاشى")</f>
        <v>بدأ الضوء يتلاشى</v>
      </c>
    </row>
    <row r="7110" ht="15.75" customHeight="1">
      <c r="A7110" s="12" t="s">
        <v>14385</v>
      </c>
      <c r="B7110" s="13" t="s">
        <v>14388</v>
      </c>
      <c r="C7110" s="14" t="s">
        <v>14389</v>
      </c>
      <c r="D7110" s="1" t="str">
        <f>IFERROR(__xludf.DUMMYFUNCTION("GOOGLETRANSLATE(A7110 , ""auto"", ""ar"")"),"بدأ الضوء يتلاشى")</f>
        <v>بدأ الضوء يتلاشى</v>
      </c>
    </row>
    <row r="7111" ht="15.75" customHeight="1">
      <c r="A7111" s="12" t="s">
        <v>14390</v>
      </c>
      <c r="B7111" s="13" t="s">
        <v>14391</v>
      </c>
      <c r="C7111" s="14" t="s">
        <v>14392</v>
      </c>
      <c r="D7111" s="1" t="str">
        <f>IFERROR(__xludf.DUMMYFUNCTION("GOOGLETRANSLATE(A7111 , ""auto"", ""ar"")"),"لا نريد أن نفقد اللمسة مع بعضنا البعض")</f>
        <v>لا نريد أن نفقد اللمسة مع بعضنا البعض</v>
      </c>
    </row>
    <row r="7112" ht="15.75" customHeight="1">
      <c r="A7112" s="12" t="s">
        <v>14393</v>
      </c>
      <c r="B7112" s="13" t="s">
        <v>14394</v>
      </c>
      <c r="C7112" s="14" t="s">
        <v>14395</v>
      </c>
      <c r="D7112" s="1" t="str">
        <f>IFERROR(__xludf.DUMMYFUNCTION("GOOGLETRANSLATE(A7112 , ""auto"", ""ar"")"),"هل لديك أي طعام أو يشرب معك؟")</f>
        <v>هل لديك أي طعام أو يشرب معك؟</v>
      </c>
    </row>
    <row r="7113" ht="15.75" customHeight="1">
      <c r="A7113" s="12" t="s">
        <v>14393</v>
      </c>
      <c r="B7113" s="13" t="s">
        <v>14396</v>
      </c>
      <c r="C7113" s="14" t="s">
        <v>14397</v>
      </c>
      <c r="D7113" s="1" t="str">
        <f>IFERROR(__xludf.DUMMYFUNCTION("GOOGLETRANSLATE(A7113 , ""auto"", ""ar"")"),"هل لديك أي طعام أو يشرب معك؟")</f>
        <v>هل لديك أي طعام أو يشرب معك؟</v>
      </c>
    </row>
    <row r="7114" ht="15.75" customHeight="1">
      <c r="A7114" s="12" t="s">
        <v>14398</v>
      </c>
      <c r="B7114" s="13" t="s">
        <v>14399</v>
      </c>
      <c r="C7114" s="14" t="s">
        <v>14400</v>
      </c>
      <c r="D7114" s="1" t="str">
        <f>IFERROR(__xludf.DUMMYFUNCTION("GOOGLETRANSLATE(A7114 , ""auto"", ""ar"")"),"نعم ، لا يزال لدي ماء في حقيبتي")</f>
        <v>نعم ، لا يزال لدي ماء في حقيبتي</v>
      </c>
    </row>
    <row r="7115" ht="15.75" customHeight="1">
      <c r="A7115" s="12" t="s">
        <v>14401</v>
      </c>
      <c r="B7115" s="13" t="s">
        <v>14402</v>
      </c>
      <c r="C7115" s="14" t="s">
        <v>14403</v>
      </c>
      <c r="D7115" s="1" t="str">
        <f>IFERROR(__xludf.DUMMYFUNCTION("GOOGLETRANSLATE(A7115 , ""auto"", ""ar"")"),"متعطش؟")</f>
        <v>متعطش؟</v>
      </c>
    </row>
    <row r="7116" ht="15.75" customHeight="1">
      <c r="A7116" s="12" t="s">
        <v>14401</v>
      </c>
      <c r="B7116" s="13" t="s">
        <v>14404</v>
      </c>
      <c r="C7116" s="14" t="s">
        <v>14405</v>
      </c>
      <c r="D7116" s="1" t="str">
        <f>IFERROR(__xludf.DUMMYFUNCTION("GOOGLETRANSLATE(A7116 , ""auto"", ""ar"")"),"متعطش؟")</f>
        <v>متعطش؟</v>
      </c>
    </row>
    <row r="7117" ht="15.75" customHeight="1">
      <c r="A7117" s="12" t="s">
        <v>14406</v>
      </c>
      <c r="B7117" s="13" t="s">
        <v>14407</v>
      </c>
      <c r="C7117" s="14" t="s">
        <v>14408</v>
      </c>
      <c r="D7117" s="1" t="str">
        <f>IFERROR(__xludf.DUMMYFUNCTION("GOOGLETRANSLATE(A7117 , ""auto"", ""ar"")"),"أنا عطشان ولكني كنت آمل في شيء أقوى قليلاً من الماء")</f>
        <v>أنا عطشان ولكني كنت آمل في شيء أقوى قليلاً من الماء</v>
      </c>
    </row>
    <row r="7118" ht="15.75" customHeight="1">
      <c r="A7118" s="12" t="s">
        <v>14409</v>
      </c>
      <c r="B7118" s="13" t="s">
        <v>14410</v>
      </c>
      <c r="C7118" s="14" t="s">
        <v>14411</v>
      </c>
      <c r="D7118" s="1" t="str">
        <f>IFERROR(__xludf.DUMMYFUNCTION("GOOGLETRANSLATE(A7118 , ""auto"", ""ar"")"),"على أي حال ، هل يمكنك السماح لي أن أحصل على القليل من الماء؟")</f>
        <v>على أي حال ، هل يمكنك السماح لي أن أحصل على القليل من الماء؟</v>
      </c>
    </row>
    <row r="7119" ht="15.75" customHeight="1">
      <c r="A7119" s="12" t="s">
        <v>14412</v>
      </c>
      <c r="B7119" s="13" t="s">
        <v>14413</v>
      </c>
      <c r="C7119" s="14" t="s">
        <v>14414</v>
      </c>
      <c r="D7119" s="1" t="str">
        <f>IFERROR(__xludf.DUMMYFUNCTION("GOOGLETRANSLATE(A7119 , ""auto"", ""ar"")"),"نعم ، هنا")</f>
        <v>نعم ، هنا</v>
      </c>
    </row>
    <row r="7120" ht="15.75" customHeight="1">
      <c r="A7120" s="12" t="s">
        <v>14415</v>
      </c>
      <c r="B7120" s="13" t="s">
        <v>14416</v>
      </c>
      <c r="C7120" s="14" t="s">
        <v>14417</v>
      </c>
      <c r="D7120" s="1" t="str">
        <f>IFERROR(__xludf.DUMMYFUNCTION("GOOGLETRANSLATE(A7120 , ""auto"", ""ar"")"),"وإذا بقينا عالقين هنا لفترة طويلة ، فلا يزال بإمكاننا تجربة التوت الأوتاد")</f>
        <v>وإذا بقينا عالقين هنا لفترة طويلة ، فلا يزال بإمكاننا تجربة التوت الأوتاد</v>
      </c>
    </row>
    <row r="7121" ht="15.75" customHeight="1">
      <c r="A7121" s="12" t="s">
        <v>14418</v>
      </c>
      <c r="B7121" s="13" t="s">
        <v>14419</v>
      </c>
      <c r="C7121" s="14" t="s">
        <v>14420</v>
      </c>
      <c r="D7121" s="1" t="str">
        <f>IFERROR(__xludf.DUMMYFUNCTION("GOOGLETRANSLATE(A7121 , ""auto"", ""ar"")"),"إذن ماذا يمكنني أن أحصل عليك؟")</f>
        <v>إذن ماذا يمكنني أن أحصل عليك؟</v>
      </c>
    </row>
    <row r="7122" ht="15.75" customHeight="1">
      <c r="A7122" s="12" t="s">
        <v>14421</v>
      </c>
      <c r="B7122" s="13" t="s">
        <v>14422</v>
      </c>
      <c r="C7122" s="14" t="s">
        <v>14423</v>
      </c>
      <c r="D7122" s="1" t="str">
        <f>IFERROR(__xludf.DUMMYFUNCTION("GOOGLETRANSLATE(A7122 , ""auto"", ""ar"")"),"سأحضر لك القهوة من فضلك!")</f>
        <v>سأحضر لك القهوة من فضلك!</v>
      </c>
    </row>
    <row r="7123" ht="15.75" customHeight="1">
      <c r="A7123" s="12" t="s">
        <v>14424</v>
      </c>
      <c r="B7123" s="13" t="s">
        <v>14425</v>
      </c>
      <c r="C7123" s="14" t="s">
        <v>14426</v>
      </c>
      <c r="D7123" s="1" t="str">
        <f>IFERROR(__xludf.DUMMYFUNCTION("GOOGLETRANSLATE(A7123 , ""auto"", ""ar"")"),"لدي مشروب هنا شكرا")</f>
        <v>لدي مشروب هنا شكرا</v>
      </c>
    </row>
    <row r="7124" ht="15.75" customHeight="1">
      <c r="A7124" s="12" t="s">
        <v>14427</v>
      </c>
      <c r="B7124" s="13" t="s">
        <v>14428</v>
      </c>
      <c r="C7124" s="14" t="s">
        <v>14429</v>
      </c>
      <c r="D7124" s="1" t="str">
        <f>IFERROR(__xludf.DUMMYFUNCTION("GOOGLETRANSLATE(A7124 , ""auto"", ""ar"")"),"أو تقصد لك؟")</f>
        <v>أو تقصد لك؟</v>
      </c>
    </row>
    <row r="7125" ht="15.75" customHeight="1">
      <c r="A7125" s="12" t="s">
        <v>14430</v>
      </c>
      <c r="B7125" s="13" t="s">
        <v>14431</v>
      </c>
      <c r="C7125" s="14" t="s">
        <v>14432</v>
      </c>
      <c r="D7125" s="1" t="str">
        <f>IFERROR(__xludf.DUMMYFUNCTION("GOOGLETRANSLATE(A7125 , ""auto"", ""ar"")"),"قهوة ملقاة هناك ، ستكون مثالية")</f>
        <v>قهوة ملقاة هناك ، ستكون مثالية</v>
      </c>
    </row>
    <row r="7126" ht="15.75" customHeight="1">
      <c r="A7126" s="12" t="s">
        <v>14433</v>
      </c>
      <c r="B7126" s="13" t="s">
        <v>14434</v>
      </c>
      <c r="C7126" s="14" t="s">
        <v>14435</v>
      </c>
      <c r="D7126" s="1" t="str">
        <f>IFERROR(__xludf.DUMMYFUNCTION("GOOGLETRANSLATE(A7126 , ""auto"", ""ar"")"),"مع القليل من كوب من الماء بجانبه")</f>
        <v>مع القليل من كوب من الماء بجانبه</v>
      </c>
    </row>
    <row r="7127" ht="15.75" customHeight="1">
      <c r="A7127" s="12" t="s">
        <v>14436</v>
      </c>
      <c r="B7127" s="13" t="s">
        <v>14437</v>
      </c>
      <c r="C7127" s="14" t="s">
        <v>14438</v>
      </c>
      <c r="D7127" s="1" t="str">
        <f>IFERROR(__xludf.DUMMYFUNCTION("GOOGLETRANSLATE(A7127 , ""auto"", ""ar"")"),"نعم!")</f>
        <v>نعم!</v>
      </c>
    </row>
    <row r="7128" ht="15.75" customHeight="1">
      <c r="A7128" s="12" t="s">
        <v>14439</v>
      </c>
      <c r="B7128" s="13" t="s">
        <v>14440</v>
      </c>
      <c r="C7128" s="14" t="s">
        <v>14441</v>
      </c>
      <c r="D7128" s="1" t="str">
        <f>IFERROR(__xludf.DUMMYFUNCTION("GOOGLETRANSLATE(A7128 , ""auto"", ""ar"")"),"بحليب؟")</f>
        <v>بحليب؟</v>
      </c>
    </row>
    <row r="7129" ht="15.75" customHeight="1">
      <c r="A7129" s="12" t="s">
        <v>14442</v>
      </c>
      <c r="B7129" s="13" t="s">
        <v>14443</v>
      </c>
      <c r="C7129" s="14" t="s">
        <v>14444</v>
      </c>
      <c r="D7129" s="1" t="str">
        <f>IFERROR(__xludf.DUMMYFUNCTION("GOOGLETRANSLATE(A7129 , ""auto"", ""ar"")"),"طويل ام قصير؟")</f>
        <v>طويل ام قصير؟</v>
      </c>
    </row>
    <row r="7130" ht="15.75" customHeight="1">
      <c r="A7130" s="12" t="s">
        <v>14445</v>
      </c>
      <c r="B7130" s="13" t="s">
        <v>14446</v>
      </c>
      <c r="C7130" s="14" t="s">
        <v>14447</v>
      </c>
      <c r="D7130" s="1" t="str">
        <f>IFERROR(__xludf.DUMMYFUNCTION("GOOGLETRANSLATE(A7130 , ""auto"", ""ar"")"),"هل أنت متأكد؟")</f>
        <v>هل أنت متأكد؟</v>
      </c>
    </row>
    <row r="7131" ht="15.75" customHeight="1">
      <c r="A7131" s="12" t="s">
        <v>14445</v>
      </c>
      <c r="B7131" s="13" t="s">
        <v>14448</v>
      </c>
      <c r="C7131" s="14" t="s">
        <v>14449</v>
      </c>
      <c r="D7131" s="1" t="str">
        <f>IFERROR(__xludf.DUMMYFUNCTION("GOOGLETRANSLATE(A7131 , ""auto"", ""ar"")"),"هل أنت متأكد؟")</f>
        <v>هل أنت متأكد؟</v>
      </c>
    </row>
    <row r="7132" ht="15.75" customHeight="1">
      <c r="A7132" s="12" t="s">
        <v>14450</v>
      </c>
      <c r="B7132" s="13" t="s">
        <v>14451</v>
      </c>
      <c r="C7132" s="14" t="s">
        <v>14452</v>
      </c>
      <c r="D7132" s="1" t="str">
        <f>IFERROR(__xludf.DUMMYFUNCTION("GOOGLETRANSLATE(A7132 , ""auto"", ""ar"")"),"إنها ساعة سعيدة الآن!")</f>
        <v>إنها ساعة سعيدة الآن!</v>
      </c>
    </row>
    <row r="7133" ht="15.75" customHeight="1">
      <c r="A7133" s="12" t="s">
        <v>14453</v>
      </c>
      <c r="B7133" s="13" t="s">
        <v>14454</v>
      </c>
      <c r="C7133" s="14" t="s">
        <v>14455</v>
      </c>
      <c r="D7133" s="1" t="str">
        <f>IFERROR(__xludf.DUMMYFUNCTION("GOOGLETRANSLATE(A7133 , ""auto"", ""ar"")"),"بدون حليب!")</f>
        <v>بدون حليب!</v>
      </c>
    </row>
    <row r="7134" ht="15.75" customHeight="1">
      <c r="A7134" s="12" t="s">
        <v>14456</v>
      </c>
      <c r="B7134" s="13" t="s">
        <v>14457</v>
      </c>
      <c r="C7134" s="14" t="s">
        <v>14458</v>
      </c>
      <c r="D7134" s="1" t="str">
        <f>IFERROR(__xludf.DUMMYFUNCTION("GOOGLETRANSLATE(A7134 , ""auto"", ""ar"")"),"هل هي الساعة 9 مساءً بالفعل؟")</f>
        <v>هل هي الساعة 9 مساءً بالفعل؟</v>
      </c>
    </row>
    <row r="7135" ht="15.75" customHeight="1">
      <c r="A7135" s="12" t="s">
        <v>14459</v>
      </c>
      <c r="B7135" s="13" t="s">
        <v>14460</v>
      </c>
      <c r="C7135" s="14" t="s">
        <v>14461</v>
      </c>
      <c r="D7135" s="1" t="str">
        <f>IFERROR(__xludf.DUMMYFUNCTION("GOOGLETRANSLATE(A7135 , ""auto"", ""ar"")"),"في هذه الحالة ، أود القليل من موخيتو")</f>
        <v>في هذه الحالة ، أود القليل من موخيتو</v>
      </c>
    </row>
    <row r="7136" ht="15.75" customHeight="1">
      <c r="A7136" s="12" t="s">
        <v>14462</v>
      </c>
      <c r="B7136" s="13" t="s">
        <v>14463</v>
      </c>
      <c r="C7136" s="14" t="s">
        <v>14464</v>
      </c>
      <c r="D7136" s="1" t="str">
        <f>IFERROR(__xludf.DUMMYFUNCTION("GOOGLETRANSLATE(A7136 , ""auto"", ""ar"")"),"هذا مزيج جيد!")</f>
        <v>هذا مزيج جيد!</v>
      </c>
    </row>
    <row r="7137" ht="15.75" customHeight="1">
      <c r="A7137" s="12" t="s">
        <v>14465</v>
      </c>
      <c r="B7137" s="13" t="s">
        <v>14466</v>
      </c>
      <c r="C7137" s="14" t="s">
        <v>14467</v>
      </c>
      <c r="D7137" s="1" t="str">
        <f>IFERROR(__xludf.DUMMYFUNCTION("GOOGLETRANSLATE(A7137 , ""auto"", ""ar"")"),"القهوة ، وبعض الماء و mojito!")</f>
        <v>القهوة ، وبعض الماء و mojito!</v>
      </c>
    </row>
    <row r="7138" ht="15.75" customHeight="1">
      <c r="A7138" s="12" t="s">
        <v>14468</v>
      </c>
      <c r="B7138" s="13" t="s">
        <v>14469</v>
      </c>
      <c r="C7138" s="14" t="s">
        <v>14470</v>
      </c>
      <c r="D7138" s="1" t="str">
        <f>IFERROR(__xludf.DUMMYFUNCTION("GOOGLETRANSLATE(A7138 , ""auto"", ""ar"")"),"هل كان لديك يوم جيد في العمل؟")</f>
        <v>هل كان لديك يوم جيد في العمل؟</v>
      </c>
    </row>
    <row r="7139" ht="15.75" customHeight="1">
      <c r="A7139" s="12" t="s">
        <v>14471</v>
      </c>
      <c r="B7139" s="13" t="s">
        <v>14472</v>
      </c>
      <c r="C7139" s="14" t="s">
        <v>14473</v>
      </c>
      <c r="D7139" s="1" t="str">
        <f>IFERROR(__xludf.DUMMYFUNCTION("GOOGLETRANSLATE(A7139 , ""auto"", ""ar"")"),"يوم كبير")</f>
        <v>يوم كبير</v>
      </c>
    </row>
    <row r="7140" ht="15.75" customHeight="1">
      <c r="A7140" s="12" t="s">
        <v>14474</v>
      </c>
      <c r="B7140" s="13" t="s">
        <v>14475</v>
      </c>
      <c r="C7140" s="14" t="s">
        <v>14476</v>
      </c>
      <c r="D7140" s="1" t="str">
        <f>IFERROR(__xludf.DUMMYFUNCTION("GOOGLETRANSLATE(A7140 , ""auto"", ""ar"")"),"ومن هنا القهوة الضرورية ، و mojito")</f>
        <v>ومن هنا القهوة الضرورية ، و mojito</v>
      </c>
    </row>
    <row r="7141" ht="15.75" customHeight="1">
      <c r="A7141" s="12" t="s">
        <v>14477</v>
      </c>
      <c r="B7141" s="13" t="s">
        <v>14478</v>
      </c>
      <c r="C7141" s="14" t="s">
        <v>14479</v>
      </c>
      <c r="D7141" s="1" t="str">
        <f>IFERROR(__xludf.DUMMYFUNCTION("GOOGLETRANSLATE(A7141 , ""auto"", ""ar"")"),"ألا ينضم إليك أي من زملائك؟")</f>
        <v>ألا ينضم إليك أي من زملائك؟</v>
      </c>
    </row>
    <row r="7142" ht="15.75" customHeight="1">
      <c r="A7142" s="12" t="s">
        <v>14480</v>
      </c>
      <c r="B7142" s="13" t="s">
        <v>14481</v>
      </c>
      <c r="C7142" s="14" t="s">
        <v>14482</v>
      </c>
      <c r="D7142" s="1" t="str">
        <f>IFERROR(__xludf.DUMMYFUNCTION("GOOGLETRANSLATE(A7142 , ""auto"", ""ar"")"),"يمكن أن أحضر لك بعض المشروبات لهم في هذه الأثناء")</f>
        <v>يمكن أن أحضر لك بعض المشروبات لهم في هذه الأثناء</v>
      </c>
    </row>
    <row r="7143" ht="15.75" customHeight="1">
      <c r="A7143" s="12" t="s">
        <v>14483</v>
      </c>
      <c r="B7143" s="13" t="s">
        <v>14484</v>
      </c>
      <c r="C7143" s="14" t="s">
        <v>14485</v>
      </c>
      <c r="D7143" s="1" t="str">
        <f>IFERROR(__xludf.DUMMYFUNCTION("GOOGLETRANSLATE(A7143 , ""auto"", ""ar"")"),"إذا كانوا قادمين بالطبع")</f>
        <v>إذا كانوا قادمين بالطبع</v>
      </c>
    </row>
    <row r="7144" ht="15.75" customHeight="1">
      <c r="A7144" s="12" t="s">
        <v>14486</v>
      </c>
      <c r="B7144" s="13" t="s">
        <v>14487</v>
      </c>
      <c r="C7144" s="14" t="s">
        <v>14488</v>
      </c>
      <c r="D7144" s="1" t="str">
        <f>IFERROR(__xludf.DUMMYFUNCTION("GOOGLETRANSLATE(A7144 , ""auto"", ""ar"")"),"يأتي صديقي للانضمام إلي")</f>
        <v>يأتي صديقي للانضمام إلي</v>
      </c>
    </row>
    <row r="7145" ht="15.75" customHeight="1">
      <c r="A7145" s="12" t="s">
        <v>14489</v>
      </c>
      <c r="B7145" s="13" t="s">
        <v>14490</v>
      </c>
      <c r="C7145" s="14" t="s">
        <v>14491</v>
      </c>
      <c r="D7145" s="1" t="str">
        <f>IFERROR(__xludf.DUMMYFUNCTION("GOOGLETRANSLATE(A7145 , ""auto"", ""ar"")"),"أعتقد أنه سيكون لديه Mojito أيضًا")</f>
        <v>أعتقد أنه سيكون لديه Mojito أيضًا</v>
      </c>
    </row>
    <row r="7146" ht="15.75" customHeight="1">
      <c r="A7146" s="12" t="s">
        <v>14492</v>
      </c>
      <c r="B7146" s="13" t="s">
        <v>14493</v>
      </c>
      <c r="C7146" s="14" t="s">
        <v>14494</v>
      </c>
      <c r="D7146" s="1" t="str">
        <f>IFERROR(__xludf.DUMMYFUNCTION("GOOGLETRANSLATE(A7146 , ""auto"", ""ar"")"),"ستكون ليلة كبيرة هنا الليلة")</f>
        <v>ستكون ليلة كبيرة هنا الليلة</v>
      </c>
    </row>
    <row r="7147" ht="15.75" customHeight="1">
      <c r="A7147" s="12" t="s">
        <v>14495</v>
      </c>
      <c r="B7147" s="13" t="s">
        <v>14496</v>
      </c>
      <c r="C7147" s="14" t="s">
        <v>14497</v>
      </c>
      <c r="D7147" s="1" t="str">
        <f>IFERROR(__xludf.DUMMYFUNCTION("GOOGLETRANSLATE(A7147 , ""auto"", ""ar"")"),"لا ، أنا امرأة ...!")</f>
        <v>لا ، أنا امرأة ...!</v>
      </c>
    </row>
    <row r="7148" ht="15.75" customHeight="1">
      <c r="A7148" s="12" t="s">
        <v>14498</v>
      </c>
      <c r="B7148" s="13" t="s">
        <v>14499</v>
      </c>
      <c r="C7148" s="14" t="s">
        <v>14500</v>
      </c>
      <c r="D7148" s="1" t="str">
        <f>IFERROR(__xludf.DUMMYFUNCTION("GOOGLETRANSLATE(A7148 , ""auto"", ""ar"")"),"صحيح أن شعري القصير يمكن أن يجعلك تشك في")</f>
        <v>صحيح أن شعري القصير يمكن أن يجعلك تشك في</v>
      </c>
    </row>
    <row r="7149" ht="15.75" customHeight="1">
      <c r="A7149" s="12" t="s">
        <v>14501</v>
      </c>
      <c r="B7149" s="13" t="s">
        <v>14502</v>
      </c>
      <c r="C7149" s="14" t="s">
        <v>14503</v>
      </c>
      <c r="D7149" s="1" t="str">
        <f>IFERROR(__xludf.DUMMYFUNCTION("GOOGLETRANSLATE(A7149 , ""auto"", ""ar"")"),"لكنني أعمل كمهندس في موقع كبير")</f>
        <v>لكنني أعمل كمهندس في موقع كبير</v>
      </c>
    </row>
    <row r="7150" ht="15.75" customHeight="1">
      <c r="A7150" s="12" t="s">
        <v>14504</v>
      </c>
      <c r="B7150" s="13" t="s">
        <v>14505</v>
      </c>
      <c r="C7150" s="14" t="s">
        <v>14506</v>
      </c>
      <c r="D7150" s="1" t="str">
        <f>IFERROR(__xludf.DUMMYFUNCTION("GOOGLETRANSLATE(A7150 , ""auto"", ""ar"")"),"لم يكن لدي وقت للتغيير")</f>
        <v>لم يكن لدي وقت للتغيير</v>
      </c>
    </row>
    <row r="7151" ht="15.75" customHeight="1">
      <c r="A7151" s="12" t="s">
        <v>14507</v>
      </c>
      <c r="B7151" s="13" t="s">
        <v>14508</v>
      </c>
      <c r="C7151" s="14" t="s">
        <v>14509</v>
      </c>
      <c r="D7151" s="1" t="str">
        <f>IFERROR(__xludf.DUMMYFUNCTION("GOOGLETRANSLATE(A7151 , ""auto"", ""ar"")"),"أو استحم بعد يوم في الحقل")</f>
        <v>أو استحم بعد يوم في الحقل</v>
      </c>
    </row>
    <row r="7152" ht="15.75" customHeight="1">
      <c r="A7152" s="12" t="s">
        <v>14510</v>
      </c>
      <c r="B7152" s="13" t="s">
        <v>14511</v>
      </c>
      <c r="C7152" s="14" t="s">
        <v>14512</v>
      </c>
      <c r="D7152" s="1" t="str">
        <f>IFERROR(__xludf.DUMMYFUNCTION("GOOGLETRANSLATE(A7152 , ""auto"", ""ar"")"),"اه لا، اطلاقا!")</f>
        <v>اه لا، اطلاقا!</v>
      </c>
    </row>
    <row r="7153" ht="15.75" customHeight="1">
      <c r="A7153" s="12" t="s">
        <v>14513</v>
      </c>
      <c r="B7153" s="13" t="s">
        <v>14514</v>
      </c>
      <c r="C7153" s="14" t="s">
        <v>14515</v>
      </c>
      <c r="D7153" s="1" t="str">
        <f>IFERROR(__xludf.DUMMYFUNCTION("GOOGLETRANSLATE(A7153 , ""auto"", ""ar"")"),"اعتقد انك اسات فهمي")</f>
        <v>اعتقد انك اسات فهمي</v>
      </c>
    </row>
    <row r="7154" ht="15.75" customHeight="1">
      <c r="A7154" s="12" t="s">
        <v>14516</v>
      </c>
      <c r="B7154" s="13" t="s">
        <v>14517</v>
      </c>
      <c r="C7154" s="14" t="s">
        <v>14518</v>
      </c>
      <c r="D7154" s="1" t="str">
        <f>IFERROR(__xludf.DUMMYFUNCTION("GOOGLETRANSLATE(A7154 , ""auto"", ""ar"")"),"أنت فقط أسيء فهمني")</f>
        <v>أنت فقط أسيء فهمني</v>
      </c>
    </row>
    <row r="7155" ht="15.75" customHeight="1">
      <c r="A7155" s="12" t="s">
        <v>14519</v>
      </c>
      <c r="B7155" s="13" t="s">
        <v>14520</v>
      </c>
      <c r="C7155" s="14" t="s">
        <v>14521</v>
      </c>
      <c r="D7155" s="1" t="str">
        <f>IFERROR(__xludf.DUMMYFUNCTION("GOOGLETRANSLATE(A7155 , ""auto"", ""ar"")"),"كل ما قلته هو أنه سيكون مشغولاً الليلة")</f>
        <v>كل ما قلته هو أنه سيكون مشغولاً الليلة</v>
      </c>
    </row>
    <row r="7156" ht="15.75" customHeight="1">
      <c r="A7156" s="12" t="s">
        <v>14522</v>
      </c>
      <c r="B7156" s="13" t="s">
        <v>14523</v>
      </c>
      <c r="C7156" s="14" t="s">
        <v>14524</v>
      </c>
      <c r="D7156" s="1" t="str">
        <f>IFERROR(__xludf.DUMMYFUNCTION("GOOGLETRANSLATE(A7156 , ""auto"", ""ar"")"),"لأن لدينا مجموعتان قادمان للاحتفال")</f>
        <v>لأن لدينا مجموعتان قادمان للاحتفال</v>
      </c>
    </row>
    <row r="7157" ht="15.75" customHeight="1">
      <c r="A7157" s="12" t="s">
        <v>14525</v>
      </c>
      <c r="B7157" s="13" t="s">
        <v>14526</v>
      </c>
      <c r="C7157" s="14" t="s">
        <v>14527</v>
      </c>
      <c r="D7157" s="1" t="str">
        <f>IFERROR(__xludf.DUMMYFUNCTION("GOOGLETRANSLATE(A7157 , ""auto"", ""ar"")"),"هل سيكون هناك حفلة في البار الليلة؟")</f>
        <v>هل سيكون هناك حفلة في البار الليلة؟</v>
      </c>
    </row>
    <row r="7158" ht="15.75" customHeight="1">
      <c r="A7158" s="12" t="s">
        <v>14528</v>
      </c>
      <c r="B7158" s="13" t="s">
        <v>14529</v>
      </c>
      <c r="C7158" s="14" t="s">
        <v>14530</v>
      </c>
      <c r="D7158" s="1" t="str">
        <f>IFERROR(__xludf.DUMMYFUNCTION("GOOGLETRANSLATE(A7158 , ""auto"", ""ar"")"),"ستكون حيوية للغاية")</f>
        <v>ستكون حيوية للغاية</v>
      </c>
    </row>
    <row r="7159" ht="15.75" customHeight="1">
      <c r="A7159" s="12" t="s">
        <v>14531</v>
      </c>
      <c r="B7159" s="13" t="s">
        <v>14532</v>
      </c>
      <c r="C7159" s="14" t="s">
        <v>14533</v>
      </c>
      <c r="D7159" s="1" t="str">
        <f>IFERROR(__xludf.DUMMYFUNCTION("GOOGLETRANSLATE(A7159 , ""auto"", ""ar"")"),"نعم ، سيكون هناك اثنان منهم!")</f>
        <v>نعم ، سيكون هناك اثنان منهم!</v>
      </c>
    </row>
    <row r="7160" ht="15.75" customHeight="1">
      <c r="A7160" s="12" t="s">
        <v>14534</v>
      </c>
      <c r="B7160" s="13" t="s">
        <v>14535</v>
      </c>
      <c r="C7160" s="14" t="s">
        <v>14536</v>
      </c>
      <c r="D7160" s="1" t="str">
        <f>IFERROR(__xludf.DUMMYFUNCTION("GOOGLETRANSLATE(A7160 , ""auto"", ""ar"")"),"ولا تقلق بشأن الملابس")</f>
        <v>ولا تقلق بشأن الملابس</v>
      </c>
    </row>
    <row r="7161" ht="15.75" customHeight="1">
      <c r="A7161" s="12" t="s">
        <v>14537</v>
      </c>
      <c r="B7161" s="13" t="s">
        <v>14538</v>
      </c>
      <c r="C7161" s="14" t="s">
        <v>14539</v>
      </c>
      <c r="D7161" s="1" t="str">
        <f>IFERROR(__xludf.DUMMYFUNCTION("GOOGLETRANSLATE(A7161 , ""auto"", ""ar"")"),"أنا أرتدي شيئًا مشابهًا جدًا بنفسي!")</f>
        <v>أنا أرتدي شيئًا مشابهًا جدًا بنفسي!</v>
      </c>
    </row>
    <row r="7162" ht="15.75" customHeight="1">
      <c r="A7162" s="12" t="s">
        <v>14540</v>
      </c>
      <c r="B7162" s="13" t="s">
        <v>14541</v>
      </c>
      <c r="C7162" s="14" t="s">
        <v>14542</v>
      </c>
      <c r="D7162" s="1" t="str">
        <f>IFERROR(__xludf.DUMMYFUNCTION("GOOGLETRANSLATE(A7162 , ""auto"", ""ar"")"),"كيف وصلنا إلى هنا؟")</f>
        <v>كيف وصلنا إلى هنا؟</v>
      </c>
    </row>
    <row r="7163" ht="15.75" customHeight="1">
      <c r="A7163" s="12" t="s">
        <v>14543</v>
      </c>
      <c r="B7163" s="13" t="s">
        <v>14544</v>
      </c>
      <c r="C7163" s="14" t="s">
        <v>14545</v>
      </c>
      <c r="D7163" s="1" t="str">
        <f>IFERROR(__xludf.DUMMYFUNCTION("GOOGLETRANSLATE(A7163 , ""auto"", ""ar"")"),"لقد كنا نسير في الغابة لفترة طويلة")</f>
        <v>لقد كنا نسير في الغابة لفترة طويلة</v>
      </c>
    </row>
    <row r="7164" ht="15.75" customHeight="1">
      <c r="A7164" s="12" t="s">
        <v>14546</v>
      </c>
      <c r="B7164" s="13" t="s">
        <v>14547</v>
      </c>
      <c r="C7164" s="14" t="s">
        <v>14548</v>
      </c>
      <c r="D7164" s="1" t="str">
        <f>IFERROR(__xludf.DUMMYFUNCTION("GOOGLETRANSLATE(A7164 , ""auto"", ""ar"")"),"يبدو أننا وصلنا إلى طريق مسدود")</f>
        <v>يبدو أننا وصلنا إلى طريق مسدود</v>
      </c>
    </row>
    <row r="7165" ht="15.75" customHeight="1">
      <c r="A7165" s="12" t="s">
        <v>9602</v>
      </c>
      <c r="B7165" s="13" t="s">
        <v>14549</v>
      </c>
      <c r="C7165" s="14" t="s">
        <v>14550</v>
      </c>
      <c r="D7165" s="1" t="str">
        <f>IFERROR(__xludf.DUMMYFUNCTION("GOOGLETRANSLATE(A7165 , ""auto"", ""ar"")"),"أنا بردان")</f>
        <v>أنا بردان</v>
      </c>
    </row>
    <row r="7166" ht="15.75" customHeight="1">
      <c r="A7166" s="12" t="s">
        <v>9602</v>
      </c>
      <c r="B7166" s="13" t="s">
        <v>14551</v>
      </c>
      <c r="C7166" s="14" t="s">
        <v>14552</v>
      </c>
      <c r="D7166" s="1" t="str">
        <f>IFERROR(__xludf.DUMMYFUNCTION("GOOGLETRANSLATE(A7166 , ""auto"", ""ar"")"),"أنا بردان")</f>
        <v>أنا بردان</v>
      </c>
    </row>
    <row r="7167" ht="15.75" customHeight="1">
      <c r="A7167" s="12" t="s">
        <v>14553</v>
      </c>
      <c r="B7167" s="13" t="s">
        <v>14554</v>
      </c>
      <c r="C7167" s="14" t="s">
        <v>14555</v>
      </c>
      <c r="D7167" s="1" t="str">
        <f>IFERROR(__xludf.DUMMYFUNCTION("GOOGLETRANSLATE(A7167 , ""auto"", ""ar"")"),"هل تعلم عندما دخلنا الغابة؟")</f>
        <v>هل تعلم عندما دخلنا الغابة؟</v>
      </c>
    </row>
    <row r="7168" ht="15.75" customHeight="1">
      <c r="A7168" s="12" t="s">
        <v>14556</v>
      </c>
      <c r="B7168" s="13" t="s">
        <v>14557</v>
      </c>
      <c r="C7168" s="14" t="s">
        <v>14558</v>
      </c>
      <c r="D7168" s="1" t="str">
        <f>IFERROR(__xludf.DUMMYFUNCTION("GOOGLETRANSLATE(A7168 , ""auto"", ""ar"")"),"و جائع")</f>
        <v>و جائع</v>
      </c>
    </row>
    <row r="7169" ht="15.75" customHeight="1">
      <c r="A7169" s="12" t="s">
        <v>14559</v>
      </c>
      <c r="B7169" s="13" t="s">
        <v>14560</v>
      </c>
      <c r="C7169" s="14" t="s">
        <v>14561</v>
      </c>
      <c r="D7169" s="1" t="str">
        <f>IFERROR(__xludf.DUMMYFUNCTION("GOOGLETRANSLATE(A7169 , ""auto"", ""ar"")"),"لقد مرت ثلاث ساعات")</f>
        <v>لقد مرت ثلاث ساعات</v>
      </c>
    </row>
    <row r="7170" ht="15.75" customHeight="1">
      <c r="A7170" s="12" t="s">
        <v>14562</v>
      </c>
      <c r="B7170" s="13" t="s">
        <v>14563</v>
      </c>
      <c r="C7170" s="14" t="s">
        <v>14564</v>
      </c>
      <c r="D7170" s="1" t="str">
        <f>IFERROR(__xludf.DUMMYFUNCTION("GOOGLETRANSLATE(A7170 , ""auto"", ""ar"")"),"لا ، أنت بحاجة إليه أيضًا")</f>
        <v>لا ، أنت بحاجة إليه أيضًا</v>
      </c>
    </row>
    <row r="7171" ht="15.75" customHeight="1">
      <c r="A7171" s="12" t="s">
        <v>14565</v>
      </c>
      <c r="B7171" s="13" t="s">
        <v>14566</v>
      </c>
      <c r="C7171" s="14" t="s">
        <v>14567</v>
      </c>
      <c r="D7171" s="1" t="str">
        <f>IFERROR(__xludf.DUMMYFUNCTION("GOOGLETRANSLATE(A7171 , ""auto"", ""ar"")"),"لدي بعض البسكويت")</f>
        <v>لدي بعض البسكويت</v>
      </c>
    </row>
    <row r="7172" ht="15.75" customHeight="1">
      <c r="A7172" s="12" t="s">
        <v>14568</v>
      </c>
      <c r="B7172" s="13" t="s">
        <v>14569</v>
      </c>
      <c r="C7172" s="14" t="s">
        <v>14570</v>
      </c>
      <c r="D7172" s="1" t="str">
        <f>IFERROR(__xludf.DUMMYFUNCTION("GOOGLETRANSLATE(A7172 , ""auto"", ""ar"")"),"هل تريد البعض؟")</f>
        <v>هل تريد البعض؟</v>
      </c>
    </row>
    <row r="7173" ht="15.75" customHeight="1">
      <c r="A7173" s="12" t="s">
        <v>14571</v>
      </c>
      <c r="B7173" s="13" t="s">
        <v>14572</v>
      </c>
      <c r="C7173" s="14" t="s">
        <v>14573</v>
      </c>
      <c r="D7173" s="1" t="str">
        <f>IFERROR(__xludf.DUMMYFUNCTION("GOOGLETRANSLATE(A7173 , ""auto"", ""ar"")"),"ماذا تعتقد أنه يجب علينا فعله؟")</f>
        <v>ماذا تعتقد أنه يجب علينا فعله؟</v>
      </c>
    </row>
    <row r="7174" ht="15.75" customHeight="1">
      <c r="A7174" s="12" t="s">
        <v>14571</v>
      </c>
      <c r="B7174" s="13" t="s">
        <v>14574</v>
      </c>
      <c r="C7174" s="14" t="s">
        <v>14575</v>
      </c>
      <c r="D7174" s="1" t="str">
        <f>IFERROR(__xludf.DUMMYFUNCTION("GOOGLETRANSLATE(A7174 , ""auto"", ""ar"")"),"ماذا تعتقد أنه يجب علينا فعله؟")</f>
        <v>ماذا تعتقد أنه يجب علينا فعله؟</v>
      </c>
    </row>
    <row r="7175" ht="15.75" customHeight="1">
      <c r="A7175" s="12" t="s">
        <v>14576</v>
      </c>
      <c r="B7175" s="13" t="s">
        <v>14577</v>
      </c>
      <c r="C7175" s="14" t="s">
        <v>14578</v>
      </c>
      <c r="D7175" s="1" t="str">
        <f>IFERROR(__xludf.DUMMYFUNCTION("GOOGLETRANSLATE(A7175 , ""auto"", ""ar"")"),"أتذكر عندما كنا أمام المقصورة")</f>
        <v>أتذكر عندما كنا أمام المقصورة</v>
      </c>
    </row>
    <row r="7176" ht="15.75" customHeight="1">
      <c r="A7176" s="12" t="s">
        <v>14579</v>
      </c>
      <c r="B7176" s="13" t="s">
        <v>14580</v>
      </c>
      <c r="C7176" s="14" t="s">
        <v>14581</v>
      </c>
      <c r="D7176" s="1" t="str">
        <f>IFERROR(__xludf.DUMMYFUNCTION("GOOGLETRANSLATE(A7176 , ""auto"", ""ar"")"),"يجب أن نجدها")</f>
        <v>يجب أن نجدها</v>
      </c>
    </row>
    <row r="7177" ht="15.75" customHeight="1">
      <c r="A7177" s="12" t="s">
        <v>14582</v>
      </c>
      <c r="B7177" s="13" t="s">
        <v>14583</v>
      </c>
      <c r="C7177" s="14" t="s">
        <v>14584</v>
      </c>
      <c r="D7177" s="1" t="str">
        <f>IFERROR(__xludf.DUMMYFUNCTION("GOOGLETRANSLATE(A7177 , ""auto"", ""ar"")"),"هل تعتقد أننا يجب أن نسترجع خطواتنا؟")</f>
        <v>هل تعتقد أننا يجب أن نسترجع خطواتنا؟</v>
      </c>
    </row>
    <row r="7178" ht="15.75" customHeight="1">
      <c r="A7178" s="12" t="s">
        <v>14585</v>
      </c>
      <c r="B7178" s="13" t="s">
        <v>14586</v>
      </c>
      <c r="C7178" s="14" t="s">
        <v>14587</v>
      </c>
      <c r="D7178" s="1" t="str">
        <f>IFERROR(__xludf.DUMMYFUNCTION("GOOGLETRANSLATE(A7178 , ""auto"", ""ar"")"),"لم يمض وقت طويل حتى يبدأ في الظلام")</f>
        <v>لم يمض وقت طويل حتى يبدأ في الظلام</v>
      </c>
    </row>
    <row r="7179" ht="15.75" customHeight="1">
      <c r="A7179" s="12" t="s">
        <v>14588</v>
      </c>
      <c r="B7179" s="13" t="s">
        <v>14589</v>
      </c>
      <c r="C7179" s="14" t="s">
        <v>3782</v>
      </c>
      <c r="D7179" s="1" t="str">
        <f>IFERROR(__xludf.DUMMYFUNCTION("GOOGLETRANSLATE(A7179 , ""auto"", ""ar"")"),"أنا موافق")</f>
        <v>أنا موافق</v>
      </c>
    </row>
    <row r="7180" ht="15.75" customHeight="1">
      <c r="A7180" s="12" t="s">
        <v>14590</v>
      </c>
      <c r="B7180" s="13" t="s">
        <v>14591</v>
      </c>
      <c r="C7180" s="14" t="s">
        <v>14592</v>
      </c>
      <c r="D7180" s="1" t="str">
        <f>IFERROR(__xludf.DUMMYFUNCTION("GOOGLETRANSLATE(A7180 , ""auto"", ""ar"")"),"يجب أن نحاول العثور على المقصورة")</f>
        <v>يجب أن نحاول العثور على المقصورة</v>
      </c>
    </row>
    <row r="7181" ht="15.75" customHeight="1">
      <c r="A7181" s="12" t="s">
        <v>14593</v>
      </c>
      <c r="B7181" s="13" t="s">
        <v>14594</v>
      </c>
      <c r="C7181" s="14" t="s">
        <v>14595</v>
      </c>
      <c r="D7181" s="1" t="str">
        <f>IFERROR(__xludf.DUMMYFUNCTION("GOOGLETRANSLATE(A7181 , ""auto"", ""ar"")"),"لدي بعض الماء")</f>
        <v>لدي بعض الماء</v>
      </c>
    </row>
    <row r="7182" ht="15.75" customHeight="1">
      <c r="A7182" s="12" t="s">
        <v>14568</v>
      </c>
      <c r="B7182" s="13" t="s">
        <v>14596</v>
      </c>
      <c r="C7182" s="14" t="s">
        <v>14597</v>
      </c>
      <c r="D7182" s="1" t="str">
        <f>IFERROR(__xludf.DUMMYFUNCTION("GOOGLETRANSLATE(A7182 , ""auto"", ""ar"")"),"هل تريد البعض؟")</f>
        <v>هل تريد البعض؟</v>
      </c>
    </row>
    <row r="7183" ht="15.75" customHeight="1">
      <c r="A7183" s="12" t="s">
        <v>14598</v>
      </c>
      <c r="B7183" s="13" t="s">
        <v>14599</v>
      </c>
      <c r="C7183" s="14" t="s">
        <v>14600</v>
      </c>
      <c r="D7183" s="1" t="str">
        <f>IFERROR(__xludf.DUMMYFUNCTION("GOOGLETRANSLATE(A7183 , ""auto"", ""ar"")"),"فكرت في كل شيء!")</f>
        <v>فكرت في كل شيء!</v>
      </c>
    </row>
    <row r="7184" ht="15.75" customHeight="1">
      <c r="A7184" s="12" t="s">
        <v>14601</v>
      </c>
      <c r="B7184" s="13" t="s">
        <v>14602</v>
      </c>
      <c r="C7184" s="14" t="s">
        <v>14603</v>
      </c>
      <c r="D7184" s="1" t="str">
        <f>IFERROR(__xludf.DUMMYFUNCTION("GOOGLETRANSLATE(A7184 , ""auto"", ""ar"")"),"دعونا نحاول الحفاظ على الماء وملفات تعريف الارتباط في وقت لاحق")</f>
        <v>دعونا نحاول الحفاظ على الماء وملفات تعريف الارتباط في وقت لاحق</v>
      </c>
    </row>
    <row r="7185" ht="15.75" customHeight="1">
      <c r="A7185" s="12" t="s">
        <v>14604</v>
      </c>
      <c r="B7185" s="13" t="s">
        <v>14605</v>
      </c>
      <c r="C7185" s="14" t="s">
        <v>14606</v>
      </c>
      <c r="D7185" s="1" t="str">
        <f>IFERROR(__xludf.DUMMYFUNCTION("GOOGLETRANSLATE(A7185 , ""auto"", ""ar"")"),"أنا لست منظم عادة")</f>
        <v>أنا لست منظم عادة</v>
      </c>
    </row>
    <row r="7186" ht="15.75" customHeight="1">
      <c r="A7186" s="12" t="s">
        <v>14607</v>
      </c>
      <c r="B7186" s="13" t="s">
        <v>14608</v>
      </c>
      <c r="C7186" s="14" t="s">
        <v>14609</v>
      </c>
      <c r="D7186" s="1" t="str">
        <f>IFERROR(__xludf.DUMMYFUNCTION("GOOGLETRANSLATE(A7186 , ""auto"", ""ar"")"),"لكنني تذكرت الأساسيات هذه المرة")</f>
        <v>لكنني تذكرت الأساسيات هذه المرة</v>
      </c>
    </row>
    <row r="7187" ht="15.75" customHeight="1">
      <c r="A7187" s="12" t="s">
        <v>14610</v>
      </c>
      <c r="B7187" s="13" t="s">
        <v>14611</v>
      </c>
      <c r="C7187" s="14" t="s">
        <v>14612</v>
      </c>
      <c r="D7187" s="1" t="str">
        <f>IFERROR(__xludf.DUMMYFUNCTION("GOOGLETRANSLATE(A7187 , ""auto"", ""ar"")"),"هل لديك شعلة؟")</f>
        <v>هل لديك شعلة؟</v>
      </c>
    </row>
    <row r="7188" ht="15.75" customHeight="1">
      <c r="A7188" s="12" t="s">
        <v>14613</v>
      </c>
      <c r="B7188" s="13" t="s">
        <v>14614</v>
      </c>
      <c r="C7188" s="14" t="s">
        <v>14615</v>
      </c>
      <c r="D7188" s="1" t="str">
        <f>IFERROR(__xludf.DUMMYFUNCTION("GOOGLETRANSLATE(A7188 , ""auto"", ""ar"")"),"لا للأسف")</f>
        <v>لا للأسف</v>
      </c>
    </row>
    <row r="7189" ht="15.75" customHeight="1">
      <c r="A7189" s="12" t="s">
        <v>14613</v>
      </c>
      <c r="B7189" s="13" t="s">
        <v>14616</v>
      </c>
      <c r="C7189" s="14" t="s">
        <v>14617</v>
      </c>
      <c r="D7189" s="1" t="str">
        <f>IFERROR(__xludf.DUMMYFUNCTION("GOOGLETRANSLATE(A7189 , ""auto"", ""ar"")"),"لا للأسف")</f>
        <v>لا للأسف</v>
      </c>
    </row>
    <row r="7190" ht="15.75" customHeight="1">
      <c r="A7190" s="12" t="s">
        <v>14618</v>
      </c>
      <c r="B7190" s="13" t="s">
        <v>14619</v>
      </c>
      <c r="C7190" s="14" t="s">
        <v>14620</v>
      </c>
      <c r="D7190" s="1" t="str">
        <f>IFERROR(__xludf.DUMMYFUNCTION("GOOGLETRANSLATE(A7190 , ""auto"", ""ar"")"),"بالمناسبة ، هل لديك هاتفك الخلوي؟")</f>
        <v>بالمناسبة ، هل لديك هاتفك الخلوي؟</v>
      </c>
    </row>
    <row r="7191" ht="15.75" customHeight="1">
      <c r="A7191" s="12" t="s">
        <v>14621</v>
      </c>
      <c r="B7191" s="13" t="s">
        <v>14622</v>
      </c>
      <c r="C7191" s="14" t="s">
        <v>14623</v>
      </c>
      <c r="D7191" s="1" t="str">
        <f>IFERROR(__xludf.DUMMYFUNCTION("GOOGLETRANSLATE(A7191 , ""auto"", ""ar"")"),"حسنًا ، أفترض أنه يمكننا استخدام هاتفي كضوء")</f>
        <v>حسنًا ، أفترض أنه يمكننا استخدام هاتفي كضوء</v>
      </c>
    </row>
    <row r="7192" ht="15.75" customHeight="1">
      <c r="A7192" s="12" t="s">
        <v>14624</v>
      </c>
      <c r="B7192" s="13" t="s">
        <v>14625</v>
      </c>
      <c r="C7192" s="14" t="s">
        <v>14626</v>
      </c>
      <c r="D7192" s="1" t="str">
        <f>IFERROR(__xludf.DUMMYFUNCTION("GOOGLETRANSLATE(A7192 , ""auto"", ""ar"")"),"هل هاتفك محاسب؟")</f>
        <v>هل هاتفك محاسب؟</v>
      </c>
    </row>
    <row r="7193" ht="15.75" customHeight="1">
      <c r="A7193" s="12" t="s">
        <v>14627</v>
      </c>
      <c r="B7193" s="13" t="s">
        <v>14628</v>
      </c>
      <c r="C7193" s="14" t="s">
        <v>14629</v>
      </c>
      <c r="D7193" s="1" t="str">
        <f>IFERROR(__xludf.DUMMYFUNCTION("GOOGLETRANSLATE(A7193 , ""auto"", ""ar"")"),"كان لديك نفس الأفكار مثلي!")</f>
        <v>كان لديك نفس الأفكار مثلي!</v>
      </c>
    </row>
    <row r="7194" ht="15.75" customHeight="1">
      <c r="A7194" s="12" t="s">
        <v>14630</v>
      </c>
      <c r="B7194" s="13" t="s">
        <v>14631</v>
      </c>
      <c r="C7194" s="14" t="s">
        <v>14632</v>
      </c>
      <c r="D7194" s="1" t="str">
        <f>IFERROR(__xludf.DUMMYFUNCTION("GOOGLETRANSLATE(A7194 , ""auto"", ""ar"")"),"ليس لدي أي بطارية")</f>
        <v>ليس لدي أي بطارية</v>
      </c>
    </row>
    <row r="7195" ht="15.75" customHeight="1">
      <c r="A7195" s="12" t="s">
        <v>14633</v>
      </c>
      <c r="B7195" s="13" t="s">
        <v>14634</v>
      </c>
      <c r="C7195" s="14" t="s">
        <v>14635</v>
      </c>
      <c r="D7195" s="1" t="str">
        <f>IFERROR(__xludf.DUMMYFUNCTION("GOOGLETRANSLATE(A7195 , ""auto"", ""ar"")"),"وإلى جانب ذلك ، ليس لدينا إشارة")</f>
        <v>وإلى جانب ذلك ، ليس لدينا إشارة</v>
      </c>
    </row>
    <row r="7196" ht="15.75" customHeight="1">
      <c r="A7196" s="12" t="s">
        <v>14636</v>
      </c>
      <c r="B7196" s="13" t="s">
        <v>14637</v>
      </c>
      <c r="C7196" s="14" t="s">
        <v>14638</v>
      </c>
      <c r="D7196" s="1" t="str">
        <f>IFERROR(__xludf.DUMMYFUNCTION("GOOGLETRANSLATE(A7196 , ""auto"", ""ar"")"),"سنحتاج إلى الاعتماد على هاتفي")</f>
        <v>سنحتاج إلى الاعتماد على هاتفي</v>
      </c>
    </row>
    <row r="7197" ht="15.75" customHeight="1">
      <c r="A7197" s="12" t="s">
        <v>14639</v>
      </c>
      <c r="B7197" s="13" t="s">
        <v>14640</v>
      </c>
      <c r="C7197" s="14" t="s">
        <v>14641</v>
      </c>
      <c r="D7197" s="1" t="str">
        <f>IFERROR(__xludf.DUMMYFUNCTION("GOOGLETRANSLATE(A7197 , ""auto"", ""ar"")"),"يا عزيزي ستكون هذه مشكلة")</f>
        <v>يا عزيزي ستكون هذه مشكلة</v>
      </c>
    </row>
    <row r="7198" ht="15.75" customHeight="1">
      <c r="A7198" s="12" t="s">
        <v>14642</v>
      </c>
      <c r="B7198" s="13" t="s">
        <v>14643</v>
      </c>
      <c r="C7198" s="14" t="s">
        <v>14644</v>
      </c>
      <c r="D7198" s="1" t="str">
        <f>IFERROR(__xludf.DUMMYFUNCTION("GOOGLETRANSLATE(A7198 , ""auto"", ""ar"")"),"من الأفضل أن نتقدم")</f>
        <v>من الأفضل أن نتقدم</v>
      </c>
    </row>
    <row r="7199" ht="15.75" customHeight="1">
      <c r="A7199" s="12" t="s">
        <v>13992</v>
      </c>
      <c r="B7199" s="13" t="s">
        <v>14645</v>
      </c>
      <c r="C7199" s="14" t="s">
        <v>14646</v>
      </c>
      <c r="D7199" s="1" t="str">
        <f>IFERROR(__xludf.DUMMYFUNCTION("GOOGLETRANSLATE(A7199 , ""auto"", ""ar"")"),"انتظر!")</f>
        <v>انتظر!</v>
      </c>
    </row>
    <row r="7200" ht="15.75" customHeight="1">
      <c r="A7200" s="12" t="s">
        <v>14647</v>
      </c>
      <c r="B7200" s="13" t="s">
        <v>14648</v>
      </c>
      <c r="C7200" s="14" t="s">
        <v>14649</v>
      </c>
      <c r="D7200" s="1" t="str">
        <f>IFERROR(__xludf.DUMMYFUNCTION("GOOGLETRANSLATE(A7200 , ""auto"", ""ar"")"),"أين تغرب الشمس؟")</f>
        <v>أين تغرب الشمس؟</v>
      </c>
    </row>
    <row r="7201" ht="15.75" customHeight="1">
      <c r="A7201" s="12" t="s">
        <v>14647</v>
      </c>
      <c r="B7201" s="13" t="s">
        <v>14650</v>
      </c>
      <c r="C7201" s="14" t="s">
        <v>14651</v>
      </c>
      <c r="D7201" s="1" t="str">
        <f>IFERROR(__xludf.DUMMYFUNCTION("GOOGLETRANSLATE(A7201 , ""auto"", ""ar"")"),"أين تغرب الشمس؟")</f>
        <v>أين تغرب الشمس؟</v>
      </c>
    </row>
    <row r="7202" ht="15.75" customHeight="1">
      <c r="A7202" s="12" t="s">
        <v>14652</v>
      </c>
      <c r="B7202" s="13" t="s">
        <v>14653</v>
      </c>
      <c r="C7202" s="14" t="s">
        <v>14654</v>
      </c>
      <c r="D7202" s="1" t="str">
        <f>IFERROR(__xludf.DUMMYFUNCTION("GOOGLETRANSLATE(A7202 , ""auto"", ""ar"")"),"إنه يضع في هذا الاتجاه")</f>
        <v>إنه يضع في هذا الاتجاه</v>
      </c>
    </row>
    <row r="7203" ht="15.75" customHeight="1">
      <c r="A7203" s="12" t="s">
        <v>14655</v>
      </c>
      <c r="B7203" s="13" t="s">
        <v>14656</v>
      </c>
      <c r="C7203" s="14" t="s">
        <v>14657</v>
      </c>
      <c r="D7203" s="1" t="str">
        <f>IFERROR(__xludf.DUMMYFUNCTION("GOOGLETRANSLATE(A7203 , ""auto"", ""ar"")"),"يجب أن يكون الغرب!")</f>
        <v>يجب أن يكون الغرب!</v>
      </c>
    </row>
    <row r="7204" ht="15.75" customHeight="1">
      <c r="A7204" s="12" t="s">
        <v>14658</v>
      </c>
      <c r="B7204" s="13" t="s">
        <v>14659</v>
      </c>
      <c r="C7204" s="14" t="s">
        <v>14660</v>
      </c>
      <c r="D7204" s="1" t="str">
        <f>IFERROR(__xludf.DUMMYFUNCTION("GOOGLETRANSLATE(A7204 , ""auto"", ""ar"")"),"مرحبا ملكة جمال سميث")</f>
        <v>مرحبا ملكة جمال سميث</v>
      </c>
    </row>
    <row r="7205" ht="15.75" customHeight="1">
      <c r="A7205" s="12" t="s">
        <v>14661</v>
      </c>
      <c r="B7205" s="13" t="s">
        <v>14662</v>
      </c>
      <c r="C7205" s="14" t="s">
        <v>14663</v>
      </c>
      <c r="D7205" s="1" t="str">
        <f>IFERROR(__xludf.DUMMYFUNCTION("GOOGLETRANSLATE(A7205 , ""auto"", ""ar"")"),"هل يمكن أن تشرح كيف أقوم بهذا العمل من فضلك؟")</f>
        <v>هل يمكن أن تشرح كيف أقوم بهذا العمل من فضلك؟</v>
      </c>
    </row>
    <row r="7206" ht="15.75" customHeight="1">
      <c r="A7206" s="12" t="s">
        <v>14664</v>
      </c>
      <c r="B7206" s="13" t="s">
        <v>14665</v>
      </c>
      <c r="C7206" s="14" t="s">
        <v>14666</v>
      </c>
      <c r="D7206" s="1" t="str">
        <f>IFERROR(__xludf.DUMMYFUNCTION("GOOGLETRANSLATE(A7206 , ""auto"", ""ar"")"),"أنا لا أفهم حقًا ما يجب علي فعله")</f>
        <v>أنا لا أفهم حقًا ما يجب علي فعله</v>
      </c>
    </row>
    <row r="7207" ht="15.75" customHeight="1">
      <c r="A7207" s="12" t="s">
        <v>14667</v>
      </c>
      <c r="B7207" s="13" t="s">
        <v>14668</v>
      </c>
      <c r="C7207" s="14" t="s">
        <v>14669</v>
      </c>
      <c r="D7207" s="1" t="str">
        <f>IFERROR(__xludf.DUMMYFUNCTION("GOOGLETRANSLATE(A7207 , ""auto"", ""ar"")"),"ما أطلب منك")</f>
        <v>ما أطلب منك</v>
      </c>
    </row>
    <row r="7208" ht="15.75" customHeight="1">
      <c r="A7208" s="12" t="s">
        <v>14670</v>
      </c>
      <c r="B7208" s="13" t="s">
        <v>14671</v>
      </c>
      <c r="C7208" s="14" t="s">
        <v>14672</v>
      </c>
      <c r="D7208" s="1" t="str">
        <f>IFERROR(__xludf.DUMMYFUNCTION("GOOGLETRANSLATE(A7208 , ""auto"", ""ar"")"),"إنه جهد جماعي")</f>
        <v>إنه جهد جماعي</v>
      </c>
    </row>
    <row r="7209" ht="15.75" customHeight="1">
      <c r="A7209" s="12" t="s">
        <v>14673</v>
      </c>
      <c r="B7209" s="13" t="s">
        <v>14674</v>
      </c>
      <c r="C7209" s="14" t="s">
        <v>14675</v>
      </c>
      <c r="D7209" s="1" t="str">
        <f>IFERROR(__xludf.DUMMYFUNCTION("GOOGLETRANSLATE(A7209 , ""auto"", ""ar"")"),"مع الطلاب الآخرين")</f>
        <v>مع الطلاب الآخرين</v>
      </c>
    </row>
    <row r="7210" ht="15.75" customHeight="1">
      <c r="A7210" s="12" t="s">
        <v>14676</v>
      </c>
      <c r="B7210" s="13" t="s">
        <v>14677</v>
      </c>
      <c r="C7210" s="14" t="s">
        <v>14678</v>
      </c>
      <c r="D7210" s="1" t="str">
        <f>IFERROR(__xludf.DUMMYFUNCTION("GOOGLETRANSLATE(A7210 , ""auto"", ""ar"")"),"يجب عليك تجميع مجموعات من ثلاثة طلاب")</f>
        <v>يجب عليك تجميع مجموعات من ثلاثة طلاب</v>
      </c>
    </row>
    <row r="7211" ht="15.75" customHeight="1">
      <c r="A7211" s="12" t="s">
        <v>14679</v>
      </c>
      <c r="B7211" s="13" t="s">
        <v>14680</v>
      </c>
      <c r="C7211" s="14" t="s">
        <v>14681</v>
      </c>
      <c r="D7211" s="1" t="str">
        <f>IFERROR(__xludf.DUMMYFUNCTION("GOOGLETRANSLATE(A7211 , ""auto"", ""ar"")"),"وإعداد تجربة كيمياء")</f>
        <v>وإعداد تجربة كيمياء</v>
      </c>
    </row>
    <row r="7212" ht="15.75" customHeight="1">
      <c r="A7212" s="12" t="s">
        <v>14682</v>
      </c>
      <c r="B7212" s="13" t="s">
        <v>14683</v>
      </c>
      <c r="C7212" s="14" t="s">
        <v>14684</v>
      </c>
      <c r="D7212" s="1" t="str">
        <f>IFERROR(__xludf.DUMMYFUNCTION("GOOGLETRANSLATE(A7212 , ""auto"", ""ar"")"),"لتقديمها عن طريق الفم للطلاب الآخرين")</f>
        <v>لتقديمها عن طريق الفم للطلاب الآخرين</v>
      </c>
    </row>
    <row r="7213" ht="15.75" customHeight="1">
      <c r="A7213" s="12" t="s">
        <v>13949</v>
      </c>
      <c r="B7213" s="13" t="s">
        <v>14685</v>
      </c>
      <c r="C7213" s="14" t="s">
        <v>14686</v>
      </c>
      <c r="D7213" s="1" t="str">
        <f>IFERROR(__xludf.DUMMYFUNCTION("GOOGLETRANSLATE(A7213 , ""auto"", ""ar"")"),"صراحة")</f>
        <v>صراحة</v>
      </c>
    </row>
    <row r="7214" ht="15.75" customHeight="1">
      <c r="A7214" s="12" t="s">
        <v>14687</v>
      </c>
      <c r="B7214" s="13" t="s">
        <v>14688</v>
      </c>
      <c r="C7214" s="14" t="s">
        <v>14689</v>
      </c>
      <c r="D7214" s="1" t="str">
        <f>IFERROR(__xludf.DUMMYFUNCTION("GOOGLETRANSLATE(A7214 , ""auto"", ""ar"")"),"لا أحب العمل في فريق عندما انتهى بي الأمر")</f>
        <v>لا أحب العمل في فريق عندما انتهى بي الأمر</v>
      </c>
    </row>
    <row r="7215" ht="15.75" customHeight="1">
      <c r="A7215" s="12" t="s">
        <v>14690</v>
      </c>
      <c r="B7215" s="13" t="s">
        <v>14691</v>
      </c>
      <c r="C7215" s="14" t="s">
        <v>14692</v>
      </c>
      <c r="D7215" s="1" t="str">
        <f>IFERROR(__xludf.DUMMYFUNCTION("GOOGLETRANSLATE(A7215 , ""auto"", ""ar"")"),"وبقية الفريق يأخذ الائتمان")</f>
        <v>وبقية الفريق يأخذ الائتمان</v>
      </c>
    </row>
    <row r="7216" ht="15.75" customHeight="1">
      <c r="A7216" s="12" t="s">
        <v>14693</v>
      </c>
      <c r="B7216" s="13" t="s">
        <v>14694</v>
      </c>
      <c r="C7216" s="14" t="s">
        <v>14695</v>
      </c>
      <c r="D7216" s="1" t="str">
        <f>IFERROR(__xludf.DUMMYFUNCTION("GOOGLETRANSLATE(A7216 , ""auto"", ""ar"")"),"سأقوم بتقييمها")</f>
        <v>سأقوم بتقييمها</v>
      </c>
    </row>
    <row r="7217" ht="15.75" customHeight="1">
      <c r="A7217" s="12" t="s">
        <v>14696</v>
      </c>
      <c r="B7217" s="13" t="s">
        <v>14697</v>
      </c>
      <c r="C7217" s="14" t="s">
        <v>14698</v>
      </c>
      <c r="D7217" s="1" t="str">
        <f>IFERROR(__xludf.DUMMYFUNCTION("GOOGLETRANSLATE(A7217 , ""auto"", ""ar"")"),"هذا عادل")</f>
        <v>هذا عادل</v>
      </c>
    </row>
    <row r="7218" ht="15.75" customHeight="1">
      <c r="A7218" s="12" t="s">
        <v>14696</v>
      </c>
      <c r="B7218" s="13" t="s">
        <v>14699</v>
      </c>
      <c r="C7218" s="14" t="s">
        <v>14700</v>
      </c>
      <c r="D7218" s="1" t="str">
        <f>IFERROR(__xludf.DUMMYFUNCTION("GOOGLETRANSLATE(A7218 , ""auto"", ""ar"")"),"هذا عادل")</f>
        <v>هذا عادل</v>
      </c>
    </row>
    <row r="7219" ht="15.75" customHeight="1">
      <c r="A7219" s="12" t="s">
        <v>14701</v>
      </c>
      <c r="B7219" s="13" t="s">
        <v>14702</v>
      </c>
      <c r="C7219" s="14" t="s">
        <v>14703</v>
      </c>
      <c r="D7219" s="1" t="str">
        <f>IFERROR(__xludf.DUMMYFUNCTION("GOOGLETRANSLATE(A7219 , ""auto"", ""ar"")"),"سأختار بعض الأشخاص الذين لا أعمل معهم عادة")</f>
        <v>سأختار بعض الأشخاص الذين لا أعمل معهم عادة</v>
      </c>
    </row>
    <row r="7220" ht="15.75" customHeight="1">
      <c r="A7220" s="12" t="s">
        <v>14704</v>
      </c>
      <c r="B7220" s="13" t="s">
        <v>14705</v>
      </c>
      <c r="C7220" s="14" t="s">
        <v>14706</v>
      </c>
      <c r="D7220" s="1" t="str">
        <f>IFERROR(__xludf.DUMMYFUNCTION("GOOGLETRANSLATE(A7220 , ""auto"", ""ar"")"),"ما هي المدة التي يتعين علينا إعداد التجربة؟")</f>
        <v>ما هي المدة التي يتعين علينا إعداد التجربة؟</v>
      </c>
    </row>
    <row r="7221" ht="15.75" customHeight="1">
      <c r="A7221" s="12" t="s">
        <v>14707</v>
      </c>
      <c r="B7221" s="13" t="s">
        <v>14708</v>
      </c>
      <c r="C7221" s="14" t="s">
        <v>14709</v>
      </c>
      <c r="D7221" s="1" t="str">
        <f>IFERROR(__xludf.DUMMYFUNCTION("GOOGLETRANSLATE(A7221 , ""auto"", ""ar"")"),"ما هي مدة العرض الفموي؟")</f>
        <v>ما هي مدة العرض الفموي؟</v>
      </c>
    </row>
    <row r="7222" ht="15.75" customHeight="1">
      <c r="A7222" s="12" t="s">
        <v>14710</v>
      </c>
      <c r="B7222" s="13" t="s">
        <v>14711</v>
      </c>
      <c r="C7222" s="14" t="s">
        <v>14712</v>
      </c>
      <c r="D7222" s="1" t="str">
        <f>IFERROR(__xludf.DUMMYFUNCTION("GOOGLETRANSLATE(A7222 , ""auto"", ""ar"")"),"لديك 15 يومًا قبل تاريخ العرض التقديمي لإنجاز المهمة")</f>
        <v>لديك 15 يومًا قبل تاريخ العرض التقديمي لإنجاز المهمة</v>
      </c>
    </row>
    <row r="7223" ht="15.75" customHeight="1">
      <c r="A7223" s="12" t="s">
        <v>14713</v>
      </c>
      <c r="B7223" s="13" t="s">
        <v>14714</v>
      </c>
      <c r="C7223" s="14" t="s">
        <v>14715</v>
      </c>
      <c r="D7223" s="1" t="str">
        <f>IFERROR(__xludf.DUMMYFUNCTION("GOOGLETRANSLATE(A7223 , ""auto"", ""ar"")"),"ويوم التجريب")</f>
        <v>ويوم التجريب</v>
      </c>
    </row>
    <row r="7224" ht="15.75" customHeight="1">
      <c r="A7224" s="12" t="s">
        <v>6509</v>
      </c>
      <c r="B7224" s="13" t="s">
        <v>14716</v>
      </c>
      <c r="C7224" s="14" t="s">
        <v>14717</v>
      </c>
      <c r="D7224" s="1" t="str">
        <f>IFERROR(__xludf.DUMMYFUNCTION("GOOGLETRANSLATE(A7224 , ""auto"", ""ar"")"),"عشر دقائق")</f>
        <v>عشر دقائق</v>
      </c>
    </row>
    <row r="7225" ht="15.75" customHeight="1">
      <c r="A7225" s="12" t="s">
        <v>14718</v>
      </c>
      <c r="B7225" s="13" t="s">
        <v>14719</v>
      </c>
      <c r="C7225" s="14" t="s">
        <v>14720</v>
      </c>
      <c r="D7225" s="1" t="str">
        <f>IFERROR(__xludf.DUMMYFUNCTION("GOOGLETRANSLATE(A7225 , ""auto"", ""ar"")"),"عشرين دقيقة من العرض عن طريق الفم مع الشرائح")</f>
        <v>عشرين دقيقة من العرض عن طريق الفم مع الشرائح</v>
      </c>
    </row>
    <row r="7226" ht="15.75" customHeight="1">
      <c r="A7226" s="12" t="s">
        <v>14721</v>
      </c>
      <c r="B7226" s="13" t="s">
        <v>14722</v>
      </c>
      <c r="C7226" s="14" t="s">
        <v>14723</v>
      </c>
      <c r="D7226" s="1" t="str">
        <f>IFERROR(__xludf.DUMMYFUNCTION("GOOGLETRANSLATE(A7226 , ""auto"", ""ar"")"),"لدي الكثير من المواعيد النهائية من المعلمين الآخرين")</f>
        <v>لدي الكثير من المواعيد النهائية من المعلمين الآخرين</v>
      </c>
    </row>
    <row r="7227" ht="15.75" customHeight="1">
      <c r="A7227" s="12" t="s">
        <v>14724</v>
      </c>
      <c r="B7227" s="13" t="s">
        <v>14725</v>
      </c>
      <c r="C7227" s="14" t="s">
        <v>14726</v>
      </c>
      <c r="D7227" s="1" t="str">
        <f>IFERROR(__xludf.DUMMYFUNCTION("GOOGLETRANSLATE(A7227 , ""auto"", ""ar"")"),"هل من الممكن الحصول على تمديد؟")</f>
        <v>هل من الممكن الحصول على تمديد؟</v>
      </c>
    </row>
    <row r="7228" ht="15.75" customHeight="1">
      <c r="A7228" s="12" t="s">
        <v>14727</v>
      </c>
      <c r="B7228" s="13" t="s">
        <v>14728</v>
      </c>
      <c r="C7228" s="14" t="s">
        <v>14729</v>
      </c>
      <c r="D7228" s="1" t="str">
        <f>IFERROR(__xludf.DUMMYFUNCTION("GOOGLETRANSLATE(A7228 , ""auto"", ""ar"")"),"يبدو الأمر صعبًا بعض الشيء")</f>
        <v>يبدو الأمر صعبًا بعض الشيء</v>
      </c>
    </row>
    <row r="7229" ht="15.75" customHeight="1">
      <c r="A7229" s="12" t="s">
        <v>14730</v>
      </c>
      <c r="B7229" s="13" t="s">
        <v>14731</v>
      </c>
      <c r="C7229" s="14" t="s">
        <v>14732</v>
      </c>
      <c r="D7229" s="1" t="str">
        <f>IFERROR(__xludf.DUMMYFUNCTION("GOOGLETRANSLATE(A7229 , ""auto"", ""ar"")"),"لأنه لن يكون من العدل للطلاب الآخرين")</f>
        <v>لأنه لن يكون من العدل للطلاب الآخرين</v>
      </c>
    </row>
    <row r="7230" ht="15.75" customHeight="1">
      <c r="A7230" s="12" t="s">
        <v>14733</v>
      </c>
      <c r="B7230" s="13" t="s">
        <v>14734</v>
      </c>
      <c r="C7230" s="14" t="s">
        <v>14735</v>
      </c>
      <c r="D7230" s="1" t="str">
        <f>IFERROR(__xludf.DUMMYFUNCTION("GOOGLETRANSLATE(A7230 , ""auto"", ""ar"")"),"فكر في تجربة بسيطة للغاية!")</f>
        <v>فكر في تجربة بسيطة للغاية!</v>
      </c>
    </row>
    <row r="7231" ht="15.75" customHeight="1">
      <c r="A7231" s="12" t="s">
        <v>14736</v>
      </c>
      <c r="B7231" s="13" t="s">
        <v>14737</v>
      </c>
      <c r="C7231" s="14" t="s">
        <v>14738</v>
      </c>
      <c r="D7231" s="1" t="str">
        <f>IFERROR(__xludf.DUMMYFUNCTION("GOOGLETRANSLATE(A7231 , ""auto"", ""ar"")"),"الهدف هو تعليمك العمل كفريق واحد")</f>
        <v>الهدف هو تعليمك العمل كفريق واحد</v>
      </c>
    </row>
    <row r="7232" ht="15.75" customHeight="1">
      <c r="A7232" s="12" t="s">
        <v>14739</v>
      </c>
      <c r="B7232" s="13" t="s">
        <v>14740</v>
      </c>
      <c r="C7232" s="14" t="s">
        <v>14741</v>
      </c>
      <c r="D7232" s="1" t="str">
        <f>IFERROR(__xludf.DUMMYFUNCTION("GOOGLETRANSLATE(A7232 , ""auto"", ""ar"")"),"وامنح نفسك تجربة شفهية")</f>
        <v>وامنح نفسك تجربة شفهية</v>
      </c>
    </row>
    <row r="7233" ht="15.75" customHeight="1">
      <c r="A7233" s="12" t="s">
        <v>14742</v>
      </c>
      <c r="B7233" s="13" t="s">
        <v>14743</v>
      </c>
      <c r="C7233" s="14" t="s">
        <v>14744</v>
      </c>
      <c r="D7233" s="1" t="str">
        <f>IFERROR(__xludf.DUMMYFUNCTION("GOOGLETRANSLATE(A7233 , ""auto"", ""ar"")"),"كم عدد العلامات الموجودة؟")</f>
        <v>كم عدد العلامات الموجودة؟</v>
      </c>
    </row>
    <row r="7234" ht="15.75" customHeight="1">
      <c r="A7234" s="12" t="s">
        <v>14745</v>
      </c>
      <c r="B7234" s="13" t="s">
        <v>14746</v>
      </c>
      <c r="C7234" s="14" t="s">
        <v>14747</v>
      </c>
      <c r="D7234" s="1" t="str">
        <f>IFERROR(__xludf.DUMMYFUNCTION("GOOGLETRANSLATE(A7234 , ""auto"", ""ar"")"),"ثم الملاحظة 30 نقطة")</f>
        <v>ثم الملاحظة 30 نقطة</v>
      </c>
    </row>
    <row r="7235" ht="15.75" customHeight="1">
      <c r="A7235" s="12" t="s">
        <v>14748</v>
      </c>
      <c r="B7235" s="13" t="s">
        <v>14749</v>
      </c>
      <c r="C7235" s="14" t="s">
        <v>14750</v>
      </c>
      <c r="D7235" s="1" t="str">
        <f>IFERROR(__xludf.DUMMYFUNCTION("GOOGLETRANSLATE(A7235 , ""auto"", ""ar"")"),"عشر نقاط لها")</f>
        <v>عشر نقاط لها</v>
      </c>
    </row>
    <row r="7236" ht="15.75" customHeight="1">
      <c r="A7236" s="12" t="s">
        <v>14751</v>
      </c>
      <c r="B7236" s="13" t="s">
        <v>14752</v>
      </c>
      <c r="C7236" s="14" t="s">
        <v>14753</v>
      </c>
      <c r="D7236" s="1" t="str">
        <f>IFERROR(__xludf.DUMMYFUNCTION("GOOGLETRANSLATE(A7236 , ""auto"", ""ar"")"),"عشر نقاط للخطاب الشفهي")</f>
        <v>عشر نقاط للخطاب الشفهي</v>
      </c>
    </row>
    <row r="7237" ht="15.75" customHeight="1">
      <c r="A7237" s="12" t="s">
        <v>14754</v>
      </c>
      <c r="B7237" s="13" t="s">
        <v>14755</v>
      </c>
      <c r="C7237" s="14" t="s">
        <v>14756</v>
      </c>
      <c r="D7237" s="1" t="str">
        <f>IFERROR(__xludf.DUMMYFUNCTION("GOOGLETRANSLATE(A7237 , ""auto"", ""ar"")"),"وعشر نقاط حول القدرة على العمل كفريق واحد")</f>
        <v>وعشر نقاط حول القدرة على العمل كفريق واحد</v>
      </c>
    </row>
    <row r="7238" ht="15.75" customHeight="1">
      <c r="A7238" s="12" t="s">
        <v>14757</v>
      </c>
      <c r="B7238" s="13" t="s">
        <v>14758</v>
      </c>
      <c r="C7238" s="14" t="s">
        <v>14759</v>
      </c>
      <c r="D7238" s="1" t="str">
        <f>IFERROR(__xludf.DUMMYFUNCTION("GOOGLETRANSLATE(A7238 , ""auto"", ""ar"")"),"من الأفضل أن أعمل")</f>
        <v>من الأفضل أن أعمل</v>
      </c>
    </row>
    <row r="7239" ht="15.75" customHeight="1">
      <c r="A7239" s="12" t="s">
        <v>14760</v>
      </c>
      <c r="B7239" s="13" t="s">
        <v>14761</v>
      </c>
      <c r="C7239" s="14" t="s">
        <v>14762</v>
      </c>
      <c r="D7239" s="1" t="str">
        <f>IFERROR(__xludf.DUMMYFUNCTION("GOOGLETRANSLATE(A7239 , ""auto"", ""ar"")"),"ملكة جمال ، أعتقد أن إنذار الحريق قد انطلق للتو")</f>
        <v>ملكة جمال ، أعتقد أن إنذار الحريق قد انطلق للتو</v>
      </c>
    </row>
    <row r="7240" ht="15.75" customHeight="1">
      <c r="A7240" s="12" t="s">
        <v>14763</v>
      </c>
      <c r="B7240" s="13" t="s">
        <v>14764</v>
      </c>
      <c r="C7240" s="14" t="s">
        <v>14765</v>
      </c>
      <c r="D7240" s="1" t="str">
        <f>IFERROR(__xludf.DUMMYFUNCTION("GOOGLETRANSLATE(A7240 , ""auto"", ""ar"")"),"هل نحتاج إلى الإخلاء؟")</f>
        <v>هل نحتاج إلى الإخلاء؟</v>
      </c>
    </row>
    <row r="7241" ht="15.75" customHeight="1">
      <c r="A7241" s="12" t="s">
        <v>14766</v>
      </c>
      <c r="B7241" s="13" t="s">
        <v>14767</v>
      </c>
      <c r="C7241" s="14" t="s">
        <v>14768</v>
      </c>
      <c r="D7241" s="1" t="str">
        <f>IFERROR(__xludf.DUMMYFUNCTION("GOOGLETRANSLATE(A7241 , ""auto"", ""ar"")"),"يمكن أن يكون النار!")</f>
        <v>يمكن أن يكون النار!</v>
      </c>
    </row>
    <row r="7242" ht="15.75" customHeight="1">
      <c r="A7242" s="12" t="s">
        <v>14766</v>
      </c>
      <c r="B7242" s="13" t="s">
        <v>14769</v>
      </c>
      <c r="C7242" s="14" t="s">
        <v>14770</v>
      </c>
      <c r="D7242" s="1" t="str">
        <f>IFERROR(__xludf.DUMMYFUNCTION("GOOGLETRANSLATE(A7242 , ""auto"", ""ar"")"),"يمكن أن يكون النار!")</f>
        <v>يمكن أن يكون النار!</v>
      </c>
    </row>
    <row r="7243" ht="15.75" customHeight="1">
      <c r="A7243" s="12" t="s">
        <v>14771</v>
      </c>
      <c r="B7243" s="13" t="s">
        <v>14772</v>
      </c>
      <c r="C7243" s="14" t="s">
        <v>14773</v>
      </c>
      <c r="D7243" s="1" t="str">
        <f>IFERROR(__xludf.DUMMYFUNCTION("GOOGLETRANSLATE(A7243 , ""auto"", ""ar"")"),"دعنا نخرج من الغرفة بسرعة!")</f>
        <v>دعنا نخرج من الغرفة بسرعة!</v>
      </c>
    </row>
    <row r="7244" ht="15.75" customHeight="1">
      <c r="A7244" s="12" t="s">
        <v>14771</v>
      </c>
      <c r="B7244" s="13" t="s">
        <v>14774</v>
      </c>
      <c r="C7244" s="14" t="s">
        <v>14775</v>
      </c>
      <c r="D7244" s="1" t="str">
        <f>IFERROR(__xludf.DUMMYFUNCTION("GOOGLETRANSLATE(A7244 , ""auto"", ""ar"")"),"دعنا نخرج من الغرفة بسرعة!")</f>
        <v>دعنا نخرج من الغرفة بسرعة!</v>
      </c>
    </row>
    <row r="7245" ht="15.75" customHeight="1">
      <c r="A7245" s="12" t="s">
        <v>14776</v>
      </c>
      <c r="B7245" s="13" t="s">
        <v>14777</v>
      </c>
      <c r="C7245" s="14" t="s">
        <v>14778</v>
      </c>
      <c r="D7245" s="1" t="str">
        <f>IFERROR(__xludf.DUMMYFUNCTION("GOOGLETRANSLATE(A7245 , ""auto"", ""ar"")"),"أستاذ الكيمياء الآخر")</f>
        <v>أستاذ الكيمياء الآخر</v>
      </c>
    </row>
    <row r="7246" ht="15.75" customHeight="1">
      <c r="A7246" s="12" t="s">
        <v>14779</v>
      </c>
      <c r="B7246" s="13" t="s">
        <v>14780</v>
      </c>
      <c r="C7246" s="14" t="s">
        <v>14781</v>
      </c>
      <c r="D7246" s="1" t="str">
        <f>IFERROR(__xludf.DUMMYFUNCTION("GOOGLETRANSLATE(A7246 , ""auto"", ""ar"")"),"يقوم بالكثير من التجارب الجديدة")</f>
        <v>يقوم بالكثير من التجارب الجديدة</v>
      </c>
    </row>
    <row r="7247" ht="15.75" customHeight="1">
      <c r="A7247" s="12" t="s">
        <v>14782</v>
      </c>
      <c r="B7247" s="13" t="s">
        <v>14783</v>
      </c>
      <c r="C7247" s="14" t="s">
        <v>14784</v>
      </c>
      <c r="D7247" s="1" t="str">
        <f>IFERROR(__xludf.DUMMYFUNCTION("GOOGLETRANSLATE(A7247 , ""auto"", ""ar"")"),"لكنه قام بالفعل بإيقاف إنذار الحريق")</f>
        <v>لكنه قام بالفعل بإيقاف إنذار الحريق</v>
      </c>
    </row>
    <row r="7248" ht="15.75" customHeight="1">
      <c r="A7248" s="12" t="s">
        <v>14785</v>
      </c>
      <c r="B7248" s="13" t="s">
        <v>14786</v>
      </c>
      <c r="C7248" s="14" t="s">
        <v>14787</v>
      </c>
      <c r="D7248" s="1" t="str">
        <f>IFERROR(__xludf.DUMMYFUNCTION("GOOGLETRANSLATE(A7248 , ""auto"", ""ar"")"),"ربما سيتم فصله!")</f>
        <v>ربما سيتم فصله!</v>
      </c>
    </row>
    <row r="7249" ht="15.75" customHeight="1">
      <c r="A7249" s="12" t="s">
        <v>14788</v>
      </c>
      <c r="B7249" s="13" t="s">
        <v>14789</v>
      </c>
      <c r="C7249" s="14" t="s">
        <v>14790</v>
      </c>
      <c r="D7249" s="1" t="str">
        <f>IFERROR(__xludf.DUMMYFUNCTION("GOOGLETRANSLATE(A7249 , ""auto"", ""ar"")"),"مرحبًا ، أنا أفضل عندما ندخل في الهواء")</f>
        <v>مرحبًا ، أنا أفضل عندما ندخل في الهواء</v>
      </c>
    </row>
    <row r="7250" ht="15.75" customHeight="1">
      <c r="A7250" s="12" t="s">
        <v>14791</v>
      </c>
      <c r="B7250" s="13" t="s">
        <v>14792</v>
      </c>
      <c r="C7250" s="14" t="s">
        <v>14793</v>
      </c>
      <c r="D7250" s="1" t="str">
        <f>IFERROR(__xludf.DUMMYFUNCTION("GOOGLETRANSLATE(A7250 , ""auto"", ""ar"")"),"لماذا ، هل أنت خائف في وقت التخلص من؟")</f>
        <v>لماذا ، هل أنت خائف في وقت التخلص من؟</v>
      </c>
    </row>
    <row r="7251" ht="15.75" customHeight="1">
      <c r="A7251" s="12" t="s">
        <v>14794</v>
      </c>
      <c r="B7251" s="13" t="s">
        <v>14795</v>
      </c>
      <c r="C7251" s="14" t="s">
        <v>14796</v>
      </c>
      <c r="D7251" s="1" t="str">
        <f>IFERROR(__xludf.DUMMYFUNCTION("GOOGLETRANSLATE(A7251 , ""auto"", ""ar"")"),"أنا حقًا لا أحب الطيران على الإطلاق")</f>
        <v>أنا حقًا لا أحب الطيران على الإطلاق</v>
      </c>
    </row>
    <row r="7252" ht="15.75" customHeight="1">
      <c r="A7252" s="12" t="s">
        <v>14797</v>
      </c>
      <c r="B7252" s="13" t="s">
        <v>14798</v>
      </c>
      <c r="C7252" s="14" t="s">
        <v>14799</v>
      </c>
      <c r="D7252" s="1" t="str">
        <f>IFERROR(__xludf.DUMMYFUNCTION("GOOGLETRANSLATE(A7252 , ""auto"", ""ar"")"),"هل هذه هي المرة الأولى التي كنت فيها على متن طائرة؟")</f>
        <v>هل هذه هي المرة الأولى التي كنت فيها على متن طائرة؟</v>
      </c>
    </row>
    <row r="7253" ht="15.75" customHeight="1">
      <c r="A7253" s="12" t="s">
        <v>14800</v>
      </c>
      <c r="B7253" s="13" t="s">
        <v>14801</v>
      </c>
      <c r="C7253" s="14" t="s">
        <v>14802</v>
      </c>
      <c r="D7253" s="1" t="str">
        <f>IFERROR(__xludf.DUMMYFUNCTION("GOOGLETRANSLATE(A7253 , ""auto"", ""ar"")"),"إنه نقل آمن للغاية ، لست بحاجة إلى الذعر")</f>
        <v>إنه نقل آمن للغاية ، لست بحاجة إلى الذعر</v>
      </c>
    </row>
    <row r="7254" ht="15.75" customHeight="1">
      <c r="A7254" s="12" t="s">
        <v>14803</v>
      </c>
      <c r="B7254" s="13" t="s">
        <v>14804</v>
      </c>
      <c r="C7254" s="14" t="s">
        <v>14805</v>
      </c>
      <c r="D7254" s="1" t="str">
        <f>IFERROR(__xludf.DUMMYFUNCTION("GOOGLETRANSLATE(A7254 , ""auto"", ""ar"")"),"لقد سافرت عدة مرات")</f>
        <v>لقد سافرت عدة مرات</v>
      </c>
    </row>
    <row r="7255" ht="15.75" customHeight="1">
      <c r="A7255" s="12" t="s">
        <v>14806</v>
      </c>
      <c r="B7255" s="13" t="s">
        <v>14807</v>
      </c>
      <c r="C7255" s="14" t="s">
        <v>14808</v>
      </c>
      <c r="D7255" s="1" t="str">
        <f>IFERROR(__xludf.DUMMYFUNCTION("GOOGLETRANSLATE(A7255 , ""auto"", ""ar"")"),"أشعر بالتوتر في الصعود والهبوط")</f>
        <v>أشعر بالتوتر في الصعود والهبوط</v>
      </c>
    </row>
    <row r="7256" ht="15.75" customHeight="1">
      <c r="A7256" s="12" t="s">
        <v>14809</v>
      </c>
      <c r="B7256" s="13" t="s">
        <v>14810</v>
      </c>
      <c r="C7256" s="14" t="s">
        <v>14811</v>
      </c>
      <c r="D7256" s="1" t="str">
        <f>IFERROR(__xludf.DUMMYFUNCTION("GOOGLETRANSLATE(A7256 , ""auto"", ""ar"")"),"ومن الواضح أنه إذا كان هناك اضطراب")</f>
        <v>ومن الواضح أنه إذا كان هناك اضطراب</v>
      </c>
    </row>
    <row r="7257" ht="15.75" customHeight="1">
      <c r="A7257" s="12" t="s">
        <v>14812</v>
      </c>
      <c r="B7257" s="13" t="s">
        <v>14813</v>
      </c>
      <c r="C7257" s="14" t="s">
        <v>14814</v>
      </c>
      <c r="D7257" s="1" t="str">
        <f>IFERROR(__xludf.DUMMYFUNCTION("GOOGLETRANSLATE(A7257 , ""auto"", ""ar"")"),"تم تصميم الطائرات حتى تتمكن من مقاومة الاضطراب القوي للغاية")</f>
        <v>تم تصميم الطائرات حتى تتمكن من مقاومة الاضطراب القوي للغاية</v>
      </c>
    </row>
    <row r="7258" ht="15.75" customHeight="1">
      <c r="A7258" s="12" t="s">
        <v>14815</v>
      </c>
      <c r="B7258" s="13" t="s">
        <v>14816</v>
      </c>
      <c r="C7258" s="14" t="s">
        <v>14817</v>
      </c>
      <c r="D7258" s="1" t="str">
        <f>IFERROR(__xludf.DUMMYFUNCTION("GOOGLETRANSLATE(A7258 , ""auto"", ""ar"")"),"لايوجد ماتقلق عليه او منه")</f>
        <v>لايوجد ماتقلق عليه او منه</v>
      </c>
    </row>
    <row r="7259" ht="15.75" customHeight="1">
      <c r="A7259" s="12" t="s">
        <v>14818</v>
      </c>
      <c r="B7259" s="13" t="s">
        <v>14819</v>
      </c>
      <c r="C7259" s="14" t="s">
        <v>14820</v>
      </c>
      <c r="D7259" s="1" t="str">
        <f>IFERROR(__xludf.DUMMYFUNCTION("GOOGLETRANSLATE(A7259 , ""auto"", ""ar"")"),"أعرف النظرية ولكن القلق ليس عقلاني دائمًا")</f>
        <v>أعرف النظرية ولكن القلق ليس عقلاني دائمًا</v>
      </c>
    </row>
    <row r="7260" ht="15.75" customHeight="1">
      <c r="A7260" s="12" t="s">
        <v>14821</v>
      </c>
      <c r="B7260" s="13" t="s">
        <v>14822</v>
      </c>
      <c r="C7260" s="14" t="s">
        <v>14823</v>
      </c>
      <c r="D7260" s="1" t="str">
        <f>IFERROR(__xludf.DUMMYFUNCTION("GOOGLETRANSLATE(A7260 , ""auto"", ""ar"")"),"سأحاول الإغلاق وعدم التفكير في الأمر")</f>
        <v>سأحاول الإغلاق وعدم التفكير في الأمر</v>
      </c>
    </row>
    <row r="7261" ht="15.75" customHeight="1">
      <c r="A7261" s="12" t="s">
        <v>14824</v>
      </c>
      <c r="B7261" s="13" t="s">
        <v>14825</v>
      </c>
      <c r="C7261" s="14" t="s">
        <v>14826</v>
      </c>
      <c r="D7261" s="1" t="str">
        <f>IFERROR(__xludf.DUMMYFUNCTION("GOOGLETRANSLATE(A7261 , ""auto"", ""ar"")"),"تجاهلني إذا بدأت في التنفس")</f>
        <v>تجاهلني إذا بدأت في التنفس</v>
      </c>
    </row>
    <row r="7262" ht="15.75" customHeight="1">
      <c r="A7262" s="12" t="s">
        <v>14827</v>
      </c>
      <c r="B7262" s="13" t="s">
        <v>14828</v>
      </c>
      <c r="C7262" s="14" t="s">
        <v>14829</v>
      </c>
      <c r="D7262" s="1" t="str">
        <f>IFERROR(__xludf.DUMMYFUNCTION("GOOGLETRANSLATE(A7262 , ""auto"", ""ar"")"),"يجب أن تحاول النوم قليلاً ، وسوف تهدئة إجهادك")</f>
        <v>يجب أن تحاول النوم قليلاً ، وسوف تهدئة إجهادك</v>
      </c>
    </row>
    <row r="7263" ht="15.75" customHeight="1">
      <c r="A7263" s="12" t="s">
        <v>14830</v>
      </c>
      <c r="B7263" s="13" t="s">
        <v>14831</v>
      </c>
      <c r="C7263" s="14" t="s">
        <v>14832</v>
      </c>
      <c r="D7263" s="1" t="str">
        <f>IFERROR(__xludf.DUMMYFUNCTION("GOOGLETRANSLATE(A7263 , ""auto"", ""ar"")"),"أين تريد كوب من الشمبانيا؟")</f>
        <v>أين تريد كوب من الشمبانيا؟</v>
      </c>
    </row>
    <row r="7264" ht="15.75" customHeight="1">
      <c r="A7264" s="12" t="s">
        <v>14833</v>
      </c>
      <c r="B7264" s="13" t="s">
        <v>14834</v>
      </c>
      <c r="C7264" s="14" t="s">
        <v>14835</v>
      </c>
      <c r="D7264" s="1" t="str">
        <f>IFERROR(__xludf.DUMMYFUNCTION("GOOGLETRANSLATE(A7264 , ""auto"", ""ar"")"),"إنه يعمل أيضًا")</f>
        <v>إنه يعمل أيضًا</v>
      </c>
    </row>
    <row r="7265" ht="15.75" customHeight="1">
      <c r="A7265" s="12" t="s">
        <v>14836</v>
      </c>
      <c r="B7265" s="13" t="s">
        <v>14837</v>
      </c>
      <c r="C7265" s="14" t="s">
        <v>14838</v>
      </c>
      <c r="D7265" s="1" t="str">
        <f>IFERROR(__xludf.DUMMYFUNCTION("GOOGLETRANSLATE(A7265 , ""auto"", ""ar"")"),"أعتقد أن الشمبانيا تبدو أكثر متعة")</f>
        <v>أعتقد أن الشمبانيا تبدو أكثر متعة</v>
      </c>
    </row>
    <row r="7266" ht="15.75" customHeight="1">
      <c r="A7266" s="12" t="s">
        <v>14839</v>
      </c>
      <c r="B7266" s="13" t="s">
        <v>14840</v>
      </c>
      <c r="C7266" s="14" t="s">
        <v>14841</v>
      </c>
      <c r="D7266" s="1" t="str">
        <f>IFERROR(__xludf.DUMMYFUNCTION("GOOGLETRANSLATE(A7266 , ""auto"", ""ar"")"),"أنا لست واحداً للنوم في أماكن غريبة")</f>
        <v>أنا لست واحداً للنوم في أماكن غريبة</v>
      </c>
    </row>
    <row r="7267" ht="15.75" customHeight="1">
      <c r="A7267" s="12" t="s">
        <v>14842</v>
      </c>
      <c r="B7267" s="13" t="s">
        <v>14843</v>
      </c>
      <c r="C7267" s="14" t="s">
        <v>14844</v>
      </c>
      <c r="D7267" s="1" t="str">
        <f>IFERROR(__xludf.DUMMYFUNCTION("GOOGLETRANSLATE(A7267 , ""auto"", ""ar"")"),"هل تطير كثيرا؟")</f>
        <v>هل تطير كثيرا؟</v>
      </c>
    </row>
    <row r="7268" ht="15.75" customHeight="1">
      <c r="A7268" s="12" t="s">
        <v>14845</v>
      </c>
      <c r="B7268" s="13" t="s">
        <v>14846</v>
      </c>
      <c r="C7268" s="14" t="s">
        <v>14847</v>
      </c>
      <c r="D7268" s="1" t="str">
        <f>IFERROR(__xludf.DUMMYFUNCTION("GOOGLETRANSLATE(A7268 , ""auto"", ""ar"")"),"نعم ، في كثير من الأحيان")</f>
        <v>نعم ، في كثير من الأحيان</v>
      </c>
    </row>
    <row r="7269" ht="15.75" customHeight="1">
      <c r="A7269" s="12" t="s">
        <v>14848</v>
      </c>
      <c r="B7269" s="13" t="s">
        <v>14849</v>
      </c>
      <c r="C7269" s="14" t="s">
        <v>14850</v>
      </c>
      <c r="D7269" s="1" t="str">
        <f>IFERROR(__xludf.DUMMYFUNCTION("GOOGLETRANSLATE(A7269 , ""auto"", ""ar"")"),"لعملي")</f>
        <v>لعملي</v>
      </c>
    </row>
    <row r="7270" ht="15.75" customHeight="1">
      <c r="A7270" s="12" t="s">
        <v>14851</v>
      </c>
      <c r="B7270" s="13" t="s">
        <v>14852</v>
      </c>
      <c r="C7270" s="14" t="s">
        <v>14853</v>
      </c>
      <c r="D7270" s="1" t="str">
        <f>IFERROR(__xludf.DUMMYFUNCTION("GOOGLETRANSLATE(A7270 , ""auto"", ""ar"")"),"لأنني مسؤول عن العمل")</f>
        <v>لأنني مسؤول عن العمل</v>
      </c>
    </row>
    <row r="7271" ht="15.75" customHeight="1">
      <c r="A7271" s="12" t="s">
        <v>14854</v>
      </c>
      <c r="B7271" s="13" t="s">
        <v>14855</v>
      </c>
      <c r="C7271" s="14" t="s">
        <v>14856</v>
      </c>
      <c r="D7271" s="1" t="str">
        <f>IFERROR(__xludf.DUMMYFUNCTION("GOOGLETRANSLATE(A7271 , ""auto"", ""ar"")"),"يجب أن أزور الكثير من البلدان")</f>
        <v>يجب أن أزور الكثير من البلدان</v>
      </c>
    </row>
    <row r="7272" ht="15.75" customHeight="1">
      <c r="A7272" s="12" t="s">
        <v>14857</v>
      </c>
      <c r="B7272" s="13" t="s">
        <v>14858</v>
      </c>
      <c r="C7272" s="14" t="s">
        <v>14859</v>
      </c>
      <c r="D7272" s="1" t="str">
        <f>IFERROR(__xludf.DUMMYFUNCTION("GOOGLETRANSLATE(A7272 , ""auto"", ""ar"")"),"وأنت ، لأي سبب تسافر؟")</f>
        <v>وأنت ، لأي سبب تسافر؟</v>
      </c>
    </row>
    <row r="7273" ht="15.75" customHeight="1">
      <c r="A7273" s="12" t="s">
        <v>14860</v>
      </c>
      <c r="B7273" s="13" t="s">
        <v>14861</v>
      </c>
      <c r="C7273" s="14" t="s">
        <v>14862</v>
      </c>
      <c r="D7273" s="1" t="str">
        <f>IFERROR(__xludf.DUMMYFUNCTION("GOOGLETRANSLATE(A7273 , ""auto"", ""ar"")"),"الأشياء العائلية ، ابني يعيش في باريس")</f>
        <v>الأشياء العائلية ، ابني يعيش في باريس</v>
      </c>
    </row>
    <row r="7274" ht="15.75" customHeight="1">
      <c r="A7274" s="12" t="s">
        <v>14863</v>
      </c>
      <c r="B7274" s="13" t="s">
        <v>14864</v>
      </c>
      <c r="C7274" s="14" t="s">
        <v>14865</v>
      </c>
      <c r="D7274" s="1" t="str">
        <f>IFERROR(__xludf.DUMMYFUNCTION("GOOGLETRANSLATE(A7274 , ""auto"", ""ar"")"),"يأتي إلى المملكة المتحدة في كثير من الأحيان ولكن أطفاله قليلون جدًا على السفر كثيرًا")</f>
        <v>يأتي إلى المملكة المتحدة في كثير من الأحيان ولكن أطفاله قليلون جدًا على السفر كثيرًا</v>
      </c>
    </row>
    <row r="7275" ht="15.75" customHeight="1">
      <c r="A7275" s="12" t="s">
        <v>14866</v>
      </c>
      <c r="B7275" s="13" t="s">
        <v>14867</v>
      </c>
      <c r="C7275" s="14" t="s">
        <v>14868</v>
      </c>
      <c r="D7275" s="1" t="str">
        <f>IFERROR(__xludf.DUMMYFUNCTION("GOOGLETRANSLATE(A7275 , ""auto"", ""ar"")"),"كم مرة يمكنك رؤيتها؟")</f>
        <v>كم مرة يمكنك رؤيتها؟</v>
      </c>
    </row>
    <row r="7276" ht="15.75" customHeight="1">
      <c r="A7276" s="12" t="s">
        <v>14869</v>
      </c>
      <c r="B7276" s="13" t="s">
        <v>14870</v>
      </c>
      <c r="C7276" s="14" t="s">
        <v>14871</v>
      </c>
      <c r="D7276" s="1" t="str">
        <f>IFERROR(__xludf.DUMMYFUNCTION("GOOGLETRANSLATE(A7276 , ""auto"", ""ar"")"),"ما هي الأعمار لأحفادك؟")</f>
        <v>ما هي الأعمار لأحفادك؟</v>
      </c>
    </row>
    <row r="7277" ht="15.75" customHeight="1">
      <c r="A7277" s="12" t="s">
        <v>14872</v>
      </c>
      <c r="B7277" s="13" t="s">
        <v>14873</v>
      </c>
      <c r="C7277" s="14" t="s">
        <v>14874</v>
      </c>
      <c r="D7277" s="1" t="str">
        <f>IFERROR(__xludf.DUMMYFUNCTION("GOOGLETRANSLATE(A7277 , ""auto"", ""ar"")"),"ما هي أعمار بناتك؟")</f>
        <v>ما هي أعمار بناتك؟</v>
      </c>
    </row>
    <row r="7278" ht="15.75" customHeight="1">
      <c r="A7278" s="12" t="s">
        <v>14875</v>
      </c>
      <c r="B7278" s="13" t="s">
        <v>14876</v>
      </c>
      <c r="C7278" s="14" t="s">
        <v>14877</v>
      </c>
      <c r="D7278" s="1" t="str">
        <f>IFERROR(__xludf.DUMMYFUNCTION("GOOGLETRANSLATE(A7278 , ""auto"", ""ar"")"),"كنت تقصد أن تقول إنني لا أبدو قديمًا بما يكفي لأكون جدة!")</f>
        <v>كنت تقصد أن تقول إنني لا أبدو قديمًا بما يكفي لأكون جدة!</v>
      </c>
    </row>
    <row r="7279" ht="15.75" customHeight="1">
      <c r="A7279" s="12" t="s">
        <v>14878</v>
      </c>
      <c r="B7279" s="13" t="s">
        <v>14879</v>
      </c>
      <c r="C7279" s="14" t="s">
        <v>14880</v>
      </c>
      <c r="D7279" s="1" t="str">
        <f>IFERROR(__xludf.DUMMYFUNCTION("GOOGLETRANSLATE(A7279 , ""auto"", ""ar"")"),"أراهم كل 3 أشهر تقريبًا")</f>
        <v>أراهم كل 3 أشهر تقريبًا</v>
      </c>
    </row>
    <row r="7280" ht="15.75" customHeight="1">
      <c r="A7280" s="12" t="s">
        <v>14881</v>
      </c>
      <c r="B7280" s="13" t="s">
        <v>14882</v>
      </c>
      <c r="C7280" s="14" t="s">
        <v>14883</v>
      </c>
      <c r="D7280" s="1" t="str">
        <f>IFERROR(__xludf.DUMMYFUNCTION("GOOGLETRANSLATE(A7280 , ""auto"", ""ar"")"),"لكني ما زلت لا أحب الطيران ، على الرغم من أنني عندما أرى وجوههم المبتسمة ، فإن الأمر يستحق ضغطي")</f>
        <v>لكني ما زلت لا أحب الطيران ، على الرغم من أنني عندما أرى وجوههم المبتسمة ، فإن الأمر يستحق ضغطي</v>
      </c>
    </row>
    <row r="7281" ht="15.75" customHeight="1">
      <c r="A7281" s="12" t="s">
        <v>14884</v>
      </c>
      <c r="B7281" s="13" t="s">
        <v>14885</v>
      </c>
      <c r="C7281" s="14" t="s">
        <v>14886</v>
      </c>
      <c r="D7281" s="1" t="str">
        <f>IFERROR(__xludf.DUMMYFUNCTION("GOOGLETRANSLATE(A7281 , ""auto"", ""ar"")"),"هم 3 و 5")</f>
        <v>هم 3 و 5</v>
      </c>
    </row>
    <row r="7282" ht="15.75" customHeight="1">
      <c r="A7282" s="12" t="s">
        <v>14887</v>
      </c>
      <c r="B7282" s="13" t="s">
        <v>14888</v>
      </c>
      <c r="C7282" s="14" t="s">
        <v>14889</v>
      </c>
      <c r="D7282" s="1" t="str">
        <f>IFERROR(__xludf.DUMMYFUNCTION("GOOGLETRANSLATE(A7282 , ""auto"", ""ar"")"),"وأنا أفهم تماما")</f>
        <v>وأنا أفهم تماما</v>
      </c>
    </row>
    <row r="7283" ht="15.75" customHeight="1">
      <c r="A7283" s="12" t="s">
        <v>14890</v>
      </c>
      <c r="B7283" s="13" t="s">
        <v>14891</v>
      </c>
      <c r="C7283" s="14" t="s">
        <v>14892</v>
      </c>
      <c r="D7283" s="1" t="str">
        <f>IFERROR(__xludf.DUMMYFUNCTION("GOOGLETRANSLATE(A7283 , ""auto"", ""ar"")"),"لدي أيضا أحفاد")</f>
        <v>لدي أيضا أحفاد</v>
      </c>
    </row>
    <row r="7284" ht="15.75" customHeight="1">
      <c r="A7284" s="12" t="s">
        <v>14893</v>
      </c>
      <c r="B7284" s="13" t="s">
        <v>14894</v>
      </c>
      <c r="C7284" s="14" t="s">
        <v>14895</v>
      </c>
      <c r="D7284" s="1" t="str">
        <f>IFERROR(__xludf.DUMMYFUNCTION("GOOGLETRANSLATE(A7284 , ""auto"", ""ar"")"),"ما الذي تنوي فعله معهم في باريس؟")</f>
        <v>ما الذي تنوي فعله معهم في باريس؟</v>
      </c>
    </row>
    <row r="7285" ht="15.75" customHeight="1">
      <c r="A7285" s="12" t="s">
        <v>14896</v>
      </c>
      <c r="B7285" s="13" t="s">
        <v>14897</v>
      </c>
      <c r="C7285" s="14" t="s">
        <v>14898</v>
      </c>
      <c r="D7285" s="1" t="str">
        <f>IFERROR(__xludf.DUMMYFUNCTION("GOOGLETRANSLATE(A7285 , ""auto"", ""ar"")"),"خذهم إلى السيرك؟")</f>
        <v>خذهم إلى السيرك؟</v>
      </c>
    </row>
    <row r="7286" ht="15.75" customHeight="1">
      <c r="A7286" s="12" t="s">
        <v>14899</v>
      </c>
      <c r="B7286" s="13" t="s">
        <v>11656</v>
      </c>
      <c r="C7286" s="14" t="s">
        <v>11657</v>
      </c>
      <c r="D7286" s="1" t="str">
        <f>IFERROR(__xludf.DUMMYFUNCTION("GOOGLETRANSLATE(A7286 , ""auto"", ""ar"")"),"هذه فكرة جيدة")</f>
        <v>هذه فكرة جيدة</v>
      </c>
    </row>
    <row r="7287" ht="15.75" customHeight="1">
      <c r="A7287" s="12" t="s">
        <v>14900</v>
      </c>
      <c r="B7287" s="13" t="s">
        <v>14901</v>
      </c>
      <c r="C7287" s="14" t="s">
        <v>14902</v>
      </c>
      <c r="D7287" s="1" t="str">
        <f>IFERROR(__xludf.DUMMYFUNCTION("GOOGLETRANSLATE(A7287 , ""auto"", ""ar"")"),"أعتقد أنني قد أحاول أن أنام الآن بعد الشمبانيا")</f>
        <v>أعتقد أنني قد أحاول أن أنام الآن بعد الشمبانيا</v>
      </c>
    </row>
    <row r="7288" ht="15.75" customHeight="1">
      <c r="A7288" s="12" t="s">
        <v>14903</v>
      </c>
      <c r="B7288" s="13" t="s">
        <v>14904</v>
      </c>
      <c r="C7288" s="14" t="s">
        <v>14905</v>
      </c>
      <c r="D7288" s="1" t="str">
        <f>IFERROR(__xludf.DUMMYFUNCTION("GOOGLETRANSLATE(A7288 , ""auto"", ""ar"")"),"شكرا لمساعدتي في الهدوء")</f>
        <v>شكرا لمساعدتي في الهدوء</v>
      </c>
    </row>
    <row r="7289" ht="15.75" customHeight="1">
      <c r="A7289" s="12" t="s">
        <v>14906</v>
      </c>
      <c r="B7289" s="13" t="s">
        <v>14907</v>
      </c>
      <c r="C7289" s="14" t="s">
        <v>14908</v>
      </c>
      <c r="D7289" s="1" t="str">
        <f>IFERROR(__xludf.DUMMYFUNCTION("GOOGLETRANSLATE(A7289 , ""auto"", ""ar"")"),"لم أكن أتعامل بشكل جيد هذا الأسبوع")</f>
        <v>لم أكن أتعامل بشكل جيد هذا الأسبوع</v>
      </c>
    </row>
    <row r="7290" ht="15.75" customHeight="1">
      <c r="A7290" s="12" t="s">
        <v>14909</v>
      </c>
      <c r="B7290" s="13" t="s">
        <v>14910</v>
      </c>
      <c r="C7290" s="14" t="s">
        <v>14911</v>
      </c>
      <c r="D7290" s="1" t="str">
        <f>IFERROR(__xludf.DUMMYFUNCTION("GOOGLETRANSLATE(A7290 , ""auto"", ""ar"")"),"مهما فعلت")</f>
        <v>مهما فعلت</v>
      </c>
    </row>
    <row r="7291" ht="15.75" customHeight="1">
      <c r="A7291" s="12" t="s">
        <v>14912</v>
      </c>
      <c r="B7291" s="13" t="s">
        <v>14913</v>
      </c>
      <c r="C7291" s="14" t="s">
        <v>14914</v>
      </c>
      <c r="D7291" s="1" t="str">
        <f>IFERROR(__xludf.DUMMYFUNCTION("GOOGLETRANSLATE(A7291 , ""auto"", ""ar"")"),"لا أستطيع التوقف عن التفكير في الآيس كريم")</f>
        <v>لا أستطيع التوقف عن التفكير في الآيس كريم</v>
      </c>
    </row>
    <row r="7292" ht="15.75" customHeight="1">
      <c r="A7292" s="12" t="s">
        <v>14915</v>
      </c>
      <c r="B7292" s="13" t="s">
        <v>14916</v>
      </c>
      <c r="C7292" s="14" t="s">
        <v>14917</v>
      </c>
      <c r="D7292" s="1" t="str">
        <f>IFERROR(__xludf.DUMMYFUNCTION("GOOGLETRANSLATE(A7292 , ""auto"", ""ar"")"),"اين ما اذهب")</f>
        <v>اين ما اذهب</v>
      </c>
    </row>
    <row r="7293" ht="15.75" customHeight="1">
      <c r="A7293" s="12" t="s">
        <v>14918</v>
      </c>
      <c r="B7293" s="13" t="s">
        <v>14919</v>
      </c>
      <c r="C7293" s="14" t="s">
        <v>14920</v>
      </c>
      <c r="D7293" s="1" t="str">
        <f>IFERROR(__xludf.DUMMYFUNCTION("GOOGLETRANSLATE(A7293 , ""auto"", ""ar"")"),"ماذا يمكنني أن أفعل؟")</f>
        <v>ماذا يمكنني أن أفعل؟</v>
      </c>
    </row>
    <row r="7294" ht="15.75" customHeight="1">
      <c r="A7294" s="12" t="s">
        <v>14921</v>
      </c>
      <c r="B7294" s="13" t="s">
        <v>14922</v>
      </c>
      <c r="C7294" s="14" t="s">
        <v>14923</v>
      </c>
      <c r="D7294" s="1" t="str">
        <f>IFERROR(__xludf.DUMMYFUNCTION("GOOGLETRANSLATE(A7294 , ""auto"", ""ar"")"),"دعنا نقول مع الصعوبة الخاصة بك")</f>
        <v>دعنا نقول مع الصعوبة الخاصة بك</v>
      </c>
    </row>
    <row r="7295" ht="15.75" customHeight="1">
      <c r="A7295" s="12" t="s">
        <v>14924</v>
      </c>
      <c r="B7295" s="13" t="s">
        <v>14925</v>
      </c>
      <c r="C7295" s="14" t="s">
        <v>14926</v>
      </c>
      <c r="D7295" s="1" t="str">
        <f>IFERROR(__xludf.DUMMYFUNCTION("GOOGLETRANSLATE(A7295 , ""auto"", ""ar"")"),"هل تفكر دائمًا في الجليد؟")</f>
        <v>هل تفكر دائمًا في الجليد؟</v>
      </c>
    </row>
    <row r="7296" ht="15.75" customHeight="1">
      <c r="A7296" s="12" t="s">
        <v>14927</v>
      </c>
      <c r="B7296" s="13" t="s">
        <v>14928</v>
      </c>
      <c r="C7296" s="14" t="s">
        <v>14929</v>
      </c>
      <c r="D7296" s="1" t="str">
        <f>IFERROR(__xludf.DUMMYFUNCTION("GOOGLETRANSLATE(A7296 , ""auto"", ""ar"")"),"أو مرآة للنظر؟")</f>
        <v>أو مرآة للنظر؟</v>
      </c>
    </row>
    <row r="7297" ht="15.75" customHeight="1">
      <c r="A7297" s="12" t="s">
        <v>14930</v>
      </c>
      <c r="B7297" s="13" t="s">
        <v>14931</v>
      </c>
      <c r="C7297" s="14" t="s">
        <v>14932</v>
      </c>
      <c r="D7297" s="1" t="str">
        <f>IFERROR(__xludf.DUMMYFUNCTION("GOOGLETRANSLATE(A7297 , ""auto"", ""ar"")"),"لا أعتقد أن المرآة ستساعد")</f>
        <v>لا أعتقد أن المرآة ستساعد</v>
      </c>
    </row>
    <row r="7298" ht="15.75" customHeight="1">
      <c r="A7298" s="12" t="s">
        <v>14933</v>
      </c>
      <c r="B7298" s="13" t="s">
        <v>14934</v>
      </c>
      <c r="C7298" s="14" t="s">
        <v>14935</v>
      </c>
      <c r="D7298" s="1" t="str">
        <f>IFERROR(__xludf.DUMMYFUNCTION("GOOGLETRANSLATE(A7298 , ""auto"", ""ar"")"),"سوف يذكرني فقط بعدم قدرتي على المقاومة")</f>
        <v>سوف يذكرني فقط بعدم قدرتي على المقاومة</v>
      </c>
    </row>
    <row r="7299" ht="15.75" customHeight="1">
      <c r="A7299" s="12" t="s">
        <v>14936</v>
      </c>
      <c r="B7299" s="13" t="s">
        <v>14937</v>
      </c>
      <c r="C7299" s="14" t="s">
        <v>14938</v>
      </c>
      <c r="D7299" s="1" t="str">
        <f>IFERROR(__xludf.DUMMYFUNCTION("GOOGLETRANSLATE(A7299 , ""auto"", ""ar"")"),"لدي دائمًا آيس كريم حول فمي")</f>
        <v>لدي دائمًا آيس كريم حول فمي</v>
      </c>
    </row>
    <row r="7300" ht="15.75" customHeight="1">
      <c r="A7300" s="12" t="s">
        <v>14939</v>
      </c>
      <c r="B7300" s="13" t="s">
        <v>14940</v>
      </c>
      <c r="C7300" s="14" t="s">
        <v>14941</v>
      </c>
      <c r="D7300" s="1" t="str">
        <f>IFERROR(__xludf.DUMMYFUNCTION("GOOGLETRANSLATE(A7300 , ""auto"", ""ar"")"),"هل ترى")</f>
        <v>هل ترى</v>
      </c>
    </row>
    <row r="7301" ht="15.75" customHeight="1">
      <c r="A7301" s="12" t="s">
        <v>14942</v>
      </c>
      <c r="B7301" s="13" t="s">
        <v>14943</v>
      </c>
      <c r="C7301" s="14" t="s">
        <v>14944</v>
      </c>
      <c r="D7301" s="1" t="str">
        <f>IFERROR(__xludf.DUMMYFUNCTION("GOOGLETRANSLATE(A7301 , ""auto"", ""ar"")"),"لا أستطيع حتى التظاهر بأنه لا يحدث!")</f>
        <v>لا أستطيع حتى التظاهر بأنه لا يحدث!</v>
      </c>
    </row>
    <row r="7302" ht="15.75" customHeight="1">
      <c r="A7302" s="12" t="s">
        <v>14945</v>
      </c>
      <c r="B7302" s="13" t="s">
        <v>14946</v>
      </c>
      <c r="C7302" s="14" t="s">
        <v>14947</v>
      </c>
      <c r="D7302" s="1" t="str">
        <f>IFERROR(__xludf.DUMMYFUNCTION("GOOGLETRANSLATE(A7302 , ""auto"", ""ar"")"),"لذلك لديك رغبة لا يمكن كبحها من تناول الآيس كريم")</f>
        <v>لذلك لديك رغبة لا يمكن كبحها من تناول الآيس كريم</v>
      </c>
    </row>
    <row r="7303" ht="15.75" customHeight="1">
      <c r="A7303" s="12" t="s">
        <v>14948</v>
      </c>
      <c r="B7303" s="13" t="s">
        <v>14949</v>
      </c>
      <c r="C7303" s="14" t="s">
        <v>14950</v>
      </c>
      <c r="D7303" s="1" t="str">
        <f>IFERROR(__xludf.DUMMYFUNCTION("GOOGLETRANSLATE(A7303 , ""auto"", ""ar"")"),"هل هناك ظروف خاصة")</f>
        <v>هل هناك ظروف خاصة</v>
      </c>
    </row>
    <row r="7304" ht="15.75" customHeight="1">
      <c r="A7304" s="12" t="s">
        <v>14951</v>
      </c>
      <c r="B7304" s="13" t="s">
        <v>14952</v>
      </c>
      <c r="C7304" s="14" t="s">
        <v>14953</v>
      </c>
      <c r="D7304" s="1" t="str">
        <f>IFERROR(__xludf.DUMMYFUNCTION("GOOGLETRANSLATE(A7304 , ""auto"", ""ar"")"),"إنه خاصة في الليل")</f>
        <v>إنه خاصة في الليل</v>
      </c>
    </row>
    <row r="7305" ht="15.75" customHeight="1">
      <c r="A7305" s="12" t="s">
        <v>14954</v>
      </c>
      <c r="B7305" s="13" t="s">
        <v>14955</v>
      </c>
      <c r="C7305" s="14" t="s">
        <v>14956</v>
      </c>
      <c r="D7305" s="1" t="str">
        <f>IFERROR(__xludf.DUMMYFUNCTION("GOOGLETRANSLATE(A7305 , ""auto"", ""ar"")"),"أوراق أسراتي مغطاة بالآيس كريم")</f>
        <v>أوراق أسراتي مغطاة بالآيس كريم</v>
      </c>
    </row>
    <row r="7306" ht="15.75" customHeight="1">
      <c r="A7306" s="12" t="s">
        <v>14957</v>
      </c>
      <c r="B7306" s="13" t="s">
        <v>14958</v>
      </c>
      <c r="C7306" s="14" t="s">
        <v>14959</v>
      </c>
      <c r="D7306" s="1" t="str">
        <f>IFERROR(__xludf.DUMMYFUNCTION("GOOGLETRANSLATE(A7306 , ""auto"", ""ar"")"),"مريع")</f>
        <v>مريع</v>
      </c>
    </row>
    <row r="7307" ht="15.75" customHeight="1">
      <c r="A7307" s="12" t="s">
        <v>14960</v>
      </c>
      <c r="B7307" s="13" t="s">
        <v>14961</v>
      </c>
      <c r="C7307" s="14" t="s">
        <v>14962</v>
      </c>
      <c r="D7307" s="1" t="str">
        <f>IFERROR(__xludf.DUMMYFUNCTION("GOOGLETRANSLATE(A7307 , ""auto"", ""ar"")"),"خاصة عندما يتم تغطية القطة أيضًا!")</f>
        <v>خاصة عندما يتم تغطية القطة أيضًا!</v>
      </c>
    </row>
    <row r="7308" ht="15.75" customHeight="1">
      <c r="A7308" s="12" t="s">
        <v>14963</v>
      </c>
      <c r="B7308" s="13" t="s">
        <v>14964</v>
      </c>
      <c r="C7308" s="14" t="s">
        <v>14965</v>
      </c>
      <c r="D7308" s="1" t="str">
        <f>IFERROR(__xludf.DUMMYFUNCTION("GOOGLETRANSLATE(A7308 , ""auto"", ""ar"")"),"وخصوصا في الليل؟")</f>
        <v>وخصوصا في الليل؟</v>
      </c>
    </row>
    <row r="7309" ht="15.75" customHeight="1">
      <c r="A7309" s="12" t="s">
        <v>14966</v>
      </c>
      <c r="B7309" s="13" t="s">
        <v>14967</v>
      </c>
      <c r="C7309" s="14" t="s">
        <v>14968</v>
      </c>
      <c r="D7309" s="1" t="str">
        <f>IFERROR(__xludf.DUMMYFUNCTION("GOOGLETRANSLATE(A7309 , ""auto"", ""ar"")"),"هذا مثير جدا للاهتمام")</f>
        <v>هذا مثير جدا للاهتمام</v>
      </c>
    </row>
    <row r="7310" ht="15.75" customHeight="1">
      <c r="A7310" s="12" t="s">
        <v>14966</v>
      </c>
      <c r="B7310" s="13" t="s">
        <v>14969</v>
      </c>
      <c r="C7310" s="14" t="s">
        <v>14970</v>
      </c>
      <c r="D7310" s="1" t="str">
        <f>IFERROR(__xludf.DUMMYFUNCTION("GOOGLETRANSLATE(A7310 , ""auto"", ""ar"")"),"هذا مثير جدا للاهتمام")</f>
        <v>هذا مثير جدا للاهتمام</v>
      </c>
    </row>
    <row r="7311" ht="15.75" customHeight="1">
      <c r="A7311" s="12" t="s">
        <v>14971</v>
      </c>
      <c r="B7311" s="13" t="s">
        <v>14972</v>
      </c>
      <c r="C7311" s="14" t="s">
        <v>14973</v>
      </c>
      <c r="D7311" s="1" t="str">
        <f>IFERROR(__xludf.DUMMYFUNCTION("GOOGLETRANSLATE(A7311 , ""auto"", ""ar"")"),"هل تحلم أن تأكل الآيس كريم طوال الليل قبل أن تستيقظ وتأكلها؟")</f>
        <v>هل تحلم أن تأكل الآيس كريم طوال الليل قبل أن تستيقظ وتأكلها؟</v>
      </c>
    </row>
    <row r="7312" ht="15.75" customHeight="1">
      <c r="A7312" s="12" t="s">
        <v>14974</v>
      </c>
      <c r="B7312" s="13" t="s">
        <v>14975</v>
      </c>
      <c r="C7312" s="14" t="s">
        <v>14976</v>
      </c>
      <c r="D7312" s="1" t="str">
        <f>IFERROR(__xludf.DUMMYFUNCTION("GOOGLETRANSLATE(A7312 , ""auto"", ""ar"")"),"حتى عندما أكون نائما")</f>
        <v>حتى عندما أكون نائما</v>
      </c>
    </row>
    <row r="7313" ht="15.75" customHeight="1">
      <c r="A7313" s="12" t="s">
        <v>14977</v>
      </c>
      <c r="B7313" s="13" t="s">
        <v>14978</v>
      </c>
      <c r="C7313" s="14" t="s">
        <v>14979</v>
      </c>
      <c r="D7313" s="1" t="str">
        <f>IFERROR(__xludf.DUMMYFUNCTION("GOOGLETRANSLATE(A7313 , ""auto"", ""ar"")"),"بمجرد أن نسيت إغلاق الباب")</f>
        <v>بمجرد أن نسيت إغلاق الباب</v>
      </c>
    </row>
    <row r="7314" ht="15.75" customHeight="1">
      <c r="A7314" s="12" t="s">
        <v>14980</v>
      </c>
      <c r="B7314" s="13" t="s">
        <v>14981</v>
      </c>
      <c r="C7314" s="14" t="s">
        <v>14982</v>
      </c>
      <c r="D7314" s="1" t="str">
        <f>IFERROR(__xludf.DUMMYFUNCTION("GOOGLETRANSLATE(A7314 , ""auto"", ""ar"")"),"ثم لم يكن هناك المزيد من الآيس كريم لتناول الطعام على الإطلاق!")</f>
        <v>ثم لم يكن هناك المزيد من الآيس كريم لتناول الطعام على الإطلاق!</v>
      </c>
    </row>
    <row r="7315" ht="15.75" customHeight="1">
      <c r="A7315" s="12" t="s">
        <v>14983</v>
      </c>
      <c r="B7315" s="13" t="s">
        <v>14984</v>
      </c>
      <c r="C7315" s="14" t="s">
        <v>14985</v>
      </c>
      <c r="D7315" s="1" t="str">
        <f>IFERROR(__xludf.DUMMYFUNCTION("GOOGLETRANSLATE(A7315 , ""auto"", ""ar"")"),"إذن أنت تأكل الآيس كريم أثناء النوم؟")</f>
        <v>إذن أنت تأكل الآيس كريم أثناء النوم؟</v>
      </c>
    </row>
    <row r="7316" ht="15.75" customHeight="1">
      <c r="A7316" s="12" t="s">
        <v>14986</v>
      </c>
      <c r="B7316" s="13" t="s">
        <v>14987</v>
      </c>
      <c r="C7316" s="14" t="s">
        <v>14988</v>
      </c>
      <c r="D7316" s="1" t="str">
        <f>IFERROR(__xludf.DUMMYFUNCTION("GOOGLETRANSLATE(A7316 , ""auto"", ""ar"")"),"اخبرني عن طفولتك")</f>
        <v>اخبرني عن طفولتك</v>
      </c>
    </row>
    <row r="7317" ht="15.75" customHeight="1">
      <c r="A7317" s="12" t="s">
        <v>14989</v>
      </c>
      <c r="B7317" s="13" t="s">
        <v>14990</v>
      </c>
      <c r="C7317" s="14" t="s">
        <v>14991</v>
      </c>
      <c r="D7317" s="1" t="str">
        <f>IFERROR(__xludf.DUMMYFUNCTION("GOOGLETRANSLATE(A7317 , ""auto"", ""ar"")"),"هل واجهت تجربة غير سعيدة؟")</f>
        <v>هل واجهت تجربة غير سعيدة؟</v>
      </c>
    </row>
    <row r="7318" ht="15.75" customHeight="1">
      <c r="A7318" s="12" t="s">
        <v>14992</v>
      </c>
      <c r="B7318" s="13" t="s">
        <v>14993</v>
      </c>
      <c r="C7318" s="14" t="s">
        <v>14994</v>
      </c>
      <c r="D7318" s="1" t="str">
        <f>IFERROR(__xludf.DUMMYFUNCTION("GOOGLETRANSLATE(A7318 , ""auto"", ""ar"")"),"الصدمة المكبوتة ربما؟")</f>
        <v>الصدمة المكبوتة ربما؟</v>
      </c>
    </row>
    <row r="7319" ht="15.75" customHeight="1">
      <c r="A7319" s="12" t="s">
        <v>14995</v>
      </c>
      <c r="B7319" s="13" t="s">
        <v>14996</v>
      </c>
      <c r="C7319" s="14" t="s">
        <v>14997</v>
      </c>
      <c r="D7319" s="1" t="str">
        <f>IFERROR(__xludf.DUMMYFUNCTION("GOOGLETRANSLATE(A7319 , ""auto"", ""ar"")"),"حسنًا ، كان هناك هذا مرة واحدة عندما تساقطنا الثلوج")</f>
        <v>حسنًا ، كان هناك هذا مرة واحدة عندما تساقطنا الثلوج</v>
      </c>
    </row>
    <row r="7320" ht="15.75" customHeight="1">
      <c r="A7320" s="12" t="s">
        <v>14998</v>
      </c>
      <c r="B7320" s="13" t="s">
        <v>14999</v>
      </c>
      <c r="C7320" s="14" t="s">
        <v>15000</v>
      </c>
      <c r="D7320" s="1" t="str">
        <f>IFERROR(__xludf.DUMMYFUNCTION("GOOGLETRANSLATE(A7320 , ""auto"", ""ar"")"),"كان شتاء بارد حقا")</f>
        <v>كان شتاء بارد حقا</v>
      </c>
    </row>
    <row r="7321" ht="15.75" customHeight="1">
      <c r="A7321" s="12" t="s">
        <v>15001</v>
      </c>
      <c r="B7321" s="13" t="s">
        <v>15002</v>
      </c>
      <c r="C7321" s="14" t="s">
        <v>15003</v>
      </c>
      <c r="D7321" s="1" t="str">
        <f>IFERROR(__xludf.DUMMYFUNCTION("GOOGLETRANSLATE(A7321 , ""auto"", ""ar"")"),"وتساقط الثلوج لمدة أربعة أيام على التوالي")</f>
        <v>وتساقط الثلوج لمدة أربعة أيام على التوالي</v>
      </c>
    </row>
    <row r="7322" ht="15.75" customHeight="1">
      <c r="A7322" s="12" t="s">
        <v>15004</v>
      </c>
      <c r="B7322" s="13" t="s">
        <v>15005</v>
      </c>
      <c r="C7322" s="14" t="s">
        <v>15006</v>
      </c>
      <c r="D7322" s="1" t="str">
        <f>IFERROR(__xludf.DUMMYFUNCTION("GOOGLETRANSLATE(A7322 , ""auto"", ""ar"")"),"هل تعتقد أن هذا يمكن أن يلعب دورًا في كل هذا؟")</f>
        <v>هل تعتقد أن هذا يمكن أن يلعب دورًا في كل هذا؟</v>
      </c>
    </row>
    <row r="7323" ht="15.75" customHeight="1">
      <c r="A7323" s="12" t="s">
        <v>15007</v>
      </c>
      <c r="B7323" s="13" t="s">
        <v>15008</v>
      </c>
      <c r="C7323" s="14" t="s">
        <v>15009</v>
      </c>
      <c r="D7323" s="1" t="str">
        <f>IFERROR(__xludf.DUMMYFUNCTION("GOOGLETRANSLATE(A7323 , ""auto"", ""ar"")"),"الثلج ، الآيس كريم")</f>
        <v>الثلج ، الآيس كريم</v>
      </c>
    </row>
    <row r="7324" ht="15.75" customHeight="1">
      <c r="A7324" s="12" t="s">
        <v>15010</v>
      </c>
      <c r="B7324" s="13" t="s">
        <v>15011</v>
      </c>
      <c r="C7324" s="14" t="s">
        <v>15012</v>
      </c>
      <c r="D7324" s="1" t="str">
        <f>IFERROR(__xludf.DUMMYFUNCTION("GOOGLETRANSLATE(A7324 , ""auto"", ""ar"")"),"إنها قصة ممتعة للغاية")</f>
        <v>إنها قصة ممتعة للغاية</v>
      </c>
    </row>
    <row r="7325" ht="15.75" customHeight="1">
      <c r="A7325" s="12" t="s">
        <v>15013</v>
      </c>
      <c r="B7325" s="13" t="s">
        <v>15014</v>
      </c>
      <c r="C7325" s="14" t="s">
        <v>15015</v>
      </c>
      <c r="D7325" s="1" t="str">
        <f>IFERROR(__xludf.DUMMYFUNCTION("GOOGLETRANSLATE(A7325 , ""auto"", ""ar"")"),"لأنه يمكن أن يكون بالفعل نقطة انطلاق من صدمةك")</f>
        <v>لأنه يمكن أن يكون بالفعل نقطة انطلاق من صدمةك</v>
      </c>
    </row>
    <row r="7326" ht="15.75" customHeight="1">
      <c r="A7326" s="12" t="s">
        <v>15016</v>
      </c>
      <c r="B7326" s="13" t="s">
        <v>15017</v>
      </c>
      <c r="C7326" s="14" t="s">
        <v>15018</v>
      </c>
      <c r="D7326" s="1" t="str">
        <f>IFERROR(__xludf.DUMMYFUNCTION("GOOGLETRANSLATE(A7326 , ""auto"", ""ar"")"),"هل تستهلك الآيس كريم الأبيض؟")</f>
        <v>هل تستهلك الآيس كريم الأبيض؟</v>
      </c>
    </row>
    <row r="7327" ht="15.75" customHeight="1">
      <c r="A7327" s="12" t="s">
        <v>15019</v>
      </c>
      <c r="B7327" s="13" t="s">
        <v>15020</v>
      </c>
      <c r="C7327" s="14" t="s">
        <v>15021</v>
      </c>
      <c r="D7327" s="1" t="str">
        <f>IFERROR(__xludf.DUMMYFUNCTION("GOOGLETRANSLATE(A7327 , ""auto"", ""ar"")"),"أو البيج منها")</f>
        <v>أو البيج منها</v>
      </c>
    </row>
    <row r="7328" ht="15.75" customHeight="1">
      <c r="A7328" s="12" t="s">
        <v>15022</v>
      </c>
      <c r="B7328" s="13" t="s">
        <v>15023</v>
      </c>
      <c r="C7328" s="14" t="s">
        <v>15024</v>
      </c>
      <c r="D7328" s="1" t="str">
        <f>IFERROR(__xludf.DUMMYFUNCTION("GOOGLETRANSLATE(A7328 , ""auto"", ""ar"")"),"أفعل!")</f>
        <v>أفعل!</v>
      </c>
    </row>
    <row r="7329" ht="15.75" customHeight="1">
      <c r="A7329" s="12" t="s">
        <v>15025</v>
      </c>
      <c r="B7329" s="13" t="s">
        <v>15026</v>
      </c>
      <c r="C7329" s="14" t="s">
        <v>15027</v>
      </c>
      <c r="D7329" s="1" t="str">
        <f>IFERROR(__xludf.DUMMYFUNCTION("GOOGLETRANSLATE(A7329 , ""auto"", ""ar"")"),"المفضل لدي هو الفانيليا")</f>
        <v>المفضل لدي هو الفانيليا</v>
      </c>
    </row>
    <row r="7330" ht="15.75" customHeight="1">
      <c r="A7330" s="12" t="s">
        <v>15028</v>
      </c>
      <c r="B7330" s="13" t="s">
        <v>15029</v>
      </c>
      <c r="C7330" s="14" t="s">
        <v>15030</v>
      </c>
      <c r="D7330" s="1" t="str">
        <f>IFERROR(__xludf.DUMMYFUNCTION("GOOGLETRANSLATE(A7330 , ""auto"", ""ar"")"),"تليها جوز الهند")</f>
        <v>تليها جوز الهند</v>
      </c>
    </row>
    <row r="7331" ht="15.75" customHeight="1">
      <c r="A7331" s="12" t="s">
        <v>15031</v>
      </c>
      <c r="B7331" s="13" t="s">
        <v>15032</v>
      </c>
      <c r="C7331" s="14" t="s">
        <v>15033</v>
      </c>
      <c r="D7331" s="1" t="str">
        <f>IFERROR(__xludf.DUMMYFUNCTION("GOOGLETRANSLATE(A7331 , ""auto"", ""ar"")"),"لكني سأأكل أي نكهة تعطيني")</f>
        <v>لكني سأأكل أي نكهة تعطيني</v>
      </c>
    </row>
    <row r="7332" ht="15.75" customHeight="1">
      <c r="A7332" s="12" t="s">
        <v>15034</v>
      </c>
      <c r="B7332" s="13" t="s">
        <v>15035</v>
      </c>
      <c r="C7332" s="14" t="s">
        <v>15036</v>
      </c>
      <c r="D7332" s="1" t="str">
        <f>IFERROR(__xludf.DUMMYFUNCTION("GOOGLETRANSLATE(A7332 , ""auto"", ""ar"")"),"حسنًا ، حسنًا ، نحن ننتقل")</f>
        <v>حسنًا ، حسنًا ، نحن ننتقل</v>
      </c>
    </row>
    <row r="7333" ht="15.75" customHeight="1">
      <c r="A7333" s="12" t="s">
        <v>15037</v>
      </c>
      <c r="B7333" s="13" t="s">
        <v>15038</v>
      </c>
      <c r="C7333" s="14" t="s">
        <v>15039</v>
      </c>
      <c r="D7333" s="1" t="str">
        <f>IFERROR(__xludf.DUMMYFUNCTION("GOOGLETRANSLATE(A7333 , ""auto"", ""ar"")"),"كنت أقصد أن أسأل")</f>
        <v>كنت أقصد أن أسأل</v>
      </c>
    </row>
    <row r="7334" ht="15.75" customHeight="1">
      <c r="A7334" s="12" t="s">
        <v>15040</v>
      </c>
      <c r="B7334" s="13" t="s">
        <v>15041</v>
      </c>
      <c r="C7334" s="14" t="s">
        <v>15042</v>
      </c>
      <c r="D7334" s="1" t="str">
        <f>IFERROR(__xludf.DUMMYFUNCTION("GOOGLETRANSLATE(A7334 , ""auto"", ""ar"")"),"هل تريد بعض الآيس كريم؟")</f>
        <v>هل تريد بعض الآيس كريم؟</v>
      </c>
    </row>
    <row r="7335" ht="15.75" customHeight="1">
      <c r="A7335" s="12" t="s">
        <v>15043</v>
      </c>
      <c r="B7335" s="13" t="s">
        <v>15044</v>
      </c>
      <c r="C7335" s="14" t="s">
        <v>15045</v>
      </c>
      <c r="D7335" s="1" t="str">
        <f>IFERROR(__xludf.DUMMYFUNCTION("GOOGLETRANSLATE(A7335 , ""auto"", ""ar"")"),"إنه يذوب حاليًا في حقيبتي")</f>
        <v>إنه يذوب حاليًا في حقيبتي</v>
      </c>
    </row>
    <row r="7336" ht="15.75" customHeight="1">
      <c r="A7336" s="12" t="s">
        <v>15046</v>
      </c>
      <c r="B7336" s="13" t="s">
        <v>15047</v>
      </c>
      <c r="C7336" s="14" t="s">
        <v>15048</v>
      </c>
      <c r="D7336" s="1" t="str">
        <f>IFERROR(__xludf.DUMMYFUNCTION("GOOGLETRANSLATE(A7336 , ""auto"", ""ar"")"),"وأعتقد أنه يجب علينا حفظه قبل ذلك")</f>
        <v>وأعتقد أنه يجب علينا حفظه قبل ذلك</v>
      </c>
    </row>
    <row r="7337" ht="15.75" customHeight="1">
      <c r="A7337" s="12" t="s">
        <v>15049</v>
      </c>
      <c r="B7337" s="13" t="s">
        <v>15050</v>
      </c>
      <c r="C7337" s="14" t="s">
        <v>15051</v>
      </c>
      <c r="D7337" s="1" t="str">
        <f>IFERROR(__xludf.DUMMYFUNCTION("GOOGLETRANSLATE(A7337 , ""auto"", ""ar"")"),"حسنًا ، على الأقل لا يمكنني طردني لأتأخر عن الاجتماع")</f>
        <v>حسنًا ، على الأقل لا يمكنني طردني لأتأخر عن الاجتماع</v>
      </c>
    </row>
    <row r="7338" ht="15.75" customHeight="1">
      <c r="A7338" s="12" t="s">
        <v>15052</v>
      </c>
      <c r="B7338" s="13" t="s">
        <v>15053</v>
      </c>
      <c r="C7338" s="14" t="s">
        <v>15054</v>
      </c>
      <c r="D7338" s="1" t="str">
        <f>IFERROR(__xludf.DUMMYFUNCTION("GOOGLETRANSLATE(A7338 , ""auto"", ""ar"")"),"ستتمكن من شؤون لي!")</f>
        <v>ستتمكن من شؤون لي!</v>
      </c>
    </row>
    <row r="7339" ht="15.75" customHeight="1">
      <c r="A7339" s="12" t="s">
        <v>9422</v>
      </c>
      <c r="B7339" s="13" t="s">
        <v>15055</v>
      </c>
      <c r="C7339" s="14" t="s">
        <v>15056</v>
      </c>
      <c r="D7339" s="1" t="str">
        <f>IFERROR(__xludf.DUMMYFUNCTION("GOOGLETRANSLATE(A7339 , ""auto"", ""ar"")"),"بالطبع")</f>
        <v>بالطبع</v>
      </c>
    </row>
    <row r="7340" ht="15.75" customHeight="1">
      <c r="A7340" s="12" t="s">
        <v>9422</v>
      </c>
      <c r="B7340" s="13" t="s">
        <v>15057</v>
      </c>
      <c r="C7340" s="14" t="s">
        <v>15058</v>
      </c>
      <c r="D7340" s="1" t="str">
        <f>IFERROR(__xludf.DUMMYFUNCTION("GOOGLETRANSLATE(A7340 , ""auto"", ""ar"")"),"بالطبع")</f>
        <v>بالطبع</v>
      </c>
    </row>
    <row r="7341" ht="15.75" customHeight="1">
      <c r="A7341" s="12" t="s">
        <v>15059</v>
      </c>
      <c r="B7341" s="13" t="s">
        <v>15060</v>
      </c>
      <c r="C7341" s="14" t="s">
        <v>15061</v>
      </c>
      <c r="D7341" s="1" t="str">
        <f>IFERROR(__xludf.DUMMYFUNCTION("GOOGLETRANSLATE(A7341 , ""auto"", ""ar"")"),"ولكن دعونا نلقي نظرة عليه")</f>
        <v>ولكن دعونا نلقي نظرة عليه</v>
      </c>
    </row>
    <row r="7342" ht="15.75" customHeight="1">
      <c r="A7342" s="12" t="s">
        <v>15062</v>
      </c>
      <c r="B7342" s="13" t="s">
        <v>15063</v>
      </c>
      <c r="C7342" s="14" t="s">
        <v>15064</v>
      </c>
      <c r="D7342" s="1" t="str">
        <f>IFERROR(__xludf.DUMMYFUNCTION("GOOGLETRANSLATE(A7342 , ""auto"", ""ar"")"),"ولكن دعونا نلقي نظرة")</f>
        <v>ولكن دعونا نلقي نظرة</v>
      </c>
    </row>
    <row r="7343" ht="15.75" customHeight="1">
      <c r="A7343" s="12" t="s">
        <v>15065</v>
      </c>
      <c r="B7343" s="13" t="s">
        <v>15066</v>
      </c>
      <c r="C7343" s="14" t="s">
        <v>15067</v>
      </c>
      <c r="D7343" s="1" t="str">
        <f>IFERROR(__xludf.DUMMYFUNCTION("GOOGLETRANSLATE(A7343 , ""auto"", ""ar"")"),"التعليمات هنا")</f>
        <v>التعليمات هنا</v>
      </c>
    </row>
    <row r="7344" ht="15.75" customHeight="1">
      <c r="A7344" s="12" t="s">
        <v>15068</v>
      </c>
      <c r="B7344" s="13" t="s">
        <v>15069</v>
      </c>
      <c r="C7344" s="14" t="s">
        <v>15070</v>
      </c>
      <c r="D7344" s="1" t="str">
        <f>IFERROR(__xludf.DUMMYFUNCTION("GOOGLETRANSLATE(A7344 , ""auto"", ""ar"")"),"في حالة إيقاف المصعد بين الطوابق")</f>
        <v>في حالة إيقاف المصعد بين الطوابق</v>
      </c>
    </row>
    <row r="7345" ht="15.75" customHeight="1">
      <c r="A7345" s="12" t="s">
        <v>15068</v>
      </c>
      <c r="B7345" s="13" t="s">
        <v>15071</v>
      </c>
      <c r="C7345" s="14" t="s">
        <v>15072</v>
      </c>
      <c r="D7345" s="1" t="str">
        <f>IFERROR(__xludf.DUMMYFUNCTION("GOOGLETRANSLATE(A7345 , ""auto"", ""ar"")"),"في حالة إيقاف المصعد بين الطوابق")</f>
        <v>في حالة إيقاف المصعد بين الطوابق</v>
      </c>
    </row>
    <row r="7346" ht="15.75" customHeight="1">
      <c r="A7346" s="12" t="s">
        <v>15073</v>
      </c>
      <c r="B7346" s="13" t="s">
        <v>15074</v>
      </c>
      <c r="C7346" s="14" t="s">
        <v>15075</v>
      </c>
      <c r="D7346" s="1" t="str">
        <f>IFERROR(__xludf.DUMMYFUNCTION("GOOGLETRANSLATE(A7346 , ""auto"", ""ar"")"),"أدفع زر الاتصال")</f>
        <v>أدفع زر الاتصال</v>
      </c>
    </row>
    <row r="7347" ht="15.75" customHeight="1">
      <c r="A7347" s="12" t="s">
        <v>15076</v>
      </c>
      <c r="B7347" s="13" t="s">
        <v>14437</v>
      </c>
      <c r="C7347" s="14" t="s">
        <v>14438</v>
      </c>
      <c r="D7347" s="1" t="str">
        <f>IFERROR(__xludf.DUMMYFUNCTION("GOOGLETRANSLATE(A7347 , ""auto"", ""ar"")"),"يرجى تقديم الجملة التي ترغب في ترجمتها إلى اللغة العربية المعيارية الحديثة (MSA).")</f>
        <v>يرجى تقديم الجملة التي ترغب في ترجمتها إلى اللغة العربية المعيارية الحديثة (MSA).</v>
      </c>
    </row>
    <row r="7348" ht="15.75" customHeight="1">
      <c r="A7348" s="12" t="s">
        <v>15077</v>
      </c>
      <c r="B7348" s="13" t="s">
        <v>15078</v>
      </c>
      <c r="C7348" s="14" t="s">
        <v>15079</v>
      </c>
      <c r="D7348" s="1" t="str">
        <f>IFERROR(__xludf.DUMMYFUNCTION("GOOGLETRANSLATE(A7348 , ""auto"", ""ar"")"),"هل يحدث هذا في كثير من الأحيان؟")</f>
        <v>هل يحدث هذا في كثير من الأحيان؟</v>
      </c>
    </row>
    <row r="7349" ht="15.75" customHeight="1">
      <c r="A7349" s="12" t="s">
        <v>15077</v>
      </c>
      <c r="B7349" s="13" t="s">
        <v>15080</v>
      </c>
      <c r="C7349" s="14" t="s">
        <v>15081</v>
      </c>
      <c r="D7349" s="1" t="str">
        <f>IFERROR(__xludf.DUMMYFUNCTION("GOOGLETRANSLATE(A7349 , ""auto"", ""ar"")"),"هل يحدث هذا في كثير من الأحيان؟")</f>
        <v>هل يحدث هذا في كثير من الأحيان؟</v>
      </c>
    </row>
    <row r="7350" ht="15.75" customHeight="1">
      <c r="A7350" s="12" t="s">
        <v>15082</v>
      </c>
      <c r="B7350" s="13" t="s">
        <v>15083</v>
      </c>
      <c r="C7350" s="14" t="s">
        <v>15084</v>
      </c>
      <c r="D7350" s="1" t="str">
        <f>IFERROR(__xludf.DUMMYFUNCTION("GOOGLETRANSLATE(A7350 , ""auto"", ""ar"")"),"عادة ما أتناول الدرج")</f>
        <v>عادة ما أتناول الدرج</v>
      </c>
    </row>
    <row r="7351" ht="15.75" customHeight="1">
      <c r="A7351" s="12" t="s">
        <v>15085</v>
      </c>
      <c r="B7351" s="13" t="s">
        <v>15086</v>
      </c>
      <c r="C7351" s="14" t="s">
        <v>15087</v>
      </c>
      <c r="D7351" s="1" t="str">
        <f>IFERROR(__xludf.DUMMYFUNCTION("GOOGLETRANSLATE(A7351 , ""auto"", ""ar"")"),"لكنه كان يشعر كسول اليوم!")</f>
        <v>لكنه كان يشعر كسول اليوم!</v>
      </c>
    </row>
    <row r="7352" ht="15.75" customHeight="1">
      <c r="A7352" s="12" t="s">
        <v>15085</v>
      </c>
      <c r="B7352" s="13" t="s">
        <v>15088</v>
      </c>
      <c r="C7352" s="14" t="s">
        <v>15089</v>
      </c>
      <c r="D7352" s="1" t="str">
        <f>IFERROR(__xludf.DUMMYFUNCTION("GOOGLETRANSLATE(A7352 , ""auto"", ""ar"")"),"لكنه كان يشعر كسول اليوم!")</f>
        <v>لكنه كان يشعر كسول اليوم!</v>
      </c>
    </row>
    <row r="7353" ht="15.75" customHeight="1">
      <c r="A7353" s="12" t="s">
        <v>15090</v>
      </c>
      <c r="B7353" s="13" t="s">
        <v>15091</v>
      </c>
      <c r="C7353" s="14" t="s">
        <v>15092</v>
      </c>
      <c r="D7353" s="1" t="str">
        <f>IFERROR(__xludf.DUMMYFUNCTION("GOOGLETRANSLATE(A7353 , ""auto"", ""ar"")"),"أنا أيضًا ، لكن بما أنني مشغول جدًا ، أخذت المصعد")</f>
        <v>أنا أيضًا ، لكن بما أنني مشغول جدًا ، أخذت المصعد</v>
      </c>
    </row>
    <row r="7354" ht="15.75" customHeight="1">
      <c r="A7354" s="12" t="s">
        <v>15093</v>
      </c>
      <c r="B7354" s="13" t="s">
        <v>15094</v>
      </c>
      <c r="C7354" s="14" t="s">
        <v>15095</v>
      </c>
      <c r="D7354" s="1" t="str">
        <f>IFERROR(__xludf.DUMMYFUNCTION("GOOGLETRANSLATE(A7354 , ""auto"", ""ar"")"),"يؤسفني ذلك")</f>
        <v>يؤسفني ذلك</v>
      </c>
    </row>
    <row r="7355" ht="15.75" customHeight="1">
      <c r="A7355" s="12" t="s">
        <v>15093</v>
      </c>
      <c r="B7355" s="13" t="s">
        <v>15096</v>
      </c>
      <c r="C7355" s="14" t="s">
        <v>15097</v>
      </c>
      <c r="D7355" s="1" t="str">
        <f>IFERROR(__xludf.DUMMYFUNCTION("GOOGLETRANSLATE(A7355 , ""auto"", ""ar"")"),"يؤسفني ذلك")</f>
        <v>يؤسفني ذلك</v>
      </c>
    </row>
    <row r="7356" ht="15.75" customHeight="1">
      <c r="A7356" s="12" t="s">
        <v>15098</v>
      </c>
      <c r="B7356" s="13" t="s">
        <v>15099</v>
      </c>
      <c r="C7356" s="14" t="s">
        <v>15100</v>
      </c>
      <c r="D7356" s="1" t="str">
        <f>IFERROR(__xludf.DUMMYFUNCTION("GOOGLETRANSLATE(A7356 , ""auto"", ""ar"")"),"أنا أيضا أنتظر")</f>
        <v>أنا أيضا أنتظر</v>
      </c>
    </row>
    <row r="7357" ht="15.75" customHeight="1">
      <c r="A7357" s="12" t="s">
        <v>15101</v>
      </c>
      <c r="B7357" s="13" t="s">
        <v>15102</v>
      </c>
      <c r="C7357" s="14" t="s">
        <v>15103</v>
      </c>
      <c r="D7357" s="1" t="str">
        <f>IFERROR(__xludf.DUMMYFUNCTION("GOOGLETRANSLATE(A7357 , ""auto"", ""ar"")"),"هاتفي الخلوي ليس له خدمة")</f>
        <v>هاتفي الخلوي ليس له خدمة</v>
      </c>
    </row>
    <row r="7358" ht="15.75" customHeight="1">
      <c r="A7358" s="12" t="s">
        <v>15104</v>
      </c>
      <c r="B7358" s="13" t="s">
        <v>15105</v>
      </c>
      <c r="C7358" s="14" t="s">
        <v>15106</v>
      </c>
      <c r="D7358" s="1" t="str">
        <f>IFERROR(__xludf.DUMMYFUNCTION("GOOGLETRANSLATE(A7358 , ""auto"", ""ar"")"),"نظرًا لأن لدينا لحظة غير متوقعة معًا ، اشرح لي ما تعمل عليه الآن")</f>
        <v>نظرًا لأن لدينا لحظة غير متوقعة معًا ، اشرح لي ما تعمل عليه الآن</v>
      </c>
    </row>
    <row r="7359" ht="15.75" customHeight="1">
      <c r="A7359" s="12" t="s">
        <v>15107</v>
      </c>
      <c r="B7359" s="13" t="s">
        <v>15108</v>
      </c>
      <c r="C7359" s="14" t="s">
        <v>15109</v>
      </c>
      <c r="D7359" s="1" t="str">
        <f>IFERROR(__xludf.DUMMYFUNCTION("GOOGLETRANSLATE(A7359 , ""auto"", ""ar"")"),"حسنًا ، أخبرتك في الاجتماع هذا الصباح")</f>
        <v>حسنًا ، أخبرتك في الاجتماع هذا الصباح</v>
      </c>
    </row>
    <row r="7360" ht="15.75" customHeight="1">
      <c r="A7360" s="12" t="s">
        <v>15110</v>
      </c>
      <c r="B7360" s="13" t="s">
        <v>15111</v>
      </c>
      <c r="C7360" s="14" t="s">
        <v>15112</v>
      </c>
      <c r="D7360" s="1" t="str">
        <f>IFERROR(__xludf.DUMMYFUNCTION("GOOGLETRANSLATE(A7360 , ""auto"", ""ar"")"),"لكن موافق")</f>
        <v>لكن موافق</v>
      </c>
    </row>
    <row r="7361" ht="15.75" customHeight="1">
      <c r="A7361" s="12" t="s">
        <v>15113</v>
      </c>
      <c r="B7361" s="13" t="s">
        <v>15114</v>
      </c>
      <c r="C7361" s="14" t="s">
        <v>15115</v>
      </c>
      <c r="D7361" s="1" t="str">
        <f>IFERROR(__xludf.DUMMYFUNCTION("GOOGLETRANSLATE(A7361 , ""auto"", ""ar"")"),"أقوم بتنظيم الحدث الكبير في لندن الأسبوع المقبل")</f>
        <v>أقوم بتنظيم الحدث الكبير في لندن الأسبوع المقبل</v>
      </c>
    </row>
    <row r="7362" ht="15.75" customHeight="1">
      <c r="A7362" s="12" t="s">
        <v>15116</v>
      </c>
      <c r="B7362" s="13" t="s">
        <v>15117</v>
      </c>
      <c r="C7362" s="14" t="s">
        <v>15118</v>
      </c>
      <c r="D7362" s="1" t="str">
        <f>IFERROR(__xludf.DUMMYFUNCTION("GOOGLETRANSLATE(A7362 , ""auto"", ""ar"")"),"الكثير من الضيوف ، والكثير من المتحدثين!")</f>
        <v>الكثير من الضيوف ، والكثير من المتحدثين!</v>
      </c>
    </row>
    <row r="7363" ht="15.75" customHeight="1">
      <c r="A7363" s="12" t="s">
        <v>15119</v>
      </c>
      <c r="B7363" s="13" t="s">
        <v>15120</v>
      </c>
      <c r="C7363" s="14" t="s">
        <v>15121</v>
      </c>
      <c r="D7363" s="1" t="str">
        <f>IFERROR(__xludf.DUMMYFUNCTION("GOOGLETRANSLATE(A7363 , ""auto"", ""ar"")"),"أنا حتى يجب أن تنظم تقديم الطعام!")</f>
        <v>أنا حتى يجب أن تنظم تقديم الطعام!</v>
      </c>
    </row>
    <row r="7364" ht="15.75" customHeight="1">
      <c r="A7364" s="12" t="s">
        <v>15122</v>
      </c>
      <c r="B7364" s="13" t="s">
        <v>15123</v>
      </c>
      <c r="C7364" s="14" t="s">
        <v>15124</v>
      </c>
      <c r="D7364" s="1" t="str">
        <f>IFERROR(__xludf.DUMMYFUNCTION("GOOGLETRANSLATE(A7364 , ""auto"", ""ar"")"),"أنا متأكد من أنك تبذل قصارى جهدك")</f>
        <v>أنا متأكد من أنك تبذل قصارى جهدك</v>
      </c>
    </row>
    <row r="7365" ht="15.75" customHeight="1">
      <c r="A7365" s="12" t="s">
        <v>15125</v>
      </c>
      <c r="B7365" s="13" t="s">
        <v>15126</v>
      </c>
      <c r="C7365" s="14" t="s">
        <v>15127</v>
      </c>
      <c r="D7365" s="1" t="str">
        <f>IFERROR(__xludf.DUMMYFUNCTION("GOOGLETRANSLATE(A7365 , ""auto"", ""ar"")"),"الحدث الكبير الذي نظمته العام الماضي ذهب بشكل جميل")</f>
        <v>الحدث الكبير الذي نظمته العام الماضي ذهب بشكل جميل</v>
      </c>
    </row>
    <row r="7366" ht="15.75" customHeight="1">
      <c r="A7366" s="12" t="s">
        <v>15128</v>
      </c>
      <c r="B7366" s="13" t="s">
        <v>15129</v>
      </c>
      <c r="C7366" s="14" t="s">
        <v>15130</v>
      </c>
      <c r="D7366" s="1" t="str">
        <f>IFERROR(__xludf.DUMMYFUNCTION("GOOGLETRANSLATE(A7366 , ""auto"", ""ar"")"),"هذا لطيف تتذكره!")</f>
        <v>هذا لطيف تتذكره!</v>
      </c>
    </row>
    <row r="7367" ht="15.75" customHeight="1">
      <c r="A7367" s="12" t="s">
        <v>15131</v>
      </c>
      <c r="B7367" s="13" t="s">
        <v>15132</v>
      </c>
      <c r="C7367" s="14" t="s">
        <v>15133</v>
      </c>
      <c r="D7367" s="1" t="str">
        <f>IFERROR(__xludf.DUMMYFUNCTION("GOOGLETRANSLATE(A7367 , ""auto"", ""ar"")"),"من الجيد أن نعرف أن عملنا موضع تقدير")</f>
        <v>من الجيد أن نعرف أن عملنا موضع تقدير</v>
      </c>
    </row>
    <row r="7368" ht="15.75" customHeight="1">
      <c r="A7368" s="12" t="s">
        <v>15134</v>
      </c>
      <c r="B7368" s="13" t="s">
        <v>15135</v>
      </c>
      <c r="C7368" s="14" t="s">
        <v>15136</v>
      </c>
      <c r="D7368" s="1" t="str">
        <f>IFERROR(__xludf.DUMMYFUNCTION("GOOGLETRANSLATE(A7368 , ""auto"", ""ar"")"),"أعني ، بالكاد نمت على مدار الأسبوعين الماضيين")</f>
        <v>أعني ، بالكاد نمت على مدار الأسبوعين الماضيين</v>
      </c>
    </row>
    <row r="7369" ht="15.75" customHeight="1">
      <c r="A7369" s="12" t="s">
        <v>15137</v>
      </c>
      <c r="B7369" s="13" t="s">
        <v>15138</v>
      </c>
      <c r="C7369" s="14" t="s">
        <v>15139</v>
      </c>
      <c r="D7369" s="1" t="str">
        <f>IFERROR(__xludf.DUMMYFUNCTION("GOOGLETRANSLATE(A7369 , ""auto"", ""ar"")"),"لا تقم بجد")</f>
        <v>لا تقم بجد</v>
      </c>
    </row>
    <row r="7370" ht="15.75" customHeight="1">
      <c r="A7370" s="12" t="s">
        <v>15140</v>
      </c>
      <c r="B7370" s="13" t="s">
        <v>15141</v>
      </c>
      <c r="C7370" s="14" t="s">
        <v>15142</v>
      </c>
      <c r="D7370" s="1" t="str">
        <f>IFERROR(__xludf.DUMMYFUNCTION("GOOGLETRANSLATE(A7370 , ""auto"", ""ar"")"),"حسنًا ، أنت تعمل بجد وكل شيء")</f>
        <v>حسنًا ، أنت تعمل بجد وكل شيء</v>
      </c>
    </row>
    <row r="7371" ht="15.75" customHeight="1">
      <c r="A7371" s="12" t="s">
        <v>15143</v>
      </c>
      <c r="B7371" s="13" t="s">
        <v>15144</v>
      </c>
      <c r="C7371" s="14" t="s">
        <v>15145</v>
      </c>
      <c r="D7371" s="1" t="str">
        <f>IFERROR(__xludf.DUMMYFUNCTION("GOOGLETRANSLATE(A7371 , ""auto"", ""ar"")"),"كلنا نعمل كثيرا")</f>
        <v>كلنا نعمل كثيرا</v>
      </c>
    </row>
    <row r="7372" ht="15.75" customHeight="1">
      <c r="A7372" s="12" t="s">
        <v>15146</v>
      </c>
      <c r="B7372" s="13" t="s">
        <v>15147</v>
      </c>
      <c r="C7372" s="14" t="s">
        <v>15148</v>
      </c>
      <c r="D7372" s="1" t="str">
        <f>IFERROR(__xludf.DUMMYFUNCTION("GOOGLETRANSLATE(A7372 , ""auto"", ""ar"")"),"خاصة الآن")</f>
        <v>خاصة الآن</v>
      </c>
    </row>
    <row r="7373" ht="15.75" customHeight="1">
      <c r="A7373" s="12" t="s">
        <v>15149</v>
      </c>
      <c r="B7373" s="13" t="s">
        <v>15150</v>
      </c>
      <c r="C7373" s="14" t="s">
        <v>15151</v>
      </c>
      <c r="D7373" s="1" t="str">
        <f>IFERROR(__xludf.DUMMYFUNCTION("GOOGLETRANSLATE(A7373 , ""auto"", ""ar"")"),"للتحضير لهذا الحدث")</f>
        <v>للتحضير لهذا الحدث</v>
      </c>
    </row>
    <row r="7374" ht="15.75" customHeight="1">
      <c r="A7374" s="12" t="s">
        <v>15152</v>
      </c>
      <c r="B7374" s="13" t="s">
        <v>15153</v>
      </c>
      <c r="C7374" s="14" t="s">
        <v>15154</v>
      </c>
      <c r="D7374" s="1" t="str">
        <f>IFERROR(__xludf.DUMMYFUNCTION("GOOGLETRANSLATE(A7374 , ""auto"", ""ar"")"),"آمل أن تتمكن من قضاء بضعة أيام بعد اجتماعاتنا")</f>
        <v>آمل أن تتمكن من قضاء بضعة أيام بعد اجتماعاتنا</v>
      </c>
    </row>
    <row r="7375" ht="15.75" customHeight="1">
      <c r="A7375" s="12" t="s">
        <v>15155</v>
      </c>
      <c r="B7375" s="13" t="s">
        <v>15156</v>
      </c>
      <c r="C7375" s="14" t="s">
        <v>15157</v>
      </c>
      <c r="D7375" s="1" t="str">
        <f>IFERROR(__xludf.DUMMYFUNCTION("GOOGLETRANSLATE(A7375 , ""auto"", ""ar"")"),"واستمتع بعائلتك")</f>
        <v>واستمتع بعائلتك</v>
      </c>
    </row>
    <row r="7376" ht="15.75" customHeight="1">
      <c r="A7376" s="12" t="s">
        <v>15158</v>
      </c>
      <c r="B7376" s="13" t="s">
        <v>15159</v>
      </c>
      <c r="C7376" s="14" t="s">
        <v>15160</v>
      </c>
      <c r="D7376" s="1" t="str">
        <f>IFERROR(__xludf.DUMMYFUNCTION("GOOGLETRANSLATE(A7376 , ""auto"", ""ar"")"),"أنا أيضاً!")</f>
        <v>أنا أيضاً!</v>
      </c>
    </row>
    <row r="7377" ht="15.75" customHeight="1">
      <c r="A7377" s="12" t="s">
        <v>15161</v>
      </c>
      <c r="B7377" s="13" t="s">
        <v>15162</v>
      </c>
      <c r="C7377" s="14" t="s">
        <v>15163</v>
      </c>
      <c r="D7377" s="1" t="str">
        <f>IFERROR(__xludf.DUMMYFUNCTION("GOOGLETRANSLATE(A7377 , ""auto"", ""ar"")"),"لقد مرت بعض الوقت منذ أن كنت في عطلة")</f>
        <v>لقد مرت بعض الوقت منذ أن كنت في عطلة</v>
      </c>
    </row>
    <row r="7378" ht="15.75" customHeight="1">
      <c r="A7378" s="12" t="s">
        <v>15161</v>
      </c>
      <c r="B7378" s="13" t="s">
        <v>15164</v>
      </c>
      <c r="C7378" s="14" t="s">
        <v>15165</v>
      </c>
      <c r="D7378" s="1" t="str">
        <f>IFERROR(__xludf.DUMMYFUNCTION("GOOGLETRANSLATE(A7378 , ""auto"", ""ar"")"),"لقد مرت بعض الوقت منذ أن كنت في عطلة")</f>
        <v>لقد مرت بعض الوقت منذ أن كنت في عطلة</v>
      </c>
    </row>
    <row r="7379" ht="15.75" customHeight="1">
      <c r="A7379" s="12" t="s">
        <v>15166</v>
      </c>
      <c r="B7379" s="13" t="s">
        <v>15167</v>
      </c>
      <c r="C7379" s="14" t="s">
        <v>15168</v>
      </c>
      <c r="D7379" s="1" t="str">
        <f>IFERROR(__xludf.DUMMYFUNCTION("GOOGLETRANSLATE(A7379 , ""auto"", ""ar"")"),"يجب أن أقول إن الأجر ليس رائعًا هنا")</f>
        <v>يجب أن أقول إن الأجر ليس رائعًا هنا</v>
      </c>
    </row>
    <row r="7380" ht="15.75" customHeight="1">
      <c r="A7380" s="12" t="s">
        <v>15169</v>
      </c>
      <c r="B7380" s="13" t="s">
        <v>15170</v>
      </c>
      <c r="C7380" s="14" t="s">
        <v>15171</v>
      </c>
      <c r="D7380" s="1" t="str">
        <f>IFERROR(__xludf.DUMMYFUNCTION("GOOGLETRANSLATE(A7380 , ""auto"", ""ar"")"),"لقد كنت أفكر بالفعل في تغيير الوظائف")</f>
        <v>لقد كنت أفكر بالفعل في تغيير الوظائف</v>
      </c>
    </row>
    <row r="7381" ht="15.75" customHeight="1">
      <c r="A7381" s="12" t="s">
        <v>15172</v>
      </c>
      <c r="B7381" s="13" t="s">
        <v>15173</v>
      </c>
      <c r="C7381" s="14" t="s">
        <v>15174</v>
      </c>
      <c r="D7381" s="1" t="str">
        <f>IFERROR(__xludf.DUMMYFUNCTION("GOOGLETRANSLATE(A7381 , ""auto"", ""ar"")"),"أعلم أنني لا يجب أن أقول هذا لك رغم ذلك")</f>
        <v>أعلم أنني لا يجب أن أقول هذا لك رغم ذلك</v>
      </c>
    </row>
    <row r="7382" ht="15.75" customHeight="1">
      <c r="A7382" s="12" t="s">
        <v>15175</v>
      </c>
      <c r="B7382" s="13" t="s">
        <v>15176</v>
      </c>
      <c r="C7382" s="14" t="s">
        <v>15177</v>
      </c>
      <c r="D7382" s="1" t="str">
        <f>IFERROR(__xludf.DUMMYFUNCTION("GOOGLETRANSLATE(A7382 , ""auto"", ""ar"")"),"سأفكر فيما أخبرته للتو")</f>
        <v>سأفكر فيما أخبرته للتو</v>
      </c>
    </row>
    <row r="7383" ht="15.75" customHeight="1">
      <c r="A7383" s="12" t="s">
        <v>15178</v>
      </c>
      <c r="B7383" s="13" t="s">
        <v>15179</v>
      </c>
      <c r="C7383" s="14" t="s">
        <v>15180</v>
      </c>
      <c r="D7383" s="1" t="str">
        <f>IFERROR(__xludf.DUMMYFUNCTION("GOOGLETRANSLATE(A7383 , ""auto"", ""ar"")"),"إذا سارت الأمور على ما يرام هذا العام كما العام الماضي")</f>
        <v>إذا سارت الأمور على ما يرام هذا العام كما العام الماضي</v>
      </c>
    </row>
    <row r="7384" ht="15.75" customHeight="1">
      <c r="A7384" s="12" t="s">
        <v>15181</v>
      </c>
      <c r="B7384" s="13" t="s">
        <v>15182</v>
      </c>
      <c r="C7384" s="14" t="s">
        <v>15183</v>
      </c>
      <c r="D7384" s="1" t="str">
        <f>IFERROR(__xludf.DUMMYFUNCTION("GOOGLETRANSLATE(A7384 , ""auto"", ""ar"")"),"إذا كسبنا العملاء")</f>
        <v>إذا كسبنا العملاء</v>
      </c>
    </row>
    <row r="7385" ht="15.75" customHeight="1">
      <c r="A7385" s="12" t="s">
        <v>15184</v>
      </c>
      <c r="B7385" s="13" t="s">
        <v>15185</v>
      </c>
      <c r="C7385" s="14" t="s">
        <v>15186</v>
      </c>
      <c r="D7385" s="1" t="str">
        <f>IFERROR(__xludf.DUMMYFUNCTION("GOOGLETRANSLATE(A7385 , ""auto"", ""ar"")"),"تقصد رفع؟")</f>
        <v>تقصد رفع؟</v>
      </c>
    </row>
    <row r="7386" ht="15.75" customHeight="1">
      <c r="A7386" s="12" t="s">
        <v>15187</v>
      </c>
      <c r="B7386" s="13" t="s">
        <v>15188</v>
      </c>
      <c r="C7386" s="14" t="s">
        <v>15189</v>
      </c>
      <c r="D7386" s="1" t="str">
        <f>IFERROR(__xludf.DUMMYFUNCTION("GOOGLETRANSLATE(A7386 , ""auto"", ""ar"")"),"أو يمكن أن أتصاعد درجة الدفع ربما؟")</f>
        <v>أو يمكن أن أتصاعد درجة الدفع ربما؟</v>
      </c>
    </row>
    <row r="7387" ht="15.75" customHeight="1">
      <c r="A7387" s="12" t="s">
        <v>8116</v>
      </c>
      <c r="B7387" s="13" t="s">
        <v>15190</v>
      </c>
      <c r="C7387" s="14" t="s">
        <v>15191</v>
      </c>
      <c r="D7387" s="1" t="str">
        <f>IFERROR(__xludf.DUMMYFUNCTION("GOOGLETRANSLATE(A7387 , ""auto"", ""ar"")"),"لا أعرف")</f>
        <v>لا أعرف</v>
      </c>
    </row>
    <row r="7388" ht="15.75" customHeight="1">
      <c r="A7388" s="12" t="s">
        <v>8116</v>
      </c>
      <c r="B7388" s="13" t="s">
        <v>15192</v>
      </c>
      <c r="C7388" s="14" t="s">
        <v>15193</v>
      </c>
      <c r="D7388" s="1" t="str">
        <f>IFERROR(__xludf.DUMMYFUNCTION("GOOGLETRANSLATE(A7388 , ""auto"", ""ar"")"),"لا أعرف")</f>
        <v>لا أعرف</v>
      </c>
    </row>
    <row r="7389" ht="15.75" customHeight="1">
      <c r="A7389" s="12" t="s">
        <v>8116</v>
      </c>
      <c r="B7389" s="13" t="s">
        <v>15194</v>
      </c>
      <c r="C7389" s="14" t="s">
        <v>15195</v>
      </c>
      <c r="D7389" s="1" t="str">
        <f>IFERROR(__xludf.DUMMYFUNCTION("GOOGLETRANSLATE(A7389 , ""auto"", ""ar"")"),"لا أعرف")</f>
        <v>لا أعرف</v>
      </c>
    </row>
    <row r="7390" ht="15.75" customHeight="1">
      <c r="A7390" s="12" t="s">
        <v>15196</v>
      </c>
      <c r="B7390" s="13" t="s">
        <v>15197</v>
      </c>
      <c r="C7390" s="14" t="s">
        <v>15198</v>
      </c>
      <c r="D7390" s="1" t="str">
        <f>IFERROR(__xludf.DUMMYFUNCTION("GOOGLETRANSLATE(A7390 , ""auto"", ""ar"")"),"من تعرف")</f>
        <v>من تعرف</v>
      </c>
    </row>
    <row r="7391" ht="15.75" customHeight="1">
      <c r="A7391" s="12" t="s">
        <v>15199</v>
      </c>
      <c r="B7391" s="13" t="s">
        <v>15200</v>
      </c>
      <c r="C7391" s="14" t="s">
        <v>15201</v>
      </c>
      <c r="D7391" s="1" t="str">
        <f>IFERROR(__xludf.DUMMYFUNCTION("GOOGLETRANSLATE(A7391 , ""auto"", ""ar"")"),"لا أستطيع أن أعد أي شيء بنفسي")</f>
        <v>لا أستطيع أن أعد أي شيء بنفسي</v>
      </c>
    </row>
    <row r="7392" ht="15.75" customHeight="1">
      <c r="A7392" s="12" t="s">
        <v>15202</v>
      </c>
      <c r="B7392" s="13" t="s">
        <v>15203</v>
      </c>
      <c r="C7392" s="14" t="s">
        <v>15204</v>
      </c>
      <c r="D7392" s="1" t="str">
        <f>IFERROR(__xludf.DUMMYFUNCTION("GOOGLETRANSLATE(A7392 , ""auto"", ""ar"")"),"يتم دائمًا اتخاذ القرارات المتعلقة بالموظفين")</f>
        <v>يتم دائمًا اتخاذ القرارات المتعلقة بالموظفين</v>
      </c>
    </row>
    <row r="7393" ht="15.75" customHeight="1">
      <c r="A7393" s="12" t="s">
        <v>15205</v>
      </c>
      <c r="B7393" s="13" t="s">
        <v>15206</v>
      </c>
      <c r="C7393" s="14" t="s">
        <v>15207</v>
      </c>
      <c r="D7393" s="1" t="str">
        <f>IFERROR(__xludf.DUMMYFUNCTION("GOOGLETRANSLATE(A7393 , ""auto"", ""ar"")"),"لكنني سأقدم لدراسة وضعك")</f>
        <v>لكنني سأقدم لدراسة وضعك</v>
      </c>
    </row>
    <row r="7394" ht="15.75" customHeight="1">
      <c r="A7394" s="12" t="s">
        <v>15208</v>
      </c>
      <c r="B7394" s="13" t="s">
        <v>15209</v>
      </c>
      <c r="C7394" s="14" t="s">
        <v>15210</v>
      </c>
      <c r="D7394" s="1" t="str">
        <f>IFERROR(__xludf.DUMMYFUNCTION("GOOGLETRANSLATE(A7394 , ""auto"", ""ar"")"),"يا واو ، مذهلة!")</f>
        <v>يا واو ، مذهلة!</v>
      </c>
    </row>
    <row r="7395" ht="15.75" customHeight="1">
      <c r="A7395" s="12" t="s">
        <v>12374</v>
      </c>
      <c r="B7395" s="13" t="s">
        <v>15211</v>
      </c>
      <c r="C7395" s="14" t="s">
        <v>15212</v>
      </c>
      <c r="D7395" s="1" t="str">
        <f>IFERROR(__xludf.DUMMYFUNCTION("GOOGLETRANSLATE(A7395 , ""auto"", ""ar"")"),"شكرًا!")</f>
        <v>شكرًا!</v>
      </c>
    </row>
    <row r="7396" ht="15.75" customHeight="1">
      <c r="A7396" s="12" t="s">
        <v>15213</v>
      </c>
      <c r="B7396" s="13" t="s">
        <v>15214</v>
      </c>
      <c r="C7396" s="14" t="s">
        <v>15215</v>
      </c>
      <c r="D7396" s="1" t="str">
        <f>IFERROR(__xludf.DUMMYFUNCTION("GOOGLETRANSLATE(A7396 , ""auto"", ""ar"")"),"من كان يعلم أن مصاعد الانهيار يمكن أن تكون شيئًا جيدًا!")</f>
        <v>من كان يعلم أن مصاعد الانهيار يمكن أن تكون شيئًا جيدًا!</v>
      </c>
    </row>
    <row r="7397" ht="15.75" customHeight="1">
      <c r="A7397" s="12" t="s">
        <v>15216</v>
      </c>
      <c r="B7397" s="13" t="s">
        <v>15217</v>
      </c>
      <c r="C7397" s="14" t="s">
        <v>15218</v>
      </c>
      <c r="D7397" s="1" t="str">
        <f>IFERROR(__xludf.DUMMYFUNCTION("GOOGLETRANSLATE(A7397 , ""auto"", ""ar"")"),"لكني أعتقد أنه من المدة للغاية أن يتقدم المسعفون")</f>
        <v>لكني أعتقد أنه من المدة للغاية أن يتقدم المسعفون</v>
      </c>
    </row>
    <row r="7398" ht="15.75" customHeight="1">
      <c r="A7398" s="12" t="s">
        <v>15219</v>
      </c>
      <c r="B7398" s="13" t="s">
        <v>15220</v>
      </c>
      <c r="C7398" s="14" t="s">
        <v>15221</v>
      </c>
      <c r="D7398" s="1" t="str">
        <f>IFERROR(__xludf.DUMMYFUNCTION("GOOGLETRANSLATE(A7398 , ""auto"", ""ar"")"),"سأضغط على زر الاتصال مرة أخرى")</f>
        <v>سأضغط على زر الاتصال مرة أخرى</v>
      </c>
    </row>
    <row r="7399" ht="15.75" customHeight="1">
      <c r="A7399" s="12" t="s">
        <v>8102</v>
      </c>
      <c r="B7399" s="13" t="s">
        <v>15222</v>
      </c>
      <c r="C7399" s="14" t="s">
        <v>15223</v>
      </c>
      <c r="D7399" s="1" t="str">
        <f>IFERROR(__xludf.DUMMYFUNCTION("GOOGLETRANSLATE(A7399 , ""auto"", ""ar"")"),"نعم")</f>
        <v>نعم</v>
      </c>
    </row>
    <row r="7400" ht="15.75" customHeight="1">
      <c r="A7400" s="12" t="s">
        <v>15224</v>
      </c>
      <c r="B7400" s="13" t="s">
        <v>15225</v>
      </c>
      <c r="C7400" s="14" t="s">
        <v>15226</v>
      </c>
      <c r="D7400" s="1" t="str">
        <f>IFERROR(__xludf.DUMMYFUNCTION("GOOGLETRANSLATE(A7400 , ""auto"", ""ar"")"),"لست متأكدًا من أننا بحاجة إليهم")</f>
        <v>لست متأكدًا من أننا بحاجة إليهم</v>
      </c>
    </row>
    <row r="7401" ht="15.75" customHeight="1">
      <c r="A7401" s="12" t="s">
        <v>15227</v>
      </c>
      <c r="B7401" s="13" t="s">
        <v>15228</v>
      </c>
      <c r="C7401" s="14" t="s">
        <v>15229</v>
      </c>
      <c r="D7401" s="1" t="str">
        <f>IFERROR(__xludf.DUMMYFUNCTION("GOOGLETRANSLATE(A7401 , ""auto"", ""ar"")"),"لكن دعنا نمنحها")</f>
        <v>لكن دعنا نمنحها</v>
      </c>
    </row>
    <row r="7402" ht="15.75" customHeight="1">
      <c r="A7402" s="12" t="s">
        <v>15230</v>
      </c>
      <c r="B7402" s="13" t="s">
        <v>15231</v>
      </c>
      <c r="C7402" s="14" t="s">
        <v>15232</v>
      </c>
      <c r="D7402" s="1" t="str">
        <f>IFERROR(__xludf.DUMMYFUNCTION("GOOGLETRANSLATE(A7402 , ""auto"", ""ar"")"),"انقل المصعد إلى الأرض واحدة")</f>
        <v>انقل المصعد إلى الأرض واحدة</v>
      </c>
    </row>
    <row r="7403" ht="15.75" customHeight="1">
      <c r="A7403" s="12" t="s">
        <v>15230</v>
      </c>
      <c r="B7403" s="13" t="s">
        <v>15233</v>
      </c>
      <c r="C7403" s="14" t="s">
        <v>15234</v>
      </c>
      <c r="D7403" s="1" t="str">
        <f>IFERROR(__xludf.DUMMYFUNCTION("GOOGLETRANSLATE(A7403 , ""auto"", ""ar"")"),"انقل المصعد إلى الأرض واحدة")</f>
        <v>انقل المصعد إلى الأرض واحدة</v>
      </c>
    </row>
    <row r="7404" ht="15.75" customHeight="1">
      <c r="A7404" s="12" t="s">
        <v>15235</v>
      </c>
      <c r="B7404" s="13" t="s">
        <v>15236</v>
      </c>
      <c r="C7404" s="14" t="s">
        <v>15237</v>
      </c>
      <c r="D7404" s="1" t="str">
        <f>IFERROR(__xludf.DUMMYFUNCTION("GOOGLETRANSLATE(A7404 , ""auto"", ""ar"")"),"اجعل الباب مفتوحًا لتحريرنا")</f>
        <v>اجعل الباب مفتوحًا لتحريرنا</v>
      </c>
    </row>
    <row r="7405" ht="15.75" customHeight="1">
      <c r="A7405" s="12" t="s">
        <v>15238</v>
      </c>
      <c r="B7405" s="13" t="s">
        <v>15239</v>
      </c>
      <c r="C7405" s="14" t="s">
        <v>15240</v>
      </c>
      <c r="D7405" s="1" t="str">
        <f>IFERROR(__xludf.DUMMYFUNCTION("GOOGLETRANSLATE(A7405 , ""auto"", ""ar"")"),"قد لا نزال قادرين على عقد الاجتماع في الوقت المحدد!")</f>
        <v>قد لا نزال قادرين على عقد الاجتماع في الوقت المحدد!</v>
      </c>
    </row>
    <row r="7406" ht="15.75" customHeight="1">
      <c r="A7406" s="12" t="s">
        <v>15241</v>
      </c>
      <c r="B7406" s="13" t="s">
        <v>15242</v>
      </c>
      <c r="C7406" s="14" t="s">
        <v>15243</v>
      </c>
      <c r="D7406" s="1" t="str">
        <f>IFERROR(__xludf.DUMMYFUNCTION("GOOGLETRANSLATE(A7406 , ""auto"", ""ar"")"),"أنا متحمس حقًا لشريكي")</f>
        <v>أنا متحمس حقًا لشريكي</v>
      </c>
    </row>
    <row r="7407" ht="15.75" customHeight="1">
      <c r="A7407" s="12" t="s">
        <v>15244</v>
      </c>
      <c r="B7407" s="13" t="s">
        <v>15245</v>
      </c>
      <c r="C7407" s="14" t="s">
        <v>15246</v>
      </c>
      <c r="D7407" s="1" t="str">
        <f>IFERROR(__xludf.DUMMYFUNCTION("GOOGLETRANSLATE(A7407 , ""auto"", ""ar"")"),"سيكون من الرائع أن تساعدني في تنظيمه؟")</f>
        <v>سيكون من الرائع أن تساعدني في تنظيمه؟</v>
      </c>
    </row>
    <row r="7408" ht="15.75" customHeight="1">
      <c r="A7408" s="12" t="s">
        <v>15247</v>
      </c>
      <c r="B7408" s="13" t="s">
        <v>15248</v>
      </c>
      <c r="C7408" s="14" t="s">
        <v>15249</v>
      </c>
      <c r="D7408" s="1" t="str">
        <f>IFERROR(__xludf.DUMMYFUNCTION("GOOGLETRANSLATE(A7408 , ""auto"", ""ar"")"),"آسف يجب أن يقول الحزب")</f>
        <v>آسف يجب أن يقول الحزب</v>
      </c>
    </row>
    <row r="7409" ht="15.75" customHeight="1">
      <c r="A7409" s="12" t="s">
        <v>15250</v>
      </c>
      <c r="B7409" s="13" t="s">
        <v>15251</v>
      </c>
      <c r="C7409" s="14" t="s">
        <v>15252</v>
      </c>
      <c r="D7409" s="1" t="str">
        <f>IFERROR(__xludf.DUMMYFUNCTION("GOOGLETRANSLATE(A7409 , ""auto"", ""ar"")"),"لست متأكدًا من فهمه")</f>
        <v>لست متأكدًا من فهمه</v>
      </c>
    </row>
    <row r="7410" ht="15.75" customHeight="1">
      <c r="A7410" s="12" t="s">
        <v>15250</v>
      </c>
      <c r="B7410" s="13" t="s">
        <v>15253</v>
      </c>
      <c r="C7410" s="14" t="s">
        <v>15254</v>
      </c>
      <c r="D7410" s="1" t="str">
        <f>IFERROR(__xludf.DUMMYFUNCTION("GOOGLETRANSLATE(A7410 , ""auto"", ""ar"")"),"لست متأكدًا من فهمه")</f>
        <v>لست متأكدًا من فهمه</v>
      </c>
    </row>
    <row r="7411" ht="15.75" customHeight="1">
      <c r="A7411" s="12" t="s">
        <v>15255</v>
      </c>
      <c r="B7411" s="13" t="s">
        <v>15256</v>
      </c>
      <c r="C7411" s="14" t="s">
        <v>15257</v>
      </c>
      <c r="D7411" s="1" t="str">
        <f>IFERROR(__xludf.DUMMYFUNCTION("GOOGLETRANSLATE(A7411 , ""auto"", ""ar"")"),"ما الذي يحمسك؟")</f>
        <v>ما الذي يحمسك؟</v>
      </c>
    </row>
    <row r="7412" ht="15.75" customHeight="1">
      <c r="A7412" s="12" t="s">
        <v>15258</v>
      </c>
      <c r="B7412" s="13" t="s">
        <v>15259</v>
      </c>
      <c r="C7412" s="14" t="s">
        <v>15260</v>
      </c>
      <c r="D7412" s="1" t="str">
        <f>IFERROR(__xludf.DUMMYFUNCTION("GOOGLETRANSLATE(A7412 , ""auto"", ""ar"")"),"أنا متحمس لحزبي")</f>
        <v>أنا متحمس لحزبي</v>
      </c>
    </row>
    <row r="7413" ht="15.75" customHeight="1">
      <c r="A7413" s="12" t="s">
        <v>15261</v>
      </c>
      <c r="B7413" s="13" t="s">
        <v>15262</v>
      </c>
      <c r="C7413" s="14" t="s">
        <v>15263</v>
      </c>
      <c r="D7413" s="1" t="str">
        <f>IFERROR(__xludf.DUMMYFUNCTION("GOOGLETRANSLATE(A7413 , ""auto"", ""ar"")"),"لا أعرف الكلمة باللغة الفرنسية")</f>
        <v>لا أعرف الكلمة باللغة الفرنسية</v>
      </c>
    </row>
    <row r="7414" ht="15.75" customHeight="1">
      <c r="A7414" s="12" t="s">
        <v>15264</v>
      </c>
      <c r="B7414" s="13" t="s">
        <v>15265</v>
      </c>
      <c r="C7414" s="14" t="s">
        <v>15266</v>
      </c>
      <c r="D7414" s="1" t="str">
        <f>IFERROR(__xludf.DUMMYFUNCTION("GOOGLETRANSLATE(A7414 , ""auto"", ""ar"")"),"هل يمكنك مساعدتي في تنظيمه؟")</f>
        <v>هل يمكنك مساعدتي في تنظيمه؟</v>
      </c>
    </row>
    <row r="7415" ht="15.75" customHeight="1">
      <c r="A7415" s="12" t="s">
        <v>15267</v>
      </c>
      <c r="B7415" s="13" t="s">
        <v>15268</v>
      </c>
      <c r="C7415" s="14" t="s">
        <v>15269</v>
      </c>
      <c r="D7415" s="1" t="str">
        <f>IFERROR(__xludf.DUMMYFUNCTION("GOOGLETRANSLATE(A7415 , ""auto"", ""ar"")"),"بالطبع ، يمكنني مساعدتك في تنظيم حفلتك!")</f>
        <v>بالطبع ، يمكنني مساعدتك في تنظيم حفلتك!</v>
      </c>
    </row>
    <row r="7416" ht="15.75" customHeight="1">
      <c r="A7416" s="12" t="s">
        <v>15270</v>
      </c>
      <c r="B7416" s="13" t="s">
        <v>15271</v>
      </c>
      <c r="C7416" s="14" t="s">
        <v>15272</v>
      </c>
      <c r="D7416" s="1" t="str">
        <f>IFERROR(__xludf.DUMMYFUNCTION("GOOGLETRANSLATE(A7416 , ""auto"", ""ar"")"),"أرغب بذلك")</f>
        <v>أرغب بذلك</v>
      </c>
    </row>
    <row r="7417" ht="15.75" customHeight="1">
      <c r="A7417" s="12" t="s">
        <v>15273</v>
      </c>
      <c r="B7417" s="13" t="s">
        <v>15274</v>
      </c>
      <c r="C7417" s="14" t="s">
        <v>15275</v>
      </c>
      <c r="D7417" s="1" t="str">
        <f>IFERROR(__xludf.DUMMYFUNCTION("GOOGLETRANSLATE(A7417 , ""auto"", ""ar"")"),"هل لديك أي أفكار محددة؟")</f>
        <v>هل لديك أي أفكار محددة؟</v>
      </c>
    </row>
    <row r="7418" ht="15.75" customHeight="1">
      <c r="A7418" s="12" t="s">
        <v>15276</v>
      </c>
      <c r="B7418" s="13" t="s">
        <v>15277</v>
      </c>
      <c r="C7418" s="14" t="s">
        <v>15278</v>
      </c>
      <c r="D7418" s="1" t="str">
        <f>IFERROR(__xludf.DUMMYFUNCTION("GOOGLETRANSLATE(A7418 , ""auto"", ""ar"")"),"أود أن أبقيه صغيرًا جدًا ، على سبيل المثال حوالي 30 شخصًا")</f>
        <v>أود أن أبقيه صغيرًا جدًا ، على سبيل المثال حوالي 30 شخصًا</v>
      </c>
    </row>
    <row r="7419" ht="15.75" customHeight="1">
      <c r="A7419" s="12" t="s">
        <v>15279</v>
      </c>
      <c r="B7419" s="13" t="s">
        <v>15280</v>
      </c>
      <c r="C7419" s="14" t="s">
        <v>15281</v>
      </c>
      <c r="D7419" s="1" t="str">
        <f>IFERROR(__xludf.DUMMYFUNCTION("GOOGLETRANSLATE(A7419 , ""auto"", ""ar"")"),"بعض الطعام والنبيذ ، ربما يرقص")</f>
        <v>بعض الطعام والنبيذ ، ربما يرقص</v>
      </c>
    </row>
    <row r="7420" ht="15.75" customHeight="1">
      <c r="A7420" s="12" t="s">
        <v>15282</v>
      </c>
      <c r="B7420" s="13" t="s">
        <v>15283</v>
      </c>
      <c r="C7420" s="14" t="s">
        <v>15284</v>
      </c>
      <c r="D7420" s="1" t="str">
        <f>IFERROR(__xludf.DUMMYFUNCTION("GOOGLETRANSLATE(A7420 , ""auto"", ""ar"")"),"هل تعرف في أي مكان يمكنني الاحتفاظ به ، مثل البار أو النادي؟")</f>
        <v>هل تعرف في أي مكان يمكنني الاحتفاظ به ، مثل البار أو النادي؟</v>
      </c>
    </row>
    <row r="7421" ht="15.75" customHeight="1">
      <c r="A7421" s="12" t="s">
        <v>15285</v>
      </c>
      <c r="B7421" s="13" t="s">
        <v>15286</v>
      </c>
      <c r="C7421" s="14" t="s">
        <v>15287</v>
      </c>
      <c r="D7421" s="1" t="str">
        <f>IFERROR(__xludf.DUMMYFUNCTION("GOOGLETRANSLATE(A7421 , ""auto"", ""ar"")"),"أعرف العديد من الحانات ، والتي يمكن أن تحية 30 شخصًا جيدًا")</f>
        <v>أعرف العديد من الحانات ، والتي يمكن أن تحية 30 شخصًا جيدًا</v>
      </c>
    </row>
    <row r="7422" ht="15.75" customHeight="1">
      <c r="A7422" s="12" t="s">
        <v>15288</v>
      </c>
      <c r="B7422" s="13" t="s">
        <v>15289</v>
      </c>
      <c r="C7422" s="14" t="s">
        <v>15290</v>
      </c>
      <c r="D7422" s="1" t="str">
        <f>IFERROR(__xludf.DUMMYFUNCTION("GOOGLETRANSLATE(A7422 , ""auto"", ""ar"")"),"هل ترغب في جو خاص؟")</f>
        <v>هل ترغب في جو خاص؟</v>
      </c>
    </row>
    <row r="7423" ht="15.75" customHeight="1">
      <c r="A7423" s="12" t="s">
        <v>15291</v>
      </c>
      <c r="B7423" s="13" t="s">
        <v>15292</v>
      </c>
      <c r="C7423" s="14" t="s">
        <v>15293</v>
      </c>
      <c r="D7423" s="1" t="str">
        <f>IFERROR(__xludf.DUMMYFUNCTION("GOOGLETRANSLATE(A7423 , ""auto"", ""ar"")"),"في مكان ما ليس صاخبًا جدًا")</f>
        <v>في مكان ما ليس صاخبًا جدًا</v>
      </c>
    </row>
    <row r="7424" ht="15.75" customHeight="1">
      <c r="A7424" s="12" t="s">
        <v>15294</v>
      </c>
      <c r="B7424" s="13" t="s">
        <v>15295</v>
      </c>
      <c r="C7424" s="14" t="s">
        <v>15296</v>
      </c>
      <c r="D7424" s="1" t="str">
        <f>IFERROR(__xludf.DUMMYFUNCTION("GOOGLETRANSLATE(A7424 , ""auto"", ""ar"")"),"وإلا ، فمن الصعب سماع الناس يتحدثون")</f>
        <v>وإلا ، فمن الصعب سماع الناس يتحدثون</v>
      </c>
    </row>
    <row r="7425" ht="15.75" customHeight="1">
      <c r="A7425" s="12" t="s">
        <v>15297</v>
      </c>
      <c r="B7425" s="13" t="s">
        <v>15298</v>
      </c>
      <c r="C7425" s="14" t="s">
        <v>15299</v>
      </c>
      <c r="D7425" s="1" t="str">
        <f>IFERROR(__xludf.DUMMYFUNCTION("GOOGLETRANSLATE(A7425 , ""auto"", ""ar"")"),"حيث يخدمون بعض الطعام الجيد")</f>
        <v>حيث يخدمون بعض الطعام الجيد</v>
      </c>
    </row>
    <row r="7426" ht="15.75" customHeight="1">
      <c r="A7426" s="12" t="s">
        <v>15300</v>
      </c>
      <c r="B7426" s="13" t="s">
        <v>15301</v>
      </c>
      <c r="C7426" s="14" t="s">
        <v>15302</v>
      </c>
      <c r="D7426" s="1" t="str">
        <f>IFERROR(__xludf.DUMMYFUNCTION("GOOGLETRANSLATE(A7426 , ""auto"", ""ar"")"),"يجعلني أفكر في شريط أعرفه ، من لديه الكثير من السحر")</f>
        <v>يجعلني أفكر في شريط أعرفه ، من لديه الكثير من السحر</v>
      </c>
    </row>
    <row r="7427" ht="15.75" customHeight="1">
      <c r="A7427" s="12" t="s">
        <v>15303</v>
      </c>
      <c r="B7427" s="13" t="s">
        <v>15304</v>
      </c>
      <c r="C7427" s="14" t="s">
        <v>15305</v>
      </c>
      <c r="D7427" s="1" t="str">
        <f>IFERROR(__xludf.DUMMYFUNCTION("GOOGLETRANSLATE(A7427 , ""auto"", ""ar"")"),"مع خلفية موسيقية لطيفة جدا")</f>
        <v>مع خلفية موسيقية لطيفة جدا</v>
      </c>
    </row>
    <row r="7428" ht="15.75" customHeight="1">
      <c r="A7428" s="12" t="s">
        <v>15306</v>
      </c>
      <c r="B7428" s="13" t="s">
        <v>15307</v>
      </c>
      <c r="C7428" s="14" t="s">
        <v>15308</v>
      </c>
      <c r="D7428" s="1" t="str">
        <f>IFERROR(__xludf.DUMMYFUNCTION("GOOGLETRANSLATE(A7428 , ""auto"", ""ar"")"),"ومطبخهم ممتاز!")</f>
        <v>ومطبخهم ممتاز!</v>
      </c>
    </row>
    <row r="7429" ht="15.75" customHeight="1">
      <c r="A7429" s="12" t="s">
        <v>15309</v>
      </c>
      <c r="B7429" s="13" t="s">
        <v>15310</v>
      </c>
      <c r="C7429" s="14" t="s">
        <v>15311</v>
      </c>
      <c r="D7429" s="1" t="str">
        <f>IFERROR(__xludf.DUMMYFUNCTION("GOOGLETRANSLATE(A7429 , ""auto"", ""ar"")"),"هذا يبدو رائعًا")</f>
        <v>هذا يبدو رائعًا</v>
      </c>
    </row>
    <row r="7430" ht="15.75" customHeight="1">
      <c r="A7430" s="12" t="s">
        <v>15312</v>
      </c>
      <c r="B7430" s="13" t="s">
        <v>15313</v>
      </c>
      <c r="C7430" s="14" t="s">
        <v>15314</v>
      </c>
      <c r="D7430" s="1" t="str">
        <f>IFERROR(__xludf.DUMMYFUNCTION("GOOGLETRANSLATE(A7430 , ""auto"", ""ar"")"),"يمكننا الذهاب والدردشة مع المالك ونرى ما يمكن أن تقدمه؟")</f>
        <v>يمكننا الذهاب والدردشة مع المالك ونرى ما يمكن أن تقدمه؟</v>
      </c>
    </row>
    <row r="7431" ht="15.75" customHeight="1">
      <c r="A7431" s="12" t="s">
        <v>15315</v>
      </c>
      <c r="B7431" s="13" t="s">
        <v>15316</v>
      </c>
      <c r="C7431" s="14" t="s">
        <v>15317</v>
      </c>
      <c r="D7431" s="1" t="str">
        <f>IFERROR(__xludf.DUMMYFUNCTION("GOOGLETRANSLATE(A7431 , ""auto"", ""ar"")"),"في بعض الأحيان يتقاضون ذلك مقابل مساحة للحزب")</f>
        <v>في بعض الأحيان يتقاضون ذلك مقابل مساحة للحزب</v>
      </c>
    </row>
    <row r="7432" ht="15.75" customHeight="1">
      <c r="A7432" s="12" t="s">
        <v>15318</v>
      </c>
      <c r="B7432" s="13" t="s">
        <v>15319</v>
      </c>
      <c r="C7432" s="14" t="s">
        <v>15320</v>
      </c>
      <c r="D7432" s="1" t="str">
        <f>IFERROR(__xludf.DUMMYFUNCTION("GOOGLETRANSLATE(A7432 , ""auto"", ""ar"")"),"سيسمح لك بمعرفة ما إذا كان المكان يناسبك")</f>
        <v>سيسمح لك بمعرفة ما إذا كان المكان يناسبك</v>
      </c>
    </row>
    <row r="7433" ht="15.75" customHeight="1">
      <c r="A7433" s="12" t="s">
        <v>15321</v>
      </c>
      <c r="B7433" s="13" t="s">
        <v>15322</v>
      </c>
      <c r="C7433" s="14" t="s">
        <v>15323</v>
      </c>
      <c r="D7433" s="1" t="str">
        <f>IFERROR(__xludf.DUMMYFUNCTION("GOOGLETRANSLATE(A7433 , ""auto"", ""ar"")"),"ومناقشة الجانب المالي")</f>
        <v>ومناقشة الجانب المالي</v>
      </c>
    </row>
    <row r="7434" ht="15.75" customHeight="1">
      <c r="A7434" s="12" t="s">
        <v>15324</v>
      </c>
      <c r="B7434" s="13" t="s">
        <v>15325</v>
      </c>
      <c r="C7434" s="14" t="s">
        <v>15326</v>
      </c>
      <c r="D7434" s="1" t="str">
        <f>IFERROR(__xludf.DUMMYFUNCTION("GOOGLETRANSLATE(A7434 , ""auto"", ""ar"")"),"ولكن أيضا قائمة")</f>
        <v>ولكن أيضا قائمة</v>
      </c>
    </row>
    <row r="7435" ht="15.75" customHeight="1">
      <c r="A7435" s="12" t="s">
        <v>15327</v>
      </c>
      <c r="B7435" s="13" t="s">
        <v>15328</v>
      </c>
      <c r="C7435" s="14" t="s">
        <v>15329</v>
      </c>
      <c r="D7435" s="1" t="str">
        <f>IFERROR(__xludf.DUMMYFUNCTION("GOOGLETRANSLATE(A7435 , ""auto"", ""ar"")"),"أود إحضار كعكتي أيضًا")</f>
        <v>أود إحضار كعكتي أيضًا</v>
      </c>
    </row>
    <row r="7436" ht="15.75" customHeight="1">
      <c r="A7436" s="12" t="s">
        <v>15330</v>
      </c>
      <c r="B7436" s="13" t="s">
        <v>15331</v>
      </c>
      <c r="C7436" s="14" t="s">
        <v>15332</v>
      </c>
      <c r="D7436" s="1" t="str">
        <f>IFERROR(__xludf.DUMMYFUNCTION("GOOGLETRANSLATE(A7436 , ""auto"", ""ar"")"),"وليس كل الحانات تسمح بالونات")</f>
        <v>وليس كل الحانات تسمح بالونات</v>
      </c>
    </row>
    <row r="7437" ht="15.75" customHeight="1">
      <c r="A7437" s="12" t="s">
        <v>15333</v>
      </c>
      <c r="B7437" s="13" t="s">
        <v>15334</v>
      </c>
      <c r="C7437" s="14" t="s">
        <v>15335</v>
      </c>
      <c r="D7437" s="1" t="str">
        <f>IFERROR(__xludf.DUMMYFUNCTION("GOOGLETRANSLATE(A7437 , ""auto"", ""ar"")"),"هذا ممكن في هذا الشريط")</f>
        <v>هذا ممكن في هذا الشريط</v>
      </c>
    </row>
    <row r="7438" ht="15.75" customHeight="1">
      <c r="A7438" s="12" t="s">
        <v>15336</v>
      </c>
      <c r="B7438" s="13" t="s">
        <v>15337</v>
      </c>
      <c r="C7438" s="14" t="s">
        <v>15338</v>
      </c>
      <c r="D7438" s="1" t="str">
        <f>IFERROR(__xludf.DUMMYFUNCTION("GOOGLETRANSLATE(A7438 , ""auto"", ""ar"")"),"ثم يمكنك إحضار الحلوى!")</f>
        <v>ثم يمكنك إحضار الحلوى!</v>
      </c>
    </row>
    <row r="7439" ht="15.75" customHeight="1">
      <c r="A7439" s="12" t="s">
        <v>15339</v>
      </c>
      <c r="B7439" s="13" t="s">
        <v>15340</v>
      </c>
      <c r="C7439" s="14" t="s">
        <v>15341</v>
      </c>
      <c r="D7439" s="1" t="str">
        <f>IFERROR(__xludf.DUMMYFUNCTION("GOOGLETRANSLATE(A7439 , ""auto"", ""ar"")"),"هذا يبدو مثاليا")</f>
        <v>هذا يبدو مثاليا</v>
      </c>
    </row>
    <row r="7440" ht="15.75" customHeight="1">
      <c r="A7440" s="12" t="s">
        <v>15342</v>
      </c>
      <c r="B7440" s="13" t="s">
        <v>15343</v>
      </c>
      <c r="C7440" s="14" t="s">
        <v>15344</v>
      </c>
      <c r="D7440" s="1" t="str">
        <f>IFERROR(__xludf.DUMMYFUNCTION("GOOGLETRANSLATE(A7440 , ""auto"", ""ar"")"),"لنذهب غدا")</f>
        <v>لنذهب غدا</v>
      </c>
    </row>
    <row r="7441" ht="15.75" customHeight="1">
      <c r="A7441" s="12" t="s">
        <v>15345</v>
      </c>
      <c r="B7441" s="13" t="s">
        <v>15346</v>
      </c>
      <c r="C7441" s="14" t="s">
        <v>15347</v>
      </c>
      <c r="D7441" s="1" t="str">
        <f>IFERROR(__xludf.DUMMYFUNCTION("GOOGLETRANSLATE(A7441 , ""auto"", ""ar"")"),"ضع هاتفك بعيدًا من فضلك")</f>
        <v>ضع هاتفك بعيدًا من فضلك</v>
      </c>
    </row>
    <row r="7442" ht="15.75" customHeight="1">
      <c r="A7442" s="12" t="s">
        <v>15348</v>
      </c>
      <c r="B7442" s="13" t="s">
        <v>15349</v>
      </c>
      <c r="C7442" s="14" t="s">
        <v>15350</v>
      </c>
      <c r="D7442" s="1" t="str">
        <f>IFERROR(__xludf.DUMMYFUNCTION("GOOGLETRANSLATE(A7442 , ""auto"", ""ar"")"),"إنه ليس صحية في المطبخ")</f>
        <v>إنه ليس صحية في المطبخ</v>
      </c>
    </row>
    <row r="7443" ht="15.75" customHeight="1">
      <c r="A7443" s="12" t="s">
        <v>15351</v>
      </c>
      <c r="B7443" s="13" t="s">
        <v>15352</v>
      </c>
      <c r="C7443" s="14" t="s">
        <v>15353</v>
      </c>
      <c r="D7443" s="1" t="str">
        <f>IFERROR(__xludf.DUMMYFUNCTION("GOOGLETRANSLATE(A7443 , ""auto"", ""ar"")"),"ما عليك سوى الاستمرار وابدأ في إعداد الخضروات هذه الليلة")</f>
        <v>ما عليك سوى الاستمرار وابدأ في إعداد الخضروات هذه الليلة</v>
      </c>
    </row>
    <row r="7444" ht="15.75" customHeight="1">
      <c r="A7444" s="12" t="s">
        <v>15354</v>
      </c>
      <c r="B7444" s="13" t="s">
        <v>15355</v>
      </c>
      <c r="C7444" s="14" t="s">
        <v>15356</v>
      </c>
      <c r="D7444" s="1" t="str">
        <f>IFERROR(__xludf.DUMMYFUNCTION("GOOGLETRANSLATE(A7444 , ""auto"", ""ar"")"),"لكن Euuuh!")</f>
        <v>لكن Euuuh!</v>
      </c>
    </row>
    <row r="7445" ht="15.75" customHeight="1">
      <c r="A7445" s="12" t="s">
        <v>15357</v>
      </c>
      <c r="B7445" s="13" t="s">
        <v>15358</v>
      </c>
      <c r="C7445" s="14" t="s">
        <v>15359</v>
      </c>
      <c r="D7445" s="1" t="str">
        <f>IFERROR(__xludf.DUMMYFUNCTION("GOOGLETRANSLATE(A7445 , ""auto"", ""ar"")"),"لا هاتف من Instagram")</f>
        <v>لا هاتف من Instagram</v>
      </c>
    </row>
    <row r="7446" ht="15.75" customHeight="1">
      <c r="A7446" s="12" t="s">
        <v>15360</v>
      </c>
      <c r="B7446" s="13" t="s">
        <v>15361</v>
      </c>
      <c r="C7446" s="14" t="s">
        <v>15362</v>
      </c>
      <c r="D7446" s="1" t="str">
        <f>IFERROR(__xludf.DUMMYFUNCTION("GOOGLETRANSLATE(A7446 , ""auto"", ""ar"")"),"أنا ذاهب ، لكنني أبقي هاتفي لا!")</f>
        <v>أنا ذاهب ، لكنني أبقي هاتفي لا!</v>
      </c>
    </row>
    <row r="7447" ht="15.75" customHeight="1">
      <c r="A7447" s="12" t="s">
        <v>15363</v>
      </c>
      <c r="B7447" s="13" t="s">
        <v>15364</v>
      </c>
      <c r="C7447" s="14" t="s">
        <v>15365</v>
      </c>
      <c r="D7447" s="1" t="str">
        <f>IFERROR(__xludf.DUMMYFUNCTION("GOOGLETRANSLATE(A7447 , ""auto"", ""ar"")"),"انظر أنا أحاول أن أكون لطيفا")</f>
        <v>انظر أنا أحاول أن أكون لطيفا</v>
      </c>
    </row>
    <row r="7448" ht="15.75" customHeight="1">
      <c r="A7448" s="12" t="s">
        <v>15366</v>
      </c>
      <c r="B7448" s="13" t="s">
        <v>15367</v>
      </c>
      <c r="C7448" s="14" t="s">
        <v>15368</v>
      </c>
      <c r="D7448" s="1" t="str">
        <f>IFERROR(__xludf.DUMMYFUNCTION("GOOGLETRANSLATE(A7448 , ""auto"", ""ar"")"),"لديك بعض المشكلات الشخصية")</f>
        <v>لديك بعض المشكلات الشخصية</v>
      </c>
    </row>
    <row r="7449" ht="15.75" customHeight="1">
      <c r="A7449" s="12" t="s">
        <v>15369</v>
      </c>
      <c r="B7449" s="13" t="s">
        <v>15370</v>
      </c>
      <c r="C7449" s="14" t="s">
        <v>15371</v>
      </c>
      <c r="D7449" s="1" t="str">
        <f>IFERROR(__xludf.DUMMYFUNCTION("GOOGLETRANSLATE(A7449 , ""auto"", ""ar"")"),"ولكن يرجى الاستمرار في عملك")</f>
        <v>ولكن يرجى الاستمرار في عملك</v>
      </c>
    </row>
    <row r="7450" ht="15.75" customHeight="1">
      <c r="A7450" s="12" t="s">
        <v>15372</v>
      </c>
      <c r="B7450" s="13" t="s">
        <v>15373</v>
      </c>
      <c r="C7450" s="14" t="s">
        <v>15374</v>
      </c>
      <c r="D7450" s="1" t="str">
        <f>IFERROR(__xludf.DUMMYFUNCTION("GOOGLETRANSLATE(A7450 , ""auto"", ""ar"")"),"يحتاج الثوم إلى تحميص")</f>
        <v>يحتاج الثوم إلى تحميص</v>
      </c>
    </row>
    <row r="7451" ht="15.75" customHeight="1">
      <c r="A7451" s="12" t="s">
        <v>15375</v>
      </c>
      <c r="B7451" s="13" t="s">
        <v>15376</v>
      </c>
      <c r="C7451" s="14" t="s">
        <v>15377</v>
      </c>
      <c r="D7451" s="1" t="str">
        <f>IFERROR(__xludf.DUMMYFUNCTION("GOOGLETRANSLATE(A7451 , ""auto"", ""ar"")"),"يا للا!")</f>
        <v>يا للا!</v>
      </c>
    </row>
    <row r="7452" ht="15.75" customHeight="1">
      <c r="A7452" s="12" t="s">
        <v>15378</v>
      </c>
      <c r="B7452" s="13" t="s">
        <v>15379</v>
      </c>
      <c r="C7452" s="14" t="s">
        <v>15380</v>
      </c>
      <c r="D7452" s="1" t="str">
        <f>IFERROR(__xludf.DUMMYFUNCTION("GOOGLETRANSLATE(A7452 , ""auto"", ""ar"")"),"لا الثوم")</f>
        <v>لا الثوم</v>
      </c>
    </row>
    <row r="7453" ht="15.75" customHeight="1">
      <c r="A7453" s="12" t="s">
        <v>15381</v>
      </c>
      <c r="B7453" s="13" t="s">
        <v>15382</v>
      </c>
      <c r="C7453" s="14" t="s">
        <v>15383</v>
      </c>
      <c r="D7453" s="1" t="str">
        <f>IFERROR(__xludf.DUMMYFUNCTION("GOOGLETRANSLATE(A7453 , ""auto"", ""ar"")"),"يعطيني نفسا سيئا")</f>
        <v>يعطيني نفسا سيئا</v>
      </c>
    </row>
    <row r="7454" ht="15.75" customHeight="1">
      <c r="A7454" s="12" t="s">
        <v>15384</v>
      </c>
      <c r="B7454" s="13" t="s">
        <v>15385</v>
      </c>
      <c r="C7454" s="14" t="s">
        <v>15386</v>
      </c>
      <c r="D7454" s="1" t="str">
        <f>IFERROR(__xludf.DUMMYFUNCTION("GOOGLETRANSLATE(A7454 , ""auto"", ""ar"")"),"ومع سوء التنفس ، من المستحيل بالنسبة لي أن تظهر في الأماكن العامة")</f>
        <v>ومع سوء التنفس ، من المستحيل بالنسبة لي أن تظهر في الأماكن العامة</v>
      </c>
    </row>
    <row r="7455" ht="15.75" customHeight="1">
      <c r="A7455" s="12" t="s">
        <v>15387</v>
      </c>
      <c r="B7455" s="13" t="s">
        <v>15388</v>
      </c>
      <c r="C7455" s="14" t="s">
        <v>15389</v>
      </c>
      <c r="D7455" s="1" t="str">
        <f>IFERROR(__xludf.DUMMYFUNCTION("GOOGLETRANSLATE(A7455 , ""auto"", ""ar"")"),"سأجعل الفلفل جاهزًا وألتقط صورة لهم")</f>
        <v>سأجعل الفلفل جاهزًا وألتقط صورة لهم</v>
      </c>
    </row>
    <row r="7456" ht="15.75" customHeight="1">
      <c r="A7456" s="12" t="s">
        <v>15390</v>
      </c>
      <c r="B7456" s="13" t="s">
        <v>15391</v>
      </c>
      <c r="C7456" s="14" t="s">
        <v>15392</v>
      </c>
      <c r="D7456" s="1" t="str">
        <f>IFERROR(__xludf.DUMMYFUNCTION("GOOGLETRANSLATE(A7456 , ""auto"", ""ar"")"),"أعطني الاشتراكات الجديدة!")</f>
        <v>أعطني الاشتراكات الجديدة!</v>
      </c>
    </row>
    <row r="7457" ht="15.75" customHeight="1">
      <c r="A7457" s="12" t="s">
        <v>15393</v>
      </c>
      <c r="B7457" s="13" t="s">
        <v>15394</v>
      </c>
      <c r="C7457" s="14" t="s">
        <v>15395</v>
      </c>
      <c r="D7457" s="1" t="str">
        <f>IFERROR(__xludf.DUMMYFUNCTION("GOOGLETRANSLATE(A7457 , ""auto"", ""ar"")"),"أنت لست هنا لتكون جوكر")</f>
        <v>أنت لست هنا لتكون جوكر</v>
      </c>
    </row>
    <row r="7458" ht="15.75" customHeight="1">
      <c r="A7458" s="12" t="s">
        <v>15396</v>
      </c>
      <c r="B7458" s="13" t="s">
        <v>15397</v>
      </c>
      <c r="C7458" s="14" t="s">
        <v>15398</v>
      </c>
      <c r="D7458" s="1" t="str">
        <f>IFERROR(__xludf.DUMMYFUNCTION("GOOGLETRANSLATE(A7458 , ""auto"", ""ar"")"),"أنت طاهٍ صغار وكان من الأفضل أن تتذكره")</f>
        <v>أنت طاهٍ صغار وكان من الأفضل أن تتذكره</v>
      </c>
    </row>
    <row r="7459" ht="15.75" customHeight="1">
      <c r="A7459" s="12" t="s">
        <v>15399</v>
      </c>
      <c r="B7459" s="13" t="s">
        <v>15400</v>
      </c>
      <c r="C7459" s="14" t="s">
        <v>15401</v>
      </c>
      <c r="D7459" s="1" t="str">
        <f>IFERROR(__xludf.DUMMYFUNCTION("GOOGLETRANSLATE(A7459 , ""auto"", ""ar"")"),"أما بالنسبة لعدم إعجاب الثوم ، فأنا لست مهتمًا بأمثالك والكراهية")</f>
        <v>أما بالنسبة لعدم إعجاب الثوم ، فأنا لست مهتمًا بأمثالك والكراهية</v>
      </c>
    </row>
    <row r="7460" ht="15.75" customHeight="1">
      <c r="A7460" s="12" t="s">
        <v>15402</v>
      </c>
      <c r="B7460" s="13" t="s">
        <v>15403</v>
      </c>
      <c r="C7460" s="14" t="s">
        <v>15404</v>
      </c>
      <c r="D7460" s="1" t="str">
        <f>IFERROR(__xludf.DUMMYFUNCTION("GOOGLETRANSLATE(A7460 , ""auto"", ""ar"")"),"أعرف وصفة جيدة جدًا لحساء الثوم الذي يستخدم أربعين فصوصًا")</f>
        <v>أعرف وصفة جيدة جدًا لحساء الثوم الذي يستخدم أربعين فصوصًا</v>
      </c>
    </row>
    <row r="7461" ht="15.75" customHeight="1">
      <c r="A7461" s="12" t="s">
        <v>15405</v>
      </c>
      <c r="B7461" s="13" t="s">
        <v>15406</v>
      </c>
      <c r="C7461" s="14" t="s">
        <v>15407</v>
      </c>
      <c r="D7461" s="1" t="str">
        <f>IFERROR(__xludf.DUMMYFUNCTION("GOOGLETRANSLATE(A7461 , ""auto"", ""ar"")"),"يمكنك جعل ذلك غدا")</f>
        <v>يمكنك جعل ذلك غدا</v>
      </c>
    </row>
    <row r="7462" ht="15.75" customHeight="1">
      <c r="A7462" s="12" t="s">
        <v>15408</v>
      </c>
      <c r="B7462" s="13" t="s">
        <v>15409</v>
      </c>
      <c r="C7462" s="14" t="s">
        <v>15410</v>
      </c>
      <c r="D7462" s="1" t="str">
        <f>IFERROR(__xludf.DUMMYFUNCTION("GOOGLETRANSLATE(A7462 , ""auto"", ""ar"")"),"لكن هذا ليس عادلاً!")</f>
        <v>لكن هذا ليس عادلاً!</v>
      </c>
    </row>
    <row r="7463" ht="15.75" customHeight="1">
      <c r="A7463" s="12" t="s">
        <v>15408</v>
      </c>
      <c r="B7463" s="13" t="s">
        <v>15411</v>
      </c>
      <c r="C7463" s="14" t="s">
        <v>15412</v>
      </c>
      <c r="D7463" s="1" t="str">
        <f>IFERROR(__xludf.DUMMYFUNCTION("GOOGLETRANSLATE(A7463 , ""auto"", ""ar"")"),"لكن هذا ليس عادلاً!")</f>
        <v>لكن هذا ليس عادلاً!</v>
      </c>
    </row>
    <row r="7464" ht="15.75" customHeight="1">
      <c r="A7464" s="12" t="s">
        <v>15413</v>
      </c>
      <c r="B7464" s="13" t="s">
        <v>15414</v>
      </c>
      <c r="C7464" s="14" t="s">
        <v>15415</v>
      </c>
      <c r="D7464" s="1" t="str">
        <f>IFERROR(__xludf.DUMMYFUNCTION("GOOGLETRANSLATE(A7464 , ""auto"", ""ar"")"),"أنا طاهي في المطبخ ، لكني طاهي العلاقات العامة!")</f>
        <v>أنا طاهي في المطبخ ، لكني طاهي العلاقات العامة!</v>
      </c>
    </row>
    <row r="7465" ht="15.75" customHeight="1">
      <c r="A7465" s="12" t="s">
        <v>15416</v>
      </c>
      <c r="B7465" s="13" t="s">
        <v>15417</v>
      </c>
      <c r="C7465" s="14" t="s">
        <v>15418</v>
      </c>
      <c r="D7465" s="1" t="str">
        <f>IFERROR(__xludf.DUMMYFUNCTION("GOOGLETRANSLATE(A7465 , ""auto"", ""ar"")"),"أرفض!")</f>
        <v>أرفض!</v>
      </c>
    </row>
    <row r="7466" ht="15.75" customHeight="1">
      <c r="A7466" s="12" t="s">
        <v>15419</v>
      </c>
      <c r="B7466" s="13" t="s">
        <v>15420</v>
      </c>
      <c r="C7466" s="14" t="s">
        <v>15421</v>
      </c>
      <c r="D7466" s="1" t="str">
        <f>IFERROR(__xludf.DUMMYFUNCTION("GOOGLETRANSLATE(A7466 , ""auto"", ""ar"")"),"أقول ، أنا أرفض طهي الثوم!")</f>
        <v>أقول ، أنا أرفض طهي الثوم!</v>
      </c>
    </row>
    <row r="7467" ht="15.75" customHeight="1">
      <c r="A7467" s="12" t="s">
        <v>15422</v>
      </c>
      <c r="B7467" s="13" t="s">
        <v>15423</v>
      </c>
      <c r="C7467" s="14" t="s">
        <v>15424</v>
      </c>
      <c r="D7467" s="1" t="str">
        <f>IFERROR(__xludf.DUMMYFUNCTION("GOOGLETRANSLATE(A7467 , ""auto"", ""ar"")"),"كما قلت أنا الرئيس وسوف تفعل كما قيل لك")</f>
        <v>كما قلت أنا الرئيس وسوف تفعل كما قيل لك</v>
      </c>
    </row>
    <row r="7468" ht="15.75" customHeight="1">
      <c r="A7468" s="12" t="s">
        <v>15425</v>
      </c>
      <c r="B7468" s="13" t="s">
        <v>15426</v>
      </c>
      <c r="C7468" s="14" t="s">
        <v>15427</v>
      </c>
      <c r="D7468" s="1" t="str">
        <f>IFERROR(__xludf.DUMMYFUNCTION("GOOGLETRANSLATE(A7468 , ""auto"", ""ar"")"),"أنا لست مهتمًا بآرائك")</f>
        <v>أنا لست مهتمًا بآرائك</v>
      </c>
    </row>
    <row r="7469" ht="15.75" customHeight="1">
      <c r="A7469" s="12" t="s">
        <v>15425</v>
      </c>
      <c r="B7469" s="13" t="s">
        <v>15428</v>
      </c>
      <c r="C7469" s="14" t="s">
        <v>15429</v>
      </c>
      <c r="D7469" s="1" t="str">
        <f>IFERROR(__xludf.DUMMYFUNCTION("GOOGLETRANSLATE(A7469 , ""auto"", ""ar"")"),"أنا لست مهتمًا بآرائك")</f>
        <v>أنا لست مهتمًا بآرائك</v>
      </c>
    </row>
    <row r="7470" ht="15.75" customHeight="1">
      <c r="A7470" s="12" t="s">
        <v>15430</v>
      </c>
      <c r="B7470" s="13" t="s">
        <v>15431</v>
      </c>
      <c r="C7470" s="14" t="s">
        <v>15432</v>
      </c>
      <c r="D7470" s="1" t="str">
        <f>IFERROR(__xludf.DUMMYFUNCTION("GOOGLETRANSLATE(A7470 , ""auto"", ""ar"")"),"إن رائحة الثوم ستمنعك من المغازلة مع النادلات على أي حال")</f>
        <v>إن رائحة الثوم ستمنعك من المغازلة مع النادلات على أي حال</v>
      </c>
    </row>
    <row r="7471" ht="15.75" customHeight="1">
      <c r="A7471" s="12" t="s">
        <v>15433</v>
      </c>
      <c r="B7471" s="13" t="s">
        <v>15434</v>
      </c>
      <c r="C7471" s="14" t="s">
        <v>15435</v>
      </c>
      <c r="D7471" s="1" t="str">
        <f>IFERROR(__xludf.DUMMYFUNCTION("GOOGLETRANSLATE(A7471 , ""auto"", ""ar"")"),"أنت قاسي!")</f>
        <v>أنت قاسي!</v>
      </c>
    </row>
    <row r="7472" ht="15.75" customHeight="1">
      <c r="A7472" s="12" t="s">
        <v>15436</v>
      </c>
      <c r="B7472" s="13" t="s">
        <v>15437</v>
      </c>
      <c r="C7472" s="14" t="s">
        <v>15438</v>
      </c>
      <c r="D7472" s="1" t="str">
        <f>IFERROR(__xludf.DUMMYFUNCTION("GOOGLETRANSLATE(A7472 , ""auto"", ""ar"")"),"ماذا فعلت لك؟")</f>
        <v>ماذا فعلت لك؟</v>
      </c>
    </row>
    <row r="7473" ht="15.75" customHeight="1">
      <c r="A7473" s="12" t="s">
        <v>15436</v>
      </c>
      <c r="B7473" s="13" t="s">
        <v>15439</v>
      </c>
      <c r="C7473" s="14" t="s">
        <v>15440</v>
      </c>
      <c r="D7473" s="1" t="str">
        <f>IFERROR(__xludf.DUMMYFUNCTION("GOOGLETRANSLATE(A7473 , ""auto"", ""ar"")"),"ماذا فعلت لك؟")</f>
        <v>ماذا فعلت لك؟</v>
      </c>
    </row>
    <row r="7474" ht="15.75" customHeight="1">
      <c r="A7474" s="12" t="s">
        <v>15436</v>
      </c>
      <c r="B7474" s="13" t="s">
        <v>15441</v>
      </c>
      <c r="C7474" s="14" t="s">
        <v>15442</v>
      </c>
      <c r="D7474" s="1" t="str">
        <f>IFERROR(__xludf.DUMMYFUNCTION("GOOGLETRANSLATE(A7474 , ""auto"", ""ar"")"),"ماذا فعلت لك؟")</f>
        <v>ماذا فعلت لك؟</v>
      </c>
    </row>
    <row r="7475" ht="15.75" customHeight="1">
      <c r="A7475" s="12" t="s">
        <v>15443</v>
      </c>
      <c r="B7475" s="13" t="s">
        <v>15444</v>
      </c>
      <c r="C7475" s="14" t="s">
        <v>15445</v>
      </c>
      <c r="D7475" s="1" t="str">
        <f>IFERROR(__xludf.DUMMYFUNCTION("GOOGLETRANSLATE(A7475 , ""auto"", ""ar"")"),"النادلات ليست مثيرة للاهتمام")</f>
        <v>النادلات ليست مثيرة للاهتمام</v>
      </c>
    </row>
    <row r="7476" ht="15.75" customHeight="1">
      <c r="A7476" s="12" t="s">
        <v>15446</v>
      </c>
      <c r="B7476" s="13" t="s">
        <v>15447</v>
      </c>
      <c r="C7476" s="14" t="s">
        <v>15448</v>
      </c>
      <c r="D7476" s="1" t="str">
        <f>IFERROR(__xludf.DUMMYFUNCTION("GOOGLETRANSLATE(A7476 , ""auto"", ""ar"")"),"لا بد لي من كسب زوج!")</f>
        <v>لا بد لي من كسب زوج!</v>
      </c>
    </row>
    <row r="7477" ht="15.75" customHeight="1">
      <c r="A7477" s="12" t="s">
        <v>15449</v>
      </c>
      <c r="B7477" s="13" t="s">
        <v>15450</v>
      </c>
      <c r="C7477" s="14" t="s">
        <v>15451</v>
      </c>
      <c r="D7477" s="1" t="str">
        <f>IFERROR(__xludf.DUMMYFUNCTION("GOOGLETRANSLATE(A7477 , ""auto"", ""ar"")"),"أنا في Instagram والشبكات الاجتماعية الأخرى!")</f>
        <v>أنا في Instagram والشبكات الاجتماعية الأخرى!</v>
      </c>
    </row>
    <row r="7478" ht="15.75" customHeight="1">
      <c r="A7478" s="12" t="s">
        <v>15452</v>
      </c>
      <c r="B7478" s="13" t="s">
        <v>15453</v>
      </c>
      <c r="C7478" s="14" t="s">
        <v>15454</v>
      </c>
      <c r="D7478" s="1" t="str">
        <f>IFERROR(__xludf.DUMMYFUNCTION("GOOGLETRANSLATE(A7478 , ""auto"", ""ar"")"),"نجم")</f>
        <v>نجم</v>
      </c>
    </row>
    <row r="7479" ht="15.75" customHeight="1">
      <c r="A7479" s="12" t="s">
        <v>15452</v>
      </c>
      <c r="B7479" s="13" t="s">
        <v>15455</v>
      </c>
      <c r="C7479" s="14" t="s">
        <v>15456</v>
      </c>
      <c r="D7479" s="1" t="str">
        <f>IFERROR(__xludf.DUMMYFUNCTION("GOOGLETRANSLATE(A7479 , ""auto"", ""ar"")"),"نجم")</f>
        <v>نجم</v>
      </c>
    </row>
    <row r="7480" ht="15.75" customHeight="1">
      <c r="A7480" s="12" t="s">
        <v>15457</v>
      </c>
      <c r="B7480" s="13" t="s">
        <v>15458</v>
      </c>
      <c r="C7480" s="14" t="s">
        <v>15459</v>
      </c>
      <c r="D7480" s="1" t="str">
        <f>IFERROR(__xludf.DUMMYFUNCTION("GOOGLETRANSLATE(A7480 , ""auto"", ""ar"")"),"أنا فقط أقوم بهذه الوظيفة حتى يتم تعيينك!")</f>
        <v>أنا فقط أقوم بهذه الوظيفة حتى يتم تعيينك!</v>
      </c>
    </row>
    <row r="7481" ht="15.75" customHeight="1">
      <c r="A7481" s="12" t="s">
        <v>15460</v>
      </c>
      <c r="B7481" s="13" t="s">
        <v>15461</v>
      </c>
      <c r="C7481" s="14" t="s">
        <v>15462</v>
      </c>
      <c r="D7481" s="1" t="str">
        <f>IFERROR(__xludf.DUMMYFUNCTION("GOOGLETRANSLATE(A7481 , ""auto"", ""ar"")"),"انا نجم!")</f>
        <v>انا نجم!</v>
      </c>
    </row>
    <row r="7482" ht="15.75" customHeight="1">
      <c r="A7482" s="12" t="s">
        <v>15463</v>
      </c>
      <c r="B7482" s="13" t="s">
        <v>15464</v>
      </c>
      <c r="C7482" s="14" t="s">
        <v>15465</v>
      </c>
      <c r="D7482" s="1" t="str">
        <f>IFERROR(__xludf.DUMMYFUNCTION("GOOGLETRANSLATE(A7482 , ""auto"", ""ar"")"),"أنت مخدوع")</f>
        <v>أنت مخدوع</v>
      </c>
    </row>
    <row r="7483" ht="15.75" customHeight="1">
      <c r="A7483" s="12" t="s">
        <v>15466</v>
      </c>
      <c r="B7483" s="13" t="s">
        <v>15467</v>
      </c>
      <c r="C7483" s="14" t="s">
        <v>15468</v>
      </c>
      <c r="D7483" s="1" t="str">
        <f>IFERROR(__xludf.DUMMYFUNCTION("GOOGLETRANSLATE(A7483 , ""auto"", ""ar"")"),"حسنًا ، بما أنك هنا ستفعل كما أقول")</f>
        <v>حسنًا ، بما أنك هنا ستفعل كما أقول</v>
      </c>
    </row>
    <row r="7484" ht="15.75" customHeight="1">
      <c r="A7484" s="12" t="s">
        <v>15469</v>
      </c>
      <c r="B7484" s="13" t="s">
        <v>15470</v>
      </c>
      <c r="C7484" s="14" t="s">
        <v>15471</v>
      </c>
      <c r="D7484" s="1" t="str">
        <f>IFERROR(__xludf.DUMMYFUNCTION("GOOGLETRANSLATE(A7484 , ""auto"", ""ar"")"),"أنت هنا للعمل")</f>
        <v>أنت هنا للعمل</v>
      </c>
    </row>
    <row r="7485" ht="15.75" customHeight="1">
      <c r="A7485" s="12" t="s">
        <v>15472</v>
      </c>
      <c r="B7485" s="13" t="s">
        <v>14437</v>
      </c>
      <c r="C7485" s="14" t="s">
        <v>14438</v>
      </c>
      <c r="D7485" s="1" t="str">
        <f>IFERROR(__xludf.DUMMYFUNCTION("GOOGLETRANSLATE(A7485 , ""auto"", ""ar"")"),"حسنًا!")</f>
        <v>حسنًا!</v>
      </c>
    </row>
    <row r="7486" ht="15.75" customHeight="1">
      <c r="A7486" s="12" t="s">
        <v>15473</v>
      </c>
      <c r="B7486" s="13" t="s">
        <v>15474</v>
      </c>
      <c r="C7486" s="14" t="s">
        <v>15475</v>
      </c>
      <c r="D7486" s="1" t="str">
        <f>IFERROR(__xludf.DUMMYFUNCTION("GOOGLETRANSLATE(A7486 , ""auto"", ""ar"")"),"انا ذاهب للعمل")</f>
        <v>انا ذاهب للعمل</v>
      </c>
    </row>
    <row r="7487" ht="15.75" customHeight="1">
      <c r="A7487" s="12" t="s">
        <v>15473</v>
      </c>
      <c r="B7487" s="13" t="s">
        <v>15476</v>
      </c>
      <c r="C7487" s="14" t="s">
        <v>15477</v>
      </c>
      <c r="D7487" s="1" t="str">
        <f>IFERROR(__xludf.DUMMYFUNCTION("GOOGLETRANSLATE(A7487 , ""auto"", ""ar"")"),"انا ذاهب للعمل")</f>
        <v>انا ذاهب للعمل</v>
      </c>
    </row>
    <row r="7488" ht="15.75" customHeight="1">
      <c r="A7488" s="12" t="s">
        <v>15478</v>
      </c>
      <c r="B7488" s="13" t="s">
        <v>15479</v>
      </c>
      <c r="C7488" s="14" t="s">
        <v>15480</v>
      </c>
      <c r="D7488" s="1" t="str">
        <f>IFERROR(__xludf.DUMMYFUNCTION("GOOGLETRANSLATE(A7488 , ""auto"", ""ar"")"),"سأعمل في شانيل وأستقيل من هذه الوظيفة الغذائية الفاسدة!")</f>
        <v>سأعمل في شانيل وأستقيل من هذه الوظيفة الغذائية الفاسدة!</v>
      </c>
    </row>
    <row r="7489" ht="15.75" customHeight="1">
      <c r="A7489" s="12" t="s">
        <v>15481</v>
      </c>
      <c r="B7489" s="13" t="s">
        <v>15482</v>
      </c>
      <c r="C7489" s="14" t="s">
        <v>15483</v>
      </c>
      <c r="D7489" s="1" t="str">
        <f>IFERROR(__xludf.DUMMYFUNCTION("GOOGLETRANSLATE(A7489 , ""auto"", ""ar"")"),"بصراحة ، لا يناسب استخدام الثوم شخصًا من عيارتي!")</f>
        <v>بصراحة ، لا يناسب استخدام الثوم شخصًا من عيارتي!</v>
      </c>
    </row>
    <row r="7490" ht="15.75" customHeight="1">
      <c r="A7490" s="12" t="s">
        <v>15484</v>
      </c>
      <c r="B7490" s="13" t="s">
        <v>15485</v>
      </c>
      <c r="C7490" s="14" t="s">
        <v>15486</v>
      </c>
      <c r="D7490" s="1" t="str">
        <f>IFERROR(__xludf.DUMMYFUNCTION("GOOGLETRANSLATE(A7490 , ""auto"", ""ar"")"),"مرحبًا ، هل يمكنني الحصول على شيء ما؟")</f>
        <v>مرحبًا ، هل يمكنني الحصول على شيء ما؟</v>
      </c>
    </row>
    <row r="7491" ht="15.75" customHeight="1">
      <c r="A7491" s="12" t="s">
        <v>15484</v>
      </c>
      <c r="B7491" s="13" t="s">
        <v>15487</v>
      </c>
      <c r="C7491" s="14" t="s">
        <v>15488</v>
      </c>
      <c r="D7491" s="1" t="str">
        <f>IFERROR(__xludf.DUMMYFUNCTION("GOOGLETRANSLATE(A7491 , ""auto"", ""ar"")"),"مرحبًا ، هل يمكنني الحصول على شيء ما؟")</f>
        <v>مرحبًا ، هل يمكنني الحصول على شيء ما؟</v>
      </c>
    </row>
    <row r="7492" ht="15.75" customHeight="1">
      <c r="A7492" s="12" t="s">
        <v>15489</v>
      </c>
      <c r="B7492" s="13" t="s">
        <v>15490</v>
      </c>
      <c r="C7492" s="14" t="s">
        <v>15491</v>
      </c>
      <c r="D7492" s="1" t="str">
        <f>IFERROR(__xludf.DUMMYFUNCTION("GOOGLETRANSLATE(A7492 , ""auto"", ""ar"")"),"لقد مررت بيوم هراء ، لذلك سيكون هناك شيء قوي!")</f>
        <v>لقد مررت بيوم هراء ، لذلك سيكون هناك شيء قوي!</v>
      </c>
    </row>
    <row r="7493" ht="15.75" customHeight="1">
      <c r="A7493" s="12" t="s">
        <v>15492</v>
      </c>
      <c r="B7493" s="13" t="s">
        <v>15493</v>
      </c>
      <c r="C7493" s="14" t="s">
        <v>15494</v>
      </c>
      <c r="D7493" s="1" t="str">
        <f>IFERROR(__xludf.DUMMYFUNCTION("GOOGLETRANSLATE(A7493 , ""auto"", ""ar"")"),"هل تفعل الكوكتيلات هنا؟")</f>
        <v>هل تفعل الكوكتيلات هنا؟</v>
      </c>
    </row>
    <row r="7494" ht="15.75" customHeight="1">
      <c r="A7494" s="12" t="s">
        <v>15495</v>
      </c>
      <c r="B7494" s="13" t="s">
        <v>15496</v>
      </c>
      <c r="C7494" s="14" t="s">
        <v>15497</v>
      </c>
      <c r="D7494" s="1" t="str">
        <f>IFERROR(__xludf.DUMMYFUNCTION("GOOGLETRANSLATE(A7494 , ""auto"", ""ar"")"),"نعم بالطبع!")</f>
        <v>نعم بالطبع!</v>
      </c>
    </row>
    <row r="7495" ht="15.75" customHeight="1">
      <c r="A7495" s="12" t="s">
        <v>15498</v>
      </c>
      <c r="B7495" s="13" t="s">
        <v>15499</v>
      </c>
      <c r="C7495" s="14" t="s">
        <v>15500</v>
      </c>
      <c r="D7495" s="1" t="str">
        <f>IFERROR(__xludf.DUMMYFUNCTION("GOOGLETRANSLATE(A7495 , ""auto"", ""ar"")"),"أي نوع من الكحول تحب؟")</f>
        <v>أي نوع من الكحول تحب؟</v>
      </c>
    </row>
    <row r="7496" ht="15.75" customHeight="1">
      <c r="A7496" s="12" t="s">
        <v>15501</v>
      </c>
      <c r="B7496" s="13" t="s">
        <v>15502</v>
      </c>
      <c r="C7496" s="14" t="s">
        <v>15503</v>
      </c>
      <c r="D7496" s="1" t="str">
        <f>IFERROR(__xludf.DUMMYFUNCTION("GOOGLETRANSLATE(A7496 , ""auto"", ""ar"")"),"شيء حلو ، وشيء ملون سيكون لطيفا!")</f>
        <v>شيء حلو ، وشيء ملون سيكون لطيفا!</v>
      </c>
    </row>
    <row r="7497" ht="15.75" customHeight="1">
      <c r="A7497" s="12" t="s">
        <v>15504</v>
      </c>
      <c r="B7497" s="13" t="s">
        <v>15505</v>
      </c>
      <c r="C7497" s="14" t="s">
        <v>15506</v>
      </c>
      <c r="D7497" s="1" t="str">
        <f>IFERROR(__xludf.DUMMYFUNCTION("GOOGLETRANSLATE(A7497 , ""auto"", ""ar"")"),"أنا أحب ذلك عندما يكون هناك سكر حول الحافة. هل تستطيع فعل ذلك؟")</f>
        <v>أنا أحب ذلك عندما يكون هناك سكر حول الحافة. هل تستطيع فعل ذلك؟</v>
      </c>
    </row>
    <row r="7498" ht="15.75" customHeight="1">
      <c r="A7498" s="12" t="s">
        <v>15507</v>
      </c>
      <c r="B7498" s="13" t="s">
        <v>15508</v>
      </c>
      <c r="C7498" s="14" t="s">
        <v>15509</v>
      </c>
      <c r="D7498" s="1" t="str">
        <f>IFERROR(__xludf.DUMMYFUNCTION("GOOGLETRANSLATE(A7498 , ""auto"", ""ar"")"),"لكن احصل على شيء لتناول الطعام به")</f>
        <v>لكن احصل على شيء لتناول الطعام به</v>
      </c>
    </row>
    <row r="7499" ht="15.75" customHeight="1">
      <c r="A7499" s="12" t="s">
        <v>14436</v>
      </c>
      <c r="B7499" s="13" t="s">
        <v>8103</v>
      </c>
      <c r="C7499" s="14" t="s">
        <v>2027</v>
      </c>
      <c r="D7499" s="1" t="str">
        <f>IFERROR(__xludf.DUMMYFUNCTION("GOOGLETRANSLATE(A7499 , ""auto"", ""ar"")"),"نعم!")</f>
        <v>نعم!</v>
      </c>
    </row>
    <row r="7500" ht="15.75" customHeight="1">
      <c r="A7500" s="12" t="s">
        <v>15510</v>
      </c>
      <c r="B7500" s="13" t="s">
        <v>15511</v>
      </c>
      <c r="C7500" s="14" t="s">
        <v>15512</v>
      </c>
      <c r="D7500" s="1" t="str">
        <f>IFERROR(__xludf.DUMMYFUNCTION("GOOGLETRANSLATE(A7500 , ""auto"", ""ar"")"),"أشعر بقليل من الانتقام")</f>
        <v>أشعر بقليل من الانتقام</v>
      </c>
    </row>
    <row r="7501" ht="15.75" customHeight="1">
      <c r="A7501" s="12" t="s">
        <v>15513</v>
      </c>
      <c r="B7501" s="13" t="s">
        <v>15514</v>
      </c>
      <c r="C7501" s="14" t="s">
        <v>15515</v>
      </c>
      <c r="D7501" s="1" t="str">
        <f>IFERROR(__xludf.DUMMYFUNCTION("GOOGLETRANSLATE(A7501 , ""auto"", ""ar"")"),"ما اقتراحك؟")</f>
        <v>ما اقتراحك؟</v>
      </c>
    </row>
    <row r="7502" ht="15.75" customHeight="1">
      <c r="A7502" s="12" t="s">
        <v>15516</v>
      </c>
      <c r="B7502" s="13" t="s">
        <v>15517</v>
      </c>
      <c r="C7502" s="14" t="s">
        <v>15518</v>
      </c>
      <c r="D7502" s="1" t="str">
        <f>IFERROR(__xludf.DUMMYFUNCTION("GOOGLETRANSLATE(A7502 , ""auto"", ""ar"")"),"بطاطانا لذيذة")</f>
        <v>بطاطانا لذيذة</v>
      </c>
    </row>
    <row r="7503" ht="15.75" customHeight="1">
      <c r="A7503" s="12" t="s">
        <v>15519</v>
      </c>
      <c r="B7503" s="13" t="s">
        <v>15520</v>
      </c>
      <c r="C7503" s="14" t="s">
        <v>15521</v>
      </c>
      <c r="D7503" s="1" t="str">
        <f>IFERROR(__xludf.DUMMYFUNCTION("GOOGLETRANSLATE(A7503 , ""auto"", ""ar"")"),"وبالطبع هم محلي الصنع!")</f>
        <v>وبالطبع هم محلي الصنع!</v>
      </c>
    </row>
    <row r="7504" ht="15.75" customHeight="1">
      <c r="A7504" s="12" t="s">
        <v>15522</v>
      </c>
      <c r="B7504" s="13" t="s">
        <v>15523</v>
      </c>
      <c r="C7504" s="14" t="s">
        <v>15524</v>
      </c>
      <c r="D7504" s="1" t="str">
        <f>IFERROR(__xludf.DUMMYFUNCTION("GOOGLETRANSLATE(A7504 , ""auto"", ""ar"")"),"سآخذ بعض هؤلاء بعد ذلك")</f>
        <v>سآخذ بعض هؤلاء بعد ذلك</v>
      </c>
    </row>
    <row r="7505" ht="15.75" customHeight="1">
      <c r="A7505" s="12" t="s">
        <v>15525</v>
      </c>
      <c r="B7505" s="13" t="s">
        <v>15526</v>
      </c>
      <c r="C7505" s="14" t="s">
        <v>15527</v>
      </c>
      <c r="D7505" s="1" t="str">
        <f>IFERROR(__xludf.DUMMYFUNCTION("GOOGLETRANSLATE(A7505 , ""auto"", ""ar"")"),"وربما سأحصل على حلوى لاحقًا أيضًا")</f>
        <v>وربما سأحصل على حلوى لاحقًا أيضًا</v>
      </c>
    </row>
    <row r="7506" ht="15.75" customHeight="1">
      <c r="A7506" s="12" t="s">
        <v>15528</v>
      </c>
      <c r="B7506" s="13" t="s">
        <v>15529</v>
      </c>
      <c r="C7506" s="14" t="s">
        <v>15530</v>
      </c>
      <c r="D7506" s="1" t="str">
        <f>IFERROR(__xludf.DUMMYFUNCTION("GOOGLETRANSLATE(A7506 , ""auto"", ""ar"")"),"هل تعرف من هي هذه المجموعة الصاخبة هناك؟")</f>
        <v>هل تعرف من هي هذه المجموعة الصاخبة هناك؟</v>
      </c>
    </row>
    <row r="7507" ht="15.75" customHeight="1">
      <c r="A7507" s="12" t="s">
        <v>15531</v>
      </c>
      <c r="B7507" s="13" t="s">
        <v>15532</v>
      </c>
      <c r="C7507" s="14" t="s">
        <v>15533</v>
      </c>
      <c r="D7507" s="1" t="str">
        <f>IFERROR(__xludf.DUMMYFUNCTION("GOOGLETRANSLATE(A7507 , ""auto"", ""ar"")"),"هل سيكونون هنا طوال الليل؟")</f>
        <v>هل سيكونون هنا طوال الليل؟</v>
      </c>
    </row>
    <row r="7508" ht="15.75" customHeight="1">
      <c r="A7508" s="12" t="s">
        <v>15534</v>
      </c>
      <c r="B7508" s="13" t="s">
        <v>15535</v>
      </c>
      <c r="C7508" s="14" t="s">
        <v>15536</v>
      </c>
      <c r="D7508" s="1" t="str">
        <f>IFERROR(__xludf.DUMMYFUNCTION("GOOGLETRANSLATE(A7508 , ""auto"", ""ar"")"),"إنه فريق للرجبي يحتفل بفوزه")</f>
        <v>إنه فريق للرجبي يحتفل بفوزه</v>
      </c>
    </row>
    <row r="7509" ht="15.75" customHeight="1">
      <c r="A7509" s="12" t="s">
        <v>15537</v>
      </c>
      <c r="B7509" s="13" t="s">
        <v>15538</v>
      </c>
      <c r="C7509" s="14" t="s">
        <v>15539</v>
      </c>
      <c r="D7509" s="1" t="str">
        <f>IFERROR(__xludf.DUMMYFUNCTION("GOOGLETRANSLATE(A7509 , ""auto"", ""ar"")"),"من المحتمل أنهم يبقون متأخرين")</f>
        <v>من المحتمل أنهم يبقون متأخرين</v>
      </c>
    </row>
    <row r="7510" ht="15.75" customHeight="1">
      <c r="A7510" s="12" t="s">
        <v>15540</v>
      </c>
      <c r="B7510" s="13" t="s">
        <v>15541</v>
      </c>
      <c r="C7510" s="14" t="s">
        <v>15542</v>
      </c>
      <c r="D7510" s="1" t="str">
        <f>IFERROR(__xludf.DUMMYFUNCTION("GOOGLETRANSLATE(A7510 , ""auto"", ""ar"")"),"إنهم صاخبون للغاية ، لكن لطيف للغاية")</f>
        <v>إنهم صاخبون للغاية ، لكن لطيف للغاية</v>
      </c>
    </row>
    <row r="7511" ht="15.75" customHeight="1">
      <c r="A7511" s="12" t="s">
        <v>15543</v>
      </c>
      <c r="B7511" s="13" t="s">
        <v>15544</v>
      </c>
      <c r="C7511" s="14" t="s">
        <v>15545</v>
      </c>
      <c r="D7511" s="1" t="str">
        <f>IFERROR(__xludf.DUMMYFUNCTION("GOOGLETRANSLATE(A7511 , ""auto"", ""ar"")"),"هذا الرجل جميل جدا")</f>
        <v>هذا الرجل جميل جدا</v>
      </c>
    </row>
    <row r="7512" ht="15.75" customHeight="1">
      <c r="A7512" s="12" t="s">
        <v>15546</v>
      </c>
      <c r="B7512" s="13" t="s">
        <v>15547</v>
      </c>
      <c r="C7512" s="14" t="s">
        <v>15548</v>
      </c>
      <c r="D7512" s="1" t="str">
        <f>IFERROR(__xludf.DUMMYFUNCTION("GOOGLETRANSLATE(A7512 , ""auto"", ""ar"")"),"سوف يغيرون رأيك")</f>
        <v>سوف يغيرون رأيك</v>
      </c>
    </row>
    <row r="7513" ht="15.75" customHeight="1">
      <c r="A7513" s="12" t="s">
        <v>15549</v>
      </c>
      <c r="B7513" s="13" t="s">
        <v>15550</v>
      </c>
      <c r="C7513" s="14" t="s">
        <v>15551</v>
      </c>
      <c r="D7513" s="1" t="str">
        <f>IFERROR(__xludf.DUMMYFUNCTION("GOOGLETRANSLATE(A7513 , ""auto"", ""ar"")"),"حسنًا ، لست متأكدًا من ذلك")</f>
        <v>حسنًا ، لست متأكدًا من ذلك</v>
      </c>
    </row>
    <row r="7514" ht="15.75" customHeight="1">
      <c r="A7514" s="12" t="s">
        <v>15549</v>
      </c>
      <c r="B7514" s="13" t="s">
        <v>15552</v>
      </c>
      <c r="C7514" s="14" t="s">
        <v>15553</v>
      </c>
      <c r="D7514" s="1" t="str">
        <f>IFERROR(__xludf.DUMMYFUNCTION("GOOGLETRANSLATE(A7514 , ""auto"", ""ar"")"),"حسنًا ، لست متأكدًا من ذلك")</f>
        <v>حسنًا ، لست متأكدًا من ذلك</v>
      </c>
    </row>
    <row r="7515" ht="15.75" customHeight="1">
      <c r="A7515" s="12" t="s">
        <v>15554</v>
      </c>
      <c r="B7515" s="13" t="s">
        <v>15555</v>
      </c>
      <c r="C7515" s="14" t="s">
        <v>15556</v>
      </c>
      <c r="D7515" s="1" t="str">
        <f>IFERROR(__xludf.DUMMYFUNCTION("GOOGLETRANSLATE(A7515 , ""auto"", ""ar"")"),"ولكن ربما سيكونون على استعداد لبعض الكاريوكي لاحقًا")</f>
        <v>ولكن ربما سيكونون على استعداد لبعض الكاريوكي لاحقًا</v>
      </c>
    </row>
    <row r="7516" ht="15.75" customHeight="1">
      <c r="A7516" s="12" t="s">
        <v>15557</v>
      </c>
      <c r="B7516" s="13" t="s">
        <v>15558</v>
      </c>
      <c r="C7516" s="14" t="s">
        <v>15559</v>
      </c>
      <c r="D7516" s="1" t="str">
        <f>IFERROR(__xludf.DUMMYFUNCTION("GOOGLETRANSLATE(A7516 , ""auto"", ""ar"")"),"أعتقد ذلك")</f>
        <v>أعتقد ذلك</v>
      </c>
    </row>
    <row r="7517" ht="15.75" customHeight="1">
      <c r="A7517" s="12" t="s">
        <v>15557</v>
      </c>
      <c r="B7517" s="13" t="s">
        <v>15560</v>
      </c>
      <c r="C7517" s="14" t="s">
        <v>15561</v>
      </c>
      <c r="D7517" s="1" t="str">
        <f>IFERROR(__xludf.DUMMYFUNCTION("GOOGLETRANSLATE(A7517 , ""auto"", ""ar"")"),"أعتقد ذلك")</f>
        <v>أعتقد ذلك</v>
      </c>
    </row>
    <row r="7518" ht="15.75" customHeight="1">
      <c r="A7518" s="12" t="s">
        <v>15562</v>
      </c>
      <c r="B7518" s="13" t="s">
        <v>15563</v>
      </c>
      <c r="C7518" s="14" t="s">
        <v>15564</v>
      </c>
      <c r="D7518" s="1" t="str">
        <f>IFERROR(__xludf.DUMMYFUNCTION("GOOGLETRANSLATE(A7518 , ""auto"", ""ar"")"),"بعد عدد قليل من المشروبات ، من المحتمل أن يكونوا مستعدين للكاريوكي!")</f>
        <v>بعد عدد قليل من المشروبات ، من المحتمل أن يكونوا مستعدين للكاريوكي!</v>
      </c>
    </row>
    <row r="7519" ht="15.75" customHeight="1">
      <c r="A7519" s="12" t="s">
        <v>15565</v>
      </c>
      <c r="B7519" s="13" t="s">
        <v>15566</v>
      </c>
      <c r="C7519" s="14" t="s">
        <v>15567</v>
      </c>
      <c r="D7519" s="1" t="str">
        <f>IFERROR(__xludf.DUMMYFUNCTION("GOOGLETRANSLATE(A7519 , ""auto"", ""ar"")"),"هل سبق لك الذهاب إلى الكاريوكي أيضًا؟")</f>
        <v>هل سبق لك الذهاب إلى الكاريوكي أيضًا؟</v>
      </c>
    </row>
    <row r="7520" ht="15.75" customHeight="1">
      <c r="A7520" s="12" t="s">
        <v>15568</v>
      </c>
      <c r="B7520" s="13" t="s">
        <v>15569</v>
      </c>
      <c r="C7520" s="14" t="s">
        <v>15570</v>
      </c>
      <c r="D7520" s="1" t="str">
        <f>IFERROR(__xludf.DUMMYFUNCTION("GOOGLETRANSLATE(A7520 , ""auto"", ""ar"")"),"هل هذا مسموح به؟")</f>
        <v>هل هذا مسموح به؟</v>
      </c>
    </row>
    <row r="7521" ht="15.75" customHeight="1">
      <c r="A7521" s="12" t="s">
        <v>15571</v>
      </c>
      <c r="B7521" s="13" t="s">
        <v>15572</v>
      </c>
      <c r="C7521" s="14" t="s">
        <v>15573</v>
      </c>
      <c r="D7521" s="1" t="str">
        <f>IFERROR(__xludf.DUMMYFUNCTION("GOOGLETRANSLATE(A7521 , ""auto"", ""ar"")"),"نعم ، نحن نفعل ذلك كثيرًا")</f>
        <v>نعم ، نحن نفعل ذلك كثيرًا</v>
      </c>
    </row>
    <row r="7522" ht="15.75" customHeight="1">
      <c r="A7522" s="12" t="s">
        <v>15574</v>
      </c>
      <c r="B7522" s="13" t="s">
        <v>15575</v>
      </c>
      <c r="C7522" s="14" t="s">
        <v>15576</v>
      </c>
      <c r="D7522" s="1" t="str">
        <f>IFERROR(__xludf.DUMMYFUNCTION("GOOGLETRANSLATE(A7522 , ""auto"", ""ar"")"),"يضع دائمًا جوًا جيدًا")</f>
        <v>يضع دائمًا جوًا جيدًا</v>
      </c>
    </row>
    <row r="7523" ht="15.75" customHeight="1">
      <c r="A7523" s="12" t="s">
        <v>15577</v>
      </c>
      <c r="B7523" s="13" t="s">
        <v>15578</v>
      </c>
      <c r="C7523" s="14" t="s">
        <v>15579</v>
      </c>
      <c r="D7523" s="1" t="str">
        <f>IFERROR(__xludf.DUMMYFUNCTION("GOOGLETRANSLATE(A7523 , ""auto"", ""ar"")"),"لكننا نبدأ بعد ذلك بقليل من المساء")</f>
        <v>لكننا نبدأ بعد ذلك بقليل من المساء</v>
      </c>
    </row>
    <row r="7524" ht="15.75" customHeight="1">
      <c r="A7524" s="12" t="s">
        <v>15580</v>
      </c>
      <c r="B7524" s="13" t="s">
        <v>15581</v>
      </c>
      <c r="C7524" s="14" t="s">
        <v>15582</v>
      </c>
      <c r="D7524" s="1" t="str">
        <f>IFERROR(__xludf.DUMMYFUNCTION("GOOGLETRANSLATE(A7524 , ""auto"", ""ar"")"),"ربما حوالي الساعة 9:00")</f>
        <v>ربما حوالي الساعة 9:00</v>
      </c>
    </row>
    <row r="7525" ht="15.75" customHeight="1">
      <c r="A7525" s="12" t="s">
        <v>15583</v>
      </c>
      <c r="B7525" s="13" t="s">
        <v>15584</v>
      </c>
      <c r="C7525" s="14" t="s">
        <v>15585</v>
      </c>
      <c r="D7525" s="1" t="str">
        <f>IFERROR(__xludf.DUMMYFUNCTION("GOOGLETRANSLATE(A7525 , ""auto"", ""ar"")"),"لدي ما يكفي من الوقت لاختيار أغنيتي بعد ذلك!")</f>
        <v>لدي ما يكفي من الوقت لاختيار أغنيتي بعد ذلك!</v>
      </c>
    </row>
    <row r="7526" ht="15.75" customHeight="1">
      <c r="A7526" s="12" t="s">
        <v>15586</v>
      </c>
      <c r="B7526" s="13" t="s">
        <v>15587</v>
      </c>
      <c r="C7526" s="14" t="s">
        <v>15588</v>
      </c>
      <c r="D7526" s="1" t="str">
        <f>IFERROR(__xludf.DUMMYFUNCTION("GOOGLETRANSLATE(A7526 , ""auto"", ""ar"")"),"على الرغم من أنني أحذرك ، فأنا لست مغنيًا جيدًا جدًا")</f>
        <v>على الرغم من أنني أحذرك ، فأنا لست مغنيًا جيدًا جدًا</v>
      </c>
    </row>
    <row r="7527" ht="15.75" customHeight="1">
      <c r="A7527" s="12" t="s">
        <v>15589</v>
      </c>
      <c r="B7527" s="13" t="s">
        <v>15590</v>
      </c>
      <c r="C7527" s="14" t="s">
        <v>15591</v>
      </c>
      <c r="D7527" s="1" t="str">
        <f>IFERROR(__xludf.DUMMYFUNCTION("GOOGLETRANSLATE(A7527 , ""auto"", ""ar"")"),"يمكنني تفريغ هذا الكأس في ثوان ربما!")</f>
        <v>يمكنني تفريغ هذا الكأس في ثوان ربما!</v>
      </c>
    </row>
    <row r="7528" ht="15.75" customHeight="1">
      <c r="A7528" s="12" t="s">
        <v>15592</v>
      </c>
      <c r="B7528" s="13" t="s">
        <v>15593</v>
      </c>
      <c r="C7528" s="14" t="s">
        <v>15594</v>
      </c>
      <c r="D7528" s="1" t="str">
        <f>IFERROR(__xludf.DUMMYFUNCTION("GOOGLETRANSLATE(A7528 , ""auto"", ""ar"")"),"مساء الخير يا انسة")</f>
        <v>مساء الخير يا انسة</v>
      </c>
    </row>
    <row r="7529" ht="15.75" customHeight="1">
      <c r="A7529" s="12" t="s">
        <v>15595</v>
      </c>
      <c r="B7529" s="13" t="s">
        <v>15596</v>
      </c>
      <c r="C7529" s="14" t="s">
        <v>15597</v>
      </c>
      <c r="D7529" s="1" t="str">
        <f>IFERROR(__xludf.DUMMYFUNCTION("GOOGLETRANSLATE(A7529 , ""auto"", ""ar"")"),"أي نوع من الجن لديك؟")</f>
        <v>أي نوع من الجن لديك؟</v>
      </c>
    </row>
    <row r="7530" ht="15.75" customHeight="1">
      <c r="A7530" s="12" t="s">
        <v>15598</v>
      </c>
      <c r="B7530" s="13" t="s">
        <v>15599</v>
      </c>
      <c r="C7530" s="14" t="s">
        <v>15600</v>
      </c>
      <c r="D7530" s="1" t="str">
        <f>IFERROR(__xludf.DUMMYFUNCTION("GOOGLETRANSLATE(A7530 , ""auto"", ""ar"")"),"أه آسف")</f>
        <v>أه آسف</v>
      </c>
    </row>
    <row r="7531" ht="15.75" customHeight="1">
      <c r="A7531" s="12" t="s">
        <v>15601</v>
      </c>
      <c r="B7531" s="13" t="s">
        <v>15602</v>
      </c>
      <c r="C7531" s="14" t="s">
        <v>15603</v>
      </c>
      <c r="D7531" s="1" t="str">
        <f>IFERROR(__xludf.DUMMYFUNCTION("GOOGLETRANSLATE(A7531 , ""auto"", ""ar"")"),"ليس هناك الكثير من الضوء ، ومن الخلف ، أخطأ شعرك الطويل")</f>
        <v>ليس هناك الكثير من الضوء ، ومن الخلف ، أخطأ شعرك الطويل</v>
      </c>
    </row>
    <row r="7532" ht="15.75" customHeight="1">
      <c r="A7532" s="12" t="s">
        <v>15604</v>
      </c>
      <c r="B7532" s="13" t="s">
        <v>15605</v>
      </c>
      <c r="C7532" s="14" t="s">
        <v>15606</v>
      </c>
      <c r="D7532" s="1" t="str">
        <f>IFERROR(__xludf.DUMMYFUNCTION("GOOGLETRANSLATE(A7532 , ""auto"", ""ar"")"),"على أي حال ، أي نوع من الجن لديك؟")</f>
        <v>على أي حال ، أي نوع من الجن لديك؟</v>
      </c>
    </row>
    <row r="7533" ht="15.75" customHeight="1">
      <c r="A7533" s="12" t="s">
        <v>15607</v>
      </c>
      <c r="B7533" s="13" t="s">
        <v>15608</v>
      </c>
      <c r="C7533" s="14" t="s">
        <v>15609</v>
      </c>
      <c r="D7533" s="1" t="str">
        <f>IFERROR(__xludf.DUMMYFUNCTION("GOOGLETRANSLATE(A7533 , ""auto"", ""ar"")"),"لدينا الجن غوردون فقط")</f>
        <v>لدينا الجن غوردون فقط</v>
      </c>
    </row>
    <row r="7534" ht="15.75" customHeight="1">
      <c r="A7534" s="12" t="s">
        <v>15610</v>
      </c>
      <c r="B7534" s="13" t="s">
        <v>15611</v>
      </c>
      <c r="C7534" s="14" t="s">
        <v>15612</v>
      </c>
      <c r="D7534" s="1" t="str">
        <f>IFERROR(__xludf.DUMMYFUNCTION("GOOGLETRANSLATE(A7534 , ""auto"", ""ar"")"),"هذا كل شيء؟")</f>
        <v>هذا كل شيء؟</v>
      </c>
    </row>
    <row r="7535" ht="15.75" customHeight="1">
      <c r="A7535" s="12" t="s">
        <v>15610</v>
      </c>
      <c r="B7535" s="13" t="s">
        <v>15613</v>
      </c>
      <c r="C7535" s="14" t="s">
        <v>15614</v>
      </c>
      <c r="D7535" s="1" t="str">
        <f>IFERROR(__xludf.DUMMYFUNCTION("GOOGLETRANSLATE(A7535 , ""auto"", ""ar"")"),"هذا كل شيء؟")</f>
        <v>هذا كل شيء؟</v>
      </c>
    </row>
    <row r="7536" ht="15.75" customHeight="1">
      <c r="A7536" s="12" t="s">
        <v>15615</v>
      </c>
      <c r="B7536" s="13" t="s">
        <v>15616</v>
      </c>
      <c r="C7536" s="14" t="s">
        <v>15617</v>
      </c>
      <c r="D7536" s="1" t="str">
        <f>IFERROR(__xludf.DUMMYFUNCTION("GOOGLETRANSLATE(A7536 , ""auto"", ""ar"")"),"يتم بيع جميع الآخرين")</f>
        <v>يتم بيع جميع الآخرين</v>
      </c>
    </row>
    <row r="7537" ht="15.75" customHeight="1">
      <c r="A7537" s="12" t="s">
        <v>15618</v>
      </c>
      <c r="B7537" s="13" t="s">
        <v>15619</v>
      </c>
      <c r="C7537" s="14" t="s">
        <v>15620</v>
      </c>
      <c r="D7537" s="1" t="str">
        <f>IFERROR(__xludf.DUMMYFUNCTION("GOOGLETRANSLATE(A7537 , ""auto"", ""ar"")"),"وقت اخر")</f>
        <v>وقت اخر</v>
      </c>
    </row>
    <row r="7538" ht="15.75" customHeight="1">
      <c r="A7538" s="12" t="s">
        <v>15621</v>
      </c>
      <c r="B7538" s="13" t="s">
        <v>15622</v>
      </c>
      <c r="C7538" s="14" t="s">
        <v>15623</v>
      </c>
      <c r="D7538" s="1" t="str">
        <f>IFERROR(__xludf.DUMMYFUNCTION("GOOGLETRANSLATE(A7538 , ""auto"", ""ar"")"),"احضرني من الشاي من فضلك")</f>
        <v>احضرني من الشاي من فضلك</v>
      </c>
    </row>
    <row r="7539" ht="15.75" customHeight="1">
      <c r="A7539" s="12" t="s">
        <v>15624</v>
      </c>
      <c r="B7539" s="13" t="s">
        <v>15625</v>
      </c>
      <c r="C7539" s="14" t="s">
        <v>15626</v>
      </c>
      <c r="D7539" s="1" t="str">
        <f>IFERROR(__xludf.DUMMYFUNCTION("GOOGLETRANSLATE(A7539 , ""auto"", ""ar"")"),"هل انت جديد هنا؟")</f>
        <v>هل انت جديد هنا؟</v>
      </c>
    </row>
    <row r="7540" ht="15.75" customHeight="1">
      <c r="A7540" s="12" t="s">
        <v>15627</v>
      </c>
      <c r="B7540" s="13" t="s">
        <v>15628</v>
      </c>
      <c r="C7540" s="14" t="s">
        <v>15629</v>
      </c>
      <c r="D7540" s="1" t="str">
        <f>IFERROR(__xludf.DUMMYFUNCTION("GOOGLETRANSLATE(A7540 , ""auto"", ""ar"")"),"نعم ، هذا هو أول يوم لي في هذه الوظيفة")</f>
        <v>نعم ، هذا هو أول يوم لي في هذه الوظيفة</v>
      </c>
    </row>
    <row r="7541" ht="15.75" customHeight="1">
      <c r="A7541" s="12" t="s">
        <v>15630</v>
      </c>
      <c r="B7541" s="13" t="s">
        <v>15631</v>
      </c>
      <c r="C7541" s="14" t="s">
        <v>15632</v>
      </c>
      <c r="D7541" s="1" t="str">
        <f>IFERROR(__xludf.DUMMYFUNCTION("GOOGLETRANSLATE(A7541 , ""auto"", ""ar"")"),"سأحضر لك طعامك")</f>
        <v>سأحضر لك طعامك</v>
      </c>
    </row>
    <row r="7542" ht="15.75" customHeight="1">
      <c r="A7542" s="12" t="s">
        <v>15633</v>
      </c>
      <c r="B7542" s="13" t="s">
        <v>15634</v>
      </c>
      <c r="C7542" s="14" t="s">
        <v>15635</v>
      </c>
      <c r="D7542" s="1" t="str">
        <f>IFERROR(__xludf.DUMMYFUNCTION("GOOGLETRANSLATE(A7542 , ""auto"", ""ar"")"),"وماذا تفعل خلاف ذلك؟")</f>
        <v>وماذا تفعل خلاف ذلك؟</v>
      </c>
    </row>
    <row r="7543" ht="15.75" customHeight="1">
      <c r="A7543" s="12" t="s">
        <v>15636</v>
      </c>
      <c r="B7543" s="13" t="s">
        <v>15637</v>
      </c>
      <c r="C7543" s="14" t="s">
        <v>15638</v>
      </c>
      <c r="D7543" s="1" t="str">
        <f>IFERROR(__xludf.DUMMYFUNCTION("GOOGLETRANSLATE(A7543 , ""auto"", ""ar"")"),"هل أنت طالب؟")</f>
        <v>هل أنت طالب؟</v>
      </c>
    </row>
    <row r="7544" ht="15.75" customHeight="1">
      <c r="A7544" s="12" t="s">
        <v>15639</v>
      </c>
      <c r="B7544" s="13" t="s">
        <v>15640</v>
      </c>
      <c r="C7544" s="14" t="s">
        <v>15641</v>
      </c>
      <c r="D7544" s="1" t="str">
        <f>IFERROR(__xludf.DUMMYFUNCTION("GOOGLETRANSLATE(A7544 , ""auto"", ""ar"")"),"أنا فيلسوف")</f>
        <v>أنا فيلسوف</v>
      </c>
    </row>
    <row r="7545" ht="15.75" customHeight="1">
      <c r="A7545" s="12" t="s">
        <v>15642</v>
      </c>
      <c r="B7545" s="13" t="s">
        <v>15643</v>
      </c>
      <c r="C7545" s="14" t="s">
        <v>15644</v>
      </c>
      <c r="D7545" s="1" t="str">
        <f>IFERROR(__xludf.DUMMYFUNCTION("GOOGLETRANSLATE(A7545 , ""auto"", ""ar"")"),"أحتاج إلى وظيفة العطاءات هذه لمساعدتي في دفع إيجاري")</f>
        <v>أحتاج إلى وظيفة العطاءات هذه لمساعدتي في دفع إيجاري</v>
      </c>
    </row>
    <row r="7546" ht="15.75" customHeight="1">
      <c r="A7546" s="12" t="s">
        <v>15645</v>
      </c>
      <c r="B7546" s="13" t="s">
        <v>15646</v>
      </c>
      <c r="C7546" s="14" t="s">
        <v>15647</v>
      </c>
      <c r="D7546" s="1" t="str">
        <f>IFERROR(__xludf.DUMMYFUNCTION("GOOGLETRANSLATE(A7546 , ""auto"", ""ar"")"),"هذا محمس!")</f>
        <v>هذا محمس!</v>
      </c>
    </row>
    <row r="7547" ht="15.75" customHeight="1">
      <c r="A7547" s="12" t="s">
        <v>15648</v>
      </c>
      <c r="B7547" s="13" t="s">
        <v>15649</v>
      </c>
      <c r="C7547" s="14" t="s">
        <v>15650</v>
      </c>
      <c r="D7547" s="1" t="str">
        <f>IFERROR(__xludf.DUMMYFUNCTION("GOOGLETRANSLATE(A7547 , ""auto"", ""ar"")"),"ما هو تخصصك في الفلسفة؟")</f>
        <v>ما هو تخصصك في الفلسفة؟</v>
      </c>
    </row>
    <row r="7548" ht="15.75" customHeight="1">
      <c r="A7548" s="12" t="s">
        <v>15651</v>
      </c>
      <c r="B7548" s="13" t="s">
        <v>15652</v>
      </c>
      <c r="C7548" s="14" t="s">
        <v>15653</v>
      </c>
      <c r="D7548" s="1" t="str">
        <f>IFERROR(__xludf.DUMMYFUNCTION("GOOGLETRANSLATE(A7548 , ""auto"", ""ar"")"),"أنا وجودي")</f>
        <v>أنا وجودي</v>
      </c>
    </row>
    <row r="7549" ht="15.75" customHeight="1">
      <c r="A7549" s="12" t="s">
        <v>15654</v>
      </c>
      <c r="B7549" s="13" t="s">
        <v>15655</v>
      </c>
      <c r="C7549" s="14" t="s">
        <v>15656</v>
      </c>
      <c r="D7549" s="1" t="str">
        <f>IFERROR(__xludf.DUMMYFUNCTION("GOOGLETRANSLATE(A7549 , ""auto"", ""ar"")"),"لكن لا يوجد شواغر مدفوعة الأجر لهذا الغرض")</f>
        <v>لكن لا يوجد شواغر مدفوعة الأجر لهذا الغرض</v>
      </c>
    </row>
    <row r="7550" ht="15.75" customHeight="1">
      <c r="A7550" s="12" t="s">
        <v>15657</v>
      </c>
      <c r="B7550" s="13" t="s">
        <v>15658</v>
      </c>
      <c r="C7550" s="14" t="s">
        <v>15659</v>
      </c>
      <c r="D7550" s="1" t="str">
        <f>IFERROR(__xludf.DUMMYFUNCTION("GOOGLETRANSLATE(A7550 , ""auto"", ""ar"")"),"لذلك أنا أعيش في كوخ صغير في الغابة مع كتبي")</f>
        <v>لذلك أنا أعيش في كوخ صغير في الغابة مع كتبي</v>
      </c>
    </row>
    <row r="7551" ht="15.75" customHeight="1">
      <c r="A7551" s="12" t="s">
        <v>15660</v>
      </c>
      <c r="B7551" s="13" t="s">
        <v>15661</v>
      </c>
      <c r="C7551" s="14" t="s">
        <v>15662</v>
      </c>
      <c r="D7551" s="1" t="str">
        <f>IFERROR(__xludf.DUMMYFUNCTION("GOOGLETRANSLATE(A7551 , ""auto"", ""ar"")"),"والعمل هنا لدفع إيجاري")</f>
        <v>والعمل هنا لدفع إيجاري</v>
      </c>
    </row>
    <row r="7552" ht="15.75" customHeight="1">
      <c r="A7552" s="12" t="s">
        <v>15663</v>
      </c>
      <c r="B7552" s="13" t="s">
        <v>15664</v>
      </c>
      <c r="C7552" s="14" t="s">
        <v>15665</v>
      </c>
      <c r="D7552" s="1" t="str">
        <f>IFERROR(__xludf.DUMMYFUNCTION("GOOGLETRANSLATE(A7552 , ""auto"", ""ar"")"),"لقد درست نفسي قليلاً من الفلسفة منذ عدة سنوات")</f>
        <v>لقد درست نفسي قليلاً من الفلسفة منذ عدة سنوات</v>
      </c>
    </row>
    <row r="7553" ht="15.75" customHeight="1">
      <c r="A7553" s="12" t="s">
        <v>15666</v>
      </c>
      <c r="B7553" s="13" t="s">
        <v>15667</v>
      </c>
      <c r="C7553" s="14" t="s">
        <v>15668</v>
      </c>
      <c r="D7553" s="1" t="str">
        <f>IFERROR(__xludf.DUMMYFUNCTION("GOOGLETRANSLATE(A7553 , ""auto"", ""ar"")"),"لكنني كنت مهتمًا أكثر بالأسئلة المرتبطة بالوعي")</f>
        <v>لكنني كنت مهتمًا أكثر بالأسئلة المرتبطة بالوعي</v>
      </c>
    </row>
    <row r="7554" ht="15.75" customHeight="1">
      <c r="A7554" s="12" t="s">
        <v>15669</v>
      </c>
      <c r="B7554" s="13" t="s">
        <v>15670</v>
      </c>
      <c r="C7554" s="14" t="s">
        <v>15671</v>
      </c>
      <c r="D7554" s="1" t="str">
        <f>IFERROR(__xludf.DUMMYFUNCTION("GOOGLETRANSLATE(A7554 , ""auto"", ""ar"")"),"لكن لا يمكنك دراسة كل شيء ، هل يمكنك ذلك؟")</f>
        <v>لكن لا يمكنك دراسة كل شيء ، هل يمكنك ذلك؟</v>
      </c>
    </row>
    <row r="7555" ht="15.75" customHeight="1">
      <c r="A7555" s="12" t="s">
        <v>15672</v>
      </c>
      <c r="B7555" s="13" t="s">
        <v>15673</v>
      </c>
      <c r="C7555" s="14" t="s">
        <v>15674</v>
      </c>
      <c r="D7555" s="1" t="str">
        <f>IFERROR(__xludf.DUMMYFUNCTION("GOOGLETRANSLATE(A7555 , ""auto"", ""ar"")"),"أنا أحترم بشكل كبير وجهة نظر سارتر")</f>
        <v>أنا أحترم بشكل كبير وجهة نظر سارتر</v>
      </c>
    </row>
    <row r="7556" ht="15.75" customHeight="1">
      <c r="A7556" s="12" t="s">
        <v>15675</v>
      </c>
      <c r="B7556" s="13" t="s">
        <v>15676</v>
      </c>
      <c r="C7556" s="14" t="s">
        <v>15677</v>
      </c>
      <c r="D7556" s="1" t="str">
        <f>IFERROR(__xludf.DUMMYFUNCTION("GOOGLETRANSLATE(A7556 , ""auto"", ""ar"")"),"ومع ذلك توصلت إلى هذا النتيجة")</f>
        <v>ومع ذلك توصلت إلى هذا النتيجة</v>
      </c>
    </row>
    <row r="7557" ht="15.75" customHeight="1">
      <c r="A7557" s="12" t="s">
        <v>15678</v>
      </c>
      <c r="B7557" s="13" t="s">
        <v>15679</v>
      </c>
      <c r="C7557" s="14" t="s">
        <v>15680</v>
      </c>
      <c r="D7557" s="1" t="str">
        <f>IFERROR(__xludf.DUMMYFUNCTION("GOOGLETRANSLATE(A7557 , ""auto"", ""ar"")"),"مثل الكثير قبلي")</f>
        <v>مثل الكثير قبلي</v>
      </c>
    </row>
    <row r="7558" ht="15.75" customHeight="1">
      <c r="A7558" s="12" t="s">
        <v>15681</v>
      </c>
      <c r="B7558" s="13" t="s">
        <v>15682</v>
      </c>
      <c r="C7558" s="14" t="s">
        <v>15683</v>
      </c>
      <c r="D7558" s="1" t="str">
        <f>IFERROR(__xludf.DUMMYFUNCTION("GOOGLETRANSLATE(A7558 , ""auto"", ""ar"")"),"هذا هو الاكتشاف الأخير للحياة")</f>
        <v>هذا هو الاكتشاف الأخير للحياة</v>
      </c>
    </row>
    <row r="7559" ht="15.75" customHeight="1">
      <c r="A7559" s="12" t="s">
        <v>15684</v>
      </c>
      <c r="B7559" s="13" t="s">
        <v>15685</v>
      </c>
      <c r="C7559" s="14" t="s">
        <v>15686</v>
      </c>
      <c r="D7559" s="1" t="str">
        <f>IFERROR(__xludf.DUMMYFUNCTION("GOOGLETRANSLATE(A7559 , ""auto"", ""ar"")"),"عدم الاتساق جزء من الحالة الإنسانية")</f>
        <v>عدم الاتساق جزء من الحالة الإنسانية</v>
      </c>
    </row>
    <row r="7560" ht="15.75" customHeight="1">
      <c r="A7560" s="12" t="s">
        <v>15687</v>
      </c>
      <c r="B7560" s="13" t="s">
        <v>15688</v>
      </c>
      <c r="C7560" s="14" t="s">
        <v>15689</v>
      </c>
      <c r="D7560" s="1" t="str">
        <f>IFERROR(__xludf.DUMMYFUNCTION("GOOGLETRANSLATE(A7560 , ""auto"", ""ar"")"),"ربما ، سآخذ جين أيضًا!")</f>
        <v>ربما ، سآخذ جين أيضًا!</v>
      </c>
    </row>
    <row r="7561" ht="15.75" customHeight="1">
      <c r="A7561" s="12" t="s">
        <v>15690</v>
      </c>
      <c r="B7561" s="13" t="s">
        <v>15691</v>
      </c>
      <c r="C7561" s="14" t="s">
        <v>15692</v>
      </c>
      <c r="D7561" s="1" t="str">
        <f>IFERROR(__xludf.DUMMYFUNCTION("GOOGLETRANSLATE(A7561 , ""auto"", ""ar"")"),"ماذا تقصد بـ X؟")</f>
        <v>ماذا تقصد بـ X؟</v>
      </c>
    </row>
    <row r="7562" ht="15.75" customHeight="1">
      <c r="A7562" s="12" t="s">
        <v>15693</v>
      </c>
      <c r="B7562" s="13" t="s">
        <v>15694</v>
      </c>
      <c r="C7562" s="14" t="s">
        <v>15695</v>
      </c>
      <c r="D7562" s="1" t="str">
        <f>IFERROR(__xludf.DUMMYFUNCTION("GOOGLETRANSLATE(A7562 , ""auto"", ""ar"")"),"أعتقد أن كوبًا من الشاي سوف يهتفني")</f>
        <v>أعتقد أن كوبًا من الشاي سوف يهتفني</v>
      </c>
    </row>
    <row r="7563" ht="15.75" customHeight="1">
      <c r="A7563" s="12" t="s">
        <v>15696</v>
      </c>
      <c r="B7563" s="13" t="s">
        <v>15697</v>
      </c>
      <c r="C7563" s="14" t="s">
        <v>15698</v>
      </c>
      <c r="D7563" s="1" t="str">
        <f>IFERROR(__xludf.DUMMYFUNCTION("GOOGLETRANSLATE(A7563 , ""auto"", ""ar"")"),"سيجعلني أشعر بالسعادة")</f>
        <v>سيجعلني أشعر بالسعادة</v>
      </c>
    </row>
    <row r="7564" ht="15.75" customHeight="1">
      <c r="A7564" s="12" t="s">
        <v>15699</v>
      </c>
      <c r="B7564" s="13" t="s">
        <v>15700</v>
      </c>
      <c r="C7564" s="14" t="s">
        <v>15701</v>
      </c>
      <c r="D7564" s="1" t="str">
        <f>IFERROR(__xludf.DUMMYFUNCTION("GOOGLETRANSLATE(A7564 , ""auto"", ""ar"")"),"من فضلك ، سأعطيها لك")</f>
        <v>من فضلك ، سأعطيها لك</v>
      </c>
    </row>
    <row r="7565" ht="15.75" customHeight="1">
      <c r="A7565" s="12" t="s">
        <v>15702</v>
      </c>
      <c r="B7565" s="13" t="s">
        <v>15703</v>
      </c>
      <c r="C7565" s="14" t="s">
        <v>15704</v>
      </c>
      <c r="D7565" s="1" t="str">
        <f>IFERROR(__xludf.DUMMYFUNCTION("GOOGLETRANSLATE(A7565 , ""auto"", ""ar"")"),"واحضر لي تفاحة")</f>
        <v>واحضر لي تفاحة</v>
      </c>
    </row>
    <row r="7566" ht="15.75" customHeight="1">
      <c r="A7566" s="12" t="s">
        <v>15705</v>
      </c>
      <c r="B7566" s="13" t="s">
        <v>15706</v>
      </c>
      <c r="C7566" s="14" t="s">
        <v>15707</v>
      </c>
      <c r="D7566" s="1" t="str">
        <f>IFERROR(__xludf.DUMMYFUNCTION("GOOGLETRANSLATE(A7566 , ""auto"", ""ar"")"),"لقد انتهيت بالفعل")</f>
        <v>لقد انتهيت بالفعل</v>
      </c>
    </row>
    <row r="7567" ht="15.75" customHeight="1">
      <c r="A7567" s="12" t="s">
        <v>15708</v>
      </c>
      <c r="B7567" s="13" t="s">
        <v>15709</v>
      </c>
      <c r="C7567" s="14" t="s">
        <v>15710</v>
      </c>
      <c r="D7567" s="1" t="str">
        <f>IFERROR(__xludf.DUMMYFUNCTION("GOOGLETRANSLATE(A7567 , ""auto"", ""ar"")"),"هل درست سارتر؟")</f>
        <v>هل درست سارتر؟</v>
      </c>
    </row>
    <row r="7568" ht="15.75" customHeight="1">
      <c r="A7568" s="12" t="s">
        <v>15711</v>
      </c>
      <c r="B7568" s="13" t="s">
        <v>15712</v>
      </c>
      <c r="C7568" s="14" t="s">
        <v>15713</v>
      </c>
      <c r="D7568" s="1" t="str">
        <f>IFERROR(__xludf.DUMMYFUNCTION("GOOGLETRANSLATE(A7568 , ""auto"", ""ar"")"),"هل تريد شطيرة؟")</f>
        <v>هل تريد شطيرة؟</v>
      </c>
    </row>
    <row r="7569" ht="15.75" customHeight="1">
      <c r="A7569" s="12" t="s">
        <v>15714</v>
      </c>
      <c r="B7569" s="13" t="s">
        <v>15715</v>
      </c>
      <c r="C7569" s="14" t="s">
        <v>15716</v>
      </c>
      <c r="D7569" s="1" t="str">
        <f>IFERROR(__xludf.DUMMYFUNCTION("GOOGLETRANSLATE(A7569 , ""auto"", ""ar"")"),"أجل أعتقد ذلك")</f>
        <v>أجل أعتقد ذلك</v>
      </c>
    </row>
    <row r="7570" ht="15.75" customHeight="1">
      <c r="A7570" s="12" t="s">
        <v>15717</v>
      </c>
      <c r="B7570" s="13" t="s">
        <v>15718</v>
      </c>
      <c r="C7570" s="14" t="s">
        <v>15719</v>
      </c>
      <c r="D7570" s="1" t="str">
        <f>IFERROR(__xludf.DUMMYFUNCTION("GOOGLETRANSLATE(A7570 , ""auto"", ""ar"")"),"ماذا لديك؟")</f>
        <v>ماذا لديك؟</v>
      </c>
    </row>
    <row r="7571" ht="15.75" customHeight="1">
      <c r="A7571" s="12" t="s">
        <v>15717</v>
      </c>
      <c r="B7571" s="13" t="s">
        <v>15720</v>
      </c>
      <c r="C7571" s="14" t="s">
        <v>15721</v>
      </c>
      <c r="D7571" s="1" t="str">
        <f>IFERROR(__xludf.DUMMYFUNCTION("GOOGLETRANSLATE(A7571 , ""auto"", ""ar"")"),"ماذا لديك؟")</f>
        <v>ماذا لديك؟</v>
      </c>
    </row>
    <row r="7572" ht="15.75" customHeight="1">
      <c r="A7572" s="12" t="s">
        <v>15717</v>
      </c>
      <c r="B7572" s="13" t="s">
        <v>15722</v>
      </c>
      <c r="C7572" s="14" t="s">
        <v>15723</v>
      </c>
      <c r="D7572" s="1" t="str">
        <f>IFERROR(__xludf.DUMMYFUNCTION("GOOGLETRANSLATE(A7572 , ""auto"", ""ar"")"),"ماذا لديك؟")</f>
        <v>ماذا لديك؟</v>
      </c>
    </row>
    <row r="7573" ht="15.75" customHeight="1">
      <c r="A7573" s="12" t="s">
        <v>15724</v>
      </c>
      <c r="B7573" s="13" t="s">
        <v>15725</v>
      </c>
      <c r="C7573" s="14" t="s">
        <v>15726</v>
      </c>
      <c r="D7573" s="1" t="str">
        <f>IFERROR(__xludf.DUMMYFUNCTION("GOOGLETRANSLATE(A7573 , ""auto"", ""ar"")"),"مزيج من أي من هؤلاء")</f>
        <v>مزيج من أي من هؤلاء</v>
      </c>
    </row>
    <row r="7574" ht="15.75" customHeight="1">
      <c r="A7574" s="12" t="s">
        <v>15727</v>
      </c>
      <c r="B7574" s="13" t="s">
        <v>15728</v>
      </c>
      <c r="C7574" s="14" t="s">
        <v>15729</v>
      </c>
      <c r="D7574" s="1" t="str">
        <f>IFERROR(__xludf.DUMMYFUNCTION("GOOGLETRANSLATE(A7574 , ""auto"", ""ar"")"),"ضع كل شيء فيه ، سيكون مثاليًا")</f>
        <v>ضع كل شيء فيه ، سيكون مثاليًا</v>
      </c>
    </row>
    <row r="7575" ht="15.75" customHeight="1">
      <c r="A7575" s="12" t="s">
        <v>15730</v>
      </c>
      <c r="B7575" s="13" t="s">
        <v>15731</v>
      </c>
      <c r="C7575" s="14" t="s">
        <v>15732</v>
      </c>
      <c r="D7575" s="1" t="str">
        <f>IFERROR(__xludf.DUMMYFUNCTION("GOOGLETRANSLATE(A7575 , ""auto"", ""ar"")"),"هل تعمل هنا كل يوم؟")</f>
        <v>هل تعمل هنا كل يوم؟</v>
      </c>
    </row>
    <row r="7576" ht="15.75" customHeight="1">
      <c r="A7576" s="12" t="s">
        <v>15730</v>
      </c>
      <c r="B7576" s="13" t="s">
        <v>15733</v>
      </c>
      <c r="C7576" s="14" t="s">
        <v>15734</v>
      </c>
      <c r="D7576" s="1" t="str">
        <f>IFERROR(__xludf.DUMMYFUNCTION("GOOGLETRANSLATE(A7576 , ""auto"", ""ar"")"),"هل تعمل هنا كل يوم؟")</f>
        <v>هل تعمل هنا كل يوم؟</v>
      </c>
    </row>
    <row r="7577" ht="15.75" customHeight="1">
      <c r="A7577" s="12" t="s">
        <v>15735</v>
      </c>
      <c r="B7577" s="13" t="s">
        <v>15736</v>
      </c>
      <c r="C7577" s="14" t="s">
        <v>15737</v>
      </c>
      <c r="D7577" s="1" t="str">
        <f>IFERROR(__xludf.DUMMYFUNCTION("GOOGLETRANSLATE(A7577 , ""auto"", ""ar"")"),"أنا أعمل هنا فقط لتوفير ما يكفي من المال للطعام والإيجار")</f>
        <v>أنا أعمل هنا فقط لتوفير ما يكفي من المال للطعام والإيجار</v>
      </c>
    </row>
    <row r="7578" ht="15.75" customHeight="1">
      <c r="A7578" s="12" t="s">
        <v>15738</v>
      </c>
      <c r="B7578" s="13" t="s">
        <v>15739</v>
      </c>
      <c r="C7578" s="14" t="s">
        <v>15740</v>
      </c>
      <c r="D7578" s="1" t="str">
        <f>IFERROR(__xludf.DUMMYFUNCTION("GOOGLETRANSLATE(A7578 , ""auto"", ""ar"")"),"ثم أختفي في الغابة لأعتبر الوجود")</f>
        <v>ثم أختفي في الغابة لأعتبر الوجود</v>
      </c>
    </row>
    <row r="7579" ht="15.75" customHeight="1">
      <c r="A7579" s="12" t="s">
        <v>15741</v>
      </c>
      <c r="B7579" s="13" t="s">
        <v>15742</v>
      </c>
      <c r="C7579" s="14" t="s">
        <v>15743</v>
      </c>
      <c r="D7579" s="1" t="str">
        <f>IFERROR(__xludf.DUMMYFUNCTION("GOOGLETRANSLATE(A7579 , ""auto"", ""ar"")"),"مالك الشريط لطيف للغاية")</f>
        <v>مالك الشريط لطيف للغاية</v>
      </c>
    </row>
    <row r="7580" ht="15.75" customHeight="1">
      <c r="A7580" s="12" t="s">
        <v>15744</v>
      </c>
      <c r="B7580" s="13" t="s">
        <v>15745</v>
      </c>
      <c r="C7580" s="14" t="s">
        <v>15746</v>
      </c>
      <c r="D7580" s="1" t="str">
        <f>IFERROR(__xludf.DUMMYFUNCTION("GOOGLETRANSLATE(A7580 , ""auto"", ""ar"")"),"الشريط على وشك الإغلاق")</f>
        <v>الشريط على وشك الإغلاق</v>
      </c>
    </row>
    <row r="7581" ht="15.75" customHeight="1">
      <c r="A7581" s="12" t="s">
        <v>9406</v>
      </c>
      <c r="B7581" s="13" t="s">
        <v>15747</v>
      </c>
      <c r="C7581" s="14" t="s">
        <v>15748</v>
      </c>
      <c r="D7581" s="1" t="str">
        <f>IFERROR(__xludf.DUMMYFUNCTION("GOOGLETRANSLATE(A7581 , ""auto"", ""ar"")"),"طاب مساؤك")</f>
        <v>طاب مساؤك</v>
      </c>
    </row>
    <row r="7582" ht="15.75" customHeight="1">
      <c r="A7582" s="12" t="s">
        <v>15749</v>
      </c>
      <c r="B7582" s="13" t="s">
        <v>15750</v>
      </c>
      <c r="C7582" s="14" t="s">
        <v>15751</v>
      </c>
      <c r="D7582" s="1" t="str">
        <f>IFERROR(__xludf.DUMMYFUNCTION("GOOGLETRANSLATE(A7582 , ""auto"", ""ar"")"),"ليلة سعيدة وشكرا على هذا المساء!")</f>
        <v>ليلة سعيدة وشكرا على هذا المساء!</v>
      </c>
    </row>
    <row r="7583" ht="15.75" customHeight="1">
      <c r="A7583" s="12" t="s">
        <v>15752</v>
      </c>
      <c r="B7583" s="13" t="s">
        <v>15753</v>
      </c>
      <c r="C7583" s="14" t="s">
        <v>15754</v>
      </c>
      <c r="D7583" s="1" t="str">
        <f>IFERROR(__xludf.DUMMYFUNCTION("GOOGLETRANSLATE(A7583 , ""auto"", ""ar"")"),"من دواعي سروري")</f>
        <v>من دواعي سروري</v>
      </c>
    </row>
    <row r="7584" ht="15.75" customHeight="1">
      <c r="A7584" s="12" t="s">
        <v>9608</v>
      </c>
      <c r="B7584" s="13" t="s">
        <v>15755</v>
      </c>
      <c r="C7584" s="14" t="s">
        <v>15756</v>
      </c>
      <c r="D7584" s="1" t="str">
        <f>IFERROR(__xludf.DUMMYFUNCTION("GOOGLETRANSLATE(A7584 , ""auto"", ""ar"")"),"أنا أشعر بالملل")</f>
        <v>أنا أشعر بالملل</v>
      </c>
    </row>
    <row r="7585" ht="15.75" customHeight="1">
      <c r="A7585" s="12" t="s">
        <v>15757</v>
      </c>
      <c r="B7585" s="13" t="s">
        <v>15758</v>
      </c>
      <c r="C7585" s="14" t="s">
        <v>15759</v>
      </c>
      <c r="D7585" s="1" t="str">
        <f>IFERROR(__xludf.DUMMYFUNCTION("GOOGLETRANSLATE(A7585 , ""auto"", ""ar"")"),"ماذا سوف نفعل؟")</f>
        <v>ماذا سوف نفعل؟</v>
      </c>
    </row>
    <row r="7586" ht="15.75" customHeight="1">
      <c r="A7586" s="12" t="s">
        <v>15757</v>
      </c>
      <c r="B7586" s="13" t="s">
        <v>15760</v>
      </c>
      <c r="C7586" s="14" t="s">
        <v>15761</v>
      </c>
      <c r="D7586" s="1" t="str">
        <f>IFERROR(__xludf.DUMMYFUNCTION("GOOGLETRANSLATE(A7586 , ""auto"", ""ar"")"),"ماذا سوف نفعل؟")</f>
        <v>ماذا سوف نفعل؟</v>
      </c>
    </row>
    <row r="7587" ht="15.75" customHeight="1">
      <c r="A7587" s="12" t="s">
        <v>15762</v>
      </c>
      <c r="B7587" s="13" t="s">
        <v>15763</v>
      </c>
      <c r="C7587" s="14" t="s">
        <v>15764</v>
      </c>
      <c r="D7587" s="1" t="str">
        <f>IFERROR(__xludf.DUMMYFUNCTION("GOOGLETRANSLATE(A7587 , ""auto"", ""ar"")"),"لا يمكنك أن تشعر بالملل")</f>
        <v>لا يمكنك أن تشعر بالملل</v>
      </c>
    </row>
    <row r="7588" ht="15.75" customHeight="1">
      <c r="A7588" s="12" t="s">
        <v>15765</v>
      </c>
      <c r="B7588" s="13" t="s">
        <v>15766</v>
      </c>
      <c r="C7588" s="14" t="s">
        <v>15767</v>
      </c>
      <c r="D7588" s="1" t="str">
        <f>IFERROR(__xludf.DUMMYFUNCTION("GOOGLETRANSLATE(A7588 , ""auto"", ""ar"")"),"انظر إلى المنظر الجميل")</f>
        <v>انظر إلى المنظر الجميل</v>
      </c>
    </row>
    <row r="7589" ht="15.75" customHeight="1">
      <c r="A7589" s="12" t="s">
        <v>15768</v>
      </c>
      <c r="B7589" s="13" t="s">
        <v>15769</v>
      </c>
      <c r="C7589" s="14" t="s">
        <v>15770</v>
      </c>
      <c r="D7589" s="1" t="str">
        <f>IFERROR(__xludf.DUMMYFUNCTION("GOOGLETRANSLATE(A7589 , ""auto"", ""ar"")"),"هناك بعض الأشخاص الجميلين للنظر إليهم أيضًا")</f>
        <v>هناك بعض الأشخاص الجميلين للنظر إليهم أيضًا</v>
      </c>
    </row>
    <row r="7590" ht="15.75" customHeight="1">
      <c r="A7590" s="12" t="s">
        <v>15771</v>
      </c>
      <c r="B7590" s="13" t="s">
        <v>15772</v>
      </c>
      <c r="C7590" s="14" t="s">
        <v>15773</v>
      </c>
      <c r="D7590" s="1" t="str">
        <f>IFERROR(__xludf.DUMMYFUNCTION("GOOGLETRANSLATE(A7590 , ""auto"", ""ar"")"),"كنت أشاهد الناس حول حمام السباحة لمدة يومين")</f>
        <v>كنت أشاهد الناس حول حمام السباحة لمدة يومين</v>
      </c>
    </row>
    <row r="7591" ht="15.75" customHeight="1">
      <c r="A7591" s="12" t="s">
        <v>15771</v>
      </c>
      <c r="B7591" s="13" t="s">
        <v>15774</v>
      </c>
      <c r="C7591" s="14" t="s">
        <v>15775</v>
      </c>
      <c r="D7591" s="1" t="str">
        <f>IFERROR(__xludf.DUMMYFUNCTION("GOOGLETRANSLATE(A7591 , ""auto"", ""ar"")"),"كنت أشاهد الناس حول حمام السباحة لمدة يومين")</f>
        <v>كنت أشاهد الناس حول حمام السباحة لمدة يومين</v>
      </c>
    </row>
    <row r="7592" ht="15.75" customHeight="1">
      <c r="A7592" s="12" t="s">
        <v>15776</v>
      </c>
      <c r="B7592" s="13" t="s">
        <v>15777</v>
      </c>
      <c r="C7592" s="14" t="s">
        <v>15778</v>
      </c>
      <c r="D7592" s="1" t="str">
        <f>IFERROR(__xludf.DUMMYFUNCTION("GOOGLETRANSLATE(A7592 , ""auto"", ""ar"")"),"وليس هناك عالم كبير من الاهتمام")</f>
        <v>وليس هناك عالم كبير من الاهتمام</v>
      </c>
    </row>
    <row r="7593" ht="15.75" customHeight="1">
      <c r="A7593" s="12" t="s">
        <v>15779</v>
      </c>
      <c r="B7593" s="13" t="s">
        <v>15780</v>
      </c>
      <c r="C7593" s="14" t="s">
        <v>15781</v>
      </c>
      <c r="D7593" s="1" t="str">
        <f>IFERROR(__xludf.DUMMYFUNCTION("GOOGLETRANSLATE(A7593 , ""auto"", ""ar"")"),"حسنًا ، اذهب وتحدث إلى شخص ما بعد ذلك")</f>
        <v>حسنًا ، اذهب وتحدث إلى شخص ما بعد ذلك</v>
      </c>
    </row>
    <row r="7594" ht="15.75" customHeight="1">
      <c r="A7594" s="12" t="s">
        <v>15782</v>
      </c>
      <c r="B7594" s="13" t="s">
        <v>15783</v>
      </c>
      <c r="C7594" s="14" t="s">
        <v>15784</v>
      </c>
      <c r="D7594" s="1" t="str">
        <f>IFERROR(__xludf.DUMMYFUNCTION("GOOGLETRANSLATE(A7594 , ""auto"", ""ar"")"),"أو انضم إلى تمرين الماء")</f>
        <v>أو انضم إلى تمرين الماء</v>
      </c>
    </row>
    <row r="7595" ht="15.75" customHeight="1">
      <c r="A7595" s="12" t="s">
        <v>15785</v>
      </c>
      <c r="B7595" s="13" t="s">
        <v>15786</v>
      </c>
      <c r="C7595" s="14" t="s">
        <v>15787</v>
      </c>
      <c r="D7595" s="1" t="str">
        <f>IFERROR(__xludf.DUMMYFUNCTION("GOOGLETRANSLATE(A7595 , ""auto"", ""ar"")"),"هل قابلت أحدا؟")</f>
        <v>هل قابلت أحدا؟</v>
      </c>
    </row>
    <row r="7596" ht="15.75" customHeight="1">
      <c r="A7596" s="12" t="s">
        <v>15785</v>
      </c>
      <c r="B7596" s="13" t="s">
        <v>15788</v>
      </c>
      <c r="C7596" s="14" t="s">
        <v>15789</v>
      </c>
      <c r="D7596" s="1" t="str">
        <f>IFERROR(__xludf.DUMMYFUNCTION("GOOGLETRANSLATE(A7596 , ""auto"", ""ar"")"),"هل قابلت أحدا؟")</f>
        <v>هل قابلت أحدا؟</v>
      </c>
    </row>
    <row r="7597" ht="15.75" customHeight="1">
      <c r="A7597" s="12" t="s">
        <v>15790</v>
      </c>
      <c r="B7597" s="13" t="s">
        <v>15791</v>
      </c>
      <c r="C7597" s="14" t="s">
        <v>15792</v>
      </c>
      <c r="D7597" s="1" t="str">
        <f>IFERROR(__xludf.DUMMYFUNCTION("GOOGLETRANSLATE(A7597 , ""auto"", ""ar"")"),"أعتقد أنه سيكون هناك Bingo قريبًا")</f>
        <v>أعتقد أنه سيكون هناك Bingo قريبًا</v>
      </c>
    </row>
    <row r="7598" ht="15.75" customHeight="1">
      <c r="A7598" s="12" t="s">
        <v>15793</v>
      </c>
      <c r="B7598" s="13" t="s">
        <v>15794</v>
      </c>
      <c r="C7598" s="14" t="s">
        <v>15795</v>
      </c>
      <c r="D7598" s="1" t="str">
        <f>IFERROR(__xludf.DUMMYFUNCTION("GOOGLETRANSLATE(A7598 , ""auto"", ""ar"")"),"عظيم ، بنغو")</f>
        <v>عظيم ، بنغو</v>
      </c>
    </row>
    <row r="7599" ht="15.75" customHeight="1">
      <c r="A7599" s="12" t="s">
        <v>15796</v>
      </c>
      <c r="B7599" s="13" t="s">
        <v>15797</v>
      </c>
      <c r="C7599" s="14" t="s">
        <v>15798</v>
      </c>
      <c r="D7599" s="1" t="str">
        <f>IFERROR(__xludf.DUMMYFUNCTION("GOOGLETRANSLATE(A7599 , ""auto"", ""ar"")"),"آمل أن يكون هناك دجاج للفوز")</f>
        <v>آمل أن يكون هناك دجاج للفوز</v>
      </c>
    </row>
    <row r="7600" ht="15.75" customHeight="1">
      <c r="A7600" s="12" t="s">
        <v>15799</v>
      </c>
      <c r="B7600" s="13" t="s">
        <v>15800</v>
      </c>
      <c r="C7600" s="14" t="s">
        <v>15801</v>
      </c>
      <c r="D7600" s="1" t="str">
        <f>IFERROR(__xludf.DUMMYFUNCTION("GOOGLETRANSLATE(A7600 , ""auto"", ""ar"")"),"قد ترغب في بعض المشروبات أو شيء من هذا القبيل")</f>
        <v>قد ترغب في بعض المشروبات أو شيء من هذا القبيل</v>
      </c>
    </row>
    <row r="7601" ht="15.75" customHeight="1">
      <c r="A7601" s="12" t="s">
        <v>15802</v>
      </c>
      <c r="B7601" s="13" t="s">
        <v>15803</v>
      </c>
      <c r="C7601" s="14" t="s">
        <v>15804</v>
      </c>
      <c r="D7601" s="1" t="str">
        <f>IFERROR(__xludf.DUMMYFUNCTION("GOOGLETRANSLATE(A7601 , ""auto"", ""ar"")"),"أعتقد أنه مضحك")</f>
        <v>أعتقد أنه مضحك</v>
      </c>
    </row>
    <row r="7602" ht="15.75" customHeight="1">
      <c r="A7602" s="12" t="s">
        <v>15805</v>
      </c>
      <c r="B7602" s="13" t="s">
        <v>15806</v>
      </c>
      <c r="C7602" s="14" t="s">
        <v>15807</v>
      </c>
      <c r="D7602" s="1" t="str">
        <f>IFERROR(__xludf.DUMMYFUNCTION("GOOGLETRANSLATE(A7602 , ""auto"", ""ar"")"),"إنه يذكرني بحفل القرية")</f>
        <v>إنه يذكرني بحفل القرية</v>
      </c>
    </row>
    <row r="7603" ht="15.75" customHeight="1">
      <c r="A7603" s="12" t="s">
        <v>15808</v>
      </c>
      <c r="B7603" s="13" t="s">
        <v>15809</v>
      </c>
      <c r="C7603" s="14" t="s">
        <v>15810</v>
      </c>
      <c r="D7603" s="1" t="str">
        <f>IFERROR(__xludf.DUMMYFUNCTION("GOOGLETRANSLATE(A7603 , ""auto"", ""ar"")"),"أوه ، نعم ، أود")</f>
        <v>أوه ، نعم ، أود</v>
      </c>
    </row>
    <row r="7604" ht="15.75" customHeight="1">
      <c r="A7604" s="12" t="s">
        <v>15811</v>
      </c>
      <c r="B7604" s="13" t="s">
        <v>15812</v>
      </c>
      <c r="C7604" s="14" t="s">
        <v>15813</v>
      </c>
      <c r="D7604" s="1" t="str">
        <f>IFERROR(__xludf.DUMMYFUNCTION("GOOGLETRANSLATE(A7604 , ""auto"", ""ar"")"),"اتركني في سلام")</f>
        <v>اتركني في سلام</v>
      </c>
    </row>
    <row r="7605" ht="15.75" customHeight="1">
      <c r="A7605" s="12" t="s">
        <v>15811</v>
      </c>
      <c r="B7605" s="13" t="s">
        <v>15814</v>
      </c>
      <c r="C7605" s="14" t="s">
        <v>15815</v>
      </c>
      <c r="D7605" s="1" t="str">
        <f>IFERROR(__xludf.DUMMYFUNCTION("GOOGLETRANSLATE(A7605 , ""auto"", ""ar"")"),"اتركني في سلام")</f>
        <v>اتركني في سلام</v>
      </c>
    </row>
    <row r="7606" ht="15.75" customHeight="1">
      <c r="A7606" s="12" t="s">
        <v>15816</v>
      </c>
      <c r="B7606" s="13" t="s">
        <v>15817</v>
      </c>
      <c r="C7606" s="14" t="s">
        <v>15818</v>
      </c>
      <c r="D7606" s="1" t="str">
        <f>IFERROR(__xludf.DUMMYFUNCTION("GOOGLETRANSLATE(A7606 , ""auto"", ""ar"")"),"أنت تعرف مدى صعوبة العمل")</f>
        <v>أنت تعرف مدى صعوبة العمل</v>
      </c>
    </row>
    <row r="7607" ht="15.75" customHeight="1">
      <c r="A7607" s="12" t="s">
        <v>15819</v>
      </c>
      <c r="B7607" s="13" t="s">
        <v>15820</v>
      </c>
      <c r="C7607" s="14" t="s">
        <v>15821</v>
      </c>
      <c r="D7607" s="1" t="str">
        <f>IFERROR(__xludf.DUMMYFUNCTION("GOOGLETRANSLATE(A7607 , ""auto"", ""ar"")"),"لا ، لكن بعد فوات الأوان بعد أن عرضت عليه")</f>
        <v>لا ، لكن بعد فوات الأوان بعد أن عرضت عليه</v>
      </c>
    </row>
    <row r="7608" ht="15.75" customHeight="1">
      <c r="A7608" s="12" t="s">
        <v>15822</v>
      </c>
      <c r="B7608" s="13" t="s">
        <v>15823</v>
      </c>
      <c r="C7608" s="14" t="s">
        <v>15824</v>
      </c>
      <c r="D7608" s="1" t="str">
        <f>IFERROR(__xludf.DUMMYFUNCTION("GOOGLETRANSLATE(A7608 , ""auto"", ""ar"")"),"أنا أطلب الكوكتيلات")</f>
        <v>أنا أطلب الكوكتيلات</v>
      </c>
    </row>
    <row r="7609" ht="15.75" customHeight="1">
      <c r="A7609" s="12" t="s">
        <v>15825</v>
      </c>
      <c r="B7609" s="13" t="s">
        <v>15826</v>
      </c>
      <c r="C7609" s="14" t="s">
        <v>15827</v>
      </c>
      <c r="D7609" s="1" t="str">
        <f>IFERROR(__xludf.DUMMYFUNCTION("GOOGLETRANSLATE(A7609 , ""auto"", ""ar"")"),"ننسى عملك ، كان لديك نوم كافٍ")</f>
        <v>ننسى عملك ، كان لديك نوم كافٍ</v>
      </c>
    </row>
    <row r="7610" ht="15.75" customHeight="1">
      <c r="A7610" s="12" t="s">
        <v>15828</v>
      </c>
      <c r="B7610" s="13" t="s">
        <v>15829</v>
      </c>
      <c r="C7610" s="14" t="s">
        <v>15830</v>
      </c>
      <c r="D7610" s="1" t="str">
        <f>IFERROR(__xludf.DUMMYFUNCTION("GOOGLETRANSLATE(A7610 , ""auto"", ""ar"")"),"كان لديك ما يكفي من النوم")</f>
        <v>كان لديك ما يكفي من النوم</v>
      </c>
    </row>
    <row r="7611" ht="15.75" customHeight="1">
      <c r="A7611" s="12" t="s">
        <v>15831</v>
      </c>
      <c r="B7611" s="13" t="s">
        <v>15832</v>
      </c>
      <c r="C7611" s="14" t="s">
        <v>15833</v>
      </c>
      <c r="D7611" s="1" t="str">
        <f>IFERROR(__xludf.DUMMYFUNCTION("GOOGLETRANSLATE(A7611 , ""auto"", ""ar"")"),"موخيتو بالنسبة لي من فضلك")</f>
        <v>موخيتو بالنسبة لي من فضلك</v>
      </c>
    </row>
    <row r="7612" ht="15.75" customHeight="1">
      <c r="A7612" s="12" t="s">
        <v>15834</v>
      </c>
      <c r="B7612" s="13" t="s">
        <v>15835</v>
      </c>
      <c r="C7612" s="14" t="s">
        <v>15836</v>
      </c>
      <c r="D7612" s="1" t="str">
        <f>IFERROR(__xludf.DUMMYFUNCTION("GOOGLETRANSLATE(A7612 , ""auto"", ""ar"")"),"أنا بالتأكيد أنسى العمل")</f>
        <v>أنا بالتأكيد أنسى العمل</v>
      </c>
    </row>
    <row r="7613" ht="15.75" customHeight="1">
      <c r="A7613" s="12" t="s">
        <v>15837</v>
      </c>
      <c r="B7613" s="13" t="s">
        <v>15838</v>
      </c>
      <c r="C7613" s="14" t="s">
        <v>15839</v>
      </c>
      <c r="D7613" s="1" t="str">
        <f>IFERROR(__xludf.DUMMYFUNCTION("GOOGLETRANSLATE(A7613 , ""auto"", ""ar"")"),"عليك أن تغير رأيك")</f>
        <v>عليك أن تغير رأيك</v>
      </c>
    </row>
    <row r="7614" ht="15.75" customHeight="1">
      <c r="A7614" s="12" t="s">
        <v>15840</v>
      </c>
      <c r="B7614" s="13" t="s">
        <v>15841</v>
      </c>
      <c r="C7614" s="14" t="s">
        <v>15842</v>
      </c>
      <c r="D7614" s="1" t="str">
        <f>IFERROR(__xludf.DUMMYFUNCTION("GOOGLETRANSLATE(A7614 , ""auto"", ""ar"")"),"العطلات لذلك")</f>
        <v>العطلات لذلك</v>
      </c>
    </row>
    <row r="7615" ht="15.75" customHeight="1">
      <c r="A7615" s="12" t="s">
        <v>15843</v>
      </c>
      <c r="B7615" s="13" t="s">
        <v>15844</v>
      </c>
      <c r="C7615" s="14" t="s">
        <v>15845</v>
      </c>
      <c r="D7615" s="1" t="str">
        <f>IFERROR(__xludf.DUMMYFUNCTION("GOOGLETRANSLATE(A7615 , ""auto"", ""ar"")"),"تعال ، انهض ، أنت لا تشرب الخمر مستلقية")</f>
        <v>تعال ، انهض ، أنت لا تشرب الخمر مستلقية</v>
      </c>
    </row>
    <row r="7616" ht="15.75" customHeight="1">
      <c r="A7616" s="12" t="s">
        <v>15846</v>
      </c>
      <c r="B7616" s="13" t="s">
        <v>15847</v>
      </c>
      <c r="C7616" s="14" t="s">
        <v>15848</v>
      </c>
      <c r="D7616" s="1" t="str">
        <f>IFERROR(__xludf.DUMMYFUNCTION("GOOGLETRANSLATE(A7616 , ""auto"", ""ar"")"),"يجب أن نصل إلى البار")</f>
        <v>يجب أن نصل إلى البار</v>
      </c>
    </row>
    <row r="7617" ht="15.75" customHeight="1">
      <c r="A7617" s="12" t="s">
        <v>15849</v>
      </c>
      <c r="B7617" s="13" t="s">
        <v>15850</v>
      </c>
      <c r="C7617" s="14" t="s">
        <v>15851</v>
      </c>
      <c r="D7617" s="1" t="str">
        <f>IFERROR(__xludf.DUMMYFUNCTION("GOOGLETRANSLATE(A7617 , ""auto"", ""ar"")"),"رائع")</f>
        <v>رائع</v>
      </c>
    </row>
    <row r="7618" ht="15.75" customHeight="1">
      <c r="A7618" s="12" t="s">
        <v>15852</v>
      </c>
      <c r="B7618" s="13" t="s">
        <v>15853</v>
      </c>
      <c r="C7618" s="14" t="s">
        <v>15854</v>
      </c>
      <c r="D7618" s="1" t="str">
        <f>IFERROR(__xludf.DUMMYFUNCTION("GOOGLETRANSLATE(A7618 , ""auto"", ""ar"")"),"وصل Mojito")</f>
        <v>وصل Mojito</v>
      </c>
    </row>
    <row r="7619" ht="15.75" customHeight="1">
      <c r="A7619" s="12" t="s">
        <v>15855</v>
      </c>
      <c r="B7619" s="13" t="s">
        <v>15856</v>
      </c>
      <c r="C7619" s="14" t="s">
        <v>15857</v>
      </c>
      <c r="D7619" s="1" t="str">
        <f>IFERROR(__xludf.DUMMYFUNCTION("GOOGLETRANSLATE(A7619 , ""auto"", ""ar"")"),"حصلت على بعض عصير البرتقال")</f>
        <v>حصلت على بعض عصير البرتقال</v>
      </c>
    </row>
    <row r="7620" ht="15.75" customHeight="1">
      <c r="A7620" s="12" t="s">
        <v>15858</v>
      </c>
      <c r="B7620" s="13" t="s">
        <v>15859</v>
      </c>
      <c r="C7620" s="14" t="s">
        <v>15860</v>
      </c>
      <c r="D7620" s="1" t="str">
        <f>IFERROR(__xludf.DUMMYFUNCTION("GOOGLETRANSLATE(A7620 , ""auto"", ""ar"")"),"انا افكر")</f>
        <v>انا افكر</v>
      </c>
    </row>
    <row r="7621" ht="15.75" customHeight="1">
      <c r="A7621" s="12" t="s">
        <v>15861</v>
      </c>
      <c r="B7621" s="13" t="s">
        <v>15862</v>
      </c>
      <c r="C7621" s="14" t="s">
        <v>3626</v>
      </c>
      <c r="D7621" s="1" t="str">
        <f>IFERROR(__xludf.DUMMYFUNCTION("GOOGLETRANSLATE(A7621 , ""auto"", ""ar"")"),"معقول")</f>
        <v>معقول</v>
      </c>
    </row>
    <row r="7622" ht="15.75" customHeight="1">
      <c r="A7622" s="12" t="s">
        <v>15863</v>
      </c>
      <c r="B7622" s="13" t="s">
        <v>15864</v>
      </c>
      <c r="C7622" s="14" t="s">
        <v>15865</v>
      </c>
      <c r="D7622" s="1" t="str">
        <f>IFERROR(__xludf.DUMMYFUNCTION("GOOGLETRANSLATE(A7622 , ""auto"", ""ar"")"),"هل نرى ما هو في برنامج النشاط")</f>
        <v>هل نرى ما هو في برنامج النشاط</v>
      </c>
    </row>
    <row r="7623" ht="15.75" customHeight="1">
      <c r="A7623" s="12" t="s">
        <v>15866</v>
      </c>
      <c r="B7623" s="13" t="s">
        <v>15867</v>
      </c>
      <c r="C7623" s="14" t="s">
        <v>15868</v>
      </c>
      <c r="D7623" s="1" t="str">
        <f>IFERROR(__xludf.DUMMYFUNCTION("GOOGLETRANSLATE(A7623 , ""auto"", ""ar"")"),"ربما بعض الرماية أو الرقص السخيف")</f>
        <v>ربما بعض الرماية أو الرقص السخيف</v>
      </c>
    </row>
    <row r="7624" ht="15.75" customHeight="1">
      <c r="A7624" s="12" t="s">
        <v>15869</v>
      </c>
      <c r="B7624" s="13" t="s">
        <v>15870</v>
      </c>
      <c r="C7624" s="14" t="s">
        <v>15871</v>
      </c>
      <c r="D7624" s="1" t="str">
        <f>IFERROR(__xludf.DUMMYFUNCTION("GOOGLETRANSLATE(A7624 , ""auto"", ""ar"")"),"يمكننا إنهاء مشروباتنا والتحقيق")</f>
        <v>يمكننا إنهاء مشروباتنا والتحقيق</v>
      </c>
    </row>
    <row r="7625" ht="15.75" customHeight="1">
      <c r="A7625" s="12" t="s">
        <v>15872</v>
      </c>
      <c r="B7625" s="13" t="s">
        <v>15873</v>
      </c>
      <c r="C7625" s="14" t="s">
        <v>15874</v>
      </c>
      <c r="D7625" s="1" t="str">
        <f>IFERROR(__xludf.DUMMYFUNCTION("GOOGLETRANSLATE(A7625 , ""auto"", ""ar"")"),"دعنا نذهب للتحقيق")</f>
        <v>دعنا نذهب للتحقيق</v>
      </c>
    </row>
    <row r="7626" ht="15.75" customHeight="1">
      <c r="A7626" s="12" t="s">
        <v>15875</v>
      </c>
      <c r="B7626" s="13" t="s">
        <v>15876</v>
      </c>
      <c r="C7626" s="14" t="s">
        <v>15877</v>
      </c>
      <c r="D7626" s="1" t="str">
        <f>IFERROR(__xludf.DUMMYFUNCTION("GOOGLETRANSLATE(A7626 , ""auto"", ""ar"")"),"أتمنى أن تكون قادرًا على الراحة")</f>
        <v>أتمنى أن تكون قادرًا على الراحة</v>
      </c>
    </row>
    <row r="7627" ht="15.75" customHeight="1">
      <c r="A7627" s="12" t="s">
        <v>15875</v>
      </c>
      <c r="B7627" s="13" t="s">
        <v>15878</v>
      </c>
      <c r="C7627" s="14" t="s">
        <v>15879</v>
      </c>
      <c r="D7627" s="1" t="str">
        <f>IFERROR(__xludf.DUMMYFUNCTION("GOOGLETRANSLATE(A7627 , ""auto"", ""ar"")"),"أتمنى أن تكون قادرًا على الراحة")</f>
        <v>أتمنى أن تكون قادرًا على الراحة</v>
      </c>
    </row>
    <row r="7628" ht="15.75" customHeight="1">
      <c r="A7628" s="12" t="s">
        <v>9494</v>
      </c>
      <c r="B7628" s="13" t="s">
        <v>15880</v>
      </c>
      <c r="C7628" s="14" t="s">
        <v>15881</v>
      </c>
      <c r="D7628" s="1" t="str">
        <f>IFERROR(__xludf.DUMMYFUNCTION("GOOGLETRANSLATE(A7628 , ""auto"", ""ar"")"),"أراك المرة القادمة")</f>
        <v>أراك المرة القادمة</v>
      </c>
    </row>
    <row r="7629" ht="15.75" customHeight="1">
      <c r="A7629" s="12" t="s">
        <v>9494</v>
      </c>
      <c r="B7629" s="13" t="s">
        <v>15882</v>
      </c>
      <c r="C7629" s="14" t="s">
        <v>15883</v>
      </c>
      <c r="D7629" s="1" t="str">
        <f>IFERROR(__xludf.DUMMYFUNCTION("GOOGLETRANSLATE(A7629 , ""auto"", ""ar"")"),"أراك المرة القادمة")</f>
        <v>أراك المرة القادمة</v>
      </c>
    </row>
    <row r="7630" ht="15.75" customHeight="1">
      <c r="A7630" s="12" t="s">
        <v>15884</v>
      </c>
      <c r="B7630" s="13" t="s">
        <v>15885</v>
      </c>
      <c r="C7630" s="14" t="s">
        <v>15886</v>
      </c>
      <c r="D7630" s="1" t="str">
        <f>IFERROR(__xludf.DUMMYFUNCTION("GOOGLETRANSLATE(A7630 , ""auto"", ""ar"")"),"أوه لا ، أعتقد أننا فقدنا وبدأت في الظلام")</f>
        <v>أوه لا ، أعتقد أننا فقدنا وبدأت في الظلام</v>
      </c>
    </row>
    <row r="7631" ht="15.75" customHeight="1">
      <c r="A7631" s="12" t="s">
        <v>15887</v>
      </c>
      <c r="B7631" s="13" t="s">
        <v>15888</v>
      </c>
      <c r="C7631" s="14" t="s">
        <v>15889</v>
      </c>
      <c r="D7631" s="1" t="str">
        <f>IFERROR(__xludf.DUMMYFUNCTION("GOOGLETRANSLATE(A7631 , ""auto"", ""ar"")"),"بدأ الظلام")</f>
        <v>بدأ الظلام</v>
      </c>
    </row>
    <row r="7632" ht="15.75" customHeight="1">
      <c r="A7632" s="12" t="s">
        <v>15890</v>
      </c>
      <c r="B7632" s="13" t="s">
        <v>15891</v>
      </c>
      <c r="C7632" s="14" t="s">
        <v>15892</v>
      </c>
      <c r="D7632" s="1" t="str">
        <f>IFERROR(__xludf.DUMMYFUNCTION("GOOGLETRANSLATE(A7632 , ""auto"", ""ar"")"),"هل يمكنك الحصول على إشارة GPS على هاتفك لمعرفة أين نحن؟")</f>
        <v>هل يمكنك الحصول على إشارة GPS على هاتفك لمعرفة أين نحن؟</v>
      </c>
    </row>
    <row r="7633" ht="15.75" customHeight="1">
      <c r="A7633" s="12" t="s">
        <v>15893</v>
      </c>
      <c r="B7633" s="13" t="s">
        <v>15894</v>
      </c>
      <c r="C7633" s="14" t="s">
        <v>15895</v>
      </c>
      <c r="D7633" s="1" t="str">
        <f>IFERROR(__xludf.DUMMYFUNCTION("GOOGLETRANSLATE(A7633 , ""auto"", ""ar"")"),"أين نحن")</f>
        <v>أين نحن</v>
      </c>
    </row>
    <row r="7634" ht="15.75" customHeight="1">
      <c r="A7634" s="12" t="s">
        <v>15896</v>
      </c>
      <c r="B7634" s="13" t="s">
        <v>15897</v>
      </c>
      <c r="C7634" s="14" t="s">
        <v>15898</v>
      </c>
      <c r="D7634" s="1" t="str">
        <f>IFERROR(__xludf.DUMMYFUNCTION("GOOGLETRANSLATE(A7634 , ""auto"", ""ar"")"),"أنا خارج الطبول ، لسوء الحظ!")</f>
        <v>أنا خارج الطبول ، لسوء الحظ!</v>
      </c>
    </row>
    <row r="7635" ht="15.75" customHeight="1">
      <c r="A7635" s="12" t="s">
        <v>15899</v>
      </c>
      <c r="B7635" s="13" t="s">
        <v>15900</v>
      </c>
      <c r="C7635" s="14" t="s">
        <v>15901</v>
      </c>
      <c r="D7635" s="1" t="str">
        <f>IFERROR(__xludf.DUMMYFUNCTION("GOOGLETRANSLATE(A7635 , ""auto"", ""ar"")"),"هاتفي ميت تماما أيضا")</f>
        <v>هاتفي ميت تماما أيضا</v>
      </c>
    </row>
    <row r="7636" ht="15.75" customHeight="1">
      <c r="A7636" s="12" t="s">
        <v>15902</v>
      </c>
      <c r="B7636" s="13" t="s">
        <v>15903</v>
      </c>
      <c r="C7636" s="14" t="s">
        <v>15904</v>
      </c>
      <c r="D7636" s="1" t="str">
        <f>IFERROR(__xludf.DUMMYFUNCTION("GOOGLETRANSLATE(A7636 , ""auto"", ""ar"")"),"هل تذكرت إحضار الخريطة؟")</f>
        <v>هل تذكرت إحضار الخريطة؟</v>
      </c>
    </row>
    <row r="7637" ht="15.75" customHeight="1">
      <c r="A7637" s="12" t="s">
        <v>15905</v>
      </c>
      <c r="B7637" s="13" t="s">
        <v>15906</v>
      </c>
      <c r="C7637" s="14" t="s">
        <v>15907</v>
      </c>
      <c r="D7637" s="1" t="str">
        <f>IFERROR(__xludf.DUMMYFUNCTION("GOOGLETRANSLATE(A7637 , ""auto"", ""ar"")"),"ليس لدي البطاقة ، لقد فقدتها في وقت سابق")</f>
        <v>ليس لدي البطاقة ، لقد فقدتها في وقت سابق</v>
      </c>
    </row>
    <row r="7638" ht="15.75" customHeight="1">
      <c r="A7638" s="12" t="s">
        <v>15908</v>
      </c>
      <c r="B7638" s="13" t="s">
        <v>15909</v>
      </c>
      <c r="C7638" s="14" t="s">
        <v>15910</v>
      </c>
      <c r="D7638" s="1" t="str">
        <f>IFERROR(__xludf.DUMMYFUNCTION("GOOGLETRANSLATE(A7638 , ""auto"", ""ar"")"),"يمكننا أن نخيم هنا طوال الليل ونأمل أن نجد طريقنا في الصباح عندما يكون الضوء")</f>
        <v>يمكننا أن نخيم هنا طوال الليل ونأمل أن نجد طريقنا في الصباح عندما يكون الضوء</v>
      </c>
    </row>
    <row r="7639" ht="15.75" customHeight="1">
      <c r="A7639" s="12" t="s">
        <v>15911</v>
      </c>
      <c r="B7639" s="13" t="s">
        <v>15912</v>
      </c>
      <c r="C7639" s="14" t="s">
        <v>15913</v>
      </c>
      <c r="D7639" s="1" t="str">
        <f>IFERROR(__xludf.DUMMYFUNCTION("GOOGLETRANSLATE(A7639 , ""auto"", ""ar"")"),"نعم ، هذه فكرة جيدة ، لكن ليس لدينا خيمة")</f>
        <v>نعم ، هذه فكرة جيدة ، لكن ليس لدينا خيمة</v>
      </c>
    </row>
    <row r="7640" ht="15.75" customHeight="1">
      <c r="A7640" s="12" t="s">
        <v>15914</v>
      </c>
      <c r="B7640" s="13" t="s">
        <v>15915</v>
      </c>
      <c r="C7640" s="14" t="s">
        <v>15916</v>
      </c>
      <c r="D7640" s="1" t="str">
        <f>IFERROR(__xludf.DUMMYFUNCTION("GOOGLETRANSLATE(A7640 , ""auto"", ""ar"")"),"هل رأيت مكانًا للمأوى في مكان قريب؟")</f>
        <v>هل رأيت مكانًا للمأوى في مكان قريب؟</v>
      </c>
    </row>
    <row r="7641" ht="15.75" customHeight="1">
      <c r="A7641" s="12" t="s">
        <v>15917</v>
      </c>
      <c r="B7641" s="13" t="s">
        <v>15918</v>
      </c>
      <c r="C7641" s="14" t="s">
        <v>15919</v>
      </c>
      <c r="D7641" s="1" t="str">
        <f>IFERROR(__xludf.DUMMYFUNCTION("GOOGLETRANSLATE(A7641 , ""auto"", ""ar"")"),"أعتقد أننا سنضطر إلى بنائه")</f>
        <v>أعتقد أننا سنضطر إلى بنائه</v>
      </c>
    </row>
    <row r="7642" ht="15.75" customHeight="1">
      <c r="A7642" s="12" t="s">
        <v>15920</v>
      </c>
      <c r="B7642" s="13" t="s">
        <v>15921</v>
      </c>
      <c r="C7642" s="14" t="s">
        <v>15922</v>
      </c>
      <c r="D7642" s="1" t="str">
        <f>IFERROR(__xludf.DUMMYFUNCTION("GOOGLETRANSLATE(A7642 , ""auto"", ""ar"")"),"نأمل عدم وجود حيوانات برية في الغابة")</f>
        <v>نأمل عدم وجود حيوانات برية في الغابة</v>
      </c>
    </row>
    <row r="7643" ht="15.75" customHeight="1">
      <c r="A7643" s="12" t="s">
        <v>15923</v>
      </c>
      <c r="B7643" s="13" t="s">
        <v>15924</v>
      </c>
      <c r="C7643" s="14" t="s">
        <v>15925</v>
      </c>
      <c r="D7643" s="1" t="str">
        <f>IFERROR(__xludf.DUMMYFUNCTION("GOOGLETRANSLATE(A7643 , ""auto"", ""ar"")"),"هل تعلمت يومًا أن تشكل حريقًا مع فلينت؟")</f>
        <v>هل تعلمت يومًا أن تشكل حريقًا مع فلينت؟</v>
      </c>
    </row>
    <row r="7644" ht="15.75" customHeight="1">
      <c r="A7644" s="12" t="s">
        <v>15926</v>
      </c>
      <c r="B7644" s="13" t="s">
        <v>15927</v>
      </c>
      <c r="C7644" s="14" t="s">
        <v>15928</v>
      </c>
      <c r="D7644" s="1" t="str">
        <f>IFERROR(__xludf.DUMMYFUNCTION("GOOGLETRANSLATE(A7644 , ""auto"", ""ar"")"),"نعم ، دعونا نأمل ذلك")</f>
        <v>نعم ، دعونا نأمل ذلك</v>
      </c>
    </row>
    <row r="7645" ht="15.75" customHeight="1">
      <c r="A7645" s="12" t="s">
        <v>15929</v>
      </c>
      <c r="B7645" s="13" t="s">
        <v>15930</v>
      </c>
      <c r="C7645" s="14" t="s">
        <v>15931</v>
      </c>
      <c r="D7645" s="1" t="str">
        <f>IFERROR(__xludf.DUMMYFUNCTION("GOOGLETRANSLATE(A7645 , ""auto"", ""ar"")"),"هل لديك سكر؟")</f>
        <v>هل لديك سكر؟</v>
      </c>
    </row>
    <row r="7646" ht="15.75" customHeight="1">
      <c r="A7646" s="12" t="s">
        <v>15932</v>
      </c>
      <c r="B7646" s="13" t="s">
        <v>15933</v>
      </c>
      <c r="C7646" s="14" t="s">
        <v>15934</v>
      </c>
      <c r="D7646" s="1" t="str">
        <f>IFERROR(__xludf.DUMMYFUNCTION("GOOGLETRANSLATE(A7646 , ""auto"", ""ar"")"),"لا ، لا أخشى")</f>
        <v>لا ، لا أخشى</v>
      </c>
    </row>
    <row r="7647" ht="15.75" customHeight="1">
      <c r="A7647" s="12" t="s">
        <v>15935</v>
      </c>
      <c r="B7647" s="13" t="s">
        <v>15936</v>
      </c>
      <c r="C7647" s="14" t="s">
        <v>15937</v>
      </c>
      <c r="D7647" s="1" t="str">
        <f>IFERROR(__xludf.DUMMYFUNCTION("GOOGLETRANSLATE(A7647 , ""auto"", ""ar"")"),"هل يمكنك سماع هذا الضجيج؟")</f>
        <v>هل يمكنك سماع هذا الضجيج؟</v>
      </c>
    </row>
    <row r="7648" ht="15.75" customHeight="1">
      <c r="A7648" s="12" t="s">
        <v>15938</v>
      </c>
      <c r="B7648" s="13" t="s">
        <v>15939</v>
      </c>
      <c r="C7648" s="14" t="s">
        <v>15940</v>
      </c>
      <c r="D7648" s="1" t="str">
        <f>IFERROR(__xludf.DUMMYFUNCTION("GOOGLETRANSLATE(A7648 , ""auto"", ""ar"")"),"إنه أمر مخيف بعض الشيء")</f>
        <v>إنه أمر مخيف بعض الشيء</v>
      </c>
    </row>
    <row r="7649" ht="15.75" customHeight="1">
      <c r="A7649" s="12" t="s">
        <v>15941</v>
      </c>
      <c r="B7649" s="13" t="s">
        <v>15942</v>
      </c>
      <c r="C7649" s="14" t="s">
        <v>15943</v>
      </c>
      <c r="D7649" s="1" t="str">
        <f>IFERROR(__xludf.DUMMYFUNCTION("GOOGLETRANSLATE(A7649 , ""auto"", ""ar"")"),"آمل أن يكون الشخص الذي جاء لإنقاذنا!")</f>
        <v>آمل أن يكون الشخص الذي جاء لإنقاذنا!</v>
      </c>
    </row>
    <row r="7650" ht="15.75" customHeight="1">
      <c r="A7650" s="12" t="s">
        <v>15944</v>
      </c>
      <c r="B7650" s="13" t="s">
        <v>15945</v>
      </c>
      <c r="C7650" s="14" t="s">
        <v>15946</v>
      </c>
      <c r="D7650" s="1" t="str">
        <f>IFERROR(__xludf.DUMMYFUNCTION("GOOGLETRANSLATE(A7650 , ""auto"", ""ar"")"),"عواء الذئب؟")</f>
        <v>عواء الذئب؟</v>
      </c>
    </row>
    <row r="7651" ht="15.75" customHeight="1">
      <c r="A7651" s="12" t="s">
        <v>9425</v>
      </c>
      <c r="B7651" s="13" t="s">
        <v>14005</v>
      </c>
      <c r="C7651" s="14" t="s">
        <v>14006</v>
      </c>
      <c r="D7651" s="1" t="str">
        <f>IFERROR(__xludf.DUMMYFUNCTION("GOOGLETRANSLATE(A7651 , ""auto"", ""ar"")"),"ربما")</f>
        <v>ربما</v>
      </c>
    </row>
    <row r="7652" ht="15.75" customHeight="1">
      <c r="A7652" s="12" t="s">
        <v>15947</v>
      </c>
      <c r="B7652" s="13" t="s">
        <v>15948</v>
      </c>
      <c r="C7652" s="14" t="s">
        <v>15949</v>
      </c>
      <c r="D7652" s="1" t="str">
        <f>IFERROR(__xludf.DUMMYFUNCTION("GOOGLETRANSLATE(A7652 , ""auto"", ""ar"")"),"أخشى أنني رأيت ذئبًا أو كلبًا طائشًا كبيرًا من قبل")</f>
        <v>أخشى أنني رأيت ذئبًا أو كلبًا طائشًا كبيرًا من قبل</v>
      </c>
    </row>
    <row r="7653" ht="15.75" customHeight="1">
      <c r="A7653" s="12" t="s">
        <v>15950</v>
      </c>
      <c r="B7653" s="13" t="s">
        <v>15951</v>
      </c>
      <c r="C7653" s="14" t="s">
        <v>15952</v>
      </c>
      <c r="D7653" s="1" t="str">
        <f>IFERROR(__xludf.DUMMYFUNCTION("GOOGLETRANSLATE(A7653 , ""auto"", ""ar"")"),"لدي ثلاثة صناديق من المباريات في جيبي الأيسر")</f>
        <v>لدي ثلاثة صناديق من المباريات في جيبي الأيسر</v>
      </c>
    </row>
    <row r="7654" ht="15.75" customHeight="1">
      <c r="A7654" s="12" t="s">
        <v>15953</v>
      </c>
      <c r="B7654" s="13" t="s">
        <v>15954</v>
      </c>
      <c r="C7654" s="14" t="s">
        <v>15955</v>
      </c>
      <c r="D7654" s="1" t="str">
        <f>IFERROR(__xludf.DUMMYFUNCTION("GOOGLETRANSLATE(A7654 , ""auto"", ""ar"")"),"هذا بعض الأخبار الجيدة عن المباريات")</f>
        <v>هذا بعض الأخبار الجيدة عن المباريات</v>
      </c>
    </row>
    <row r="7655" ht="15.75" customHeight="1">
      <c r="A7655" s="12" t="s">
        <v>15956</v>
      </c>
      <c r="B7655" s="13" t="s">
        <v>15957</v>
      </c>
      <c r="C7655" s="14" t="s">
        <v>15958</v>
      </c>
      <c r="D7655" s="1" t="str">
        <f>IFERROR(__xludf.DUMMYFUNCTION("GOOGLETRANSLATE(A7655 , ""auto"", ""ar"")"),"الحيوانات لا تحب النار")</f>
        <v>الحيوانات لا تحب النار</v>
      </c>
    </row>
    <row r="7656" ht="15.75" customHeight="1">
      <c r="A7656" s="12" t="s">
        <v>15959</v>
      </c>
      <c r="B7656" s="13" t="s">
        <v>15960</v>
      </c>
      <c r="C7656" s="14" t="s">
        <v>15961</v>
      </c>
      <c r="D7656" s="1" t="str">
        <f>IFERROR(__xludf.DUMMYFUNCTION("GOOGLETRANSLATE(A7656 , ""auto"", ""ar"")"),"يمكنني إعطائهم")</f>
        <v>يمكنني إعطائهم</v>
      </c>
    </row>
    <row r="7657" ht="15.75" customHeight="1">
      <c r="A7657" s="12" t="s">
        <v>15962</v>
      </c>
      <c r="B7657" s="13" t="s">
        <v>15963</v>
      </c>
      <c r="C7657" s="14" t="s">
        <v>15964</v>
      </c>
      <c r="D7657" s="1" t="str">
        <f>IFERROR(__xludf.DUMMYFUNCTION("GOOGLETRANSLATE(A7657 , ""auto"", ""ar"")"),"هم قريبون جدا")</f>
        <v>هم قريبون جدا</v>
      </c>
    </row>
    <row r="7658" ht="15.75" customHeight="1">
      <c r="A7658" s="12" t="s">
        <v>15965</v>
      </c>
      <c r="B7658" s="13" t="s">
        <v>15966</v>
      </c>
      <c r="C7658" s="14" t="s">
        <v>15967</v>
      </c>
      <c r="D7658" s="1" t="str">
        <f>IFERROR(__xludf.DUMMYFUNCTION("GOOGLETRANSLATE(A7658 , ""auto"", ""ar"")"),"هل لديك أي شيء لمنحهم؟")</f>
        <v>هل لديك أي شيء لمنحهم؟</v>
      </c>
    </row>
    <row r="7659" ht="15.75" customHeight="1">
      <c r="A7659" s="12" t="s">
        <v>15968</v>
      </c>
      <c r="B7659" s="13" t="s">
        <v>15969</v>
      </c>
      <c r="C7659" s="14" t="s">
        <v>15970</v>
      </c>
      <c r="D7659" s="1" t="str">
        <f>IFERROR(__xludf.DUMMYFUNCTION("GOOGLETRANSLATE(A7659 , ""auto"", ""ar"")"),"سأشعل النار لإبعادهم")</f>
        <v>سأشعل النار لإبعادهم</v>
      </c>
    </row>
    <row r="7660" ht="15.75" customHeight="1">
      <c r="A7660" s="12" t="s">
        <v>13403</v>
      </c>
      <c r="B7660" s="13" t="s">
        <v>15971</v>
      </c>
      <c r="C7660" s="14" t="s">
        <v>15972</v>
      </c>
      <c r="D7660" s="1" t="str">
        <f>IFERROR(__xludf.DUMMYFUNCTION("GOOGLETRANSLATE(A7660 , ""auto"", ""ar"")"),"هل تريد بعض الشاي أو القهوة؟")</f>
        <v>هل تريد بعض الشاي أو القهوة؟</v>
      </c>
    </row>
    <row r="7661" ht="15.75" customHeight="1">
      <c r="A7661" s="12" t="s">
        <v>15973</v>
      </c>
      <c r="B7661" s="13" t="s">
        <v>15974</v>
      </c>
      <c r="C7661" s="14" t="s">
        <v>15975</v>
      </c>
      <c r="D7661" s="1" t="str">
        <f>IFERROR(__xludf.DUMMYFUNCTION("GOOGLETRANSLATE(A7661 , ""auto"", ""ar"")"),"لقد تركت بعض الماء الساخن في درجات حرارية")</f>
        <v>لقد تركت بعض الماء الساخن في درجات حرارية</v>
      </c>
    </row>
    <row r="7662" ht="15.75" customHeight="1">
      <c r="A7662" s="12" t="s">
        <v>15976</v>
      </c>
      <c r="B7662" s="13" t="s">
        <v>15977</v>
      </c>
      <c r="C7662" s="14" t="s">
        <v>15978</v>
      </c>
      <c r="D7662" s="1" t="str">
        <f>IFERROR(__xludf.DUMMYFUNCTION("GOOGLETRANSLATE(A7662 , ""auto"", ""ar"")"),"نعم من فضلك ، سيكون ذلك رائعًا")</f>
        <v>نعم من فضلك ، سيكون ذلك رائعًا</v>
      </c>
    </row>
    <row r="7663" ht="15.75" customHeight="1">
      <c r="A7663" s="12" t="s">
        <v>15979</v>
      </c>
      <c r="B7663" s="13" t="s">
        <v>15980</v>
      </c>
      <c r="C7663" s="14" t="s">
        <v>15981</v>
      </c>
      <c r="D7663" s="1" t="str">
        <f>IFERROR(__xludf.DUMMYFUNCTION("GOOGLETRANSLATE(A7663 , ""auto"", ""ar"")"),"لقد تركت بعض البسكويت الشوكولاتة أيضًا")</f>
        <v>لقد تركت بعض البسكويت الشوكولاتة أيضًا</v>
      </c>
    </row>
    <row r="7664" ht="15.75" customHeight="1">
      <c r="A7664" s="12" t="s">
        <v>15982</v>
      </c>
      <c r="B7664" s="13" t="s">
        <v>15983</v>
      </c>
      <c r="C7664" s="14" t="s">
        <v>15984</v>
      </c>
      <c r="D7664" s="1" t="str">
        <f>IFERROR(__xludf.DUMMYFUNCTION("GOOGLETRANSLATE(A7664 , ""auto"", ""ar"")"),"على الرغم من أنها ذابت قليلاً في الحرارة")</f>
        <v>على الرغم من أنها ذابت قليلاً في الحرارة</v>
      </c>
    </row>
    <row r="7665" ht="15.75" customHeight="1">
      <c r="A7665" s="12" t="s">
        <v>15985</v>
      </c>
      <c r="B7665" s="13" t="s">
        <v>15986</v>
      </c>
      <c r="C7665" s="14" t="s">
        <v>15987</v>
      </c>
      <c r="D7665" s="1" t="str">
        <f>IFERROR(__xludf.DUMMYFUNCTION("GOOGLETRANSLATE(A7665 , ""auto"", ""ar"")"),"تضيء النار بسرعة!")</f>
        <v>تضيء النار بسرعة!</v>
      </c>
    </row>
    <row r="7666" ht="15.75" customHeight="1">
      <c r="A7666" s="12" t="s">
        <v>15988</v>
      </c>
      <c r="B7666" s="13" t="s">
        <v>15989</v>
      </c>
      <c r="C7666" s="14" t="s">
        <v>15990</v>
      </c>
      <c r="D7666" s="1" t="str">
        <f>IFERROR(__xludf.DUMMYFUNCTION("GOOGLETRANSLATE(A7666 , ""auto"", ""ar"")"),"مبارياتي كلها مبللة")</f>
        <v>مبارياتي كلها مبللة</v>
      </c>
    </row>
    <row r="7667" ht="15.75" customHeight="1">
      <c r="A7667" s="12" t="s">
        <v>15988</v>
      </c>
      <c r="B7667" s="13" t="s">
        <v>15991</v>
      </c>
      <c r="C7667" s="14" t="s">
        <v>15992</v>
      </c>
      <c r="D7667" s="1" t="str">
        <f>IFERROR(__xludf.DUMMYFUNCTION("GOOGLETRANSLATE(A7667 , ""auto"", ""ar"")"),"مبارياتي كلها مبللة")</f>
        <v>مبارياتي كلها مبللة</v>
      </c>
    </row>
    <row r="7668" ht="15.75" customHeight="1">
      <c r="A7668" s="12" t="s">
        <v>15993</v>
      </c>
      <c r="B7668" s="13" t="s">
        <v>15994</v>
      </c>
      <c r="C7668" s="14" t="s">
        <v>15995</v>
      </c>
      <c r="D7668" s="1" t="str">
        <f>IFERROR(__xludf.DUMMYFUNCTION("GOOGLETRANSLATE(A7668 , ""auto"", ""ar"")"),"أسمع أصوات قريبة")</f>
        <v>أسمع أصوات قريبة</v>
      </c>
    </row>
    <row r="7669" ht="15.75" customHeight="1">
      <c r="A7669" s="12" t="s">
        <v>15996</v>
      </c>
      <c r="B7669" s="13" t="s">
        <v>15997</v>
      </c>
      <c r="C7669" s="14" t="s">
        <v>15998</v>
      </c>
      <c r="D7669" s="1" t="str">
        <f>IFERROR(__xludf.DUMMYFUNCTION("GOOGLETRANSLATE(A7669 , ""auto"", ""ar"")"),"يا له من ارتياح!")</f>
        <v>يا له من ارتياح!</v>
      </c>
    </row>
    <row r="7670" ht="15.75" customHeight="1">
      <c r="A7670" s="12" t="s">
        <v>15996</v>
      </c>
      <c r="B7670" s="13" t="s">
        <v>15999</v>
      </c>
      <c r="C7670" s="14" t="s">
        <v>16000</v>
      </c>
      <c r="D7670" s="1" t="str">
        <f>IFERROR(__xludf.DUMMYFUNCTION("GOOGLETRANSLATE(A7670 , ""auto"", ""ar"")"),"يا له من ارتياح!")</f>
        <v>يا له من ارتياح!</v>
      </c>
    </row>
    <row r="7671" ht="15.75" customHeight="1">
      <c r="A7671" s="12" t="s">
        <v>16001</v>
      </c>
      <c r="B7671" s="13" t="s">
        <v>16002</v>
      </c>
      <c r="C7671" s="14" t="s">
        <v>16003</v>
      </c>
      <c r="D7671" s="1" t="str">
        <f>IFERROR(__xludf.DUMMYFUNCTION("GOOGLETRANSLATE(A7671 , ""auto"", ""ar"")"),"لم أكن أريد أن أموت هنا!")</f>
        <v>لم أكن أريد أن أموت هنا!</v>
      </c>
    </row>
    <row r="7672" ht="15.75" customHeight="1">
      <c r="A7672" s="12" t="s">
        <v>16004</v>
      </c>
      <c r="B7672" s="13" t="s">
        <v>16005</v>
      </c>
      <c r="C7672" s="14" t="s">
        <v>16006</v>
      </c>
      <c r="D7672" s="1" t="str">
        <f>IFERROR(__xludf.DUMMYFUNCTION("GOOGLETRANSLATE(A7672 , ""auto"", ""ar"")"),"لا أريد أن أموت هنا!")</f>
        <v>لا أريد أن أموت هنا!</v>
      </c>
    </row>
    <row r="7673" ht="15.75" customHeight="1">
      <c r="A7673" s="12" t="s">
        <v>16007</v>
      </c>
      <c r="B7673" s="13" t="s">
        <v>16008</v>
      </c>
      <c r="C7673" s="14" t="s">
        <v>16009</v>
      </c>
      <c r="D7673" s="1" t="str">
        <f>IFERROR(__xludf.DUMMYFUNCTION("GOOGLETRANSLATE(A7673 , ""auto"", ""ar"")"),"اريد لعب لعبة؟")</f>
        <v>اريد لعب لعبة؟</v>
      </c>
    </row>
    <row r="7674" ht="15.75" customHeight="1">
      <c r="A7674" s="12" t="s">
        <v>16010</v>
      </c>
      <c r="B7674" s="13" t="s">
        <v>16011</v>
      </c>
      <c r="C7674" s="14" t="s">
        <v>16012</v>
      </c>
      <c r="D7674" s="1" t="str">
        <f>IFERROR(__xludf.DUMMYFUNCTION("GOOGLETRANSLATE(A7674 , ""auto"", ""ar"")"),"ليس في الوقت الحالي ، أنا أستمتع بالشمس والاسترخاء")</f>
        <v>ليس في الوقت الحالي ، أنا أستمتع بالشمس والاسترخاء</v>
      </c>
    </row>
    <row r="7675" ht="15.75" customHeight="1">
      <c r="A7675" s="12" t="s">
        <v>16013</v>
      </c>
      <c r="B7675" s="13" t="s">
        <v>16014</v>
      </c>
      <c r="C7675" s="14" t="s">
        <v>16015</v>
      </c>
      <c r="D7675" s="1" t="str">
        <f>IFERROR(__xludf.DUMMYFUNCTION("GOOGLETRANSLATE(A7675 , ""auto"", ""ar"")"),"ليس الان")</f>
        <v>ليس الان</v>
      </c>
    </row>
    <row r="7676" ht="15.75" customHeight="1">
      <c r="A7676" s="12" t="s">
        <v>16013</v>
      </c>
      <c r="B7676" s="13" t="s">
        <v>16016</v>
      </c>
      <c r="C7676" s="14" t="s">
        <v>16017</v>
      </c>
      <c r="D7676" s="1" t="str">
        <f>IFERROR(__xludf.DUMMYFUNCTION("GOOGLETRANSLATE(A7676 , ""auto"", ""ar"")"),"ليس الان")</f>
        <v>ليس الان</v>
      </c>
    </row>
    <row r="7677" ht="15.75" customHeight="1">
      <c r="A7677" s="12" t="s">
        <v>16018</v>
      </c>
      <c r="B7677" s="13" t="s">
        <v>16019</v>
      </c>
      <c r="C7677" s="14" t="s">
        <v>16020</v>
      </c>
      <c r="D7677" s="1" t="str">
        <f>IFERROR(__xludf.DUMMYFUNCTION("GOOGLETRANSLATE(A7677 , ""auto"", ""ar"")"),"ربما في وقت لاحق")</f>
        <v>ربما في وقت لاحق</v>
      </c>
    </row>
    <row r="7678" ht="15.75" customHeight="1">
      <c r="A7678" s="12" t="s">
        <v>4194</v>
      </c>
      <c r="B7678" s="13" t="s">
        <v>16021</v>
      </c>
      <c r="C7678" s="14" t="s">
        <v>16022</v>
      </c>
      <c r="D7678" s="1" t="str">
        <f>IFERROR(__xludf.DUMMYFUNCTION("GOOGLETRANSLATE(A7678 , ""auto"", ""ar"")"),"لاحقاً")</f>
        <v>لاحقاً</v>
      </c>
    </row>
    <row r="7679" ht="15.75" customHeight="1">
      <c r="A7679" s="12" t="s">
        <v>16023</v>
      </c>
      <c r="B7679" s="13" t="s">
        <v>16024</v>
      </c>
      <c r="C7679" s="14" t="s">
        <v>16025</v>
      </c>
      <c r="D7679" s="1" t="str">
        <f>IFERROR(__xludf.DUMMYFUNCTION("GOOGLETRANSLATE(A7679 , ""auto"", ""ar"")"),"لن تقف هناك ولا تفعل شيئًا!")</f>
        <v>لن تقف هناك ولا تفعل شيئًا!</v>
      </c>
    </row>
    <row r="7680" ht="15.75" customHeight="1">
      <c r="A7680" s="12" t="s">
        <v>16026</v>
      </c>
      <c r="B7680" s="13" t="s">
        <v>16027</v>
      </c>
      <c r="C7680" s="14" t="s">
        <v>16028</v>
      </c>
      <c r="D7680" s="1" t="str">
        <f>IFERROR(__xludf.DUMMYFUNCTION("GOOGLETRANSLATE(A7680 , ""auto"", ""ar"")"),"أنا حار جدًا لأفعل أي شيء في الوقت الحالي")</f>
        <v>أنا حار جدًا لأفعل أي شيء في الوقت الحالي</v>
      </c>
    </row>
    <row r="7681" ht="15.75" customHeight="1">
      <c r="A7681" s="12" t="s">
        <v>16029</v>
      </c>
      <c r="B7681" s="13" t="s">
        <v>16030</v>
      </c>
      <c r="C7681" s="14" t="s">
        <v>16031</v>
      </c>
      <c r="D7681" s="1" t="str">
        <f>IFERROR(__xludf.DUMMYFUNCTION("GOOGLETRANSLATE(A7681 , ""auto"", ""ar"")"),"هل يمكنك الحصول على مشروب بارد لطيف مع بعض الجليد من فضلك")</f>
        <v>هل يمكنك الحصول على مشروب بارد لطيف مع بعض الجليد من فضلك</v>
      </c>
    </row>
    <row r="7682" ht="15.75" customHeight="1">
      <c r="A7682" s="12" t="s">
        <v>16032</v>
      </c>
      <c r="B7682" s="13" t="s">
        <v>16033</v>
      </c>
      <c r="C7682" s="14" t="s">
        <v>16034</v>
      </c>
      <c r="D7682" s="1" t="str">
        <f>IFERROR(__xludf.DUMMYFUNCTION("GOOGLETRANSLATE(A7682 , ""auto"", ""ar"")"),"لا بأس أنك دافئ ، أنت في الشمس")</f>
        <v>لا بأس أنك دافئ ، أنت في الشمس</v>
      </c>
    </row>
    <row r="7683" ht="15.75" customHeight="1">
      <c r="A7683" s="12" t="s">
        <v>16035</v>
      </c>
      <c r="B7683" s="13" t="s">
        <v>16036</v>
      </c>
      <c r="C7683" s="14" t="s">
        <v>16037</v>
      </c>
      <c r="D7683" s="1" t="str">
        <f>IFERROR(__xludf.DUMMYFUNCTION("GOOGLETRANSLATE(A7683 , ""auto"", ""ar"")"),"حسنًا ، سأحضر لك مشروبك")</f>
        <v>حسنًا ، سأحضر لك مشروبك</v>
      </c>
    </row>
    <row r="7684" ht="15.75" customHeight="1">
      <c r="A7684" s="12" t="s">
        <v>16038</v>
      </c>
      <c r="B7684" s="13" t="s">
        <v>16039</v>
      </c>
      <c r="C7684" s="14" t="s">
        <v>16040</v>
      </c>
      <c r="D7684" s="1" t="str">
        <f>IFERROR(__xludf.DUMMYFUNCTION("GOOGLETRANSLATE(A7684 , ""auto"", ""ar"")"),"تريد بعض الماء؟")</f>
        <v>تريد بعض الماء؟</v>
      </c>
    </row>
    <row r="7685" ht="15.75" customHeight="1">
      <c r="A7685" s="12" t="s">
        <v>16041</v>
      </c>
      <c r="B7685" s="13" t="s">
        <v>16042</v>
      </c>
      <c r="C7685" s="14" t="s">
        <v>16043</v>
      </c>
      <c r="D7685" s="1" t="str">
        <f>IFERROR(__xludf.DUMMYFUNCTION("GOOGLETRANSLATE(A7685 , ""auto"", ""ar"")"),"كنت أفكر في شيء أكثر إثارة قليلاً")</f>
        <v>كنت أفكر في شيء أكثر إثارة قليلاً</v>
      </c>
    </row>
    <row r="7686" ht="15.75" customHeight="1">
      <c r="A7686" s="12" t="s">
        <v>16044</v>
      </c>
      <c r="B7686" s="13" t="s">
        <v>16045</v>
      </c>
      <c r="C7686" s="14" t="s">
        <v>16046</v>
      </c>
      <c r="D7686" s="1" t="str">
        <f>IFERROR(__xludf.DUMMYFUNCTION("GOOGLETRANSLATE(A7686 , ""auto"", ""ar"")"),"يجب ألا تشرب في الشمس")</f>
        <v>يجب ألا تشرب في الشمس</v>
      </c>
    </row>
    <row r="7687" ht="15.75" customHeight="1">
      <c r="A7687" s="12" t="s">
        <v>9385</v>
      </c>
      <c r="B7687" s="13" t="s">
        <v>12129</v>
      </c>
      <c r="C7687" s="14" t="s">
        <v>12130</v>
      </c>
      <c r="D7687" s="1" t="str">
        <f>IFERROR(__xludf.DUMMYFUNCTION("GOOGLETRANSLATE(A7687 , ""auto"", ""ar"")"),"لماذا؟")</f>
        <v>لماذا؟</v>
      </c>
    </row>
    <row r="7688" ht="15.75" customHeight="1">
      <c r="A7688" s="12" t="s">
        <v>16047</v>
      </c>
      <c r="B7688" s="13" t="s">
        <v>16048</v>
      </c>
      <c r="C7688" s="14" t="s">
        <v>16049</v>
      </c>
      <c r="D7688" s="1" t="str">
        <f>IFERROR(__xludf.DUMMYFUNCTION("GOOGLETRANSLATE(A7688 , ""auto"", ""ar"")"),"هل هو سيء بالنسبة لي؟")</f>
        <v>هل هو سيء بالنسبة لي؟</v>
      </c>
    </row>
    <row r="7689" ht="15.75" customHeight="1">
      <c r="A7689" s="12" t="s">
        <v>16050</v>
      </c>
      <c r="B7689" s="13" t="s">
        <v>16051</v>
      </c>
      <c r="C7689" s="14" t="s">
        <v>16052</v>
      </c>
      <c r="D7689" s="1" t="str">
        <f>IFERROR(__xludf.DUMMYFUNCTION("GOOGLETRANSLATE(A7689 , ""auto"", ""ar"")"),"قد تكون في حالة سكر بشكل أسرع")</f>
        <v>قد تكون في حالة سكر بشكل أسرع</v>
      </c>
    </row>
    <row r="7690" ht="15.75" customHeight="1">
      <c r="A7690" s="12" t="s">
        <v>16053</v>
      </c>
      <c r="B7690" s="13" t="s">
        <v>16054</v>
      </c>
      <c r="C7690" s="14" t="s">
        <v>16055</v>
      </c>
      <c r="D7690" s="1" t="str">
        <f>IFERROR(__xludf.DUMMYFUNCTION("GOOGLETRANSLATE(A7690 , ""auto"", ""ar"")"),"قد يكون من الخطير الذهاب في البركة!")</f>
        <v>قد يكون من الخطير الذهاب في البركة!</v>
      </c>
    </row>
    <row r="7691" ht="15.75" customHeight="1">
      <c r="A7691" s="12" t="s">
        <v>16056</v>
      </c>
      <c r="B7691" s="13" t="s">
        <v>16057</v>
      </c>
      <c r="C7691" s="14" t="s">
        <v>16058</v>
      </c>
      <c r="D7691" s="1" t="str">
        <f>IFERROR(__xludf.DUMMYFUNCTION("GOOGLETRANSLATE(A7691 , ""auto"", ""ar"")"),"لم أسمع بذلك من قبل")</f>
        <v>لم أسمع بذلك من قبل</v>
      </c>
    </row>
    <row r="7692" ht="15.75" customHeight="1">
      <c r="A7692" s="12" t="s">
        <v>16059</v>
      </c>
      <c r="B7692" s="13" t="s">
        <v>16060</v>
      </c>
      <c r="C7692" s="14" t="s">
        <v>16061</v>
      </c>
      <c r="D7692" s="1" t="str">
        <f>IFERROR(__xludf.DUMMYFUNCTION("GOOGLETRANSLATE(A7692 , ""auto"", ""ar"")"),"ربما يجب أن آكل شيئًا أيضًا")</f>
        <v>ربما يجب أن آكل شيئًا أيضًا</v>
      </c>
    </row>
    <row r="7693" ht="15.75" customHeight="1">
      <c r="A7693" s="12" t="s">
        <v>16062</v>
      </c>
      <c r="B7693" s="13" t="s">
        <v>16063</v>
      </c>
      <c r="C7693" s="14" t="s">
        <v>16064</v>
      </c>
      <c r="D7693" s="1" t="str">
        <f>IFERROR(__xludf.DUMMYFUNCTION("GOOGLETRANSLATE(A7693 , ""auto"", ""ar"")"),"هل لاحظت أي طعام متاح في البار؟")</f>
        <v>هل لاحظت أي طعام متاح في البار؟</v>
      </c>
    </row>
    <row r="7694" ht="15.75" customHeight="1">
      <c r="A7694" s="12" t="s">
        <v>16065</v>
      </c>
      <c r="B7694" s="13" t="s">
        <v>16066</v>
      </c>
      <c r="C7694" s="14" t="s">
        <v>16067</v>
      </c>
      <c r="D7694" s="1" t="str">
        <f>IFERROR(__xludf.DUMMYFUNCTION("GOOGLETRANSLATE(A7694 , ""auto"", ""ar"")"),"نعم ، أعتقد أن هناك بعض السندويشات")</f>
        <v>نعم ، أعتقد أن هناك بعض السندويشات</v>
      </c>
    </row>
    <row r="7695" ht="15.75" customHeight="1">
      <c r="A7695" s="12" t="s">
        <v>16068</v>
      </c>
      <c r="B7695" s="13" t="s">
        <v>16069</v>
      </c>
      <c r="C7695" s="14" t="s">
        <v>16070</v>
      </c>
      <c r="D7695" s="1" t="str">
        <f>IFERROR(__xludf.DUMMYFUNCTION("GOOGLETRANSLATE(A7695 , ""auto"", ""ar"")"),"سأقوم بصفقة")</f>
        <v>سأقوم بصفقة</v>
      </c>
    </row>
    <row r="7696" ht="15.75" customHeight="1">
      <c r="A7696" s="12" t="s">
        <v>16071</v>
      </c>
      <c r="B7696" s="13" t="s">
        <v>16072</v>
      </c>
      <c r="C7696" s="14" t="s">
        <v>16073</v>
      </c>
      <c r="D7696" s="1" t="str">
        <f>IFERROR(__xludf.DUMMYFUNCTION("GOOGLETRANSLATE(A7696 , ""auto"", ""ar"")"),"إذا حصلت على شطيرة ، سألعب لعبة بعدها")</f>
        <v>إذا حصلت على شطيرة ، سألعب لعبة بعدها</v>
      </c>
    </row>
    <row r="7697" ht="15.75" customHeight="1">
      <c r="A7697" s="12" t="s">
        <v>15472</v>
      </c>
      <c r="B7697" s="13" t="s">
        <v>14437</v>
      </c>
      <c r="C7697" s="14" t="s">
        <v>14438</v>
      </c>
      <c r="D7697" s="1" t="str">
        <f>IFERROR(__xludf.DUMMYFUNCTION("GOOGLETRANSLATE(A7697 , ""auto"", ""ar"")"),"حسنًا!")</f>
        <v>حسنًا!</v>
      </c>
    </row>
    <row r="7698" ht="15.75" customHeight="1">
      <c r="A7698" s="12" t="s">
        <v>15472</v>
      </c>
      <c r="B7698" s="13" t="s">
        <v>16074</v>
      </c>
      <c r="C7698" s="14" t="s">
        <v>16075</v>
      </c>
      <c r="D7698" s="1" t="str">
        <f>IFERROR(__xludf.DUMMYFUNCTION("GOOGLETRANSLATE(A7698 , ""auto"", ""ar"")"),"حسنًا!")</f>
        <v>حسنًا!</v>
      </c>
    </row>
    <row r="7699" ht="15.75" customHeight="1">
      <c r="A7699" s="12" t="s">
        <v>15472</v>
      </c>
      <c r="B7699" s="13" t="s">
        <v>16076</v>
      </c>
      <c r="C7699" s="14" t="s">
        <v>16077</v>
      </c>
      <c r="D7699" s="1" t="str">
        <f>IFERROR(__xludf.DUMMYFUNCTION("GOOGLETRANSLATE(A7699 , ""auto"", ""ar"")"),"حسنًا!")</f>
        <v>حسنًا!</v>
      </c>
    </row>
    <row r="7700" ht="15.75" customHeight="1">
      <c r="A7700" s="12" t="s">
        <v>15472</v>
      </c>
      <c r="B7700" s="13" t="s">
        <v>16078</v>
      </c>
      <c r="C7700" s="14" t="s">
        <v>16079</v>
      </c>
      <c r="D7700" s="1" t="str">
        <f>IFERROR(__xludf.DUMMYFUNCTION("GOOGLETRANSLATE(A7700 , ""auto"", ""ar"")"),"حسنًا!")</f>
        <v>حسنًا!</v>
      </c>
    </row>
    <row r="7701" ht="15.75" customHeight="1">
      <c r="A7701" s="12" t="s">
        <v>16080</v>
      </c>
      <c r="B7701" s="13" t="s">
        <v>16081</v>
      </c>
      <c r="C7701" s="14" t="s">
        <v>16082</v>
      </c>
      <c r="D7701" s="1" t="str">
        <f>IFERROR(__xludf.DUMMYFUNCTION("GOOGLETRANSLATE(A7701 , ""auto"", ""ar"")"),"ها هي شطيرةك!")</f>
        <v>ها هي شطيرةك!</v>
      </c>
    </row>
    <row r="7702" ht="15.75" customHeight="1">
      <c r="A7702" s="12" t="s">
        <v>16083</v>
      </c>
      <c r="B7702" s="13" t="s">
        <v>16084</v>
      </c>
      <c r="C7702" s="14" t="s">
        <v>16085</v>
      </c>
      <c r="D7702" s="1" t="str">
        <f>IFERROR(__xludf.DUMMYFUNCTION("GOOGLETRANSLATE(A7702 , ""auto"", ""ar"")"),"ألم تحصل على شيء لنفسك؟")</f>
        <v>ألم تحصل على شيء لنفسك؟</v>
      </c>
    </row>
    <row r="7703" ht="15.75" customHeight="1">
      <c r="A7703" s="12" t="s">
        <v>16086</v>
      </c>
      <c r="B7703" s="13" t="s">
        <v>16087</v>
      </c>
      <c r="C7703" s="14" t="s">
        <v>16088</v>
      </c>
      <c r="D7703" s="1" t="str">
        <f>IFERROR(__xludf.DUMMYFUNCTION("GOOGLETRANSLATE(A7703 , ""auto"", ""ar"")"),"لابد أنكم جوعى؟")</f>
        <v>لابد أنكم جوعى؟</v>
      </c>
    </row>
    <row r="7704" ht="15.75" customHeight="1">
      <c r="A7704" s="12" t="s">
        <v>16086</v>
      </c>
      <c r="B7704" s="13" t="s">
        <v>16089</v>
      </c>
      <c r="C7704" s="14" t="s">
        <v>16090</v>
      </c>
      <c r="D7704" s="1" t="str">
        <f>IFERROR(__xludf.DUMMYFUNCTION("GOOGLETRANSLATE(A7704 , ""auto"", ""ar"")"),"لابد أنكم جوعى؟")</f>
        <v>لابد أنكم جوعى؟</v>
      </c>
    </row>
    <row r="7705" ht="15.75" customHeight="1">
      <c r="A7705" s="12" t="s">
        <v>16091</v>
      </c>
      <c r="B7705" s="13" t="s">
        <v>16092</v>
      </c>
      <c r="C7705" s="14" t="s">
        <v>16093</v>
      </c>
      <c r="D7705" s="1" t="str">
        <f>IFERROR(__xludf.DUMMYFUNCTION("GOOGLETRANSLATE(A7705 , ""auto"", ""ar"")"),"بينما كنت أصنع شطيرة ، حصلت على واحدة أيضًا")</f>
        <v>بينما كنت أصنع شطيرة ، حصلت على واحدة أيضًا</v>
      </c>
    </row>
    <row r="7706" ht="15.75" customHeight="1">
      <c r="A7706" s="12" t="s">
        <v>16094</v>
      </c>
      <c r="B7706" s="13" t="s">
        <v>16095</v>
      </c>
      <c r="C7706" s="14" t="s">
        <v>16096</v>
      </c>
      <c r="D7706" s="1" t="str">
        <f>IFERROR(__xludf.DUMMYFUNCTION("GOOGLETRANSLATE(A7706 , ""auto"", ""ar"")"),"جميل منك ان تسأل")</f>
        <v>جميل منك ان تسأل</v>
      </c>
    </row>
    <row r="7707" ht="15.75" customHeight="1">
      <c r="A7707" s="12" t="s">
        <v>16097</v>
      </c>
      <c r="B7707" s="13" t="s">
        <v>16098</v>
      </c>
      <c r="C7707" s="14" t="s">
        <v>16099</v>
      </c>
      <c r="D7707" s="1" t="str">
        <f>IFERROR(__xludf.DUMMYFUNCTION("GOOGLETRANSLATE(A7707 , ""auto"", ""ar"")"),"شكرا على السؤال")</f>
        <v>شكرا على السؤال</v>
      </c>
    </row>
    <row r="7708" ht="15.75" customHeight="1">
      <c r="A7708" s="12" t="s">
        <v>16100</v>
      </c>
      <c r="B7708" s="13" t="s">
        <v>16101</v>
      </c>
      <c r="C7708" s="14" t="s">
        <v>16102</v>
      </c>
      <c r="D7708" s="1" t="str">
        <f>IFERROR(__xludf.DUMMYFUNCTION("GOOGLETRANSLATE(A7708 , ""auto"", ""ar"")"),"هل نلعب الريشة أو التنس؟")</f>
        <v>هل نلعب الريشة أو التنس؟</v>
      </c>
    </row>
    <row r="7709" ht="15.75" customHeight="1">
      <c r="A7709" s="12" t="s">
        <v>16103</v>
      </c>
      <c r="B7709" s="13" t="s">
        <v>16104</v>
      </c>
      <c r="C7709" s="14" t="s">
        <v>16105</v>
      </c>
      <c r="D7709" s="1" t="str">
        <f>IFERROR(__xludf.DUMMYFUNCTION("GOOGLETRANSLATE(A7709 , ""auto"", ""ar"")"),"إنها رياضتي المفضلة")</f>
        <v>إنها رياضتي المفضلة</v>
      </c>
    </row>
    <row r="7710" ht="15.75" customHeight="1">
      <c r="A7710" s="12" t="s">
        <v>16106</v>
      </c>
      <c r="B7710" s="13" t="s">
        <v>16107</v>
      </c>
      <c r="C7710" s="14" t="s">
        <v>16108</v>
      </c>
      <c r="D7710" s="1" t="str">
        <f>IFERROR(__xludf.DUMMYFUNCTION("GOOGLETRANSLATE(A7710 , ""auto"", ""ar"")"),"يبدو أنك جيد")</f>
        <v>يبدو أنك جيد</v>
      </c>
    </row>
    <row r="7711" ht="15.75" customHeight="1">
      <c r="A7711" s="12" t="s">
        <v>16109</v>
      </c>
      <c r="B7711" s="13" t="s">
        <v>16110</v>
      </c>
      <c r="C7711" s="14" t="s">
        <v>16111</v>
      </c>
      <c r="D7711" s="1" t="str">
        <f>IFERROR(__xludf.DUMMYFUNCTION("GOOGLETRANSLATE(A7711 , ""auto"", ""ar"")"),"سأحصل على المضارب")</f>
        <v>سأحصل على المضارب</v>
      </c>
    </row>
    <row r="7712" ht="15.75" customHeight="1">
      <c r="A7712" s="12" t="s">
        <v>16109</v>
      </c>
      <c r="B7712" s="13" t="s">
        <v>16112</v>
      </c>
      <c r="C7712" s="14" t="s">
        <v>16113</v>
      </c>
      <c r="D7712" s="1" t="str">
        <f>IFERROR(__xludf.DUMMYFUNCTION("GOOGLETRANSLATE(A7712 , ""auto"", ""ar"")"),"سأحصل على المضارب")</f>
        <v>سأحصل على المضارب</v>
      </c>
    </row>
    <row r="7713" ht="15.75" customHeight="1">
      <c r="A7713" s="12" t="s">
        <v>16114</v>
      </c>
      <c r="B7713" s="13" t="s">
        <v>16115</v>
      </c>
      <c r="C7713" s="14" t="s">
        <v>16116</v>
      </c>
      <c r="D7713" s="1" t="str">
        <f>IFERROR(__xludf.DUMMYFUNCTION("GOOGLETRANSLATE(A7713 , ""auto"", ""ar"")"),"لقد قضيت يومًا فظيعًا")</f>
        <v>لقد قضيت يومًا فظيعًا</v>
      </c>
    </row>
    <row r="7714" ht="15.75" customHeight="1">
      <c r="A7714" s="12" t="s">
        <v>16117</v>
      </c>
      <c r="B7714" s="13" t="s">
        <v>16118</v>
      </c>
      <c r="C7714" s="14" t="s">
        <v>16119</v>
      </c>
      <c r="D7714" s="1" t="str">
        <f>IFERROR(__xludf.DUMMYFUNCTION("GOOGLETRANSLATE(A7714 , ""auto"", ""ar"")"),"آمل ألا تكون القط موجودًا أو سأركلها")</f>
        <v>آمل ألا تكون القط موجودًا أو سأركلها</v>
      </c>
    </row>
    <row r="7715" ht="15.75" customHeight="1">
      <c r="A7715" s="12" t="s">
        <v>16120</v>
      </c>
      <c r="B7715" s="13" t="s">
        <v>16121</v>
      </c>
      <c r="C7715" s="14" t="s">
        <v>16122</v>
      </c>
      <c r="D7715" s="1" t="str">
        <f>IFERROR(__xludf.DUMMYFUNCTION("GOOGLETRANSLATE(A7715 , ""auto"", ""ar"")"),"فظيع؟")</f>
        <v>فظيع؟</v>
      </c>
    </row>
    <row r="7716" ht="15.75" customHeight="1">
      <c r="A7716" s="12" t="s">
        <v>16123</v>
      </c>
      <c r="B7716" s="13" t="s">
        <v>16124</v>
      </c>
      <c r="C7716" s="14" t="s">
        <v>16125</v>
      </c>
      <c r="D7716" s="1" t="str">
        <f>IFERROR(__xludf.DUMMYFUNCTION("GOOGLETRANSLATE(A7716 , ""auto"", ""ar"")"),"لكن هذا ليس سببًا لإخراجها على قطتنا!")</f>
        <v>لكن هذا ليس سببًا لإخراجها على قطتنا!</v>
      </c>
    </row>
    <row r="7717" ht="15.75" customHeight="1">
      <c r="A7717" s="12" t="s">
        <v>16126</v>
      </c>
      <c r="B7717" s="13" t="s">
        <v>16127</v>
      </c>
      <c r="C7717" s="14" t="s">
        <v>16128</v>
      </c>
      <c r="D7717" s="1" t="str">
        <f>IFERROR(__xludf.DUMMYFUNCTION("GOOGLETRANSLATE(A7717 , ""auto"", ""ar"")"),"أولاً ، تأخر القطار ، لذلك عندما جاء كان ممتلئًا ولم يتبق مقاعد لم يتبق")</f>
        <v>أولاً ، تأخر القطار ، لذلك عندما جاء كان ممتلئًا ولم يتبق مقاعد لم يتبق</v>
      </c>
    </row>
    <row r="7718" ht="15.75" customHeight="1">
      <c r="A7718" s="12" t="s">
        <v>16129</v>
      </c>
      <c r="B7718" s="13" t="s">
        <v>16130</v>
      </c>
      <c r="C7718" s="14" t="s">
        <v>16131</v>
      </c>
      <c r="D7718" s="1" t="str">
        <f>IFERROR(__xludf.DUMMYFUNCTION("GOOGLETRANSLATE(A7718 , ""auto"", ""ar"")"),"ثم عندما اعتذرت عن تأخر ، أدركت أنني تركت أوراقي في المنزل")</f>
        <v>ثم عندما اعتذرت عن تأخر ، أدركت أنني تركت أوراقي في المنزل</v>
      </c>
    </row>
    <row r="7719" ht="15.75" customHeight="1">
      <c r="A7719" s="12" t="s">
        <v>16132</v>
      </c>
      <c r="B7719" s="13" t="s">
        <v>16133</v>
      </c>
      <c r="C7719" s="14" t="s">
        <v>16134</v>
      </c>
      <c r="D7719" s="1" t="str">
        <f>IFERROR(__xludf.DUMMYFUNCTION("GOOGLETRANSLATE(A7719 , ""auto"", ""ar"")"),"إبقاء القط بعيدًا عن الطريق!")</f>
        <v>إبقاء القط بعيدًا عن الطريق!</v>
      </c>
    </row>
    <row r="7720" ht="15.75" customHeight="1">
      <c r="A7720" s="12" t="s">
        <v>16135</v>
      </c>
      <c r="B7720" s="13" t="s">
        <v>16136</v>
      </c>
      <c r="C7720" s="14" t="s">
        <v>16137</v>
      </c>
      <c r="D7720" s="1" t="str">
        <f>IFERROR(__xludf.DUMMYFUNCTION("GOOGLETRANSLATE(A7720 , ""auto"", ""ar"")"),"أرى")</f>
        <v>أرى</v>
      </c>
    </row>
    <row r="7721" ht="15.75" customHeight="1">
      <c r="A7721" s="12" t="s">
        <v>16138</v>
      </c>
      <c r="B7721" s="13" t="s">
        <v>16139</v>
      </c>
      <c r="C7721" s="14" t="s">
        <v>16140</v>
      </c>
      <c r="D7721" s="1" t="str">
        <f>IFERROR(__xludf.DUMMYFUNCTION("GOOGLETRANSLATE(A7721 , ""auto"", ""ar"")"),"ثم أدركت أنني حصلت على نظارتك وليس لي")</f>
        <v>ثم أدركت أنني حصلت على نظارتك وليس لي</v>
      </c>
    </row>
    <row r="7722" ht="15.75" customHeight="1">
      <c r="A7722" s="12" t="s">
        <v>16141</v>
      </c>
      <c r="B7722" s="13" t="s">
        <v>16142</v>
      </c>
      <c r="C7722" s="14" t="s">
        <v>16143</v>
      </c>
      <c r="D7722" s="1" t="str">
        <f>IFERROR(__xludf.DUMMYFUNCTION("GOOGLETRANSLATE(A7722 , ""auto"", ""ar"")"),"آمل ألا تكونوا منزعجين من ذلك")</f>
        <v>آمل ألا تكونوا منزعجين من ذلك</v>
      </c>
    </row>
    <row r="7723" ht="15.75" customHeight="1">
      <c r="A7723" s="12" t="s">
        <v>16144</v>
      </c>
      <c r="B7723" s="13" t="s">
        <v>16145</v>
      </c>
      <c r="C7723" s="14" t="s">
        <v>16146</v>
      </c>
      <c r="D7723" s="1" t="str">
        <f>IFERROR(__xludf.DUMMYFUNCTION("GOOGLETRANSLATE(A7723 , ""auto"", ""ar"")"),"هل تمكنت من المشاركة في الاجتماع على أي حال؟")</f>
        <v>هل تمكنت من المشاركة في الاجتماع على أي حال؟</v>
      </c>
    </row>
    <row r="7724" ht="15.75" customHeight="1">
      <c r="A7724" s="12" t="s">
        <v>16147</v>
      </c>
      <c r="B7724" s="13" t="s">
        <v>16148</v>
      </c>
      <c r="C7724" s="14" t="s">
        <v>16149</v>
      </c>
      <c r="D7724" s="1" t="str">
        <f>IFERROR(__xludf.DUMMYFUNCTION("GOOGLETRANSLATE(A7724 , ""auto"", ""ar"")"),"أوه ، نعم ، رأيت عن النظارات")</f>
        <v>أوه ، نعم ، رأيت عن النظارات</v>
      </c>
    </row>
    <row r="7725" ht="15.75" customHeight="1">
      <c r="A7725" s="12" t="s">
        <v>16150</v>
      </c>
      <c r="B7725" s="13" t="s">
        <v>16151</v>
      </c>
      <c r="C7725" s="14" t="s">
        <v>16152</v>
      </c>
      <c r="D7725" s="1" t="str">
        <f>IFERROR(__xludf.DUMMYFUNCTION("GOOGLETRANSLATE(A7725 , ""auto"", ""ar"")"),"لكن لم يكن علي القيادة")</f>
        <v>لكن لم يكن علي القيادة</v>
      </c>
    </row>
    <row r="7726" ht="15.75" customHeight="1">
      <c r="A7726" s="12" t="s">
        <v>16153</v>
      </c>
      <c r="B7726" s="13" t="s">
        <v>16154</v>
      </c>
      <c r="C7726" s="14" t="s">
        <v>16155</v>
      </c>
      <c r="D7726" s="1" t="str">
        <f>IFERROR(__xludf.DUMMYFUNCTION("GOOGLETRANSLATE(A7726 , ""auto"", ""ar"")"),"لذلك لم يحرجني كثيرًا")</f>
        <v>لذلك لم يحرجني كثيرًا</v>
      </c>
    </row>
    <row r="7727" ht="15.75" customHeight="1">
      <c r="A7727" s="12" t="s">
        <v>16156</v>
      </c>
      <c r="B7727" s="13" t="s">
        <v>16157</v>
      </c>
      <c r="C7727" s="14" t="s">
        <v>16158</v>
      </c>
      <c r="D7727" s="1" t="str">
        <f>IFERROR(__xludf.DUMMYFUNCTION("GOOGLETRANSLATE(A7727 , ""auto"", ""ar"")"),"قال أحدهم إنني كنت أفضل من المعتاد ، لكنني أعتقد أنهم كانوا يسخرون مني فقط")</f>
        <v>قال أحدهم إنني كنت أفضل من المعتاد ، لكنني أعتقد أنهم كانوا يسخرون مني فقط</v>
      </c>
    </row>
    <row r="7728" ht="15.75" customHeight="1">
      <c r="A7728" s="12" t="s">
        <v>16159</v>
      </c>
      <c r="B7728" s="13" t="s">
        <v>16160</v>
      </c>
      <c r="C7728" s="14" t="s">
        <v>16161</v>
      </c>
      <c r="D7728" s="1" t="str">
        <f>IFERROR(__xludf.DUMMYFUNCTION("GOOGLETRANSLATE(A7728 , ""auto"", ""ar"")"),"هل تعتقد أنهم سخروا منك؟")</f>
        <v>هل تعتقد أنهم سخروا منك؟</v>
      </c>
    </row>
    <row r="7729" ht="15.75" customHeight="1">
      <c r="A7729" s="12" t="s">
        <v>16162</v>
      </c>
      <c r="B7729" s="13" t="s">
        <v>16163</v>
      </c>
      <c r="C7729" s="14" t="s">
        <v>16164</v>
      </c>
      <c r="D7729" s="1" t="str">
        <f>IFERROR(__xludf.DUMMYFUNCTION("GOOGLETRANSLATE(A7729 , ""auto"", ""ar"")"),"ليس من المؤكد!")</f>
        <v>ليس من المؤكد!</v>
      </c>
    </row>
    <row r="7730" ht="15.75" customHeight="1">
      <c r="A7730" s="12" t="s">
        <v>16165</v>
      </c>
      <c r="B7730" s="13" t="s">
        <v>16166</v>
      </c>
      <c r="C7730" s="14" t="s">
        <v>16167</v>
      </c>
      <c r="D7730" s="1" t="str">
        <f>IFERROR(__xludf.DUMMYFUNCTION("GOOGLETRANSLATE(A7730 , ""auto"", ""ar"")"),"وكما تعلم جيدًا ، كان عليك أن تكون مثاليًا!")</f>
        <v>وكما تعلم جيدًا ، كان عليك أن تكون مثاليًا!</v>
      </c>
    </row>
    <row r="7731" ht="15.75" customHeight="1">
      <c r="A7731" s="12" t="s">
        <v>16168</v>
      </c>
      <c r="B7731" s="13" t="s">
        <v>16169</v>
      </c>
      <c r="C7731" s="14" t="s">
        <v>16170</v>
      </c>
      <c r="D7731" s="1" t="str">
        <f>IFERROR(__xludf.DUMMYFUNCTION("GOOGLETRANSLATE(A7731 , ""auto"", ""ar"")"),"لا ، ربما أنا فقط بجنون العظمة")</f>
        <v>لا ، ربما أنا فقط بجنون العظمة</v>
      </c>
    </row>
    <row r="7732" ht="15.75" customHeight="1">
      <c r="A7732" s="12" t="s">
        <v>16171</v>
      </c>
      <c r="B7732" s="13" t="s">
        <v>16172</v>
      </c>
      <c r="C7732" s="14" t="s">
        <v>16173</v>
      </c>
      <c r="D7732" s="1" t="str">
        <f>IFERROR(__xludf.DUMMYFUNCTION("GOOGLETRANSLATE(A7732 , ""auto"", ""ar"")"),"ولكن عندما وصلنا إلى رفع مديري ، بدأ يخبرني بهذه القصة")</f>
        <v>ولكن عندما وصلنا إلى رفع مديري ، بدأ يخبرني بهذه القصة</v>
      </c>
    </row>
    <row r="7733" ht="15.75" customHeight="1">
      <c r="A7733" s="12" t="s">
        <v>16174</v>
      </c>
      <c r="B7733" s="13" t="s">
        <v>16175</v>
      </c>
      <c r="C7733" s="14" t="s">
        <v>16176</v>
      </c>
      <c r="D7733" s="1" t="str">
        <f>IFERROR(__xludf.DUMMYFUNCTION("GOOGLETRANSLATE(A7733 , ""auto"", ""ar"")"),"ثم انهار المصعد بين الطوابق")</f>
        <v>ثم انهار المصعد بين الطوابق</v>
      </c>
    </row>
    <row r="7734" ht="15.75" customHeight="1">
      <c r="A7734" s="12" t="s">
        <v>16177</v>
      </c>
      <c r="B7734" s="13" t="s">
        <v>16178</v>
      </c>
      <c r="C7734" s="14" t="s">
        <v>16179</v>
      </c>
      <c r="D7734" s="1" t="str">
        <f>IFERROR(__xludf.DUMMYFUNCTION("GOOGLETRANSLATE(A7734 , ""auto"", ""ar"")"),"ثم انهار المصعد بين الطوابق")</f>
        <v>ثم انهار المصعد بين الطوابق</v>
      </c>
    </row>
    <row r="7735" ht="15.75" customHeight="1">
      <c r="A7735" s="12" t="s">
        <v>16180</v>
      </c>
      <c r="B7735" s="13" t="s">
        <v>16181</v>
      </c>
      <c r="C7735" s="14" t="s">
        <v>16182</v>
      </c>
      <c r="D7735" s="1" t="str">
        <f>IFERROR(__xludf.DUMMYFUNCTION("GOOGLETRANSLATE(A7735 , ""auto"", ""ar"")"),"كنت عالقًا في المصعد مع مديري!")</f>
        <v>كنت عالقًا في المصعد مع مديري!</v>
      </c>
    </row>
    <row r="7736" ht="15.75" customHeight="1">
      <c r="A7736" s="12" t="s">
        <v>16183</v>
      </c>
      <c r="B7736" s="13" t="s">
        <v>16184</v>
      </c>
      <c r="C7736" s="14" t="s">
        <v>16185</v>
      </c>
      <c r="D7736" s="1" t="str">
        <f>IFERROR(__xludf.DUMMYFUNCTION("GOOGLETRANSLATE(A7736 , ""auto"", ""ar"")"),"الآن أنت تسخر مني")</f>
        <v>الآن أنت تسخر مني</v>
      </c>
    </row>
    <row r="7737" ht="15.75" customHeight="1">
      <c r="A7737" s="12" t="s">
        <v>16186</v>
      </c>
      <c r="B7737" s="13" t="s">
        <v>16187</v>
      </c>
      <c r="C7737" s="14" t="s">
        <v>16188</v>
      </c>
      <c r="D7737" s="1" t="str">
        <f>IFERROR(__xludf.DUMMYFUNCTION("GOOGLETRANSLATE(A7737 , ""auto"", ""ar"")"),"حسنًا ، أعتقد أنك مررت بيوم سيء حقًا ، وأنت في الغالب في مزاج سيء")</f>
        <v>حسنًا ، أعتقد أنك مررت بيوم سيء حقًا ، وأنت في الغالب في مزاج سيء</v>
      </c>
    </row>
    <row r="7738" ht="15.75" customHeight="1">
      <c r="A7738" s="12" t="s">
        <v>16189</v>
      </c>
      <c r="B7738" s="13" t="s">
        <v>16190</v>
      </c>
      <c r="C7738" s="14" t="s">
        <v>16191</v>
      </c>
      <c r="D7738" s="1" t="str">
        <f>IFERROR(__xludf.DUMMYFUNCTION("GOOGLETRANSLATE(A7738 , ""auto"", ""ar"")"),"في حين تم إيقاف المصعد ، قال إنه يجب علينا استخدام الوقت في إجراء تقييمي!")</f>
        <v>في حين تم إيقاف المصعد ، قال إنه يجب علينا استخدام الوقت في إجراء تقييمي!</v>
      </c>
    </row>
    <row r="7739" ht="15.75" customHeight="1">
      <c r="A7739" s="12" t="s">
        <v>16192</v>
      </c>
      <c r="B7739" s="13" t="s">
        <v>16193</v>
      </c>
      <c r="C7739" s="14" t="s">
        <v>16194</v>
      </c>
      <c r="D7739" s="1" t="str">
        <f>IFERROR(__xludf.DUMMYFUNCTION("GOOGLETRANSLATE(A7739 , ""auto"", ""ar"")"),"أنا دائما في مزاج سيء")</f>
        <v>أنا دائما في مزاج سيء</v>
      </c>
    </row>
    <row r="7740" ht="15.75" customHeight="1">
      <c r="A7740" s="12" t="s">
        <v>16192</v>
      </c>
      <c r="B7740" s="13" t="s">
        <v>16195</v>
      </c>
      <c r="C7740" s="14" t="s">
        <v>16196</v>
      </c>
      <c r="D7740" s="1" t="str">
        <f>IFERROR(__xludf.DUMMYFUNCTION("GOOGLETRANSLATE(A7740 , ""auto"", ""ar"")"),"أنا دائما في مزاج سيء")</f>
        <v>أنا دائما في مزاج سيء</v>
      </c>
    </row>
    <row r="7741" ht="15.75" customHeight="1">
      <c r="A7741" s="12" t="s">
        <v>16197</v>
      </c>
      <c r="B7741" s="13" t="s">
        <v>16198</v>
      </c>
      <c r="C7741" s="14" t="s">
        <v>16199</v>
      </c>
      <c r="D7741" s="1" t="str">
        <f>IFERROR(__xludf.DUMMYFUNCTION("GOOGLETRANSLATE(A7741 , ""auto"", ""ar"")"),"آسف ، لم أسأل كيف كان يومك؟")</f>
        <v>آسف ، لم أسأل كيف كان يومك؟</v>
      </c>
    </row>
    <row r="7742" ht="15.75" customHeight="1">
      <c r="A7742" s="12" t="s">
        <v>16200</v>
      </c>
      <c r="B7742" s="13" t="s">
        <v>16201</v>
      </c>
      <c r="C7742" s="14" t="s">
        <v>16202</v>
      </c>
      <c r="D7742" s="1" t="str">
        <f>IFERROR(__xludf.DUMMYFUNCTION("GOOGLETRANSLATE(A7742 , ""auto"", ""ar"")"),"أنت لست دائمًا في مزاج سيء")</f>
        <v>أنت لست دائمًا في مزاج سيء</v>
      </c>
    </row>
    <row r="7743" ht="15.75" customHeight="1">
      <c r="A7743" s="12" t="s">
        <v>16203</v>
      </c>
      <c r="B7743" s="13" t="s">
        <v>16204</v>
      </c>
      <c r="C7743" s="14" t="s">
        <v>16205</v>
      </c>
      <c r="D7743" s="1" t="str">
        <f>IFERROR(__xludf.DUMMYFUNCTION("GOOGLETRANSLATE(A7743 , ""auto"", ""ar"")"),"لكن الليلة ، أنت بالتأكيد!")</f>
        <v>لكن الليلة ، أنت بالتأكيد!</v>
      </c>
    </row>
    <row r="7744" ht="15.75" customHeight="1">
      <c r="A7744" s="12" t="s">
        <v>16206</v>
      </c>
      <c r="B7744" s="13" t="s">
        <v>16207</v>
      </c>
      <c r="C7744" s="14" t="s">
        <v>16208</v>
      </c>
      <c r="D7744" s="1" t="str">
        <f>IFERROR(__xludf.DUMMYFUNCTION("GOOGLETRANSLATE(A7744 , ""auto"", ""ar"")"),"في نفس الوقت")</f>
        <v>في نفس الوقت</v>
      </c>
    </row>
    <row r="7745" ht="15.75" customHeight="1">
      <c r="A7745" s="12" t="s">
        <v>16209</v>
      </c>
      <c r="B7745" s="13" t="s">
        <v>16210</v>
      </c>
      <c r="C7745" s="14" t="s">
        <v>16211</v>
      </c>
      <c r="D7745" s="1" t="str">
        <f>IFERROR(__xludf.DUMMYFUNCTION("GOOGLETRANSLATE(A7745 , ""auto"", ""ar"")"),"بعد اليوم الذي مررت فيه ، هذا منطقي")</f>
        <v>بعد اليوم الذي مررت فيه ، هذا منطقي</v>
      </c>
    </row>
    <row r="7746" ht="15.75" customHeight="1">
      <c r="A7746" s="12" t="s">
        <v>16212</v>
      </c>
      <c r="B7746" s="13" t="s">
        <v>16213</v>
      </c>
      <c r="C7746" s="14" t="s">
        <v>16214</v>
      </c>
      <c r="D7746" s="1" t="str">
        <f>IFERROR(__xludf.DUMMYFUNCTION("GOOGLETRANSLATE(A7746 , ""auto"", ""ar"")"),"كان لدي يوم جيد")</f>
        <v>كان لدي يوم جيد</v>
      </c>
    </row>
    <row r="7747" ht="15.75" customHeight="1">
      <c r="A7747" s="12" t="s">
        <v>16212</v>
      </c>
      <c r="B7747" s="13" t="s">
        <v>16215</v>
      </c>
      <c r="C7747" s="14" t="s">
        <v>16216</v>
      </c>
      <c r="D7747" s="1" t="str">
        <f>IFERROR(__xludf.DUMMYFUNCTION("GOOGLETRANSLATE(A7747 , ""auto"", ""ar"")"),"كان لدي يوم جيد")</f>
        <v>كان لدي يوم جيد</v>
      </c>
    </row>
    <row r="7748" ht="15.75" customHeight="1">
      <c r="A7748" s="12" t="s">
        <v>16217</v>
      </c>
      <c r="B7748" s="13" t="s">
        <v>16218</v>
      </c>
      <c r="C7748" s="14" t="s">
        <v>16219</v>
      </c>
      <c r="D7748" s="1" t="str">
        <f>IFERROR(__xludf.DUMMYFUNCTION("GOOGLETRANSLATE(A7748 , ""auto"", ""ar"")"),"ربما هذا هو السبب في أنني أرى الأشياء أكثر هدوءًا")</f>
        <v>ربما هذا هو السبب في أنني أرى الأشياء أكثر هدوءًا</v>
      </c>
    </row>
    <row r="7749" ht="15.75" customHeight="1">
      <c r="A7749" s="12" t="s">
        <v>16220</v>
      </c>
      <c r="B7749" s="13" t="s">
        <v>16221</v>
      </c>
      <c r="C7749" s="14" t="s">
        <v>16222</v>
      </c>
      <c r="D7749" s="1" t="str">
        <f>IFERROR(__xludf.DUMMYFUNCTION("GOOGLETRANSLATE(A7749 , ""auto"", ""ar"")"),"سأذهب لأسفل لتهدئة بعض الشيء ، لكني أرى أن القطة على الدرج")</f>
        <v>سأذهب لأسفل لتهدئة بعض الشيء ، لكني أرى أن القطة على الدرج</v>
      </c>
    </row>
    <row r="7750" ht="15.75" customHeight="1">
      <c r="A7750" s="12" t="s">
        <v>16223</v>
      </c>
      <c r="B7750" s="13" t="s">
        <v>16224</v>
      </c>
      <c r="C7750" s="14" t="s">
        <v>16225</v>
      </c>
      <c r="D7750" s="1" t="str">
        <f>IFERROR(__xludf.DUMMYFUNCTION("GOOGLETRANSLATE(A7750 , ""auto"", ""ar"")"),"هل تركت أي نبيذ أو هل انتهيت من الزجاجة؟")</f>
        <v>هل تركت أي نبيذ أو هل انتهيت من الزجاجة؟</v>
      </c>
    </row>
    <row r="7751" ht="15.75" customHeight="1">
      <c r="A7751" s="12" t="s">
        <v>16226</v>
      </c>
      <c r="B7751" s="13" t="s">
        <v>16227</v>
      </c>
      <c r="C7751" s="14" t="s">
        <v>16228</v>
      </c>
      <c r="D7751" s="1" t="str">
        <f>IFERROR(__xludf.DUMMYFUNCTION("GOOGLETRANSLATE(A7751 , ""auto"", ""ar"")"),"اترك تلك القطة الفقيرة وحدها")</f>
        <v>اترك تلك القطة الفقيرة وحدها</v>
      </c>
    </row>
    <row r="7752" ht="15.75" customHeight="1">
      <c r="A7752" s="12" t="s">
        <v>16226</v>
      </c>
      <c r="B7752" s="13" t="s">
        <v>16229</v>
      </c>
      <c r="C7752" s="14" t="s">
        <v>16230</v>
      </c>
      <c r="D7752" s="1" t="str">
        <f>IFERROR(__xludf.DUMMYFUNCTION("GOOGLETRANSLATE(A7752 , ""auto"", ""ar"")"),"اترك تلك القطة الفقيرة وحدها")</f>
        <v>اترك تلك القطة الفقيرة وحدها</v>
      </c>
    </row>
    <row r="7753" ht="15.75" customHeight="1">
      <c r="A7753" s="12" t="s">
        <v>16231</v>
      </c>
      <c r="B7753" s="13" t="s">
        <v>16232</v>
      </c>
      <c r="C7753" s="14" t="s">
        <v>16233</v>
      </c>
      <c r="D7753" s="1" t="str">
        <f>IFERROR(__xludf.DUMMYFUNCTION("GOOGLETRANSLATE(A7753 , ""auto"", ""ar"")"),"خذ كوبًا من النبيذ")</f>
        <v>خذ كوبًا من النبيذ</v>
      </c>
    </row>
    <row r="7754" ht="15.75" customHeight="1">
      <c r="A7754" s="12" t="s">
        <v>16234</v>
      </c>
      <c r="B7754" s="13" t="s">
        <v>16235</v>
      </c>
      <c r="C7754" s="14" t="s">
        <v>16236</v>
      </c>
      <c r="D7754" s="1" t="str">
        <f>IFERROR(__xludf.DUMMYFUNCTION("GOOGLETRANSLATE(A7754 , ""auto"", ""ar"")"),"شكرًا ، سيكون لدي كوب كبير وأحاول أن أنسى اليوم")</f>
        <v>شكرًا ، سيكون لدي كوب كبير وأحاول أن أنسى اليوم</v>
      </c>
    </row>
    <row r="7755" ht="15.75" customHeight="1">
      <c r="A7755" s="12" t="s">
        <v>16237</v>
      </c>
      <c r="B7755" s="13" t="s">
        <v>16238</v>
      </c>
      <c r="C7755" s="14" t="s">
        <v>16239</v>
      </c>
      <c r="D7755" s="1" t="str">
        <f>IFERROR(__xludf.DUMMYFUNCTION("GOOGLETRANSLATE(A7755 , ""auto"", ""ar"")"),"ماذا سأفعل بدون أذن متعاطفة عندما أصل إلى المنزل")</f>
        <v>ماذا سأفعل بدون أذن متعاطفة عندما أصل إلى المنزل</v>
      </c>
    </row>
    <row r="7756" ht="15.75" customHeight="1">
      <c r="A7756" s="12" t="s">
        <v>16240</v>
      </c>
      <c r="B7756" s="13" t="s">
        <v>16241</v>
      </c>
      <c r="C7756" s="14" t="s">
        <v>16242</v>
      </c>
      <c r="D7756" s="1" t="str">
        <f>IFERROR(__xludf.DUMMYFUNCTION("GOOGLETRANSLATE(A7756 , ""auto"", ""ar"")"),"مرحبًا ، هذه هي المرة الأولى التي أطير فيها ويجب أن أعترف أنني متوترة بعض الشيء")</f>
        <v>مرحبًا ، هذه هي المرة الأولى التي أطير فيها ويجب أن أعترف أنني متوترة بعض الشيء</v>
      </c>
    </row>
    <row r="7757" ht="15.75" customHeight="1">
      <c r="A7757" s="12" t="s">
        <v>16243</v>
      </c>
      <c r="B7757" s="13" t="s">
        <v>16244</v>
      </c>
      <c r="C7757" s="14" t="s">
        <v>16245</v>
      </c>
      <c r="D7757" s="1" t="str">
        <f>IFERROR(__xludf.DUMMYFUNCTION("GOOGLETRANSLATE(A7757 , ""auto"", ""ar"")"),"هل سافرت من قبل؟")</f>
        <v>هل سافرت من قبل؟</v>
      </c>
    </row>
    <row r="7758" ht="15.75" customHeight="1">
      <c r="A7758" s="12" t="s">
        <v>8084</v>
      </c>
      <c r="B7758" s="13" t="s">
        <v>11786</v>
      </c>
      <c r="C7758" s="14" t="s">
        <v>11787</v>
      </c>
      <c r="D7758" s="1" t="str">
        <f>IFERROR(__xludf.DUMMYFUNCTION("GOOGLETRANSLATE(A7758 , ""auto"", ""ar"")"),"نعم")</f>
        <v>نعم</v>
      </c>
    </row>
    <row r="7759" ht="15.75" customHeight="1">
      <c r="A7759" s="12" t="s">
        <v>16246</v>
      </c>
      <c r="B7759" s="13" t="s">
        <v>16247</v>
      </c>
      <c r="C7759" s="14" t="s">
        <v>16248</v>
      </c>
      <c r="D7759" s="1" t="str">
        <f>IFERROR(__xludf.DUMMYFUNCTION("GOOGLETRANSLATE(A7759 , ""auto"", ""ar"")"),"أنا أعتبر في كثير من الأحيان!")</f>
        <v>أنا أعتبر في كثير من الأحيان!</v>
      </c>
    </row>
    <row r="7760" ht="15.75" customHeight="1">
      <c r="A7760" s="12" t="s">
        <v>16249</v>
      </c>
      <c r="B7760" s="13" t="s">
        <v>16250</v>
      </c>
      <c r="C7760" s="14" t="s">
        <v>16251</v>
      </c>
      <c r="D7760" s="1" t="str">
        <f>IFERROR(__xludf.DUMMYFUNCTION("GOOGLETRANSLATE(A7760 , ""auto"", ""ar"")"),"تقريبا كل أسبوع لعملي")</f>
        <v>تقريبا كل أسبوع لعملي</v>
      </c>
    </row>
    <row r="7761" ht="15.75" customHeight="1">
      <c r="A7761" s="12" t="s">
        <v>16252</v>
      </c>
      <c r="B7761" s="13" t="s">
        <v>16253</v>
      </c>
      <c r="C7761" s="14" t="s">
        <v>16254</v>
      </c>
      <c r="D7761" s="1" t="str">
        <f>IFERROR(__xludf.DUMMYFUNCTION("GOOGLETRANSLATE(A7761 , ""auto"", ""ar"")"),"سترى ، الرحلة ستسير على ما يرام ، أنا متأكد!")</f>
        <v>سترى ، الرحلة ستسير على ما يرام ، أنا متأكد!</v>
      </c>
    </row>
    <row r="7762" ht="15.75" customHeight="1">
      <c r="A7762" s="12" t="s">
        <v>16255</v>
      </c>
      <c r="B7762" s="13" t="s">
        <v>16256</v>
      </c>
      <c r="C7762" s="14" t="s">
        <v>16257</v>
      </c>
      <c r="D7762" s="1" t="str">
        <f>IFERROR(__xludf.DUMMYFUNCTION("GOOGLETRANSLATE(A7762 , ""auto"", ""ar"")"),"أنا خائف جدا في الواقع")</f>
        <v>أنا خائف جدا في الواقع</v>
      </c>
    </row>
    <row r="7763" ht="15.75" customHeight="1">
      <c r="A7763" s="12" t="s">
        <v>16258</v>
      </c>
      <c r="B7763" s="13" t="s">
        <v>16259</v>
      </c>
      <c r="C7763" s="14" t="s">
        <v>16260</v>
      </c>
      <c r="D7763" s="1" t="str">
        <f>IFERROR(__xludf.DUMMYFUNCTION("GOOGLETRANSLATE(A7763 , ""auto"", ""ar"")"),"ما هي هذه الضوضاء والهز الغريبة؟")</f>
        <v>ما هي هذه الضوضاء والهز الغريبة؟</v>
      </c>
    </row>
    <row r="7764" ht="15.75" customHeight="1">
      <c r="A7764" s="12" t="s">
        <v>16261</v>
      </c>
      <c r="B7764" s="13" t="s">
        <v>16262</v>
      </c>
      <c r="C7764" s="14" t="s">
        <v>16263</v>
      </c>
      <c r="D7764" s="1" t="str">
        <f>IFERROR(__xludf.DUMMYFUNCTION("GOOGLETRANSLATE(A7764 , ""auto"", ""ar"")"),"إنه طبيعي تمامًا")</f>
        <v>إنه طبيعي تمامًا</v>
      </c>
    </row>
    <row r="7765" ht="15.75" customHeight="1">
      <c r="A7765" s="12" t="s">
        <v>16264</v>
      </c>
      <c r="B7765" s="13" t="s">
        <v>16265</v>
      </c>
      <c r="C7765" s="14" t="s">
        <v>16266</v>
      </c>
      <c r="D7765" s="1" t="str">
        <f>IFERROR(__xludf.DUMMYFUNCTION("GOOGLETRANSLATE(A7765 , ""auto"", ""ar"")"),"كنت خائفًا جدًا أيضًا ، عندما بدأت في الوصول إلى الطائرة قبل عشر سنوات")</f>
        <v>كنت خائفًا جدًا أيضًا ، عندما بدأت في الوصول إلى الطائرة قبل عشر سنوات</v>
      </c>
    </row>
    <row r="7766" ht="15.75" customHeight="1">
      <c r="A7766" s="12" t="s">
        <v>16267</v>
      </c>
      <c r="B7766" s="13" t="s">
        <v>16268</v>
      </c>
      <c r="C7766" s="14" t="s">
        <v>16269</v>
      </c>
      <c r="D7766" s="1" t="str">
        <f>IFERROR(__xludf.DUMMYFUNCTION("GOOGLETRANSLATE(A7766 , ""auto"", ""ar"")"),"وقد تدربت حتى على تعلم كيفية عدم الخوف من الطيران!")</f>
        <v>وقد تدربت حتى على تعلم كيفية عدم الخوف من الطيران!</v>
      </c>
    </row>
    <row r="7767" ht="15.75" customHeight="1">
      <c r="A7767" s="12" t="s">
        <v>16270</v>
      </c>
      <c r="B7767" s="13" t="s">
        <v>16271</v>
      </c>
      <c r="C7767" s="14" t="s">
        <v>16272</v>
      </c>
      <c r="D7767" s="1" t="str">
        <f>IFERROR(__xludf.DUMMYFUNCTION("GOOGLETRANSLATE(A7767 , ""auto"", ""ar"")"),"هذا مطمئن")</f>
        <v>هذا مطمئن</v>
      </c>
    </row>
    <row r="7768" ht="15.75" customHeight="1">
      <c r="A7768" s="12" t="s">
        <v>16273</v>
      </c>
      <c r="B7768" s="13" t="s">
        <v>16274</v>
      </c>
      <c r="C7768" s="14" t="s">
        <v>16275</v>
      </c>
      <c r="D7768" s="1" t="str">
        <f>IFERROR(__xludf.DUMMYFUNCTION("GOOGLETRANSLATE(A7768 , ""auto"", ""ar"")"),"ربما يجب أن أطلب مشروبًا")</f>
        <v>ربما يجب أن أطلب مشروبًا</v>
      </c>
    </row>
    <row r="7769" ht="15.75" customHeight="1">
      <c r="A7769" s="12" t="s">
        <v>16276</v>
      </c>
      <c r="B7769" s="13" t="s">
        <v>16277</v>
      </c>
      <c r="C7769" s="14" t="s">
        <v>16278</v>
      </c>
      <c r="D7769" s="1" t="str">
        <f>IFERROR(__xludf.DUMMYFUNCTION("GOOGLETRANSLATE(A7769 , ""auto"", ""ar"")"),"هل تريد واحد؟")</f>
        <v>هل تريد واحد؟</v>
      </c>
    </row>
    <row r="7770" ht="15.75" customHeight="1">
      <c r="A7770" s="12" t="s">
        <v>16279</v>
      </c>
      <c r="B7770" s="13" t="s">
        <v>16280</v>
      </c>
      <c r="C7770" s="14" t="s">
        <v>16281</v>
      </c>
      <c r="D7770" s="1" t="str">
        <f>IFERROR(__xludf.DUMMYFUNCTION("GOOGLETRANSLATE(A7770 , ""auto"", ""ar"")"),"إنها فكرة جيدة للاسترخاء!")</f>
        <v>إنها فكرة جيدة للاسترخاء!</v>
      </c>
    </row>
    <row r="7771" ht="15.75" customHeight="1">
      <c r="A7771" s="12" t="s">
        <v>16282</v>
      </c>
      <c r="B7771" s="13" t="s">
        <v>16283</v>
      </c>
      <c r="C7771" s="14" t="s">
        <v>16284</v>
      </c>
      <c r="D7771" s="1" t="str">
        <f>IFERROR(__xludf.DUMMYFUNCTION("GOOGLETRANSLATE(A7771 , ""auto"", ""ar"")"),"لكن سآخذ قهوة بدلاً من ذلك")</f>
        <v>لكن سآخذ قهوة بدلاً من ذلك</v>
      </c>
    </row>
    <row r="7772" ht="15.75" customHeight="1">
      <c r="A7772" s="12" t="s">
        <v>16285</v>
      </c>
      <c r="B7772" s="13" t="s">
        <v>16286</v>
      </c>
      <c r="C7772" s="14" t="s">
        <v>16287</v>
      </c>
      <c r="D7772" s="1" t="str">
        <f>IFERROR(__xludf.DUMMYFUNCTION("GOOGLETRANSLATE(A7772 , ""auto"", ""ar"")"),"استيقظت في وقت مبكر قليلاً للوصول إلى الطائرة")</f>
        <v>استيقظت في وقت مبكر قليلاً للوصول إلى الطائرة</v>
      </c>
    </row>
    <row r="7773" ht="15.75" customHeight="1">
      <c r="A7773" s="12" t="s">
        <v>16288</v>
      </c>
      <c r="B7773" s="13" t="s">
        <v>16289</v>
      </c>
      <c r="C7773" s="14" t="s">
        <v>16290</v>
      </c>
      <c r="D7773" s="1" t="str">
        <f>IFERROR(__xludf.DUMMYFUNCTION("GOOGLETRANSLATE(A7773 , ""auto"", ""ar"")"),"أحتاج إلى تلك القهوة لإيقاظي قليلاً!")</f>
        <v>أحتاج إلى تلك القهوة لإيقاظي قليلاً!</v>
      </c>
    </row>
    <row r="7774" ht="15.75" customHeight="1">
      <c r="A7774" s="12" t="s">
        <v>16291</v>
      </c>
      <c r="B7774" s="13" t="s">
        <v>16292</v>
      </c>
      <c r="C7774" s="14" t="s">
        <v>16293</v>
      </c>
      <c r="D7774" s="1" t="str">
        <f>IFERROR(__xludf.DUMMYFUNCTION("GOOGLETRANSLATE(A7774 , ""auto"", ""ar"")"),"سوف أمسك المضيفة عندما تمر")</f>
        <v>سوف أمسك المضيفة عندما تمر</v>
      </c>
    </row>
    <row r="7775" ht="15.75" customHeight="1">
      <c r="A7775" s="12" t="s">
        <v>16294</v>
      </c>
      <c r="B7775" s="13" t="s">
        <v>16295</v>
      </c>
      <c r="C7775" s="14" t="s">
        <v>16296</v>
      </c>
      <c r="D7775" s="1" t="str">
        <f>IFERROR(__xludf.DUMMYFUNCTION("GOOGLETRANSLATE(A7775 , ""auto"", ""ar"")"),"هل ترغب في تناول أي شيء مع قهوتك؟")</f>
        <v>هل ترغب في تناول أي شيء مع قهوتك؟</v>
      </c>
    </row>
    <row r="7776" ht="15.75" customHeight="1">
      <c r="A7776" s="12" t="s">
        <v>16297</v>
      </c>
      <c r="B7776" s="13" t="s">
        <v>16298</v>
      </c>
      <c r="C7776" s="14" t="s">
        <v>16299</v>
      </c>
      <c r="D7776" s="1" t="str">
        <f>IFERROR(__xludf.DUMMYFUNCTION("GOOGLETRANSLATE(A7776 , ""auto"", ""ar"")"),"يمكنني أن آكل كرواسون مع القهوة")</f>
        <v>يمكنني أن آكل كرواسون مع القهوة</v>
      </c>
    </row>
    <row r="7777" ht="15.75" customHeight="1">
      <c r="A7777" s="12" t="s">
        <v>16300</v>
      </c>
      <c r="B7777" s="13" t="s">
        <v>16301</v>
      </c>
      <c r="C7777" s="14" t="s">
        <v>16302</v>
      </c>
      <c r="D7777" s="1" t="str">
        <f>IFERROR(__xludf.DUMMYFUNCTION("GOOGLETRANSLATE(A7777 , ""auto"", ""ar"")"),"فكرة جيدة ، سأحصل على واحدة أيضًا")</f>
        <v>فكرة جيدة ، سأحصل على واحدة أيضًا</v>
      </c>
    </row>
    <row r="7778" ht="15.75" customHeight="1">
      <c r="A7778" s="12" t="s">
        <v>16303</v>
      </c>
      <c r="B7778" s="13" t="s">
        <v>16304</v>
      </c>
      <c r="C7778" s="14" t="s">
        <v>16305</v>
      </c>
      <c r="D7778" s="1" t="str">
        <f>IFERROR(__xludf.DUMMYFUNCTION("GOOGLETRANSLATE(A7778 , ""auto"", ""ar"")"),"عادة ما أتناول كرواسون فقط في المناسبات الخاصة")</f>
        <v>عادة ما أتناول كرواسون فقط في المناسبات الخاصة</v>
      </c>
    </row>
    <row r="7779" ht="15.75" customHeight="1">
      <c r="A7779" s="12" t="s">
        <v>16306</v>
      </c>
      <c r="B7779" s="13" t="s">
        <v>16307</v>
      </c>
      <c r="C7779" s="14" t="s">
        <v>16308</v>
      </c>
      <c r="D7779" s="1" t="str">
        <f>IFERROR(__xludf.DUMMYFUNCTION("GOOGLETRANSLATE(A7779 , ""auto"", ""ar"")"),"أنا أكثر شوكولاتة")</f>
        <v>أنا أكثر شوكولاتة</v>
      </c>
    </row>
    <row r="7780" ht="15.75" customHeight="1">
      <c r="A7780" s="12" t="s">
        <v>16309</v>
      </c>
      <c r="B7780" s="13" t="s">
        <v>16310</v>
      </c>
      <c r="C7780" s="14" t="s">
        <v>16311</v>
      </c>
      <c r="D7780" s="1" t="str">
        <f>IFERROR(__xludf.DUMMYFUNCTION("GOOGLETRANSLATE(A7780 , ""auto"", ""ar"")"),"الطيران لأول مرة هو مناسبة خاصة")</f>
        <v>الطيران لأول مرة هو مناسبة خاصة</v>
      </c>
    </row>
    <row r="7781" ht="15.75" customHeight="1">
      <c r="A7781" s="12" t="s">
        <v>16312</v>
      </c>
      <c r="B7781" s="13" t="s">
        <v>16313</v>
      </c>
      <c r="C7781" s="14" t="s">
        <v>16314</v>
      </c>
      <c r="D7781" s="1" t="str">
        <f>IFERROR(__xludf.DUMMYFUNCTION("GOOGLETRANSLATE(A7781 , ""auto"", ""ar"")"),"أوه واو!")</f>
        <v>أوه واو!</v>
      </c>
    </row>
    <row r="7782" ht="15.75" customHeight="1">
      <c r="A7782" s="12" t="s">
        <v>16315</v>
      </c>
      <c r="B7782" s="13" t="s">
        <v>16316</v>
      </c>
      <c r="C7782" s="14" t="s">
        <v>16317</v>
      </c>
      <c r="D7782" s="1" t="str">
        <f>IFERROR(__xludf.DUMMYFUNCTION("GOOGLETRANSLATE(A7782 , ""auto"", ""ar"")"),"يا لها من وظيفة أحلام")</f>
        <v>يا لها من وظيفة أحلام</v>
      </c>
    </row>
    <row r="7783" ht="15.75" customHeight="1">
      <c r="A7783" s="12" t="s">
        <v>16318</v>
      </c>
      <c r="B7783" s="13" t="s">
        <v>16319</v>
      </c>
      <c r="C7783" s="14" t="s">
        <v>16320</v>
      </c>
      <c r="D7783" s="1" t="str">
        <f>IFERROR(__xludf.DUMMYFUNCTION("GOOGLETRANSLATE(A7783 , ""auto"", ""ar"")"),"لكن بما أنني جشع قليلاً ، فإنني أميل إلى تناول الكرواسان كثيرًا!")</f>
        <v>لكن بما أنني جشع قليلاً ، فإنني أميل إلى تناول الكرواسان كثيرًا!</v>
      </c>
    </row>
    <row r="7784" ht="15.75" customHeight="1">
      <c r="A7784" s="12" t="s">
        <v>16321</v>
      </c>
      <c r="B7784" s="13" t="s">
        <v>16322</v>
      </c>
      <c r="C7784" s="14" t="s">
        <v>16323</v>
      </c>
      <c r="D7784" s="1" t="str">
        <f>IFERROR(__xludf.DUMMYFUNCTION("GOOGLETRANSLATE(A7784 , ""auto"", ""ar"")"),"نعم ، إنها وظيفة رائعة!")</f>
        <v>نعم ، إنها وظيفة رائعة!</v>
      </c>
    </row>
    <row r="7785" ht="15.75" customHeight="1">
      <c r="A7785" s="12" t="s">
        <v>16324</v>
      </c>
      <c r="B7785" s="13" t="s">
        <v>16325</v>
      </c>
      <c r="C7785" s="14" t="s">
        <v>16326</v>
      </c>
      <c r="D7785" s="1" t="str">
        <f>IFERROR(__xludf.DUMMYFUNCTION("GOOGLETRANSLATE(A7785 , ""auto"", ""ar"")"),"ما هي شركة الشوكولاتة التي تعمل من أجلها؟")</f>
        <v>ما هي شركة الشوكولاتة التي تعمل من أجلها؟</v>
      </c>
    </row>
    <row r="7786" ht="15.75" customHeight="1">
      <c r="A7786" s="12" t="s">
        <v>16327</v>
      </c>
      <c r="B7786" s="13" t="s">
        <v>16328</v>
      </c>
      <c r="C7786" s="14" t="s">
        <v>16329</v>
      </c>
      <c r="D7786" s="1" t="str">
        <f>IFERROR(__xludf.DUMMYFUNCTION("GOOGLETRANSLATE(A7786 , ""auto"", ""ar"")"),"أنا مقاول السيارات ، وأنا أعمل على حسابي.")</f>
        <v>أنا مقاول السيارات ، وأنا أعمل على حسابي.</v>
      </c>
    </row>
    <row r="7787" ht="15.75" customHeight="1">
      <c r="A7787" s="12" t="s">
        <v>16330</v>
      </c>
      <c r="B7787" s="13" t="s">
        <v>16331</v>
      </c>
      <c r="C7787" s="14" t="s">
        <v>16332</v>
      </c>
      <c r="D7787" s="1" t="str">
        <f>IFERROR(__xludf.DUMMYFUNCTION("GOOGLETRANSLATE(A7787 , ""auto"", ""ar"")"),"لست متأكدًا مما يعنيه ذلك ، لكنك بالتأكيد شخص ما تبقى على اتصال معه !!")</f>
        <v>لست متأكدًا مما يعنيه ذلك ، لكنك بالتأكيد شخص ما تبقى على اتصال معه !!</v>
      </c>
    </row>
    <row r="7788" ht="15.75" customHeight="1">
      <c r="A7788" s="12" t="s">
        <v>16333</v>
      </c>
      <c r="B7788" s="13" t="s">
        <v>16334</v>
      </c>
      <c r="C7788" s="14" t="s">
        <v>16335</v>
      </c>
      <c r="D7788" s="1" t="str">
        <f>IFERROR(__xludf.DUMMYFUNCTION("GOOGLETRANSLATE(A7788 , ""auto"", ""ar"")"),"أعشق الشوكولاتة")</f>
        <v>أعشق الشوكولاتة</v>
      </c>
    </row>
    <row r="7789" ht="15.75" customHeight="1">
      <c r="A7789" s="12" t="s">
        <v>16336</v>
      </c>
      <c r="B7789" s="13" t="s">
        <v>16337</v>
      </c>
      <c r="C7789" s="14" t="s">
        <v>16338</v>
      </c>
      <c r="D7789" s="1" t="str">
        <f>IFERROR(__xludf.DUMMYFUNCTION("GOOGLETRANSLATE(A7789 , ""auto"", ""ar"")"),"آه ، وصل ثمانية")</f>
        <v>آه ، وصل ثمانية</v>
      </c>
    </row>
    <row r="7790" ht="15.75" customHeight="1">
      <c r="A7790" s="12" t="s">
        <v>16339</v>
      </c>
      <c r="B7790" s="13" t="s">
        <v>16340</v>
      </c>
      <c r="C7790" s="14" t="s">
        <v>16341</v>
      </c>
      <c r="D7790" s="1" t="str">
        <f>IFERROR(__xludf.DUMMYFUNCTION("GOOGLETRANSLATE(A7790 , ""auto"", ""ar"")"),"تتذكر الوصفة ، أليس كذلك؟")</f>
        <v>تتذكر الوصفة ، أليس كذلك؟</v>
      </c>
    </row>
    <row r="7791" ht="15.75" customHeight="1">
      <c r="A7791" s="12" t="s">
        <v>13718</v>
      </c>
      <c r="B7791" s="13" t="s">
        <v>9798</v>
      </c>
      <c r="C7791" s="14" t="s">
        <v>9799</v>
      </c>
      <c r="D7791" s="1" t="str">
        <f>IFERROR(__xludf.DUMMYFUNCTION("GOOGLETRANSLATE(A7791 , ""auto"", ""ar"")"),"يا عزيزي!")</f>
        <v>يا عزيزي!</v>
      </c>
    </row>
    <row r="7792" ht="15.75" customHeight="1">
      <c r="A7792" s="12" t="s">
        <v>16342</v>
      </c>
      <c r="B7792" s="13" t="s">
        <v>16343</v>
      </c>
      <c r="C7792" s="14" t="s">
        <v>16344</v>
      </c>
      <c r="D7792" s="1" t="str">
        <f>IFERROR(__xludf.DUMMYFUNCTION("GOOGLETRANSLATE(A7792 , ""auto"", ""ar"")"),"لست متأكدًا من أنني أتذكرها")</f>
        <v>لست متأكدًا من أنني أتذكرها</v>
      </c>
    </row>
    <row r="7793" ht="15.75" customHeight="1">
      <c r="A7793" s="12" t="s">
        <v>16345</v>
      </c>
      <c r="B7793" s="13" t="s">
        <v>16346</v>
      </c>
      <c r="C7793" s="14" t="s">
        <v>16347</v>
      </c>
      <c r="D7793" s="1" t="str">
        <f>IFERROR(__xludf.DUMMYFUNCTION("GOOGLETRANSLATE(A7793 , ""auto"", ""ar"")"),"ستحتاج إلى تحديث ذاكرتي")</f>
        <v>ستحتاج إلى تحديث ذاكرتي</v>
      </c>
    </row>
    <row r="7794" ht="15.75" customHeight="1">
      <c r="A7794" s="12" t="s">
        <v>16348</v>
      </c>
      <c r="B7794" s="13" t="s">
        <v>16349</v>
      </c>
      <c r="C7794" s="14" t="s">
        <v>16350</v>
      </c>
      <c r="D7794" s="1" t="str">
        <f>IFERROR(__xludf.DUMMYFUNCTION("GOOGLETRANSLATE(A7794 , ""auto"", ""ar"")"),"انه بسيط جدا")</f>
        <v>انه بسيط جدا</v>
      </c>
    </row>
    <row r="7795" ht="15.75" customHeight="1">
      <c r="A7795" s="12" t="s">
        <v>16351</v>
      </c>
      <c r="B7795" s="13" t="s">
        <v>16352</v>
      </c>
      <c r="C7795" s="14" t="s">
        <v>16353</v>
      </c>
      <c r="D7795" s="1" t="str">
        <f>IFERROR(__xludf.DUMMYFUNCTION("GOOGLETRANSLATE(A7795 , ""auto"", ""ar"")"),"خذ البطيخ")</f>
        <v>خذ البطيخ</v>
      </c>
    </row>
    <row r="7796" ht="15.75" customHeight="1">
      <c r="A7796" s="12" t="s">
        <v>16354</v>
      </c>
      <c r="B7796" s="13" t="s">
        <v>16355</v>
      </c>
      <c r="C7796" s="14" t="s">
        <v>16356</v>
      </c>
      <c r="D7796" s="1" t="str">
        <f>IFERROR(__xludf.DUMMYFUNCTION("GOOGLETRANSLATE(A7796 , ""auto"", ""ar"")"),"قطعها في اثنين")</f>
        <v>قطعها في اثنين</v>
      </c>
    </row>
    <row r="7797" ht="15.75" customHeight="1">
      <c r="A7797" s="12" t="s">
        <v>16357</v>
      </c>
      <c r="B7797" s="13" t="s">
        <v>16358</v>
      </c>
      <c r="C7797" s="14" t="s">
        <v>16359</v>
      </c>
      <c r="D7797" s="1" t="str">
        <f>IFERROR(__xludf.DUMMYFUNCTION("GOOGLETRANSLATE(A7797 , ""auto"", ""ar"")"),"إزالة البذور")</f>
        <v>إزالة البذور</v>
      </c>
    </row>
    <row r="7798" ht="15.75" customHeight="1">
      <c r="A7798" s="12" t="s">
        <v>16360</v>
      </c>
      <c r="B7798" s="13" t="s">
        <v>16361</v>
      </c>
      <c r="C7798" s="14" t="s">
        <v>16362</v>
      </c>
      <c r="D7798" s="1" t="str">
        <f>IFERROR(__xludf.DUMMYFUNCTION("GOOGLETRANSLATE(A7798 , ""auto"", ""ar"")"),"احصل على ملعقة")</f>
        <v>احصل على ملعقة</v>
      </c>
    </row>
    <row r="7799" ht="15.75" customHeight="1">
      <c r="A7799" s="12" t="s">
        <v>16363</v>
      </c>
      <c r="B7799" s="13" t="s">
        <v>16364</v>
      </c>
      <c r="C7799" s="14" t="s">
        <v>16365</v>
      </c>
      <c r="D7799" s="1" t="str">
        <f>IFERROR(__xludf.DUMMYFUNCTION("GOOGLETRANSLATE(A7799 , ""auto"", ""ar"")"),"ضع الجسد في الخلاط")</f>
        <v>ضع الجسد في الخلاط</v>
      </c>
    </row>
    <row r="7800" ht="15.75" customHeight="1">
      <c r="A7800" s="12" t="s">
        <v>16366</v>
      </c>
      <c r="B7800" s="13" t="s">
        <v>16367</v>
      </c>
      <c r="C7800" s="14" t="s">
        <v>16368</v>
      </c>
      <c r="D7800" s="1" t="str">
        <f>IFERROR(__xludf.DUMMYFUNCTION("GOOGLETRANSLATE(A7800 , ""auto"", ""ar"")"),"ثم ماذا تضع في الخلاط؟")</f>
        <v>ثم ماذا تضع في الخلاط؟</v>
      </c>
    </row>
    <row r="7801" ht="15.75" customHeight="1">
      <c r="A7801" s="12" t="s">
        <v>16369</v>
      </c>
      <c r="B7801" s="13" t="s">
        <v>16370</v>
      </c>
      <c r="C7801" s="14" t="s">
        <v>16371</v>
      </c>
      <c r="D7801" s="1" t="str">
        <f>IFERROR(__xludf.DUMMYFUNCTION("GOOGLETRANSLATE(A7801 , ""auto"", ""ar"")"),"وضعت في بعض عصير الليمون وقليل من الماء")</f>
        <v>وضعت في بعض عصير الليمون وقليل من الماء</v>
      </c>
    </row>
    <row r="7802" ht="15.75" customHeight="1">
      <c r="A7802" s="12" t="s">
        <v>12514</v>
      </c>
      <c r="B7802" s="13" t="s">
        <v>16372</v>
      </c>
      <c r="C7802" s="14" t="s">
        <v>16373</v>
      </c>
      <c r="D7802" s="1" t="str">
        <f>IFERROR(__xludf.DUMMYFUNCTION("GOOGLETRANSLATE(A7802 , ""auto"", ""ar"")"),"هل هذا صحيح؟")</f>
        <v>هل هذا صحيح؟</v>
      </c>
    </row>
    <row r="7803" ht="15.75" customHeight="1">
      <c r="A7803" s="12" t="s">
        <v>16374</v>
      </c>
      <c r="B7803" s="13" t="s">
        <v>16375</v>
      </c>
      <c r="C7803" s="14" t="s">
        <v>16376</v>
      </c>
      <c r="D7803" s="1" t="str">
        <f>IFERROR(__xludf.DUMMYFUNCTION("GOOGLETRANSLATE(A7803 , ""auto"", ""ar"")"),"المزيد من أوراق النعناع")</f>
        <v>المزيد من أوراق النعناع</v>
      </c>
    </row>
    <row r="7804" ht="15.75" customHeight="1">
      <c r="A7804" s="12" t="s">
        <v>16377</v>
      </c>
      <c r="B7804" s="13" t="s">
        <v>16378</v>
      </c>
      <c r="C7804" s="14" t="s">
        <v>16379</v>
      </c>
      <c r="D7804" s="1" t="str">
        <f>IFERROR(__xludf.DUMMYFUNCTION("GOOGLETRANSLATE(A7804 , ""auto"", ""ar"")"),"لقد نسيت أوراق النعناع.")</f>
        <v>لقد نسيت أوراق النعناع.</v>
      </c>
    </row>
    <row r="7805" ht="15.75" customHeight="1">
      <c r="A7805" s="12" t="s">
        <v>16380</v>
      </c>
      <c r="B7805" s="13" t="s">
        <v>16381</v>
      </c>
      <c r="C7805" s="14" t="s">
        <v>16382</v>
      </c>
      <c r="D7805" s="1" t="str">
        <f>IFERROR(__xludf.DUMMYFUNCTION("GOOGLETRANSLATE(A7805 , ""auto"", ""ar"")"),"أحتاج إلى توخي الحذر من عدم إضافة الكثير رغم ذلك")</f>
        <v>أحتاج إلى توخي الحذر من عدم إضافة الكثير رغم ذلك</v>
      </c>
    </row>
    <row r="7806" ht="15.75" customHeight="1">
      <c r="A7806" s="12" t="s">
        <v>16383</v>
      </c>
      <c r="B7806" s="13" t="s">
        <v>16384</v>
      </c>
      <c r="C7806" s="14" t="s">
        <v>16385</v>
      </c>
      <c r="D7806" s="1" t="str">
        <f>IFERROR(__xludf.DUMMYFUNCTION("GOOGLETRANSLATE(A7806 , ""auto"", ""ar"")"),"كل ما عليك فعله هو القطار")</f>
        <v>كل ما عليك فعله هو القطار</v>
      </c>
    </row>
    <row r="7807" ht="15.75" customHeight="1">
      <c r="A7807" s="12" t="s">
        <v>16386</v>
      </c>
      <c r="B7807" s="13" t="s">
        <v>16387</v>
      </c>
      <c r="C7807" s="14" t="s">
        <v>16388</v>
      </c>
      <c r="D7807" s="1" t="str">
        <f>IFERROR(__xludf.DUMMYFUNCTION("GOOGLETRANSLATE(A7807 , ""auto"", ""ar"")"),"ماذا تقول؟")</f>
        <v>ماذا تقول؟</v>
      </c>
    </row>
    <row r="7808" ht="15.75" customHeight="1">
      <c r="A7808" s="12" t="s">
        <v>16389</v>
      </c>
      <c r="B7808" s="13" t="s">
        <v>16390</v>
      </c>
      <c r="C7808" s="14" t="s">
        <v>16391</v>
      </c>
      <c r="D7808" s="1" t="str">
        <f>IFERROR(__xludf.DUMMYFUNCTION("GOOGLETRANSLATE(A7808 , ""auto"", ""ar"")"),"هذا يبدو مثاليًا")</f>
        <v>هذا يبدو مثاليًا</v>
      </c>
    </row>
    <row r="7809" ht="15.75" customHeight="1">
      <c r="A7809" s="12" t="s">
        <v>16392</v>
      </c>
      <c r="B7809" s="13" t="s">
        <v>16393</v>
      </c>
      <c r="C7809" s="14" t="s">
        <v>16394</v>
      </c>
      <c r="D7809" s="1" t="str">
        <f>IFERROR(__xludf.DUMMYFUNCTION("GOOGLETRANSLATE(A7809 , ""auto"", ""ar"")"),"هل يجب أن أزينة بأي شيء آخر؟")</f>
        <v>هل يجب أن أزينة بأي شيء آخر؟</v>
      </c>
    </row>
    <row r="7810" ht="15.75" customHeight="1">
      <c r="A7810" s="12" t="s">
        <v>16395</v>
      </c>
      <c r="B7810" s="13" t="s">
        <v>16396</v>
      </c>
      <c r="C7810" s="14" t="s">
        <v>16397</v>
      </c>
      <c r="D7810" s="1" t="str">
        <f>IFERROR(__xludf.DUMMYFUNCTION("GOOGLETRANSLATE(A7810 , ""auto"", ""ar"")"),"لا ، لا ، لا فائدة")</f>
        <v>لا ، لا ، لا فائدة</v>
      </c>
    </row>
    <row r="7811" ht="15.75" customHeight="1">
      <c r="A7811" s="12" t="s">
        <v>16398</v>
      </c>
      <c r="B7811" s="13" t="s">
        <v>16399</v>
      </c>
      <c r="C7811" s="14" t="s">
        <v>16400</v>
      </c>
      <c r="D7811" s="1" t="str">
        <f>IFERROR(__xludf.DUMMYFUNCTION("GOOGLETRANSLATE(A7811 , ""auto"", ""ar"")"),"إنه جيد مثل هذا ، خفيف ، طازج!")</f>
        <v>إنه جيد مثل هذا ، خفيف ، طازج!</v>
      </c>
    </row>
    <row r="7812" ht="15.75" customHeight="1">
      <c r="A7812" s="12" t="s">
        <v>16401</v>
      </c>
      <c r="B7812" s="13" t="s">
        <v>16402</v>
      </c>
      <c r="C7812" s="14" t="s">
        <v>16403</v>
      </c>
      <c r="D7812" s="1" t="str">
        <f>IFERROR(__xludf.DUMMYFUNCTION("GOOGLETRANSLATE(A7812 , ""auto"", ""ar"")"),"أرسلها إلى صالة الألعاب الرياضية")</f>
        <v>أرسلها إلى صالة الألعاب الرياضية</v>
      </c>
    </row>
    <row r="7813" ht="15.75" customHeight="1">
      <c r="A7813" s="12" t="s">
        <v>16404</v>
      </c>
      <c r="B7813" s="13" t="s">
        <v>16405</v>
      </c>
      <c r="C7813" s="14" t="s">
        <v>16406</v>
      </c>
      <c r="D7813" s="1" t="str">
        <f>IFERROR(__xludf.DUMMYFUNCTION("GOOGLETRANSLATE(A7813 , ""auto"", ""ar"")"),"الطلب التالي")</f>
        <v>الطلب التالي</v>
      </c>
    </row>
    <row r="7814" ht="15.75" customHeight="1">
      <c r="A7814" s="12" t="s">
        <v>16407</v>
      </c>
      <c r="B7814" s="13" t="s">
        <v>16408</v>
      </c>
      <c r="C7814" s="14" t="s">
        <v>16409</v>
      </c>
      <c r="D7814" s="1" t="str">
        <f>IFERROR(__xludf.DUMMYFUNCTION("GOOGLETRANSLATE(A7814 , ""auto"", ""ar"")"),"هذا سهل!")</f>
        <v>هذا سهل!</v>
      </c>
    </row>
    <row r="7815" ht="15.75" customHeight="1">
      <c r="A7815" s="12" t="s">
        <v>16410</v>
      </c>
      <c r="B7815" s="13" t="s">
        <v>16411</v>
      </c>
      <c r="C7815" s="14" t="s">
        <v>16412</v>
      </c>
      <c r="D7815" s="1" t="str">
        <f>IFERROR(__xludf.DUMMYFUNCTION("GOOGLETRANSLATE(A7815 , ""auto"", ""ar"")"),"هل تريدني أن أتركك تفعل ذلك؟")</f>
        <v>هل تريدني أن أتركك تفعل ذلك؟</v>
      </c>
    </row>
    <row r="7816" ht="15.75" customHeight="1">
      <c r="A7816" s="12" t="s">
        <v>16413</v>
      </c>
      <c r="B7816" s="13" t="s">
        <v>16414</v>
      </c>
      <c r="C7816" s="14" t="s">
        <v>16415</v>
      </c>
      <c r="D7816" s="1" t="str">
        <f>IFERROR(__xludf.DUMMYFUNCTION("GOOGLETRANSLATE(A7816 , ""auto"", ""ar"")"),"يمكنني فعل ذلك بسهولة")</f>
        <v>يمكنني فعل ذلك بسهولة</v>
      </c>
    </row>
    <row r="7817" ht="15.75" customHeight="1">
      <c r="A7817" s="12" t="s">
        <v>16416</v>
      </c>
      <c r="B7817" s="13" t="s">
        <v>16417</v>
      </c>
      <c r="C7817" s="14" t="s">
        <v>16418</v>
      </c>
      <c r="D7817" s="1" t="str">
        <f>IFERROR(__xludf.DUMMYFUNCTION("GOOGLETRANSLATE(A7817 , ""auto"", ""ar"")"),"لم أفهم هذا السؤال تمامًا")</f>
        <v>لم أفهم هذا السؤال تمامًا</v>
      </c>
    </row>
    <row r="7818" ht="15.75" customHeight="1">
      <c r="A7818" s="12" t="s">
        <v>16419</v>
      </c>
      <c r="B7818" s="13" t="s">
        <v>16420</v>
      </c>
      <c r="C7818" s="14" t="s">
        <v>16421</v>
      </c>
      <c r="D7818" s="1" t="str">
        <f>IFERROR(__xludf.DUMMYFUNCTION("GOOGLETRANSLATE(A7818 , ""auto"", ""ar"")"),"ماذا تقصد بالطبقة؟")</f>
        <v>ماذا تقصد بالطبقة؟</v>
      </c>
    </row>
    <row r="7819" ht="15.75" customHeight="1">
      <c r="A7819" s="12" t="s">
        <v>16422</v>
      </c>
      <c r="B7819" s="13" t="s">
        <v>16423</v>
      </c>
      <c r="C7819" s="14" t="s">
        <v>16424</v>
      </c>
      <c r="D7819" s="1" t="str">
        <f>IFERROR(__xludf.DUMMYFUNCTION("GOOGLETRANSLATE(A7819 , ""auto"", ""ar"")"),"العرض المهم ، أليس كذلك؟")</f>
        <v>العرض المهم ، أليس كذلك؟</v>
      </c>
    </row>
    <row r="7820" ht="15.75" customHeight="1">
      <c r="A7820" s="12" t="s">
        <v>16425</v>
      </c>
      <c r="B7820" s="13" t="s">
        <v>16426</v>
      </c>
      <c r="C7820" s="14" t="s">
        <v>16427</v>
      </c>
      <c r="D7820" s="1" t="str">
        <f>IFERROR(__xludf.DUMMYFUNCTION("GOOGLETRANSLATE(A7820 , ""auto"", ""ar"")"),"نعم ، هذه فكرة رائعة")</f>
        <v>نعم ، هذه فكرة رائعة</v>
      </c>
    </row>
    <row r="7821" ht="15.75" customHeight="1">
      <c r="A7821" s="12" t="s">
        <v>16428</v>
      </c>
      <c r="B7821" s="13" t="s">
        <v>16429</v>
      </c>
      <c r="C7821" s="14" t="s">
        <v>16430</v>
      </c>
      <c r="D7821" s="1" t="str">
        <f>IFERROR(__xludf.DUMMYFUNCTION("GOOGLETRANSLATE(A7821 , ""auto"", ""ar"")"),"افعلها وأرسلها إلى صالة الألعاب الرياضية")</f>
        <v>افعلها وأرسلها إلى صالة الألعاب الرياضية</v>
      </c>
    </row>
    <row r="7822" ht="15.75" customHeight="1">
      <c r="A7822" s="12" t="s">
        <v>16431</v>
      </c>
      <c r="B7822" s="13" t="s">
        <v>16432</v>
      </c>
      <c r="C7822" s="14" t="s">
        <v>16433</v>
      </c>
      <c r="D7822" s="1" t="str">
        <f>IFERROR(__xludf.DUMMYFUNCTION("GOOGLETRANSLATE(A7822 , ""auto"", ""ar"")"),"أخشى أن هذه هي نهاية نوبتي الآن")</f>
        <v>أخشى أن هذه هي نهاية نوبتي الآن</v>
      </c>
    </row>
    <row r="7823" ht="15.75" customHeight="1">
      <c r="A7823" s="12" t="s">
        <v>9406</v>
      </c>
      <c r="B7823" s="13" t="s">
        <v>12389</v>
      </c>
      <c r="C7823" s="14" t="s">
        <v>12390</v>
      </c>
      <c r="D7823" s="1" t="str">
        <f>IFERROR(__xludf.DUMMYFUNCTION("GOOGLETRANSLATE(A7823 , ""auto"", ""ar"")"),"طاب مساؤك")</f>
        <v>طاب مساؤك</v>
      </c>
    </row>
    <row r="7824" ht="15.75" customHeight="1">
      <c r="A7824" s="12" t="s">
        <v>16434</v>
      </c>
      <c r="B7824" s="13" t="s">
        <v>16435</v>
      </c>
      <c r="C7824" s="14" t="s">
        <v>16436</v>
      </c>
      <c r="D7824" s="1" t="str">
        <f>IFERROR(__xludf.DUMMYFUNCTION("GOOGLETRANSLATE(A7824 , ""auto"", ""ar"")"),"لقد تعلمت الكثير منك هذا المساء")</f>
        <v>لقد تعلمت الكثير منك هذا المساء</v>
      </c>
    </row>
    <row r="7825" ht="15.75" customHeight="1">
      <c r="A7825" s="12" t="s">
        <v>16437</v>
      </c>
      <c r="B7825" s="13" t="s">
        <v>16438</v>
      </c>
      <c r="C7825" s="14" t="s">
        <v>16439</v>
      </c>
      <c r="D7825" s="1" t="str">
        <f>IFERROR(__xludf.DUMMYFUNCTION("GOOGLETRANSLATE(A7825 , ""auto"", ""ar"")"),"مرحبًا بك مرة أخرى ، أراك غدًا!")</f>
        <v>مرحبًا بك مرة أخرى ، أراك غدًا!</v>
      </c>
    </row>
    <row r="7826" ht="15.75" customHeight="1">
      <c r="A7826" s="12" t="s">
        <v>16440</v>
      </c>
      <c r="B7826" s="13" t="s">
        <v>16441</v>
      </c>
      <c r="C7826" s="14" t="s">
        <v>16442</v>
      </c>
      <c r="D7826" s="1" t="str">
        <f>IFERROR(__xludf.DUMMYFUNCTION("GOOGLETRANSLATE(A7826 , ""auto"", ""ar"")"),"مرحبًا ، أنا أتناول القهوة مع عصير برتقالي ، من فضلك.")</f>
        <v>مرحبًا ، أنا أتناول القهوة مع عصير برتقالي ، من فضلك.</v>
      </c>
    </row>
    <row r="7827" ht="15.75" customHeight="1">
      <c r="A7827" s="12" t="s">
        <v>16443</v>
      </c>
      <c r="B7827" s="13" t="s">
        <v>16444</v>
      </c>
      <c r="C7827" s="14" t="s">
        <v>16445</v>
      </c>
      <c r="D7827" s="1" t="str">
        <f>IFERROR(__xludf.DUMMYFUNCTION("GOOGLETRANSLATE(A7827 , ""auto"", ""ar"")"),"هل تحب الحليب مع القهوة والجليد في عصير البرتقال الخاص بك؟")</f>
        <v>هل تحب الحليب مع القهوة والجليد في عصير البرتقال الخاص بك؟</v>
      </c>
    </row>
    <row r="7828" ht="15.75" customHeight="1">
      <c r="A7828" s="12" t="s">
        <v>16446</v>
      </c>
      <c r="B7828" s="13" t="s">
        <v>16447</v>
      </c>
      <c r="C7828" s="14" t="s">
        <v>16448</v>
      </c>
      <c r="D7828" s="1" t="str">
        <f>IFERROR(__xludf.DUMMYFUNCTION("GOOGLETRANSLATE(A7828 , ""auto"", ""ar"")"),"لا شكرا ، لا حليب في قهوتي ولا جليد في عصير البرتقال.")</f>
        <v>لا شكرا ، لا حليب في قهوتي ولا جليد في عصير البرتقال.</v>
      </c>
    </row>
    <row r="7829" ht="15.75" customHeight="1">
      <c r="A7829" s="12" t="s">
        <v>16449</v>
      </c>
      <c r="B7829" s="13" t="s">
        <v>16450</v>
      </c>
      <c r="C7829" s="14" t="s">
        <v>16451</v>
      </c>
      <c r="D7829" s="1" t="str">
        <f>IFERROR(__xludf.DUMMYFUNCTION("GOOGLETRANSLATE(A7829 , ""auto"", ""ar"")"),"تفضل")</f>
        <v>تفضل</v>
      </c>
    </row>
    <row r="7830" ht="15.75" customHeight="1">
      <c r="A7830" s="12" t="s">
        <v>16452</v>
      </c>
      <c r="B7830" s="13" t="s">
        <v>16453</v>
      </c>
      <c r="C7830" s="14" t="s">
        <v>16454</v>
      </c>
      <c r="D7830" s="1" t="str">
        <f>IFERROR(__xludf.DUMMYFUNCTION("GOOGLETRANSLATE(A7830 , ""auto"", ""ar"")"),"هل ترغب في طلب أي طعام؟")</f>
        <v>هل ترغب في طلب أي طعام؟</v>
      </c>
    </row>
    <row r="7831" ht="15.75" customHeight="1">
      <c r="A7831" s="12" t="s">
        <v>16455</v>
      </c>
      <c r="B7831" s="13" t="s">
        <v>16456</v>
      </c>
      <c r="C7831" s="14" t="s">
        <v>16457</v>
      </c>
      <c r="D7831" s="1" t="str">
        <f>IFERROR(__xludf.DUMMYFUNCTION("GOOGLETRANSLATE(A7831 , ""auto"", ""ar"")"),"طبقنا الخاص اليوم هو الدجاج")</f>
        <v>طبقنا الخاص اليوم هو الدجاج</v>
      </c>
    </row>
    <row r="7832" ht="15.75" customHeight="1">
      <c r="A7832" s="12" t="s">
        <v>16458</v>
      </c>
      <c r="B7832" s="13" t="s">
        <v>16459</v>
      </c>
      <c r="C7832" s="14" t="s">
        <v>16460</v>
      </c>
      <c r="D7832" s="1" t="str">
        <f>IFERROR(__xludf.DUMMYFUNCTION("GOOGLETRANSLATE(A7832 , ""auto"", ""ar"")"),"لا، شكرا")</f>
        <v>لا، شكرا</v>
      </c>
    </row>
    <row r="7833" ht="15.75" customHeight="1">
      <c r="A7833" s="12" t="s">
        <v>16461</v>
      </c>
      <c r="B7833" s="13" t="s">
        <v>16462</v>
      </c>
      <c r="C7833" s="14" t="s">
        <v>16463</v>
      </c>
      <c r="D7833" s="1" t="str">
        <f>IFERROR(__xludf.DUMMYFUNCTION("GOOGLETRANSLATE(A7833 , ""auto"", ""ar"")"),"فقط قهوة")</f>
        <v>فقط قهوة</v>
      </c>
    </row>
    <row r="7834" ht="15.75" customHeight="1">
      <c r="A7834" s="12" t="s">
        <v>16464</v>
      </c>
      <c r="B7834" s="13" t="s">
        <v>16465</v>
      </c>
      <c r="C7834" s="14" t="s">
        <v>16466</v>
      </c>
      <c r="D7834" s="1" t="str">
        <f>IFERROR(__xludf.DUMMYFUNCTION("GOOGLETRANSLATE(A7834 , ""auto"", ""ar"")"),"فطيرة الدجاج؟")</f>
        <v>فطيرة الدجاج؟</v>
      </c>
    </row>
    <row r="7835" ht="15.75" customHeight="1">
      <c r="A7835" s="12" t="s">
        <v>16467</v>
      </c>
      <c r="B7835" s="13" t="s">
        <v>16468</v>
      </c>
      <c r="C7835" s="14" t="s">
        <v>16469</v>
      </c>
      <c r="D7835" s="1" t="str">
        <f>IFERROR(__xludf.DUMMYFUNCTION("GOOGLETRANSLATE(A7835 , ""auto"", ""ar"")"),"إنه أصلي للغاية")</f>
        <v>إنه أصلي للغاية</v>
      </c>
    </row>
    <row r="7836" ht="15.75" customHeight="1">
      <c r="A7836" s="12" t="s">
        <v>16470</v>
      </c>
      <c r="B7836" s="13" t="s">
        <v>16471</v>
      </c>
      <c r="C7836" s="14" t="s">
        <v>16472</v>
      </c>
      <c r="D7836" s="1" t="str">
        <f>IFERROR(__xludf.DUMMYFUNCTION("GOOGLETRANSLATE(A7836 , ""auto"", ""ar"")"),"يمكنك دائمًا تغيير رأيك!")</f>
        <v>يمكنك دائمًا تغيير رأيك!</v>
      </c>
    </row>
    <row r="7837" ht="15.75" customHeight="1">
      <c r="A7837" s="12" t="s">
        <v>16473</v>
      </c>
      <c r="B7837" s="13" t="s">
        <v>16474</v>
      </c>
      <c r="C7837" s="14" t="s">
        <v>16475</v>
      </c>
      <c r="D7837" s="1" t="str">
        <f>IFERROR(__xludf.DUMMYFUNCTION("GOOGLETRANSLATE(A7837 , ""auto"", ""ar"")"),"هل هذا كلبك يتجول فقط هناك؟")</f>
        <v>هل هذا كلبك يتجول فقط هناك؟</v>
      </c>
    </row>
    <row r="7838" ht="15.75" customHeight="1">
      <c r="A7838" s="12" t="s">
        <v>16476</v>
      </c>
      <c r="B7838" s="13" t="s">
        <v>16477</v>
      </c>
      <c r="C7838" s="14" t="s">
        <v>16478</v>
      </c>
      <c r="D7838" s="1" t="str">
        <f>IFERROR(__xludf.DUMMYFUNCTION("GOOGLETRANSLATE(A7838 , ""auto"", ""ar"")"),"يبدو أنه يبحث عن شخص ما")</f>
        <v>يبدو أنه يبحث عن شخص ما</v>
      </c>
    </row>
    <row r="7839" ht="15.75" customHeight="1">
      <c r="A7839" s="12" t="s">
        <v>16479</v>
      </c>
      <c r="B7839" s="13" t="s">
        <v>16480</v>
      </c>
      <c r="C7839" s="14" t="s">
        <v>16481</v>
      </c>
      <c r="D7839" s="1" t="str">
        <f>IFERROR(__xludf.DUMMYFUNCTION("GOOGLETRANSLATE(A7839 , ""auto"", ""ar"")"),"دجاج كريم؟")</f>
        <v>دجاج كريم؟</v>
      </c>
    </row>
    <row r="7840" ht="15.75" customHeight="1">
      <c r="A7840" s="12" t="s">
        <v>16482</v>
      </c>
      <c r="B7840" s="13" t="s">
        <v>16483</v>
      </c>
      <c r="C7840" s="14" t="s">
        <v>16484</v>
      </c>
      <c r="D7840" s="1" t="str">
        <f>IFERROR(__xludf.DUMMYFUNCTION("GOOGLETRANSLATE(A7840 , ""auto"", ""ar"")"),"مدهش!")</f>
        <v>مدهش!</v>
      </c>
    </row>
    <row r="7841" ht="15.75" customHeight="1">
      <c r="A7841" s="12" t="s">
        <v>16485</v>
      </c>
      <c r="B7841" s="13" t="s">
        <v>16486</v>
      </c>
      <c r="C7841" s="14" t="s">
        <v>16487</v>
      </c>
      <c r="D7841" s="1" t="str">
        <f>IFERROR(__xludf.DUMMYFUNCTION("GOOGLETRANSLATE(A7841 , ""auto"", ""ar"")"),"إذا كان الأمر لك ، أخشى أننا لا نسمح للكلاب في حانةنا لأسباب النظافة")</f>
        <v>إذا كان الأمر لك ، أخشى أننا لا نسمح للكلاب في حانةنا لأسباب النظافة</v>
      </c>
    </row>
    <row r="7842" ht="15.75" customHeight="1">
      <c r="A7842" s="12" t="s">
        <v>16488</v>
      </c>
      <c r="B7842" s="13" t="s">
        <v>16489</v>
      </c>
      <c r="C7842" s="14" t="s">
        <v>16490</v>
      </c>
      <c r="D7842" s="1" t="str">
        <f>IFERROR(__xludf.DUMMYFUNCTION("GOOGLETRANSLATE(A7842 , ""auto"", ""ar"")"),"آسف ، لكن الكلب المعني ليس لي!")</f>
        <v>آسف ، لكن الكلب المعني ليس لي!</v>
      </c>
    </row>
    <row r="7843" ht="15.75" customHeight="1">
      <c r="A7843" s="12" t="s">
        <v>16491</v>
      </c>
      <c r="B7843" s="13" t="s">
        <v>16492</v>
      </c>
      <c r="C7843" s="14" t="s">
        <v>16493</v>
      </c>
      <c r="D7843" s="1" t="str">
        <f>IFERROR(__xludf.DUMMYFUNCTION("GOOGLETRANSLATE(A7843 , ""auto"", ""ar"")"),"hhmmmn ، انتظر بينما أضعها في الخارج")</f>
        <v>hhmmmn ، انتظر بينما أضعها في الخارج</v>
      </c>
    </row>
    <row r="7844" ht="15.75" customHeight="1">
      <c r="A7844" s="12" t="s">
        <v>16494</v>
      </c>
      <c r="B7844" s="13" t="s">
        <v>16495</v>
      </c>
      <c r="C7844" s="14" t="s">
        <v>16496</v>
      </c>
      <c r="D7844" s="1" t="str">
        <f>IFERROR(__xludf.DUMMYFUNCTION("GOOGLETRANSLATE(A7844 , ""auto"", ""ar"")"),"الشيء الفقير ، إنه تمطر أيضًا ويبدو جائعًا")</f>
        <v>الشيء الفقير ، إنه تمطر أيضًا ويبدو جائعًا</v>
      </c>
    </row>
    <row r="7845" ht="15.75" customHeight="1">
      <c r="A7845" s="12" t="s">
        <v>16497</v>
      </c>
      <c r="B7845" s="13" t="s">
        <v>16498</v>
      </c>
      <c r="C7845" s="14" t="s">
        <v>16499</v>
      </c>
      <c r="D7845" s="1" t="str">
        <f>IFERROR(__xludf.DUMMYFUNCTION("GOOGLETRANSLATE(A7845 , ""auto"", ""ar"")"),"لا مانع من وجود كلب معنا")</f>
        <v>لا مانع من وجود كلب معنا</v>
      </c>
    </row>
    <row r="7846" ht="15.75" customHeight="1">
      <c r="A7846" s="12" t="s">
        <v>16500</v>
      </c>
      <c r="B7846" s="13" t="s">
        <v>16501</v>
      </c>
      <c r="C7846" s="14" t="s">
        <v>16502</v>
      </c>
      <c r="D7846" s="1" t="str">
        <f>IFERROR(__xludf.DUMMYFUNCTION("GOOGLETRANSLATE(A7846 , ""auto"", ""ar"")"),"ربما يكون أفضل حالًا معنا من الخارج")</f>
        <v>ربما يكون أفضل حالًا معنا من الخارج</v>
      </c>
    </row>
    <row r="7847" ht="15.75" customHeight="1">
      <c r="A7847" s="12" t="s">
        <v>16503</v>
      </c>
      <c r="B7847" s="13" t="s">
        <v>16504</v>
      </c>
      <c r="C7847" s="14" t="s">
        <v>16505</v>
      </c>
      <c r="D7847" s="1" t="str">
        <f>IFERROR(__xludf.DUMMYFUNCTION("GOOGLETRANSLATE(A7847 , ""auto"", ""ar"")"),"هل تستمتع بقهوتك؟")</f>
        <v>هل تستمتع بقهوتك؟</v>
      </c>
    </row>
    <row r="7848" ht="15.75" customHeight="1">
      <c r="A7848" s="12" t="s">
        <v>16506</v>
      </c>
      <c r="B7848" s="13" t="s">
        <v>16507</v>
      </c>
      <c r="C7848" s="14" t="s">
        <v>16508</v>
      </c>
      <c r="D7848" s="1" t="str">
        <f>IFERROR(__xludf.DUMMYFUNCTION("GOOGLETRANSLATE(A7848 , ""auto"", ""ar"")"),"هل تعتقد أن كلبك سيحب فطيرة الدجاج؟")</f>
        <v>هل تعتقد أن كلبك سيحب فطيرة الدجاج؟</v>
      </c>
    </row>
    <row r="7849" ht="15.75" customHeight="1">
      <c r="A7849" s="12" t="s">
        <v>9530</v>
      </c>
      <c r="B7849" s="13" t="s">
        <v>16509</v>
      </c>
      <c r="C7849" s="14" t="s">
        <v>16510</v>
      </c>
      <c r="D7849" s="1" t="str">
        <f>IFERROR(__xludf.DUMMYFUNCTION("GOOGLETRANSLATE(A7849 , ""auto"", ""ar"")"),"لست متأكد")</f>
        <v>لست متأكد</v>
      </c>
    </row>
    <row r="7850" ht="15.75" customHeight="1">
      <c r="A7850" s="12" t="s">
        <v>16511</v>
      </c>
      <c r="B7850" s="13" t="s">
        <v>16512</v>
      </c>
      <c r="C7850" s="14" t="s">
        <v>16513</v>
      </c>
      <c r="D7850" s="1" t="str">
        <f>IFERROR(__xludf.DUMMYFUNCTION("GOOGLETRANSLATE(A7850 , ""auto"", ""ar"")"),"قهوتك ليست سيئة")</f>
        <v>قهوتك ليست سيئة</v>
      </c>
    </row>
    <row r="7851" ht="15.75" customHeight="1">
      <c r="A7851" s="12" t="s">
        <v>16514</v>
      </c>
      <c r="B7851" s="13" t="s">
        <v>16515</v>
      </c>
      <c r="C7851" s="14" t="s">
        <v>16516</v>
      </c>
      <c r="D7851" s="1" t="str">
        <f>IFERROR(__xludf.DUMMYFUNCTION("GOOGLETRANSLATE(A7851 , ""auto"", ""ar"")"),"كما طلبت عصير البرتقال")</f>
        <v>كما طلبت عصير البرتقال</v>
      </c>
    </row>
    <row r="7852" ht="15.75" customHeight="1">
      <c r="A7852" s="12" t="s">
        <v>16517</v>
      </c>
      <c r="B7852" s="13" t="s">
        <v>16518</v>
      </c>
      <c r="C7852" s="14" t="s">
        <v>16519</v>
      </c>
      <c r="D7852" s="1" t="str">
        <f>IFERROR(__xludf.DUMMYFUNCTION("GOOGLETRANSLATE(A7852 , ""auto"", ""ar"")"),"أوه نعم ، آسف لقد نسيت.")</f>
        <v>أوه نعم ، آسف لقد نسيت.</v>
      </c>
    </row>
    <row r="7853" ht="15.75" customHeight="1">
      <c r="A7853" s="12" t="s">
        <v>16520</v>
      </c>
      <c r="B7853" s="13" t="s">
        <v>16521</v>
      </c>
      <c r="C7853" s="14" t="s">
        <v>16522</v>
      </c>
      <c r="D7853" s="1" t="str">
        <f>IFERROR(__xludf.DUMMYFUNCTION("GOOGLETRANSLATE(A7853 , ""auto"", ""ar"")"),"إليكم فاتورتك ، وصوله إلى 15 DHS")</f>
        <v>إليكم فاتورتك ، وصوله إلى 15 DHS</v>
      </c>
    </row>
    <row r="7854" ht="15.75" customHeight="1">
      <c r="A7854" s="12" t="s">
        <v>16523</v>
      </c>
      <c r="B7854" s="13" t="s">
        <v>16524</v>
      </c>
      <c r="C7854" s="14" t="s">
        <v>16525</v>
      </c>
      <c r="D7854" s="1" t="str">
        <f>IFERROR(__xludf.DUMMYFUNCTION("GOOGLETRANSLATE(A7854 , ""auto"", ""ar"")"),"مهلا ، إنه عيد ميلادي")</f>
        <v>مهلا ، إنه عيد ميلادي</v>
      </c>
    </row>
    <row r="7855" ht="15.75" customHeight="1">
      <c r="A7855" s="12" t="s">
        <v>16526</v>
      </c>
      <c r="B7855" s="13" t="s">
        <v>16527</v>
      </c>
      <c r="C7855" s="14" t="s">
        <v>16528</v>
      </c>
      <c r="D7855" s="1" t="str">
        <f>IFERROR(__xludf.DUMMYFUNCTION("GOOGLETRANSLATE(A7855 , ""auto"", ""ar"")"),"ألا تريد مساعدتي في إعداد شيء ما؟")</f>
        <v>ألا تريد مساعدتي في إعداد شيء ما؟</v>
      </c>
    </row>
    <row r="7856" ht="15.75" customHeight="1">
      <c r="A7856" s="12" t="s">
        <v>16529</v>
      </c>
      <c r="B7856" s="13" t="s">
        <v>16530</v>
      </c>
      <c r="C7856" s="14" t="s">
        <v>16531</v>
      </c>
      <c r="D7856" s="1" t="str">
        <f>IFERROR(__xludf.DUMMYFUNCTION("GOOGLETRANSLATE(A7856 , ""auto"", ""ar"")"),"قلت سأفعل ، أليس كذلك؟")</f>
        <v>قلت سأفعل ، أليس كذلك؟</v>
      </c>
    </row>
    <row r="7857" ht="15.75" customHeight="1">
      <c r="A7857" s="12" t="s">
        <v>16532</v>
      </c>
      <c r="B7857" s="13" t="s">
        <v>16533</v>
      </c>
      <c r="C7857" s="14" t="s">
        <v>16534</v>
      </c>
      <c r="D7857" s="1" t="str">
        <f>IFERROR(__xludf.DUMMYFUNCTION("GOOGLETRANSLATE(A7857 , ""auto"", ""ar"")"),"ها انا ذا")</f>
        <v>ها انا ذا</v>
      </c>
    </row>
    <row r="7858" ht="15.75" customHeight="1">
      <c r="A7858" s="12" t="s">
        <v>16535</v>
      </c>
      <c r="B7858" s="13" t="s">
        <v>16536</v>
      </c>
      <c r="C7858" s="14" t="s">
        <v>16537</v>
      </c>
      <c r="D7858" s="1" t="str">
        <f>IFERROR(__xludf.DUMMYFUNCTION("GOOGLETRANSLATE(A7858 , ""auto"", ""ar"")"),"ماذا تريدني ان افعل؟")</f>
        <v>ماذا تريدني ان افعل؟</v>
      </c>
    </row>
    <row r="7859" ht="15.75" customHeight="1">
      <c r="A7859" s="12" t="s">
        <v>16538</v>
      </c>
      <c r="B7859" s="13" t="s">
        <v>16539</v>
      </c>
      <c r="C7859" s="14" t="s">
        <v>16540</v>
      </c>
      <c r="D7859" s="1" t="str">
        <f>IFERROR(__xludf.DUMMYFUNCTION("GOOGLETRANSLATE(A7859 , ""auto"", ""ar"")"),"كنت أفكر في القيام بهذا السبت المقبل")</f>
        <v>كنت أفكر في القيام بهذا السبت المقبل</v>
      </c>
    </row>
    <row r="7860" ht="15.75" customHeight="1">
      <c r="A7860" s="12" t="s">
        <v>16541</v>
      </c>
      <c r="B7860" s="13" t="s">
        <v>16542</v>
      </c>
      <c r="C7860" s="14" t="s">
        <v>16543</v>
      </c>
      <c r="D7860" s="1" t="str">
        <f>IFERROR(__xludf.DUMMYFUNCTION("GOOGLETRANSLATE(A7860 , ""auto"", ""ar"")"),"ربما مطعم؟")</f>
        <v>ربما مطعم؟</v>
      </c>
    </row>
    <row r="7861" ht="15.75" customHeight="1">
      <c r="A7861" s="12" t="s">
        <v>16544</v>
      </c>
      <c r="B7861" s="13" t="s">
        <v>16545</v>
      </c>
      <c r="C7861" s="14" t="s">
        <v>16546</v>
      </c>
      <c r="D7861" s="1" t="str">
        <f>IFERROR(__xludf.DUMMYFUNCTION("GOOGLETRANSLATE(A7861 , ""auto"", ""ar"")"),"أوه")</f>
        <v>أوه</v>
      </c>
    </row>
    <row r="7862" ht="15.75" customHeight="1">
      <c r="A7862" s="12" t="s">
        <v>16547</v>
      </c>
      <c r="B7862" s="13" t="s">
        <v>16548</v>
      </c>
      <c r="C7862" s="14" t="s">
        <v>16549</v>
      </c>
      <c r="D7862" s="1" t="str">
        <f>IFERROR(__xludf.DUMMYFUNCTION("GOOGLETRANSLATE(A7862 , ""auto"", ""ar"")"),"اعتقدت أنه كان اليوم")</f>
        <v>اعتقدت أنه كان اليوم</v>
      </c>
    </row>
    <row r="7863" ht="15.75" customHeight="1">
      <c r="A7863" s="12" t="s">
        <v>16550</v>
      </c>
      <c r="B7863" s="13" t="s">
        <v>16551</v>
      </c>
      <c r="C7863" s="14" t="s">
        <v>16552</v>
      </c>
      <c r="D7863" s="1" t="str">
        <f>IFERROR(__xludf.DUMMYFUNCTION("GOOGLETRANSLATE(A7863 , ""auto"", ""ar"")"),"أنا مشغول السبت")</f>
        <v>أنا مشغول السبت</v>
      </c>
    </row>
    <row r="7864" ht="15.75" customHeight="1">
      <c r="A7864" s="12" t="s">
        <v>16553</v>
      </c>
      <c r="B7864" s="13" t="s">
        <v>16554</v>
      </c>
      <c r="C7864" s="14" t="s">
        <v>16555</v>
      </c>
      <c r="D7864" s="1" t="str">
        <f>IFERROR(__xludf.DUMMYFUNCTION("GOOGLETRANSLATE(A7864 , ""auto"", ""ar"")"),"هذه مشكلة")</f>
        <v>هذه مشكلة</v>
      </c>
    </row>
    <row r="7865" ht="15.75" customHeight="1">
      <c r="A7865" s="12" t="s">
        <v>16553</v>
      </c>
      <c r="B7865" s="13" t="s">
        <v>16556</v>
      </c>
      <c r="C7865" s="14" t="s">
        <v>16557</v>
      </c>
      <c r="D7865" s="1" t="str">
        <f>IFERROR(__xludf.DUMMYFUNCTION("GOOGLETRANSLATE(A7865 , ""auto"", ""ar"")"),"هذه مشكلة")</f>
        <v>هذه مشكلة</v>
      </c>
    </row>
    <row r="7866" ht="15.75" customHeight="1">
      <c r="A7866" s="12" t="s">
        <v>16558</v>
      </c>
      <c r="B7866" s="13" t="s">
        <v>16559</v>
      </c>
      <c r="C7866" s="14" t="s">
        <v>16560</v>
      </c>
      <c r="D7866" s="1" t="str">
        <f>IFERROR(__xludf.DUMMYFUNCTION("GOOGLETRANSLATE(A7866 , ""auto"", ""ar"")"),"يا رجل.")</f>
        <v>يا رجل.</v>
      </c>
    </row>
    <row r="7867" ht="15.75" customHeight="1">
      <c r="A7867" s="12" t="s">
        <v>16561</v>
      </c>
      <c r="B7867" s="13" t="s">
        <v>16562</v>
      </c>
      <c r="C7867" s="14" t="s">
        <v>16563</v>
      </c>
      <c r="D7867" s="1" t="str">
        <f>IFERROR(__xludf.DUMMYFUNCTION("GOOGLETRANSLATE(A7867 , ""auto"", ""ar"")"),"عيد ميلادي اليوم ، لكنني اعتقدت أنه سيكون هناك المزيد من الناس في عطلات نهاية الأسبوع")</f>
        <v>عيد ميلادي اليوم ، لكنني اعتقدت أنه سيكون هناك المزيد من الناس في عطلات نهاية الأسبوع</v>
      </c>
    </row>
    <row r="7868" ht="15.75" customHeight="1">
      <c r="A7868" s="12" t="s">
        <v>16564</v>
      </c>
      <c r="B7868" s="13" t="s">
        <v>16565</v>
      </c>
      <c r="C7868" s="14" t="s">
        <v>16566</v>
      </c>
      <c r="D7868" s="1" t="str">
        <f>IFERROR(__xludf.DUMMYFUNCTION("GOOGLETRANSLATE(A7868 , ""auto"", ""ar"")"),"هل يمكننا إعادة جدولة يوم الأحد؟")</f>
        <v>هل يمكننا إعادة جدولة يوم الأحد؟</v>
      </c>
    </row>
    <row r="7869" ht="15.75" customHeight="1">
      <c r="A7869" s="12" t="s">
        <v>16567</v>
      </c>
      <c r="B7869" s="13" t="s">
        <v>16568</v>
      </c>
      <c r="C7869" s="14" t="s">
        <v>16569</v>
      </c>
      <c r="D7869" s="1" t="str">
        <f>IFERROR(__xludf.DUMMYFUNCTION("GOOGLETRANSLATE(A7869 , ""auto"", ""ar"")"),"حسنًا ، لم نقم بتحديد موعد الحزب ، لكن لا يتعين علينا إعادة جدولة")</f>
        <v>حسنًا ، لم نقم بتحديد موعد الحزب ، لكن لا يتعين علينا إعادة جدولة</v>
      </c>
    </row>
    <row r="7870" ht="15.75" customHeight="1">
      <c r="A7870" s="12" t="s">
        <v>16570</v>
      </c>
      <c r="B7870" s="13" t="s">
        <v>16571</v>
      </c>
      <c r="C7870" s="14" t="s">
        <v>16572</v>
      </c>
      <c r="D7870" s="1" t="str">
        <f>IFERROR(__xludf.DUMMYFUNCTION("GOOGLETRANSLATE(A7870 , ""auto"", ""ar"")"),"يمكننا فقط دعوة الناس يوم الأحد")</f>
        <v>يمكننا فقط دعوة الناس يوم الأحد</v>
      </c>
    </row>
    <row r="7871" ht="15.75" customHeight="1">
      <c r="A7871" s="12" t="s">
        <v>16573</v>
      </c>
      <c r="B7871" s="13" t="s">
        <v>16574</v>
      </c>
      <c r="C7871" s="14" t="s">
        <v>16575</v>
      </c>
      <c r="D7871" s="1" t="str">
        <f>IFERROR(__xludf.DUMMYFUNCTION("GOOGLETRANSLATE(A7871 , ""auto"", ""ar"")"),"هل لديك مطعم مفضل؟")</f>
        <v>هل لديك مطعم مفضل؟</v>
      </c>
    </row>
    <row r="7872" ht="15.75" customHeight="1">
      <c r="A7872" s="12" t="s">
        <v>16576</v>
      </c>
      <c r="B7872" s="13" t="s">
        <v>16577</v>
      </c>
      <c r="C7872" s="14" t="s">
        <v>16578</v>
      </c>
      <c r="D7872" s="1" t="str">
        <f>IFERROR(__xludf.DUMMYFUNCTION("GOOGLETRANSLATE(A7872 , ""auto"", ""ar"")"),"أوه وهل تدفع ثمن كل شيء؟")</f>
        <v>أوه وهل تدفع ثمن كل شيء؟</v>
      </c>
    </row>
    <row r="7873" ht="15.75" customHeight="1">
      <c r="A7873" s="12" t="s">
        <v>16579</v>
      </c>
      <c r="B7873" s="13" t="s">
        <v>16580</v>
      </c>
      <c r="C7873" s="14" t="s">
        <v>16581</v>
      </c>
      <c r="D7873" s="1" t="str">
        <f>IFERROR(__xludf.DUMMYFUNCTION("GOOGLETRANSLATE(A7873 , ""auto"", ""ar"")"),"هل تعرف واحدة جيدة؟")</f>
        <v>هل تعرف واحدة جيدة؟</v>
      </c>
    </row>
    <row r="7874" ht="15.75" customHeight="1">
      <c r="A7874" s="12" t="s">
        <v>16582</v>
      </c>
      <c r="B7874" s="13" t="s">
        <v>16583</v>
      </c>
      <c r="C7874" s="14" t="s">
        <v>16584</v>
      </c>
      <c r="D7874" s="1" t="str">
        <f>IFERROR(__xludf.DUMMYFUNCTION("GOOGLETRANSLATE(A7874 , ""auto"", ""ar"")"),"إنها ليست مكلفة للغاية بشكل عام")</f>
        <v>إنها ليست مكلفة للغاية بشكل عام</v>
      </c>
    </row>
    <row r="7875" ht="15.75" customHeight="1">
      <c r="A7875" s="12" t="s">
        <v>16585</v>
      </c>
      <c r="B7875" s="13" t="s">
        <v>16586</v>
      </c>
      <c r="C7875" s="14" t="s">
        <v>16587</v>
      </c>
      <c r="D7875" s="1" t="str">
        <f>IFERROR(__xludf.DUMMYFUNCTION("GOOGLETRANSLATE(A7875 , ""auto"", ""ar"")"),"هناك هذا المكان الإيطالي الجديد")</f>
        <v>هناك هذا المكان الإيطالي الجديد</v>
      </c>
    </row>
    <row r="7876" ht="15.75" customHeight="1">
      <c r="A7876" s="12" t="s">
        <v>16588</v>
      </c>
      <c r="B7876" s="13" t="s">
        <v>16589</v>
      </c>
      <c r="C7876" s="14" t="s">
        <v>16590</v>
      </c>
      <c r="D7876" s="1" t="str">
        <f>IFERROR(__xludf.DUMMYFUNCTION("GOOGLETRANSLATE(A7876 , ""auto"", ""ar"")"),"لست واضحًا بشأن من يدفع")</f>
        <v>لست واضحًا بشأن من يدفع</v>
      </c>
    </row>
    <row r="7877" ht="15.75" customHeight="1">
      <c r="A7877" s="12" t="s">
        <v>16591</v>
      </c>
      <c r="B7877" s="13" t="s">
        <v>16592</v>
      </c>
      <c r="C7877" s="14" t="s">
        <v>16593</v>
      </c>
      <c r="D7877" s="1" t="str">
        <f>IFERROR(__xludf.DUMMYFUNCTION("GOOGLETRANSLATE(A7877 , ""auto"", ""ar"")"),"هل تريد أن يدفع ضيوفك ثمن وجبة خاصة بهم أم أنك ستدفع ثمن كل شيء؟")</f>
        <v>هل تريد أن يدفع ضيوفك ثمن وجبة خاصة بهم أم أنك ستدفع ثمن كل شيء؟</v>
      </c>
    </row>
    <row r="7878" ht="15.75" customHeight="1">
      <c r="A7878" s="12" t="s">
        <v>16594</v>
      </c>
      <c r="B7878" s="13" t="s">
        <v>16595</v>
      </c>
      <c r="C7878" s="14" t="s">
        <v>16596</v>
      </c>
      <c r="D7878" s="1" t="str">
        <f>IFERROR(__xludf.DUMMYFUNCTION("GOOGLETRANSLATE(A7878 , ""auto"", ""ar"")"),"إذا لم تكن مكلفة للغاية")</f>
        <v>إذا لم تكن مكلفة للغاية</v>
      </c>
    </row>
    <row r="7879" ht="15.75" customHeight="1">
      <c r="A7879" s="12" t="s">
        <v>16597</v>
      </c>
      <c r="B7879" s="13" t="s">
        <v>16598</v>
      </c>
      <c r="C7879" s="14" t="s">
        <v>16599</v>
      </c>
      <c r="D7879" s="1" t="str">
        <f>IFERROR(__xludf.DUMMYFUNCTION("GOOGLETRANSLATE(A7879 , ""auto"", ""ar"")"),"لكني لا أحب الإيطاليين كثيرًا")</f>
        <v>لكني لا أحب الإيطاليين كثيرًا</v>
      </c>
    </row>
    <row r="7880" ht="15.75" customHeight="1">
      <c r="A7880" s="12" t="s">
        <v>16600</v>
      </c>
      <c r="B7880" s="13" t="s">
        <v>16601</v>
      </c>
      <c r="C7880" s="14" t="s">
        <v>16602</v>
      </c>
      <c r="D7880" s="1" t="str">
        <f>IFERROR(__xludf.DUMMYFUNCTION("GOOGLETRANSLATE(A7880 , ""auto"", ""ar"")"),"تبدو بانها خطة جيدة")</f>
        <v>تبدو بانها خطة جيدة</v>
      </c>
    </row>
    <row r="7881" ht="15.75" customHeight="1">
      <c r="A7881" s="12" t="s">
        <v>16603</v>
      </c>
      <c r="B7881" s="13" t="s">
        <v>16604</v>
      </c>
      <c r="C7881" s="14" t="s">
        <v>16605</v>
      </c>
      <c r="D7881" s="1" t="str">
        <f>IFERROR(__xludf.DUMMYFUNCTION("GOOGLETRANSLATE(A7881 , ""auto"", ""ar"")"),"لذلك مكان فرنسي رخيص")</f>
        <v>لذلك مكان فرنسي رخيص</v>
      </c>
    </row>
    <row r="7882" ht="15.75" customHeight="1">
      <c r="A7882" s="12" t="s">
        <v>16606</v>
      </c>
      <c r="B7882" s="13" t="s">
        <v>16607</v>
      </c>
      <c r="C7882" s="14" t="s">
        <v>16608</v>
      </c>
      <c r="D7882" s="1" t="str">
        <f>IFERROR(__xludf.DUMMYFUNCTION("GOOGLETRANSLATE(A7882 , ""auto"", ""ar"")"),"هل تعرف مطعم إندونيسي؟")</f>
        <v>هل تعرف مطعم إندونيسي؟</v>
      </c>
    </row>
    <row r="7883" ht="15.75" customHeight="1">
      <c r="A7883" s="12" t="s">
        <v>16609</v>
      </c>
      <c r="B7883" s="13" t="s">
        <v>16610</v>
      </c>
      <c r="C7883" s="14" t="s">
        <v>16611</v>
      </c>
      <c r="D7883" s="1" t="str">
        <f>IFERROR(__xludf.DUMMYFUNCTION("GOOGLETRANSLATE(A7883 , ""auto"", ""ar"")"),"ماذا تقصد بالتايلاندية؟")</f>
        <v>ماذا تقصد بالتايلاندية؟</v>
      </c>
    </row>
    <row r="7884" ht="15.75" customHeight="1">
      <c r="A7884" s="12" t="s">
        <v>16612</v>
      </c>
      <c r="B7884" s="13" t="s">
        <v>16613</v>
      </c>
      <c r="C7884" s="14" t="s">
        <v>16614</v>
      </c>
      <c r="D7884" s="1" t="str">
        <f>IFERROR(__xludf.DUMMYFUNCTION("GOOGLETRANSLATE(A7884 , ""auto"", ""ar"")"),"يمكننا دعوة مجموعة اليوغا لدينا ونادي Glee")</f>
        <v>يمكننا دعوة مجموعة اليوغا لدينا ونادي Glee</v>
      </c>
    </row>
    <row r="7885" ht="15.75" customHeight="1">
      <c r="A7885" s="12" t="s">
        <v>16615</v>
      </c>
      <c r="B7885" s="13" t="s">
        <v>16616</v>
      </c>
      <c r="C7885" s="14" t="s">
        <v>16617</v>
      </c>
      <c r="D7885" s="1" t="str">
        <f>IFERROR(__xludf.DUMMYFUNCTION("GOOGLETRANSLATE(A7885 , ""auto"", ""ar"")"),"مطعم تايلاندي")</f>
        <v>مطعم تايلاندي</v>
      </c>
    </row>
    <row r="7886" ht="15.75" customHeight="1">
      <c r="A7886" s="12" t="s">
        <v>16618</v>
      </c>
      <c r="B7886" s="13" t="s">
        <v>16619</v>
      </c>
      <c r="C7886" s="14" t="s">
        <v>16620</v>
      </c>
      <c r="D7886" s="1" t="str">
        <f>IFERROR(__xludf.DUMMYFUNCTION("GOOGLETRANSLATE(A7886 , ""auto"", ""ar"")"),"أعرف اثنين من المطاعم التايلاندية لكنها ليست رخيصة")</f>
        <v>أعرف اثنين من المطاعم التايلاندية لكنها ليست رخيصة</v>
      </c>
    </row>
    <row r="7887" ht="15.75" customHeight="1">
      <c r="A7887" s="12" t="s">
        <v>16621</v>
      </c>
      <c r="B7887" s="13" t="s">
        <v>16622</v>
      </c>
      <c r="C7887" s="14" t="s">
        <v>16623</v>
      </c>
      <c r="D7887" s="1" t="str">
        <f>IFERROR(__xludf.DUMMYFUNCTION("GOOGLETRANSLATE(A7887 , ""auto"", ""ar"")"),"ألا تعرف أي مكان؟")</f>
        <v>ألا تعرف أي مكان؟</v>
      </c>
    </row>
    <row r="7888" ht="15.75" customHeight="1">
      <c r="A7888" s="12" t="s">
        <v>16624</v>
      </c>
      <c r="B7888" s="13" t="s">
        <v>16625</v>
      </c>
      <c r="C7888" s="14" t="s">
        <v>16626</v>
      </c>
      <c r="D7888" s="1" t="str">
        <f>IFERROR(__xludf.DUMMYFUNCTION("GOOGLETRANSLATE(A7888 , ""auto"", ""ar"")"),"أعتقد أن هناك واحدة في الميناء القديم")</f>
        <v>أعتقد أن هناك واحدة في الميناء القديم</v>
      </c>
    </row>
    <row r="7889" ht="15.75" customHeight="1">
      <c r="A7889" s="12" t="s">
        <v>16627</v>
      </c>
      <c r="B7889" s="13" t="s">
        <v>16628</v>
      </c>
      <c r="C7889" s="14" t="s">
        <v>16629</v>
      </c>
      <c r="D7889" s="1" t="str">
        <f>IFERROR(__xludf.DUMMYFUNCTION("GOOGLETRANSLATE(A7889 , ""auto"", ""ar"")"),"سانظر بداخلها")</f>
        <v>سانظر بداخلها</v>
      </c>
    </row>
    <row r="7890" ht="15.75" customHeight="1">
      <c r="A7890" s="12" t="s">
        <v>16630</v>
      </c>
      <c r="B7890" s="13" t="s">
        <v>16631</v>
      </c>
      <c r="C7890" s="14" t="s">
        <v>16632</v>
      </c>
      <c r="D7890" s="1" t="str">
        <f>IFERROR(__xludf.DUMMYFUNCTION("GOOGLETRANSLATE(A7890 , ""auto"", ""ar"")"),"نعم سأفعل ذلك")</f>
        <v>نعم سأفعل ذلك</v>
      </c>
    </row>
    <row r="7891" ht="15.75" customHeight="1">
      <c r="A7891" s="12" t="s">
        <v>16633</v>
      </c>
      <c r="B7891" s="13" t="s">
        <v>16634</v>
      </c>
      <c r="C7891" s="14" t="s">
        <v>16635</v>
      </c>
      <c r="D7891" s="1" t="str">
        <f>IFERROR(__xludf.DUMMYFUNCTION("GOOGLETRANSLATE(A7891 , ""auto"", ""ar"")"),"هل يمكنني دعوتهم جميعًا؟")</f>
        <v>هل يمكنني دعوتهم جميعًا؟</v>
      </c>
    </row>
    <row r="7892" ht="15.75" customHeight="1">
      <c r="A7892" s="12" t="s">
        <v>16636</v>
      </c>
      <c r="B7892" s="13" t="s">
        <v>16637</v>
      </c>
      <c r="C7892" s="14" t="s">
        <v>16638</v>
      </c>
      <c r="D7892" s="1" t="str">
        <f>IFERROR(__xludf.DUMMYFUNCTION("GOOGLETRANSLATE(A7892 , ""auto"", ""ar"")"),"هناك أكثر من ثلاثين شخصًا في فصل اليوغا")</f>
        <v>هناك أكثر من ثلاثين شخصًا في فصل اليوغا</v>
      </c>
    </row>
    <row r="7893" ht="15.75" customHeight="1">
      <c r="A7893" s="12" t="s">
        <v>16639</v>
      </c>
      <c r="B7893" s="13" t="s">
        <v>16640</v>
      </c>
      <c r="C7893" s="14" t="s">
        <v>16641</v>
      </c>
      <c r="D7893" s="1" t="str">
        <f>IFERROR(__xludf.DUMMYFUNCTION("GOOGLETRANSLATE(A7893 , ""auto"", ""ar"")"),"أوه ، لا!")</f>
        <v>أوه ، لا!</v>
      </c>
    </row>
    <row r="7894" ht="15.75" customHeight="1">
      <c r="A7894" s="12" t="s">
        <v>16642</v>
      </c>
      <c r="B7894" s="13" t="s">
        <v>16643</v>
      </c>
      <c r="C7894" s="14" t="s">
        <v>16644</v>
      </c>
      <c r="D7894" s="1" t="str">
        <f>IFERROR(__xludf.DUMMYFUNCTION("GOOGLETRANSLATE(A7894 , ""auto"", ""ar"")"),"فرقة الثلاثاء")</f>
        <v>فرقة الثلاثاء</v>
      </c>
    </row>
    <row r="7895" ht="15.75" customHeight="1">
      <c r="A7895" s="12" t="s">
        <v>16645</v>
      </c>
      <c r="B7895" s="13" t="s">
        <v>16646</v>
      </c>
      <c r="C7895" s="14" t="s">
        <v>16647</v>
      </c>
      <c r="D7895" s="1" t="str">
        <f>IFERROR(__xludf.DUMMYFUNCTION("GOOGLETRANSLATE(A7895 , ""auto"", ""ar"")"),"كما تعلمون ، إنها 8 فقط يوم الثلاثاء")</f>
        <v>كما تعلمون ، إنها 8 فقط يوم الثلاثاء</v>
      </c>
    </row>
    <row r="7896" ht="15.75" customHeight="1">
      <c r="A7896" s="12" t="s">
        <v>16648</v>
      </c>
      <c r="B7896" s="13" t="s">
        <v>16649</v>
      </c>
      <c r="C7896" s="14" t="s">
        <v>16650</v>
      </c>
      <c r="D7896" s="1" t="str">
        <f>IFERROR(__xludf.DUMMYFUNCTION("GOOGLETRANSLATE(A7896 , ""auto"", ""ar"")"),"البقية منا لا يعرفونهم جيدًا")</f>
        <v>البقية منا لا يعرفونهم جيدًا</v>
      </c>
    </row>
    <row r="7897" ht="15.75" customHeight="1">
      <c r="A7897" s="12" t="s">
        <v>16651</v>
      </c>
      <c r="B7897" s="13" t="s">
        <v>16652</v>
      </c>
      <c r="C7897" s="14" t="s">
        <v>16653</v>
      </c>
      <c r="D7897" s="1" t="str">
        <f>IFERROR(__xludf.DUMMYFUNCTION("GOOGLETRANSLATE(A7897 , ""auto"", ""ar"")"),"أعتني بالمطعم وأنت تدعو الأصدقاء")</f>
        <v>أعتني بالمطعم وأنت تدعو الأصدقاء</v>
      </c>
    </row>
    <row r="7898" ht="15.75" customHeight="1">
      <c r="A7898" s="12" t="s">
        <v>16654</v>
      </c>
      <c r="B7898" s="13" t="s">
        <v>16655</v>
      </c>
      <c r="C7898" s="14" t="s">
        <v>16656</v>
      </c>
      <c r="D7898" s="1" t="str">
        <f>IFERROR(__xludf.DUMMYFUNCTION("GOOGLETRANSLATE(A7898 , ""auto"", ""ar"")"),"وسنتحدث عنها غدا؟")</f>
        <v>وسنتحدث عنها غدا؟</v>
      </c>
    </row>
    <row r="7899" ht="15.75" customHeight="1">
      <c r="A7899" s="12" t="s">
        <v>16657</v>
      </c>
      <c r="B7899" s="13" t="s">
        <v>16658</v>
      </c>
      <c r="C7899" s="14" t="s">
        <v>16659</v>
      </c>
      <c r="D7899" s="1" t="str">
        <f>IFERROR(__xludf.DUMMYFUNCTION("GOOGLETRANSLATE(A7899 , ""auto"", ""ar"")"),"يا لهم!")</f>
        <v>يا لهم!</v>
      </c>
    </row>
    <row r="7900" ht="15.75" customHeight="1">
      <c r="A7900" s="12" t="s">
        <v>16660</v>
      </c>
      <c r="B7900" s="13" t="s">
        <v>16661</v>
      </c>
      <c r="C7900" s="14" t="s">
        <v>16662</v>
      </c>
      <c r="D7900" s="1" t="str">
        <f>IFERROR(__xludf.DUMMYFUNCTION("GOOGLETRANSLATE(A7900 , ""auto"", ""ar"")"),"سعيد لأنني سألت")</f>
        <v>سعيد لأنني سألت</v>
      </c>
    </row>
    <row r="7901" ht="15.75" customHeight="1">
      <c r="A7901" s="12" t="s">
        <v>16663</v>
      </c>
      <c r="B7901" s="13" t="s">
        <v>16664</v>
      </c>
      <c r="C7901" s="14" t="s">
        <v>16665</v>
      </c>
      <c r="D7901" s="1" t="str">
        <f>IFERROR(__xludf.DUMMYFUNCTION("GOOGLETRANSLATE(A7901 , ""auto"", ""ar"")"),"نعم سأتواصل معهم من أجلك")</f>
        <v>نعم سأتواصل معهم من أجلك</v>
      </c>
    </row>
    <row r="7902" ht="15.75" customHeight="1">
      <c r="A7902" s="12" t="s">
        <v>16666</v>
      </c>
      <c r="B7902" s="13" t="s">
        <v>16667</v>
      </c>
      <c r="C7902" s="14" t="s">
        <v>16668</v>
      </c>
      <c r="D7902" s="1" t="str">
        <f>IFERROR(__xludf.DUMMYFUNCTION("GOOGLETRANSLATE(A7902 , ""auto"", ""ar"")"),"يمكنك استخدام شقتي")</f>
        <v>يمكنك استخدام شقتي</v>
      </c>
    </row>
    <row r="7903" ht="15.75" customHeight="1">
      <c r="A7903" s="12" t="s">
        <v>16669</v>
      </c>
      <c r="B7903" s="13" t="s">
        <v>16670</v>
      </c>
      <c r="C7903" s="14" t="s">
        <v>16671</v>
      </c>
      <c r="D7903" s="1" t="str">
        <f>IFERROR(__xludf.DUMMYFUNCTION("GOOGLETRANSLATE(A7903 , ""auto"", ""ar"")"),"هذه فكرة عظيمة!")</f>
        <v>هذه فكرة عظيمة!</v>
      </c>
    </row>
    <row r="7904" ht="15.75" customHeight="1">
      <c r="A7904" s="12" t="s">
        <v>16672</v>
      </c>
      <c r="B7904" s="13" t="s">
        <v>16673</v>
      </c>
      <c r="C7904" s="14" t="s">
        <v>16674</v>
      </c>
      <c r="D7904" s="1" t="str">
        <f>IFERROR(__xludf.DUMMYFUNCTION("GOOGLETRANSLATE(A7904 , ""auto"", ""ar"")"),"أنت لا تمانع؟")</f>
        <v>أنت لا تمانع؟</v>
      </c>
    </row>
    <row r="7905" ht="15.75" customHeight="1">
      <c r="A7905" s="12" t="s">
        <v>16675</v>
      </c>
      <c r="B7905" s="13" t="s">
        <v>16676</v>
      </c>
      <c r="C7905" s="14" t="s">
        <v>16677</v>
      </c>
      <c r="D7905" s="1" t="str">
        <f>IFERROR(__xludf.DUMMYFUNCTION("GOOGLETRANSLATE(A7905 , ""auto"", ""ar"")"),"وقد يأتي جيرارد")</f>
        <v>وقد يأتي جيرارد</v>
      </c>
    </row>
    <row r="7906" ht="15.75" customHeight="1">
      <c r="A7906" s="12" t="s">
        <v>16678</v>
      </c>
      <c r="B7906" s="13" t="s">
        <v>16679</v>
      </c>
      <c r="C7906" s="14" t="s">
        <v>16680</v>
      </c>
      <c r="D7906" s="1" t="str">
        <f>IFERROR(__xludf.DUMMYFUNCTION("GOOGLETRANSLATE(A7906 , ""auto"", ""ar"")"),"أنت لا تعرف أبدا")</f>
        <v>أنت لا تعرف أبدا</v>
      </c>
    </row>
    <row r="7907" ht="15.75" customHeight="1">
      <c r="A7907" s="12" t="s">
        <v>16681</v>
      </c>
      <c r="B7907" s="13" t="s">
        <v>16682</v>
      </c>
      <c r="C7907" s="14" t="s">
        <v>16683</v>
      </c>
      <c r="D7907" s="1" t="str">
        <f>IFERROR(__xludf.DUMMYFUNCTION("GOOGLETRANSLATE(A7907 , ""auto"", ""ar"")"),"إذا كنت تعرف ما أعنيه")</f>
        <v>إذا كنت تعرف ما أعنيه</v>
      </c>
    </row>
    <row r="7908" ht="15.75" customHeight="1">
      <c r="A7908" s="12" t="s">
        <v>16684</v>
      </c>
      <c r="B7908" s="13" t="s">
        <v>16685</v>
      </c>
      <c r="C7908" s="14" t="s">
        <v>16686</v>
      </c>
      <c r="D7908" s="1" t="str">
        <f>IFERROR(__xludf.DUMMYFUNCTION("GOOGLETRANSLATE(A7908 , ""auto"", ""ar"")"),"عظيم ، دعونا نفعل ذلك بهذه الطريقة!")</f>
        <v>عظيم ، دعونا نفعل ذلك بهذه الطريقة!</v>
      </c>
    </row>
    <row r="7909" ht="15.75" customHeight="1">
      <c r="A7909" s="12" t="s">
        <v>16687</v>
      </c>
      <c r="B7909" s="13" t="s">
        <v>16688</v>
      </c>
      <c r="C7909" s="14" t="s">
        <v>16689</v>
      </c>
      <c r="D7909" s="1" t="str">
        <f>IFERROR(__xludf.DUMMYFUNCTION("GOOGLETRANSLATE(A7909 , ""auto"", ""ar"")"),"ويمكننا الطهي معًا في الصباح!")</f>
        <v>ويمكننا الطهي معًا في الصباح!</v>
      </c>
    </row>
    <row r="7910" ht="15.75" customHeight="1">
      <c r="A7910" s="12" t="s">
        <v>16690</v>
      </c>
      <c r="B7910" s="13" t="s">
        <v>16691</v>
      </c>
      <c r="C7910" s="14" t="s">
        <v>16692</v>
      </c>
      <c r="D7910" s="1" t="str">
        <f>IFERROR(__xludf.DUMMYFUNCTION("GOOGLETRANSLATE(A7910 , ""auto"", ""ar"")"),"لا استطيع الانتظار!")</f>
        <v>لا استطيع الانتظار!</v>
      </c>
    </row>
    <row r="7911" ht="15.75" customHeight="1">
      <c r="A7911" s="12" t="s">
        <v>16693</v>
      </c>
      <c r="B7911" s="13" t="s">
        <v>16694</v>
      </c>
      <c r="C7911" s="14" t="s">
        <v>16695</v>
      </c>
      <c r="D7911" s="1" t="str">
        <f>IFERROR(__xludf.DUMMYFUNCTION("GOOGLETRANSLATE(A7911 , ""auto"", ""ar"")"),"هل يمكنني التحدث معك غدًا لإكمال المنظمة؟")</f>
        <v>هل يمكنني التحدث معك غدًا لإكمال المنظمة؟</v>
      </c>
    </row>
    <row r="7912" ht="15.75" customHeight="1">
      <c r="A7912" s="12" t="s">
        <v>16696</v>
      </c>
      <c r="B7912" s="13" t="s">
        <v>16697</v>
      </c>
      <c r="C7912" s="14" t="s">
        <v>16698</v>
      </c>
      <c r="D7912" s="1" t="str">
        <f>IFERROR(__xludf.DUMMYFUNCTION("GOOGLETRANSLATE(A7912 , ""auto"", ""ar"")"),"يطبخ؟")</f>
        <v>يطبخ؟</v>
      </c>
    </row>
    <row r="7913" ht="15.75" customHeight="1">
      <c r="A7913" s="12" t="s">
        <v>16699</v>
      </c>
      <c r="B7913" s="13" t="s">
        <v>16700</v>
      </c>
      <c r="C7913" s="14" t="s">
        <v>16701</v>
      </c>
      <c r="D7913" s="1" t="str">
        <f>IFERROR(__xludf.DUMMYFUNCTION("GOOGLETRANSLATE(A7913 , ""auto"", ""ar"")"),"تلك ربما تكون مشكلة")</f>
        <v>تلك ربما تكون مشكلة</v>
      </c>
    </row>
    <row r="7914" ht="15.75" customHeight="1">
      <c r="A7914" s="12" t="s">
        <v>16702</v>
      </c>
      <c r="B7914" s="13" t="s">
        <v>16703</v>
      </c>
      <c r="C7914" s="14" t="s">
        <v>16704</v>
      </c>
      <c r="D7914" s="1" t="str">
        <f>IFERROR(__xludf.DUMMYFUNCTION("GOOGLETRANSLATE(A7914 , ""auto"", ""ar"")"),"لكن ليس لدي وقت لأخبرك لماذا")</f>
        <v>لكن ليس لدي وقت لأخبرك لماذا</v>
      </c>
    </row>
    <row r="7915" ht="15.75" customHeight="1">
      <c r="A7915" s="12" t="s">
        <v>16705</v>
      </c>
      <c r="B7915" s="13" t="s">
        <v>16706</v>
      </c>
      <c r="C7915" s="14" t="s">
        <v>16707</v>
      </c>
      <c r="D7915" s="1" t="str">
        <f>IFERROR(__xludf.DUMMYFUNCTION("GOOGLETRANSLATE(A7915 , ""auto"", ""ar"")"),"ماذا عن طلب الطعام التايلاندي من هذا المطعم؟")</f>
        <v>ماذا عن طلب الطعام التايلاندي من هذا المطعم؟</v>
      </c>
    </row>
    <row r="7916" ht="15.75" customHeight="1">
      <c r="A7916" s="12" t="s">
        <v>16708</v>
      </c>
      <c r="B7916" s="13" t="s">
        <v>16709</v>
      </c>
      <c r="C7916" s="14" t="s">
        <v>16710</v>
      </c>
      <c r="D7916" s="1" t="str">
        <f>IFERROR(__xludf.DUMMYFUNCTION("GOOGLETRANSLATE(A7916 , ""auto"", ""ar"")"),"يجب على  أن أذهب!")</f>
        <v>يجب على  أن أذهب!</v>
      </c>
    </row>
    <row r="7917" ht="15.75" customHeight="1">
      <c r="A7917" s="12" t="s">
        <v>16711</v>
      </c>
      <c r="B7917" s="13" t="s">
        <v>16712</v>
      </c>
      <c r="C7917" s="14" t="s">
        <v>16713</v>
      </c>
      <c r="D7917" s="1" t="str">
        <f>IFERROR(__xludf.DUMMYFUNCTION("GOOGLETRANSLATE(A7917 , ""auto"", ""ar"")"),"دعنا نتحدث غدا")</f>
        <v>دعنا نتحدث غدا</v>
      </c>
    </row>
    <row r="7918" ht="15.75" customHeight="1">
      <c r="A7918" s="12" t="s">
        <v>16714</v>
      </c>
      <c r="B7918" s="13" t="s">
        <v>16715</v>
      </c>
      <c r="C7918" s="14" t="s">
        <v>16716</v>
      </c>
      <c r="D7918" s="1" t="str">
        <f>IFERROR(__xludf.DUMMYFUNCTION("GOOGLETRANSLATE(A7918 , ""auto"", ""ar"")"),"سنجد حلاً")</f>
        <v>سنجد حلاً</v>
      </c>
    </row>
    <row r="7919" ht="15.75" customHeight="1">
      <c r="A7919" s="12" t="s">
        <v>16717</v>
      </c>
      <c r="B7919" s="13" t="s">
        <v>16718</v>
      </c>
      <c r="C7919" s="14" t="s">
        <v>16719</v>
      </c>
      <c r="D7919" s="1" t="str">
        <f>IFERROR(__xludf.DUMMYFUNCTION("GOOGLETRANSLATE(A7919 , ""auto"", ""ar"")"),"أراك غدا!")</f>
        <v>أراك غدا!</v>
      </c>
    </row>
    <row r="7920" ht="15.75" customHeight="1">
      <c r="A7920" s="12" t="s">
        <v>16720</v>
      </c>
      <c r="B7920" s="13" t="s">
        <v>16721</v>
      </c>
      <c r="C7920" s="14" t="s">
        <v>16722</v>
      </c>
      <c r="D7920" s="1" t="str">
        <f>IFERROR(__xludf.DUMMYFUNCTION("GOOGLETRANSLATE(A7920 , ""auto"", ""ar"")"),"هل سبق لي أن رأيتك حول تلك البركة؟")</f>
        <v>هل سبق لي أن رأيتك حول تلك البركة؟</v>
      </c>
    </row>
    <row r="7921" ht="15.75" customHeight="1">
      <c r="A7921" s="12" t="s">
        <v>16723</v>
      </c>
      <c r="B7921" s="13" t="s">
        <v>16724</v>
      </c>
      <c r="C7921" s="14" t="s">
        <v>16725</v>
      </c>
      <c r="D7921" s="1" t="str">
        <f>IFERROR(__xludf.DUMMYFUNCTION("GOOGLETRANSLATE(A7921 , ""auto"", ""ar"")"),"ألم يكن بالأمس؟")</f>
        <v>ألم يكن بالأمس؟</v>
      </c>
    </row>
    <row r="7922" ht="15.75" customHeight="1">
      <c r="A7922" s="12" t="s">
        <v>4603</v>
      </c>
      <c r="B7922" s="13" t="s">
        <v>14005</v>
      </c>
      <c r="C7922" s="14" t="s">
        <v>14006</v>
      </c>
      <c r="D7922" s="1" t="str">
        <f>IFERROR(__xludf.DUMMYFUNCTION("GOOGLETRANSLATE(A7922 , ""auto"", ""ar"")"),"ربما")</f>
        <v>ربما</v>
      </c>
    </row>
    <row r="7923" ht="15.75" customHeight="1">
      <c r="A7923" s="12" t="s">
        <v>16726</v>
      </c>
      <c r="B7923" s="13" t="s">
        <v>16727</v>
      </c>
      <c r="C7923" s="14" t="s">
        <v>16728</v>
      </c>
      <c r="D7923" s="1" t="str">
        <f>IFERROR(__xludf.DUMMYFUNCTION("GOOGLETRANSLATE(A7923 , ""auto"", ""ar"")"),"أميل إلى الحفاظ على نفسي")</f>
        <v>أميل إلى الحفاظ على نفسي</v>
      </c>
    </row>
    <row r="7924" ht="15.75" customHeight="1">
      <c r="A7924" s="12" t="s">
        <v>16729</v>
      </c>
      <c r="B7924" s="13" t="s">
        <v>16730</v>
      </c>
      <c r="C7924" s="14" t="s">
        <v>16731</v>
      </c>
      <c r="D7924" s="1" t="str">
        <f>IFERROR(__xludf.DUMMYFUNCTION("GOOGLETRANSLATE(A7924 , ""auto"", ""ar"")"),"أتيت إلى هنا كل يوم ، لذا ربما تراني")</f>
        <v>أتيت إلى هنا كل يوم ، لذا ربما تراني</v>
      </c>
    </row>
    <row r="7925" ht="15.75" customHeight="1">
      <c r="A7925" s="12" t="s">
        <v>16732</v>
      </c>
      <c r="B7925" s="13" t="s">
        <v>16733</v>
      </c>
      <c r="C7925" s="14" t="s">
        <v>16734</v>
      </c>
      <c r="D7925" s="1" t="str">
        <f>IFERROR(__xludf.DUMMYFUNCTION("GOOGLETRANSLATE(A7925 , ""auto"", ""ar"")"),"أحب أن آتي إلى هذه الحديقة أيضًا")</f>
        <v>أحب أن آتي إلى هذه الحديقة أيضًا</v>
      </c>
    </row>
    <row r="7926" ht="15.75" customHeight="1">
      <c r="A7926" s="12" t="s">
        <v>16735</v>
      </c>
      <c r="B7926" s="13" t="s">
        <v>16736</v>
      </c>
      <c r="C7926" s="14" t="s">
        <v>16737</v>
      </c>
      <c r="D7926" s="1" t="str">
        <f>IFERROR(__xludf.DUMMYFUNCTION("GOOGLETRANSLATE(A7926 , ""auto"", ""ar"")"),"أعتقد أن المكان هادئ حقًا")</f>
        <v>أعتقد أن المكان هادئ حقًا</v>
      </c>
    </row>
    <row r="7927" ht="15.75" customHeight="1">
      <c r="A7927" s="12" t="s">
        <v>16738</v>
      </c>
      <c r="B7927" s="13" t="s">
        <v>16739</v>
      </c>
      <c r="C7927" s="14" t="s">
        <v>16740</v>
      </c>
      <c r="D7927" s="1" t="str">
        <f>IFERROR(__xludf.DUMMYFUNCTION("GOOGLETRANSLATE(A7927 , ""auto"", ""ar"")"),"أتمنى لو لم يضعوا في الملعب على الجانب الآخر")</f>
        <v>أتمنى لو لم يضعوا في الملعب على الجانب الآخر</v>
      </c>
    </row>
    <row r="7928" ht="15.75" customHeight="1">
      <c r="A7928" s="12" t="s">
        <v>16741</v>
      </c>
      <c r="B7928" s="13" t="s">
        <v>16742</v>
      </c>
      <c r="C7928" s="14" t="s">
        <v>16743</v>
      </c>
      <c r="D7928" s="1" t="str">
        <f>IFERROR(__xludf.DUMMYFUNCTION("GOOGLETRANSLATE(A7928 , ""auto"", ""ar"")"),"الأطفال صاخبون للغاية ، أخشى أنهم سوف يخيفون فراخ البط")</f>
        <v>الأطفال صاخبون للغاية ، أخشى أنهم سوف يخيفون فراخ البط</v>
      </c>
    </row>
    <row r="7929" ht="15.75" customHeight="1">
      <c r="A7929" s="12" t="s">
        <v>16744</v>
      </c>
      <c r="B7929" s="13" t="s">
        <v>16745</v>
      </c>
      <c r="C7929" s="14" t="s">
        <v>16746</v>
      </c>
      <c r="D7929" s="1" t="str">
        <f>IFERROR(__xludf.DUMMYFUNCTION("GOOGLETRANSLATE(A7929 , ""auto"", ""ar"")"),"أعتقد أنهم يخططون لعبة كرة قدم اليوم بين أحياء المدينة المختلفة")</f>
        <v>أعتقد أنهم يخططون لعبة كرة قدم اليوم بين أحياء المدينة المختلفة</v>
      </c>
    </row>
    <row r="7930" ht="15.75" customHeight="1">
      <c r="A7930" s="12" t="s">
        <v>16747</v>
      </c>
      <c r="B7930" s="13" t="s">
        <v>16748</v>
      </c>
      <c r="C7930" s="14" t="s">
        <v>16749</v>
      </c>
      <c r="D7930" s="1" t="str">
        <f>IFERROR(__xludf.DUMMYFUNCTION("GOOGLETRANSLATE(A7930 , ""auto"", ""ar"")"),"ماذا؟!")</f>
        <v>ماذا؟!</v>
      </c>
    </row>
    <row r="7931" ht="15.75" customHeight="1">
      <c r="A7931" s="12" t="s">
        <v>16750</v>
      </c>
      <c r="B7931" s="13" t="s">
        <v>16751</v>
      </c>
      <c r="C7931" s="14" t="s">
        <v>16752</v>
      </c>
      <c r="D7931" s="1" t="str">
        <f>IFERROR(__xludf.DUMMYFUNCTION("GOOGLETRANSLATE(A7931 , ""auto"", ""ar"")"),"هذا مثير للسخرية!")</f>
        <v>هذا مثير للسخرية!</v>
      </c>
    </row>
    <row r="7932" ht="15.75" customHeight="1">
      <c r="A7932" s="12" t="s">
        <v>16753</v>
      </c>
      <c r="B7932" s="13" t="s">
        <v>16754</v>
      </c>
      <c r="C7932" s="14" t="s">
        <v>16755</v>
      </c>
      <c r="D7932" s="1" t="str">
        <f>IFERROR(__xludf.DUMMYFUNCTION("GOOGLETRANSLATE(A7932 , ""auto"", ""ar"")"),"هناك ملاعب لهذا النوع من الشنيغان")</f>
        <v>هناك ملاعب لهذا النوع من الشنيغان</v>
      </c>
    </row>
    <row r="7933" ht="15.75" customHeight="1">
      <c r="A7933" s="12" t="s">
        <v>16756</v>
      </c>
      <c r="B7933" s="13" t="s">
        <v>16757</v>
      </c>
      <c r="C7933" s="14" t="s">
        <v>16758</v>
      </c>
      <c r="D7933" s="1" t="str">
        <f>IFERROR(__xludf.DUMMYFUNCTION("GOOGLETRANSLATE(A7933 , ""auto"", ""ar"")"),"أعتقد أن الفريق البلدي الجديد يريد تعزيز التبادل")</f>
        <v>أعتقد أن الفريق البلدي الجديد يريد تعزيز التبادل</v>
      </c>
    </row>
    <row r="7934" ht="15.75" customHeight="1">
      <c r="A7934" s="12" t="s">
        <v>16759</v>
      </c>
      <c r="B7934" s="13" t="s">
        <v>16760</v>
      </c>
      <c r="C7934" s="14" t="s">
        <v>16761</v>
      </c>
      <c r="D7934" s="1" t="str">
        <f>IFERROR(__xludf.DUMMYFUNCTION("GOOGLETRANSLATE(A7934 , ""auto"", ""ar"")"),"تبادل البرامج مع الطلاب الأجانب")</f>
        <v>تبادل البرامج مع الطلاب الأجانب</v>
      </c>
    </row>
    <row r="7935" ht="15.75" customHeight="1">
      <c r="A7935" s="12" t="s">
        <v>16762</v>
      </c>
      <c r="B7935" s="13" t="s">
        <v>16763</v>
      </c>
      <c r="C7935" s="14" t="s">
        <v>16764</v>
      </c>
      <c r="D7935" s="1" t="str">
        <f>IFERROR(__xludf.DUMMYFUNCTION("GOOGLETRANSLATE(A7935 , ""auto"", ""ar"")"),"أي نوع من التبادل تقصد؟")</f>
        <v>أي نوع من التبادل تقصد؟</v>
      </c>
    </row>
    <row r="7936" ht="15.75" customHeight="1">
      <c r="A7936" s="12" t="s">
        <v>16765</v>
      </c>
      <c r="B7936" s="13" t="s">
        <v>16766</v>
      </c>
      <c r="C7936" s="14" t="s">
        <v>16767</v>
      </c>
      <c r="D7936" s="1" t="str">
        <f>IFERROR(__xludf.DUMMYFUNCTION("GOOGLETRANSLATE(A7936 , ""auto"", ""ar"")"),"ولا حتى قريب")</f>
        <v>ولا حتى قريب</v>
      </c>
    </row>
    <row r="7937" ht="15.75" customHeight="1">
      <c r="A7937" s="12" t="s">
        <v>16768</v>
      </c>
      <c r="B7937" s="13" t="s">
        <v>16769</v>
      </c>
      <c r="C7937" s="14" t="s">
        <v>16770</v>
      </c>
      <c r="D7937" s="1" t="str">
        <f>IFERROR(__xludf.DUMMYFUNCTION("GOOGLETRANSLATE(A7937 , ""auto"", ""ar"")"),"فقط أطفال الأحياء المختلفة")</f>
        <v>فقط أطفال الأحياء المختلفة</v>
      </c>
    </row>
    <row r="7938" ht="15.75" customHeight="1">
      <c r="A7938" s="12" t="s">
        <v>16771</v>
      </c>
      <c r="B7938" s="13" t="s">
        <v>16772</v>
      </c>
      <c r="C7938" s="14" t="s">
        <v>16773</v>
      </c>
      <c r="D7938" s="1" t="str">
        <f>IFERROR(__xludf.DUMMYFUNCTION("GOOGLETRANSLATE(A7938 , ""auto"", ""ar"")"),"حسنا، هذا جميل")</f>
        <v>حسنا، هذا جميل</v>
      </c>
    </row>
    <row r="7939" ht="15.75" customHeight="1">
      <c r="A7939" s="12" t="s">
        <v>16774</v>
      </c>
      <c r="B7939" s="13" t="s">
        <v>16775</v>
      </c>
      <c r="C7939" s="14" t="s">
        <v>16776</v>
      </c>
      <c r="D7939" s="1" t="str">
        <f>IFERROR(__xludf.DUMMYFUNCTION("GOOGLETRANSLATE(A7939 , ""auto"", ""ar"")"),"آمل فقط ألا يصنعوا الكثير من المشاجرة")</f>
        <v>آمل فقط ألا يصنعوا الكثير من المشاجرة</v>
      </c>
    </row>
    <row r="7940" ht="15.75" customHeight="1">
      <c r="A7940" s="12" t="s">
        <v>16777</v>
      </c>
      <c r="B7940" s="13" t="s">
        <v>16450</v>
      </c>
      <c r="C7940" s="14" t="s">
        <v>16451</v>
      </c>
      <c r="D7940" s="1" t="str">
        <f>IFERROR(__xludf.DUMMYFUNCTION("GOOGLETRANSLATE(A7940 , ""auto"", ""ar"")"),"ها أنت ذا")</f>
        <v>ها أنت ذا</v>
      </c>
    </row>
    <row r="7941" ht="15.75" customHeight="1">
      <c r="A7941" s="12" t="s">
        <v>16778</v>
      </c>
      <c r="B7941" s="13" t="s">
        <v>16779</v>
      </c>
      <c r="C7941" s="14" t="s">
        <v>16780</v>
      </c>
      <c r="D7941" s="1" t="str">
        <f>IFERROR(__xludf.DUMMYFUNCTION("GOOGLETRANSLATE(A7941 , ""auto"", ""ar"")"),"صحيح أن قضايا الأمن قد ارتفعت")</f>
        <v>صحيح أن قضايا الأمن قد ارتفعت</v>
      </c>
    </row>
    <row r="7942" ht="15.75" customHeight="1">
      <c r="A7942" s="12" t="s">
        <v>16781</v>
      </c>
      <c r="B7942" s="13" t="s">
        <v>16782</v>
      </c>
      <c r="C7942" s="14" t="s">
        <v>16783</v>
      </c>
      <c r="D7942" s="1" t="str">
        <f>IFERROR(__xludf.DUMMYFUNCTION("GOOGLETRANSLATE(A7942 , ""auto"", ""ar"")"),"أتمنى أن يعمل")</f>
        <v>أتمنى أن يعمل</v>
      </c>
    </row>
    <row r="7943" ht="15.75" customHeight="1">
      <c r="A7943" s="12" t="s">
        <v>16784</v>
      </c>
      <c r="B7943" s="13" t="s">
        <v>16785</v>
      </c>
      <c r="C7943" s="14" t="s">
        <v>16786</v>
      </c>
      <c r="D7943" s="1" t="str">
        <f>IFERROR(__xludf.DUMMYFUNCTION("GOOGLETRANSLATE(A7943 , ""auto"", ""ar"")"),"صحيح")</f>
        <v>صحيح</v>
      </c>
    </row>
    <row r="7944" ht="15.75" customHeight="1">
      <c r="A7944" s="12" t="s">
        <v>16787</v>
      </c>
      <c r="B7944" s="13" t="s">
        <v>16788</v>
      </c>
      <c r="C7944" s="14" t="s">
        <v>16789</v>
      </c>
      <c r="D7944" s="1" t="str">
        <f>IFERROR(__xludf.DUMMYFUNCTION("GOOGLETRANSLATE(A7944 , ""auto"", ""ar"")"),"نحن جميعًا مجبرون على العيش معًا")</f>
        <v>نحن جميعًا مجبرون على العيش معًا</v>
      </c>
    </row>
    <row r="7945" ht="15.75" customHeight="1">
      <c r="A7945" s="12" t="s">
        <v>16790</v>
      </c>
      <c r="B7945" s="13" t="s">
        <v>16791</v>
      </c>
      <c r="C7945" s="14" t="s">
        <v>16792</v>
      </c>
      <c r="D7945" s="1" t="str">
        <f>IFERROR(__xludf.DUMMYFUNCTION("GOOGLETRANSLATE(A7945 , ""auto"", ""ar"")"),"كما يقولون ، إذا كنت لا تحب العيش هنا ، فابحث في مكان آخر")</f>
        <v>كما يقولون ، إذا كنت لا تحب العيش هنا ، فابحث في مكان آخر</v>
      </c>
    </row>
    <row r="7946" ht="15.75" customHeight="1">
      <c r="A7946" s="12" t="s">
        <v>16793</v>
      </c>
      <c r="B7946" s="13" t="s">
        <v>16794</v>
      </c>
      <c r="C7946" s="14" t="s">
        <v>16795</v>
      </c>
      <c r="D7946" s="1" t="str">
        <f>IFERROR(__xludf.DUMMYFUNCTION("GOOGLETRANSLATE(A7946 , ""auto"", ""ar"")"),"عندما ولدنا هنا ، من الصعب الذهاب إلى بلد آخر")</f>
        <v>عندما ولدنا هنا ، من الصعب الذهاب إلى بلد آخر</v>
      </c>
    </row>
    <row r="7947" ht="15.75" customHeight="1">
      <c r="A7947" s="12" t="s">
        <v>16796</v>
      </c>
      <c r="B7947" s="13" t="s">
        <v>16797</v>
      </c>
      <c r="C7947" s="14" t="s">
        <v>16798</v>
      </c>
      <c r="D7947" s="1" t="str">
        <f>IFERROR(__xludf.DUMMYFUNCTION("GOOGLETRANSLATE(A7947 , ""auto"", ""ar"")"),"نحن نفقد كل معالمها")</f>
        <v>نحن نفقد كل معالمها</v>
      </c>
    </row>
    <row r="7948" ht="15.75" customHeight="1">
      <c r="A7948" s="12" t="s">
        <v>16799</v>
      </c>
      <c r="B7948" s="13" t="s">
        <v>16800</v>
      </c>
      <c r="C7948" s="14" t="s">
        <v>16801</v>
      </c>
      <c r="D7948" s="1" t="str">
        <f>IFERROR(__xludf.DUMMYFUNCTION("GOOGLETRANSLATE(A7948 , ""auto"", ""ar"")"),"المعالم ، مثل البركة والحديقة؟")</f>
        <v>المعالم ، مثل البركة والحديقة؟</v>
      </c>
    </row>
    <row r="7949" ht="15.75" customHeight="1">
      <c r="A7949" s="12" t="s">
        <v>16802</v>
      </c>
      <c r="B7949" s="13" t="s">
        <v>2861</v>
      </c>
      <c r="C7949" s="14" t="s">
        <v>14171</v>
      </c>
      <c r="D7949" s="1" t="str">
        <f>IFERROR(__xludf.DUMMYFUNCTION("GOOGLETRANSLATE(A7949 , ""auto"", ""ar"")"),"على سبيل المثال")</f>
        <v>على سبيل المثال</v>
      </c>
    </row>
    <row r="7950" ht="15.75" customHeight="1">
      <c r="A7950" s="12" t="s">
        <v>16803</v>
      </c>
      <c r="B7950" s="13" t="s">
        <v>16804</v>
      </c>
      <c r="C7950" s="14" t="s">
        <v>16805</v>
      </c>
      <c r="D7950" s="1" t="str">
        <f>IFERROR(__xludf.DUMMYFUNCTION("GOOGLETRANSLATE(A7950 , ""auto"", ""ar"")"),"أو اختيار طبيبه")</f>
        <v>أو اختيار طبيبه</v>
      </c>
    </row>
    <row r="7951" ht="15.75" customHeight="1">
      <c r="A7951" s="12" t="s">
        <v>16806</v>
      </c>
      <c r="B7951" s="13" t="s">
        <v>16807</v>
      </c>
      <c r="C7951" s="14" t="s">
        <v>16808</v>
      </c>
      <c r="D7951" s="1" t="str">
        <f>IFERROR(__xludf.DUMMYFUNCTION("GOOGLETRANSLATE(A7951 , ""auto"", ""ar"")"),"ليس من السهل العثور على طبيب جديد يعمل عند تغيير المدينة")</f>
        <v>ليس من السهل العثور على طبيب جديد يعمل عند تغيير المدينة</v>
      </c>
    </row>
    <row r="7952" ht="15.75" customHeight="1">
      <c r="A7952" s="12" t="s">
        <v>16809</v>
      </c>
      <c r="B7952" s="13" t="s">
        <v>16810</v>
      </c>
      <c r="C7952" s="14" t="s">
        <v>16811</v>
      </c>
      <c r="D7952" s="1" t="str">
        <f>IFERROR(__xludf.DUMMYFUNCTION("GOOGLETRANSLATE(A7952 , ""auto"", ""ar"")"),"أو فقط ابحث عن سوبر ماركت يبيع المنتجات التي اعتدت عليها")</f>
        <v>أو فقط ابحث عن سوبر ماركت يبيع المنتجات التي اعتدت عليها</v>
      </c>
    </row>
    <row r="7953" ht="15.75" customHeight="1">
      <c r="A7953" s="12" t="s">
        <v>16812</v>
      </c>
      <c r="B7953" s="13" t="s">
        <v>16813</v>
      </c>
      <c r="C7953" s="14" t="s">
        <v>16814</v>
      </c>
      <c r="D7953" s="1" t="str">
        <f>IFERROR(__xludf.DUMMYFUNCTION("GOOGLETRANSLATE(A7953 , ""auto"", ""ar"")"),"هل تريد حفلة في الهواء الطلق لأن الطقس جيد جدًا؟")</f>
        <v>هل تريد حفلة في الهواء الطلق لأن الطقس جيد جدًا؟</v>
      </c>
    </row>
    <row r="7954" ht="15.75" customHeight="1">
      <c r="A7954" s="12" t="s">
        <v>15495</v>
      </c>
      <c r="B7954" s="13" t="s">
        <v>16815</v>
      </c>
      <c r="C7954" s="14" t="s">
        <v>16816</v>
      </c>
      <c r="D7954" s="1" t="str">
        <f>IFERROR(__xludf.DUMMYFUNCTION("GOOGLETRANSLATE(A7954 , ""auto"", ""ar"")"),"نعم بالطبع!")</f>
        <v>نعم بالطبع!</v>
      </c>
    </row>
    <row r="7955" ht="15.75" customHeight="1">
      <c r="A7955" s="12" t="s">
        <v>16817</v>
      </c>
      <c r="B7955" s="13" t="s">
        <v>16818</v>
      </c>
      <c r="C7955" s="14" t="s">
        <v>16819</v>
      </c>
      <c r="D7955" s="1" t="str">
        <f>IFERROR(__xludf.DUMMYFUNCTION("GOOGLETRANSLATE(A7955 , ""auto"", ""ar"")"),"أعتقد أننا يجب أن نذهب إلى الحديقة بعد ذلك ، يمكننا الحصول على حفلات الشواء.")</f>
        <v>أعتقد أننا يجب أن نذهب إلى الحديقة بعد ذلك ، يمكننا الحصول على حفلات الشواء.</v>
      </c>
    </row>
    <row r="7956" ht="15.75" customHeight="1">
      <c r="A7956" s="12" t="s">
        <v>16820</v>
      </c>
      <c r="B7956" s="13" t="s">
        <v>16821</v>
      </c>
      <c r="C7956" s="14" t="s">
        <v>16822</v>
      </c>
      <c r="D7956" s="1" t="str">
        <f>IFERROR(__xludf.DUMMYFUNCTION("GOOGLETRANSLATE(A7956 , ""auto"", ""ar"")"),"الشواء أو شيء أكثر تطوراً؟")</f>
        <v>الشواء أو شيء أكثر تطوراً؟</v>
      </c>
    </row>
    <row r="7957" ht="15.75" customHeight="1">
      <c r="A7957" s="12" t="s">
        <v>16823</v>
      </c>
      <c r="B7957" s="13" t="s">
        <v>16824</v>
      </c>
      <c r="C7957" s="14" t="s">
        <v>16825</v>
      </c>
      <c r="D7957" s="1" t="str">
        <f>IFERROR(__xludf.DUMMYFUNCTION("GOOGLETRANSLATE(A7957 , ""auto"", ""ar"")"),"أوه ، لا ، نحن بيننا!")</f>
        <v>أوه ، لا ، نحن بيننا!</v>
      </c>
    </row>
    <row r="7958" ht="15.75" customHeight="1">
      <c r="A7958" s="12" t="s">
        <v>16826</v>
      </c>
      <c r="B7958" s="13" t="s">
        <v>16827</v>
      </c>
      <c r="C7958" s="14" t="s">
        <v>16828</v>
      </c>
      <c r="D7958" s="1" t="str">
        <f>IFERROR(__xludf.DUMMYFUNCTION("GOOGLETRANSLATE(A7958 , ""auto"", ""ar"")"),"أنا لا أخطط لدعوة ملكة إنجلترا!")</f>
        <v>أنا لا أخطط لدعوة ملكة إنجلترا!</v>
      </c>
    </row>
    <row r="7959" ht="15.75" customHeight="1">
      <c r="A7959" s="12" t="s">
        <v>16829</v>
      </c>
      <c r="B7959" s="13" t="s">
        <v>16830</v>
      </c>
      <c r="C7959" s="14" t="s">
        <v>16831</v>
      </c>
      <c r="D7959" s="1" t="str">
        <f>IFERROR(__xludf.DUMMYFUNCTION("GOOGLETRANSLATE(A7959 , ""auto"", ""ar"")"),"أو الزوجين الملكي الجديد ، هاها!")</f>
        <v>أو الزوجين الملكي الجديد ، هاها!</v>
      </c>
    </row>
    <row r="7960" ht="15.75" customHeight="1">
      <c r="A7960" s="12" t="s">
        <v>16832</v>
      </c>
      <c r="B7960" s="13" t="s">
        <v>16833</v>
      </c>
      <c r="C7960" s="14" t="s">
        <v>16834</v>
      </c>
      <c r="D7960" s="1" t="str">
        <f>IFERROR(__xludf.DUMMYFUNCTION("GOOGLETRANSLATE(A7960 , ""auto"", ""ar"")"),"سأرتدي ثوبًا ذكيًا جدًا ، لذا سيشعر كما لو كنت في شيء ملكي")</f>
        <v>سأرتدي ثوبًا ذكيًا جدًا ، لذا سيشعر كما لو كنت في شيء ملكي</v>
      </c>
    </row>
    <row r="7961" ht="15.75" customHeight="1">
      <c r="A7961" s="12" t="s">
        <v>16835</v>
      </c>
      <c r="B7961" s="13" t="s">
        <v>16836</v>
      </c>
      <c r="C7961" s="14" t="s">
        <v>16837</v>
      </c>
      <c r="D7961" s="1" t="str">
        <f>IFERROR(__xludf.DUMMYFUNCTION("GOOGLETRANSLATE(A7961 , ""auto"", ""ar"")"),"ضع في اعتبارك ، أنا سعيد جدًا بالاحتفال معك")</f>
        <v>ضع في اعتبارك ، أنا سعيد جدًا بالاحتفال معك</v>
      </c>
    </row>
    <row r="7962" ht="15.75" customHeight="1">
      <c r="A7962" s="12" t="s">
        <v>16838</v>
      </c>
      <c r="B7962" s="13" t="s">
        <v>16839</v>
      </c>
      <c r="C7962" s="14" t="s">
        <v>16840</v>
      </c>
      <c r="D7962" s="1" t="str">
        <f>IFERROR(__xludf.DUMMYFUNCTION("GOOGLETRANSLATE(A7962 , ""auto"", ""ar"")"),"نعم ، ستكون ممتعة!")</f>
        <v>نعم ، ستكون ممتعة!</v>
      </c>
    </row>
    <row r="7963" ht="15.75" customHeight="1">
      <c r="A7963" s="12" t="s">
        <v>16841</v>
      </c>
      <c r="B7963" s="13" t="s">
        <v>16842</v>
      </c>
      <c r="C7963" s="14" t="s">
        <v>16843</v>
      </c>
      <c r="D7963" s="1" t="str">
        <f>IFERROR(__xludf.DUMMYFUNCTION("GOOGLETRANSLATE(A7963 , ""auto"", ""ar"")"),"أعطيتني فكرة")</f>
        <v>أعطيتني فكرة</v>
      </c>
    </row>
    <row r="7964" ht="15.75" customHeight="1">
      <c r="A7964" s="12" t="s">
        <v>16844</v>
      </c>
      <c r="B7964" s="13" t="s">
        <v>16845</v>
      </c>
      <c r="C7964" s="14" t="s">
        <v>16846</v>
      </c>
      <c r="D7964" s="1" t="str">
        <f>IFERROR(__xludf.DUMMYFUNCTION("GOOGLETRANSLATE(A7964 , ""auto"", ""ar"")"),"دعونا نجعل الشواء الملكي!")</f>
        <v>دعونا نجعل الشواء الملكي!</v>
      </c>
    </row>
    <row r="7965" ht="15.75" customHeight="1">
      <c r="A7965" s="12" t="s">
        <v>16847</v>
      </c>
      <c r="B7965" s="13" t="s">
        <v>16848</v>
      </c>
      <c r="C7965" s="14" t="s">
        <v>16849</v>
      </c>
      <c r="D7965" s="1" t="str">
        <f>IFERROR(__xludf.DUMMYFUNCTION("GOOGLETRANSLATE(A7965 , ""auto"", ""ar"")"),"الزفاف كان مذهلاً ، أليس كذلك؟")</f>
        <v>الزفاف كان مذهلاً ، أليس كذلك؟</v>
      </c>
    </row>
    <row r="7966" ht="15.75" customHeight="1">
      <c r="A7966" s="12" t="s">
        <v>16850</v>
      </c>
      <c r="B7966" s="13" t="s">
        <v>16851</v>
      </c>
      <c r="C7966" s="14" t="s">
        <v>16852</v>
      </c>
      <c r="D7966" s="1" t="str">
        <f>IFERROR(__xludf.DUMMYFUNCTION("GOOGLETRANSLATE(A7966 , ""auto"", ""ar"")"),"سوف نستمتع أيضًا")</f>
        <v>سوف نستمتع أيضًا</v>
      </c>
    </row>
    <row r="7967" ht="15.75" customHeight="1">
      <c r="A7967" s="12" t="s">
        <v>16853</v>
      </c>
      <c r="B7967" s="13" t="s">
        <v>16854</v>
      </c>
      <c r="C7967" s="14" t="s">
        <v>16855</v>
      </c>
      <c r="D7967" s="1" t="str">
        <f>IFERROR(__xludf.DUMMYFUNCTION("GOOGLETRANSLATE(A7967 , ""auto"", ""ar"")"),"هل أقوم بتنظيم اللحوم والأسماك الشواء؟")</f>
        <v>هل أقوم بتنظيم اللحوم والأسماك الشواء؟</v>
      </c>
    </row>
    <row r="7968" ht="15.75" customHeight="1">
      <c r="A7968" s="12" t="s">
        <v>16856</v>
      </c>
      <c r="B7968" s="13" t="s">
        <v>16857</v>
      </c>
      <c r="C7968" s="14" t="s">
        <v>16858</v>
      </c>
      <c r="D7968" s="1" t="str">
        <f>IFERROR(__xludf.DUMMYFUNCTION("GOOGLETRANSLATE(A7968 , ""auto"", ""ar"")"),"ثم يمكننا أن نطلب من الأصدقاء إحضار السلطات والنبيذ")</f>
        <v>ثم يمكننا أن نطلب من الأصدقاء إحضار السلطات والنبيذ</v>
      </c>
    </row>
    <row r="7969" ht="15.75" customHeight="1">
      <c r="A7969" s="12" t="s">
        <v>16859</v>
      </c>
      <c r="B7969" s="13" t="s">
        <v>16860</v>
      </c>
      <c r="C7969" s="14" t="s">
        <v>16861</v>
      </c>
      <c r="D7969" s="1" t="str">
        <f>IFERROR(__xludf.DUMMYFUNCTION("GOOGLETRANSLATE(A7969 , ""auto"", ""ar"")"),"نعم لما لا!")</f>
        <v>نعم لما لا!</v>
      </c>
    </row>
    <row r="7970" ht="15.75" customHeight="1">
      <c r="A7970" s="12" t="s">
        <v>16862</v>
      </c>
      <c r="B7970" s="13" t="s">
        <v>16863</v>
      </c>
      <c r="C7970" s="14" t="s">
        <v>16864</v>
      </c>
      <c r="D7970" s="1" t="str">
        <f>IFERROR(__xludf.DUMMYFUNCTION("GOOGLETRANSLATE(A7970 , ""auto"", ""ar"")"),"سأصنع كعكة للحلوى")</f>
        <v>سأصنع كعكة للحلوى</v>
      </c>
    </row>
    <row r="7971" ht="15.75" customHeight="1">
      <c r="A7971" s="12" t="s">
        <v>16865</v>
      </c>
      <c r="B7971" s="13" t="s">
        <v>16866</v>
      </c>
      <c r="C7971" s="14" t="s">
        <v>16867</v>
      </c>
      <c r="D7971" s="1" t="str">
        <f>IFERROR(__xludf.DUMMYFUNCTION("GOOGLETRANSLATE(A7971 , ""auto"", ""ar"")"),"شوكولاتة؟")</f>
        <v>شوكولاتة؟</v>
      </c>
    </row>
    <row r="7972" ht="15.75" customHeight="1">
      <c r="A7972" s="12" t="s">
        <v>16868</v>
      </c>
      <c r="B7972" s="13" t="s">
        <v>16869</v>
      </c>
      <c r="C7972" s="14" t="s">
        <v>16870</v>
      </c>
      <c r="D7972" s="1" t="str">
        <f>IFERROR(__xludf.DUMMYFUNCTION("GOOGLETRANSLATE(A7972 , ""auto"", ""ar"")"),"نعم ، كعكة الشوكولاتة ، وتفاح آخر أعتقد.")</f>
        <v>نعم ، كعكة الشوكولاتة ، وتفاح آخر أعتقد.</v>
      </c>
    </row>
    <row r="7973" ht="15.75" customHeight="1">
      <c r="A7973" s="12" t="s">
        <v>16871</v>
      </c>
      <c r="B7973" s="13" t="s">
        <v>16872</v>
      </c>
      <c r="C7973" s="14" t="s">
        <v>16873</v>
      </c>
      <c r="D7973" s="1" t="str">
        <f>IFERROR(__xludf.DUMMYFUNCTION("GOOGLETRANSLATE(A7973 , ""auto"", ""ar"")"),"على ماذا حصلت؟")</f>
        <v>على ماذا حصلت؟</v>
      </c>
    </row>
    <row r="7974" ht="15.75" customHeight="1">
      <c r="A7974" s="12" t="s">
        <v>16874</v>
      </c>
      <c r="B7974" s="13" t="s">
        <v>16875</v>
      </c>
      <c r="C7974" s="14" t="s">
        <v>16876</v>
      </c>
      <c r="D7974" s="1" t="str">
        <f>IFERROR(__xludf.DUMMYFUNCTION("GOOGLETRANSLATE(A7974 , ""auto"", ""ar"")"),"فرنسي جدا ولكن أفضل بكثير من كعكة الفاكهة التقليدية لدينا")</f>
        <v>فرنسي جدا ولكن أفضل بكثير من كعكة الفاكهة التقليدية لدينا</v>
      </c>
    </row>
    <row r="7975" ht="15.75" customHeight="1">
      <c r="A7975" s="12" t="s">
        <v>16877</v>
      </c>
      <c r="B7975" s="13" t="s">
        <v>16878</v>
      </c>
      <c r="C7975" s="14" t="s">
        <v>16879</v>
      </c>
      <c r="D7975" s="1" t="str">
        <f>IFERROR(__xludf.DUMMYFUNCTION("GOOGLETRANSLATE(A7975 , ""auto"", ""ar"")"),"حظ!")</f>
        <v>حظ!</v>
      </c>
    </row>
    <row r="7976" ht="15.75" customHeight="1">
      <c r="A7976" s="12" t="s">
        <v>16880</v>
      </c>
      <c r="B7976" s="13" t="s">
        <v>16881</v>
      </c>
      <c r="C7976" s="14" t="s">
        <v>16882</v>
      </c>
      <c r="D7976" s="1" t="str">
        <f>IFERROR(__xludf.DUMMYFUNCTION("GOOGLETRANSLATE(A7976 , ""auto"", ""ar"")"),"هل تعتقد أنني يجب أن أفعل ذلك؟")</f>
        <v>هل تعتقد أنني يجب أن أفعل ذلك؟</v>
      </c>
    </row>
    <row r="7977" ht="15.75" customHeight="1">
      <c r="A7977" s="12" t="s">
        <v>16883</v>
      </c>
      <c r="B7977" s="13" t="s">
        <v>16884</v>
      </c>
      <c r="C7977" s="14" t="s">
        <v>16885</v>
      </c>
      <c r="D7977" s="1" t="str">
        <f>IFERROR(__xludf.DUMMYFUNCTION("GOOGLETRANSLATE(A7977 , ""auto"", ""ar"")"),"هل سترتدي تاج الأميرة؟")</f>
        <v>هل سترتدي تاج الأميرة؟</v>
      </c>
    </row>
    <row r="7978" ht="15.75" customHeight="1">
      <c r="A7978" s="12" t="s">
        <v>16886</v>
      </c>
      <c r="B7978" s="13" t="s">
        <v>16887</v>
      </c>
      <c r="C7978" s="14" t="s">
        <v>16888</v>
      </c>
      <c r="D7978" s="1" t="str">
        <f>IFERROR(__xludf.DUMMYFUNCTION("GOOGLETRANSLATE(A7978 , ""auto"", ""ar"")"),"آسف لا أفهم ما تعنيه")</f>
        <v>آسف لا أفهم ما تعنيه</v>
      </c>
    </row>
    <row r="7979" ht="15.75" customHeight="1">
      <c r="A7979" s="12" t="s">
        <v>16889</v>
      </c>
      <c r="B7979" s="13" t="s">
        <v>16890</v>
      </c>
      <c r="C7979" s="14" t="s">
        <v>16891</v>
      </c>
      <c r="D7979" s="1" t="str">
        <f>IFERROR(__xludf.DUMMYFUNCTION("GOOGLETRANSLATE(A7979 , ""auto"", ""ar"")"),"نعم ، أعتقد أنني سأرتدي تيارا ذهبية صلبة لطيفة ، مع الكثير من الماس!")</f>
        <v>نعم ، أعتقد أنني سأرتدي تيارا ذهبية صلبة لطيفة ، مع الكثير من الماس!</v>
      </c>
    </row>
    <row r="7980" ht="15.75" customHeight="1">
      <c r="A7980" s="12" t="s">
        <v>16892</v>
      </c>
      <c r="B7980" s="13" t="s">
        <v>16893</v>
      </c>
      <c r="C7980" s="14" t="s">
        <v>16894</v>
      </c>
      <c r="D7980" s="1" t="str">
        <f>IFERROR(__xludf.DUMMYFUNCTION("GOOGLETRANSLATE(A7980 , ""auto"", ""ar"")"),"ستكون جميلة حقًا")</f>
        <v>ستكون جميلة حقًا</v>
      </c>
    </row>
    <row r="7981" ht="15.75" customHeight="1">
      <c r="A7981" s="12" t="s">
        <v>16895</v>
      </c>
      <c r="B7981" s="13" t="s">
        <v>16896</v>
      </c>
      <c r="C7981" s="14" t="s">
        <v>16897</v>
      </c>
      <c r="D7981" s="1" t="str">
        <f>IFERROR(__xludf.DUMMYFUNCTION("GOOGLETRANSLATE(A7981 , ""auto"", ""ar"")"),"كنت أتحدث عن الحلوى ، لكنني أعتقد أنني سأسهل عليك")</f>
        <v>كنت أتحدث عن الحلوى ، لكنني أعتقد أنني سأسهل عليك</v>
      </c>
    </row>
    <row r="7982" ht="15.75" customHeight="1">
      <c r="A7982" s="12" t="s">
        <v>16898</v>
      </c>
      <c r="B7982" s="13" t="s">
        <v>16899</v>
      </c>
      <c r="C7982" s="14" t="s">
        <v>16900</v>
      </c>
      <c r="D7982" s="1" t="str">
        <f>IFERROR(__xludf.DUMMYFUNCTION("GOOGLETRANSLATE(A7982 , ""auto"", ""ar"")"),"يا رب ، آمل ألا يكون هناك أي أشخاص غريبين في الحديقة")</f>
        <v>يا رب ، آمل ألا يكون هناك أي أشخاص غريبين في الحديقة</v>
      </c>
    </row>
    <row r="7983" ht="15.75" customHeight="1">
      <c r="A7983" s="12" t="s">
        <v>16901</v>
      </c>
      <c r="B7983" s="13" t="s">
        <v>16902</v>
      </c>
      <c r="C7983" s="14" t="s">
        <v>16903</v>
      </c>
      <c r="D7983" s="1" t="str">
        <f>IFERROR(__xludf.DUMMYFUNCTION("GOOGLETRANSLATE(A7983 , ""auto"", ""ar"")"),"حول اللحوم والأسماك ، سأأخذ أيضًا بعض الأشياء للنباتيين")</f>
        <v>حول اللحوم والأسماك ، سأأخذ أيضًا بعض الأشياء للنباتيين</v>
      </c>
    </row>
    <row r="7984" ht="15.75" customHeight="1">
      <c r="A7984" s="12" t="s">
        <v>16904</v>
      </c>
      <c r="B7984" s="13" t="s">
        <v>16905</v>
      </c>
      <c r="C7984" s="14" t="s">
        <v>16906</v>
      </c>
      <c r="D7984" s="1" t="str">
        <f>IFERROR(__xludf.DUMMYFUNCTION("GOOGLETRANSLATE(A7984 , ""auto"", ""ar"")"),"أنت لا تعرف أبدا!")</f>
        <v>أنت لا تعرف أبدا!</v>
      </c>
    </row>
    <row r="7985" ht="15.75" customHeight="1">
      <c r="A7985" s="12" t="s">
        <v>16907</v>
      </c>
      <c r="B7985" s="13" t="s">
        <v>16908</v>
      </c>
      <c r="C7985" s="14" t="s">
        <v>16909</v>
      </c>
      <c r="D7985" s="1" t="str">
        <f>IFERROR(__xludf.DUMMYFUNCTION("GOOGLETRANSLATE(A7985 , ""auto"", ""ar"")"),"قد نمرح!")</f>
        <v>قد نمرح!</v>
      </c>
    </row>
    <row r="7986" ht="15.75" customHeight="1">
      <c r="A7986" s="12" t="s">
        <v>12192</v>
      </c>
      <c r="B7986" s="13" t="s">
        <v>12193</v>
      </c>
      <c r="C7986" s="14" t="s">
        <v>12194</v>
      </c>
      <c r="D7986" s="1" t="str">
        <f>IFERROR(__xludf.DUMMYFUNCTION("GOOGLETRANSLATE(A7986 , ""auto"", ""ar"")"),"هاها")</f>
        <v>هاها</v>
      </c>
    </row>
    <row r="7987" ht="15.75" customHeight="1">
      <c r="A7987" s="12" t="s">
        <v>16910</v>
      </c>
      <c r="B7987" s="13" t="s">
        <v>16911</v>
      </c>
      <c r="C7987" s="14" t="s">
        <v>16912</v>
      </c>
      <c r="D7987" s="1" t="str">
        <f>IFERROR(__xludf.DUMMYFUNCTION("GOOGLETRANSLATE(A7987 , ""auto"", ""ar"")"),"نعم ، هذا بالتأكيد!")</f>
        <v>نعم ، هذا بالتأكيد!</v>
      </c>
    </row>
    <row r="7988" ht="15.75" customHeight="1">
      <c r="A7988" s="12" t="s">
        <v>16913</v>
      </c>
      <c r="B7988" s="13" t="s">
        <v>16914</v>
      </c>
      <c r="C7988" s="14" t="s">
        <v>16915</v>
      </c>
      <c r="D7988" s="1" t="str">
        <f>IFERROR(__xludf.DUMMYFUNCTION("GOOGLETRANSLATE(A7988 , ""auto"", ""ar"")"),"ربما يمكنك إحضار سيف ، كفارس حقيقي للتاج!")</f>
        <v>ربما يمكنك إحضار سيف ، كفارس حقيقي للتاج!</v>
      </c>
    </row>
    <row r="7989" ht="15.75" customHeight="1">
      <c r="A7989" s="12" t="s">
        <v>16916</v>
      </c>
      <c r="B7989" s="13" t="s">
        <v>16917</v>
      </c>
      <c r="C7989" s="14" t="s">
        <v>16918</v>
      </c>
      <c r="D7989" s="1" t="str">
        <f>IFERROR(__xludf.DUMMYFUNCTION("GOOGLETRANSLATE(A7989 , ""auto"", ""ar"")"),"آسف بطيئ للغاية لكني على هاتفي")</f>
        <v>آسف بطيئ للغاية لكني على هاتفي</v>
      </c>
    </row>
    <row r="7990" ht="15.75" customHeight="1">
      <c r="A7990" s="12" t="s">
        <v>16919</v>
      </c>
      <c r="B7990" s="13" t="s">
        <v>16920</v>
      </c>
      <c r="C7990" s="14" t="s">
        <v>16921</v>
      </c>
      <c r="D7990" s="1" t="str">
        <f>IFERROR(__xludf.DUMMYFUNCTION("GOOGLETRANSLATE(A7990 , ""auto"", ""ar"")"),"تعال ، دعونا نفعل ذلك بهذه الطريقة!")</f>
        <v>تعال ، دعونا نفعل ذلك بهذه الطريقة!</v>
      </c>
    </row>
    <row r="7991" ht="15.75" customHeight="1">
      <c r="A7991" s="12" t="s">
        <v>16922</v>
      </c>
      <c r="B7991" s="13" t="s">
        <v>16923</v>
      </c>
      <c r="C7991" s="14" t="s">
        <v>16924</v>
      </c>
      <c r="D7991" s="1" t="str">
        <f>IFERROR(__xludf.DUMMYFUNCTION("GOOGLETRANSLATE(A7991 , ""auto"", ""ar"")"),"شكرا جزيلا لكم على مساعدتكم")</f>
        <v>شكرا جزيلا لكم على مساعدتكم</v>
      </c>
    </row>
    <row r="7992" ht="15.75" customHeight="1">
      <c r="A7992" s="12" t="s">
        <v>16925</v>
      </c>
      <c r="B7992" s="13" t="s">
        <v>16926</v>
      </c>
      <c r="C7992" s="14" t="s">
        <v>16927</v>
      </c>
      <c r="D7992" s="1" t="str">
        <f>IFERROR(__xludf.DUMMYFUNCTION("GOOGLETRANSLATE(A7992 , ""auto"", ""ar"")"),"في نهاية هذا الأسبوع ثم!")</f>
        <v>في نهاية هذا الأسبوع ثم!</v>
      </c>
    </row>
    <row r="7993" ht="15.75" customHeight="1">
      <c r="A7993" s="12" t="s">
        <v>16928</v>
      </c>
      <c r="B7993" s="13" t="s">
        <v>16929</v>
      </c>
      <c r="C7993" s="14" t="s">
        <v>16930</v>
      </c>
      <c r="D7993" s="1" t="str">
        <f>IFERROR(__xludf.DUMMYFUNCTION("GOOGLETRANSLATE(A7993 , ""auto"", ""ar"")"),"إذن ما الذي جعل يومك سيئًا جدًا اليوم؟")</f>
        <v>إذن ما الذي جعل يومك سيئًا جدًا اليوم؟</v>
      </c>
    </row>
    <row r="7994" ht="15.75" customHeight="1">
      <c r="A7994" s="12" t="s">
        <v>16931</v>
      </c>
      <c r="B7994" s="13" t="s">
        <v>16932</v>
      </c>
      <c r="C7994" s="14" t="s">
        <v>16933</v>
      </c>
      <c r="D7994" s="1" t="str">
        <f>IFERROR(__xludf.DUMMYFUNCTION("GOOGLETRANSLATE(A7994 , ""auto"", ""ar"")"),"هل كان لديك وقت لتناول الغداء؟")</f>
        <v>هل كان لديك وقت لتناول الغداء؟</v>
      </c>
    </row>
    <row r="7995" ht="15.75" customHeight="1">
      <c r="A7995" s="12" t="s">
        <v>16934</v>
      </c>
      <c r="B7995" s="13" t="s">
        <v>16935</v>
      </c>
      <c r="C7995" s="14" t="s">
        <v>16936</v>
      </c>
      <c r="D7995" s="1" t="str">
        <f>IFERROR(__xludf.DUMMYFUNCTION("GOOGLETRANSLATE(A7995 , ""auto"", ""ar"")"),"بدأ اليوم")</f>
        <v>بدأ اليوم</v>
      </c>
    </row>
    <row r="7996" ht="15.75" customHeight="1">
      <c r="A7996" s="12" t="s">
        <v>16937</v>
      </c>
      <c r="B7996" s="13" t="s">
        <v>16938</v>
      </c>
      <c r="C7996" s="14" t="s">
        <v>16939</v>
      </c>
      <c r="D7996" s="1" t="str">
        <f>IFERROR(__xludf.DUMMYFUNCTION("GOOGLETRANSLATE(A7996 , ""auto"", ""ar"")"),"نعم ، تمكنت من تناول الغداء")</f>
        <v>نعم ، تمكنت من تناول الغداء</v>
      </c>
    </row>
    <row r="7997" ht="15.75" customHeight="1">
      <c r="A7997" s="12" t="s">
        <v>16940</v>
      </c>
      <c r="B7997" s="13" t="s">
        <v>16941</v>
      </c>
      <c r="C7997" s="14" t="s">
        <v>16942</v>
      </c>
      <c r="D7997" s="1" t="str">
        <f>IFERROR(__xludf.DUMMYFUNCTION("GOOGLETRANSLATE(A7997 , ""auto"", ""ar"")"),"في المرآب")</f>
        <v>في المرآب</v>
      </c>
    </row>
    <row r="7998" ht="15.75" customHeight="1">
      <c r="A7998" s="12" t="s">
        <v>16943</v>
      </c>
      <c r="B7998" s="13" t="s">
        <v>16944</v>
      </c>
      <c r="C7998" s="14" t="s">
        <v>16945</v>
      </c>
      <c r="D7998" s="1" t="str">
        <f>IFERROR(__xludf.DUMMYFUNCTION("GOOGLETRANSLATE(A7998 , ""auto"", ""ar"")"),"هذا الصباح انهارت سيارتي")</f>
        <v>هذا الصباح انهارت سيارتي</v>
      </c>
    </row>
    <row r="7999" ht="15.75" customHeight="1">
      <c r="A7999" s="12" t="s">
        <v>16943</v>
      </c>
      <c r="B7999" s="13" t="s">
        <v>16946</v>
      </c>
      <c r="C7999" s="14" t="s">
        <v>16947</v>
      </c>
      <c r="D7999" s="1" t="str">
        <f>IFERROR(__xludf.DUMMYFUNCTION("GOOGLETRANSLATE(A7999 , ""auto"", ""ar"")"),"هذا الصباح انهارت سيارتي")</f>
        <v>هذا الصباح انهارت سيارتي</v>
      </c>
    </row>
    <row r="8000" ht="15.75" customHeight="1">
      <c r="A8000" s="12" t="s">
        <v>16948</v>
      </c>
      <c r="B8000" s="13" t="s">
        <v>16949</v>
      </c>
      <c r="C8000" s="14" t="s">
        <v>16950</v>
      </c>
      <c r="D8000" s="1" t="str">
        <f>IFERROR(__xludf.DUMMYFUNCTION("GOOGLETRANSLATE(A8000 , ""auto"", ""ar"")"),"بين تواريخين")</f>
        <v>بين تواريخين</v>
      </c>
    </row>
    <row r="8001" ht="15.75" customHeight="1">
      <c r="A8001" s="12" t="s">
        <v>16951</v>
      </c>
      <c r="B8001" s="13" t="s">
        <v>16952</v>
      </c>
      <c r="C8001" s="14" t="s">
        <v>16953</v>
      </c>
      <c r="D8001" s="1" t="str">
        <f>IFERROR(__xludf.DUMMYFUNCTION("GOOGLETRANSLATE(A8001 , ""auto"", ""ar"")"),"أوه لا فقير لك")</f>
        <v>أوه لا فقير لك</v>
      </c>
    </row>
    <row r="8002" ht="15.75" customHeight="1">
      <c r="A8002" s="12" t="s">
        <v>16954</v>
      </c>
      <c r="B8002" s="13" t="s">
        <v>16955</v>
      </c>
      <c r="C8002" s="14" t="s">
        <v>16956</v>
      </c>
      <c r="D8002" s="1" t="str">
        <f>IFERROR(__xludf.DUMMYFUNCTION("GOOGLETRANSLATE(A8002 , ""auto"", ""ar"")"),"أتمنى ألا تتبلل")</f>
        <v>أتمنى ألا تتبلل</v>
      </c>
    </row>
    <row r="8003" ht="15.75" customHeight="1">
      <c r="A8003" s="12" t="s">
        <v>16957</v>
      </c>
      <c r="B8003" s="13" t="s">
        <v>16958</v>
      </c>
      <c r="C8003" s="14" t="s">
        <v>16959</v>
      </c>
      <c r="D8003" s="1" t="str">
        <f>IFERROR(__xludf.DUMMYFUNCTION("GOOGLETRANSLATE(A8003 , ""auto"", ""ar"")"),"وأنت الآن في المنزل ، أفترض أنك تمكنت من إصلاح السيارة؟")</f>
        <v>وأنت الآن في المنزل ، أفترض أنك تمكنت من إصلاح السيارة؟</v>
      </c>
    </row>
    <row r="8004" ht="15.75" customHeight="1">
      <c r="A8004" s="12" t="s">
        <v>16960</v>
      </c>
      <c r="B8004" s="13" t="s">
        <v>16961</v>
      </c>
      <c r="C8004" s="14" t="s">
        <v>16962</v>
      </c>
      <c r="D8004" s="1" t="str">
        <f>IFERROR(__xludf.DUMMYFUNCTION("GOOGLETRANSLATE(A8004 , ""auto"", ""ar"")"),"لا ، اضطررت للسير إلى المنزل")</f>
        <v>لا ، اضطررت للسير إلى المنزل</v>
      </c>
    </row>
    <row r="8005" ht="15.75" customHeight="1">
      <c r="A8005" s="12" t="s">
        <v>16963</v>
      </c>
      <c r="B8005" s="13" t="s">
        <v>16964</v>
      </c>
      <c r="C8005" s="14" t="s">
        <v>16965</v>
      </c>
      <c r="D8005" s="1" t="str">
        <f>IFERROR(__xludf.DUMMYFUNCTION("GOOGLETRANSLATE(A8005 , ""auto"", ""ar"")"),"كابوس حقيقي")</f>
        <v>كابوس حقيقي</v>
      </c>
    </row>
    <row r="8006" ht="15.75" customHeight="1">
      <c r="A8006" s="12" t="s">
        <v>16966</v>
      </c>
      <c r="B8006" s="13" t="s">
        <v>16967</v>
      </c>
      <c r="C8006" s="14" t="s">
        <v>16968</v>
      </c>
      <c r="D8006" s="1" t="str">
        <f>IFERROR(__xludf.DUMMYFUNCTION("GOOGLETRANSLATE(A8006 , ""auto"", ""ar"")"),"كم تكلف التكلفة لإصلاح السيارة؟")</f>
        <v>كم تكلف التكلفة لإصلاح السيارة؟</v>
      </c>
    </row>
    <row r="8007" ht="15.75" customHeight="1">
      <c r="A8007" s="12" t="s">
        <v>16969</v>
      </c>
      <c r="B8007" s="13" t="s">
        <v>16970</v>
      </c>
      <c r="C8007" s="14" t="s">
        <v>16971</v>
      </c>
      <c r="D8007" s="1" t="str">
        <f>IFERROR(__xludf.DUMMYFUNCTION("GOOGLETRANSLATE(A8007 , ""auto"", ""ar"")"),"ليست مكلفة للغاية ، ولكن عليك أن تطلب الغيار")</f>
        <v>ليست مكلفة للغاية ، ولكن عليك أن تطلب الغيار</v>
      </c>
    </row>
    <row r="8008" ht="15.75" customHeight="1">
      <c r="A8008" s="12" t="s">
        <v>16972</v>
      </c>
      <c r="B8008" s="13" t="s">
        <v>16973</v>
      </c>
      <c r="C8008" s="14" t="s">
        <v>16974</v>
      </c>
      <c r="D8008" s="1" t="str">
        <f>IFERROR(__xludf.DUMMYFUNCTION("GOOGLETRANSLATE(A8008 , ""auto"", ""ar"")"),"حوالي 200 DHS")</f>
        <v>حوالي 200 DHS</v>
      </c>
    </row>
    <row r="8009" ht="15.75" customHeight="1">
      <c r="A8009" s="12" t="s">
        <v>16975</v>
      </c>
      <c r="B8009" s="13" t="s">
        <v>16976</v>
      </c>
      <c r="C8009" s="14" t="s">
        <v>16977</v>
      </c>
      <c r="D8009" s="1" t="str">
        <f>IFERROR(__xludf.DUMMYFUNCTION("GOOGLETRANSLATE(A8009 , ""auto"", ""ar"")"),"هل لديك 200 DHS؟")</f>
        <v>هل لديك 200 DHS؟</v>
      </c>
    </row>
    <row r="8010" ht="15.75" customHeight="1">
      <c r="A8010" s="12" t="s">
        <v>16978</v>
      </c>
      <c r="B8010" s="13" t="s">
        <v>16979</v>
      </c>
      <c r="C8010" s="14" t="s">
        <v>16980</v>
      </c>
      <c r="D8010" s="1" t="str">
        <f>IFERROR(__xludf.DUMMYFUNCTION("GOOGLETRANSLATE(A8010 , ""auto"", ""ar"")"),"يمكننا استخدام أموال العطلات التي وضعناها؟")</f>
        <v>يمكننا استخدام أموال العطلات التي وضعناها؟</v>
      </c>
    </row>
    <row r="8011" ht="15.75" customHeight="1">
      <c r="A8011" s="12" t="s">
        <v>16981</v>
      </c>
      <c r="B8011" s="13" t="s">
        <v>16982</v>
      </c>
      <c r="C8011" s="14" t="s">
        <v>16983</v>
      </c>
      <c r="D8011" s="1" t="str">
        <f>IFERROR(__xludf.DUMMYFUNCTION("GOOGLETRANSLATE(A8011 , ""auto"", ""ar"")"),"إذا فقط ذلك")</f>
        <v>إذا فقط ذلك</v>
      </c>
    </row>
    <row r="8012" ht="15.75" customHeight="1">
      <c r="A8012" s="12" t="s">
        <v>16984</v>
      </c>
      <c r="B8012" s="13" t="s">
        <v>16985</v>
      </c>
      <c r="C8012" s="14" t="s">
        <v>16986</v>
      </c>
      <c r="D8012" s="1" t="str">
        <f>IFERROR(__xludf.DUMMYFUNCTION("GOOGLETRANSLATE(A8012 , ""auto"", ""ar"")"),"الركض للقبض على الحافلة ، قمت بلف كاحلي")</f>
        <v>الركض للقبض على الحافلة ، قمت بلف كاحلي</v>
      </c>
    </row>
    <row r="8013" ht="15.75" customHeight="1">
      <c r="A8013" s="12" t="s">
        <v>16987</v>
      </c>
      <c r="B8013" s="13" t="s">
        <v>16988</v>
      </c>
      <c r="C8013" s="14" t="s">
        <v>16989</v>
      </c>
      <c r="D8013" s="1" t="str">
        <f>IFERROR(__xludf.DUMMYFUNCTION("GOOGLETRANSLATE(A8013 , ""auto"", ""ar"")"),"اعتقدت أنها كانت تبدو منتفخة بعض الشيء")</f>
        <v>اعتقدت أنها كانت تبدو منتفخة بعض الشيء</v>
      </c>
    </row>
    <row r="8014" ht="15.75" customHeight="1">
      <c r="A8014" s="12" t="s">
        <v>16990</v>
      </c>
      <c r="B8014" s="13" t="s">
        <v>16991</v>
      </c>
      <c r="C8014" s="14" t="s">
        <v>16992</v>
      </c>
      <c r="D8014" s="1" t="str">
        <f>IFERROR(__xludf.DUMMYFUNCTION("GOOGLETRANSLATE(A8014 , ""auto"", ""ar"")"),"تحتاج إلى الحصول على بعض الجليد عليه")</f>
        <v>تحتاج إلى الحصول على بعض الجليد عليه</v>
      </c>
    </row>
    <row r="8015" ht="15.75" customHeight="1">
      <c r="A8015" s="12" t="s">
        <v>16993</v>
      </c>
      <c r="B8015" s="13" t="s">
        <v>16994</v>
      </c>
      <c r="C8015" s="14" t="s">
        <v>16995</v>
      </c>
      <c r="D8015" s="1" t="str">
        <f>IFERROR(__xludf.DUMMYFUNCTION("GOOGLETRANSLATE(A8015 , ""auto"", ""ar"")"),"أردت الاتصال بسيارة أجرة")</f>
        <v>أردت الاتصال بسيارة أجرة</v>
      </c>
    </row>
    <row r="8016" ht="15.75" customHeight="1">
      <c r="A8016" s="12" t="s">
        <v>16996</v>
      </c>
      <c r="B8016" s="13" t="s">
        <v>16997</v>
      </c>
      <c r="C8016" s="14" t="s">
        <v>16998</v>
      </c>
      <c r="D8016" s="1" t="str">
        <f>IFERROR(__xludf.DUMMYFUNCTION("GOOGLETRANSLATE(A8016 , ""auto"", ""ar"")"),"وعندما رأى أنني كنت مبللًا ، لم يسمح لي بالدخول.")</f>
        <v>وعندما رأى أنني كنت مبللًا ، لم يسمح لي بالدخول.</v>
      </c>
    </row>
    <row r="8017" ht="15.75" customHeight="1">
      <c r="A8017" s="12" t="s">
        <v>16999</v>
      </c>
      <c r="B8017" s="13" t="s">
        <v>17000</v>
      </c>
      <c r="C8017" s="14" t="s">
        <v>17001</v>
      </c>
      <c r="D8017" s="1" t="str">
        <f>IFERROR(__xludf.DUMMYFUNCTION("GOOGLETRANSLATE(A8017 , ""auto"", ""ar"")"),"ثم أغضبني")</f>
        <v>ثم أغضبني</v>
      </c>
    </row>
    <row r="8018" ht="15.75" customHeight="1">
      <c r="A8018" s="12" t="s">
        <v>17002</v>
      </c>
      <c r="B8018" s="13" t="s">
        <v>17003</v>
      </c>
      <c r="C8018" s="14" t="s">
        <v>17004</v>
      </c>
      <c r="D8018" s="1" t="str">
        <f>IFERROR(__xludf.DUMMYFUNCTION("GOOGLETRANSLATE(A8018 , ""auto"", ""ar"")"),"ياللفظاعه")</f>
        <v>ياللفظاعه</v>
      </c>
    </row>
    <row r="8019" ht="15.75" customHeight="1">
      <c r="A8019" s="12" t="s">
        <v>17005</v>
      </c>
      <c r="B8019" s="13" t="s">
        <v>17006</v>
      </c>
      <c r="C8019" s="14" t="s">
        <v>17007</v>
      </c>
      <c r="D8019" s="1" t="str">
        <f>IFERROR(__xludf.DUMMYFUNCTION("GOOGLETRANSLATE(A8019 , ""auto"", ""ar"")"),"أنا آسف لأنك مررت بيوم سيء")</f>
        <v>أنا آسف لأنك مررت بيوم سيء</v>
      </c>
    </row>
    <row r="8020" ht="15.75" customHeight="1">
      <c r="A8020" s="12" t="s">
        <v>17008</v>
      </c>
      <c r="B8020" s="13" t="s">
        <v>17009</v>
      </c>
      <c r="C8020" s="14" t="s">
        <v>17010</v>
      </c>
      <c r="D8020" s="1" t="str">
        <f>IFERROR(__xludf.DUMMYFUNCTION("GOOGLETRANSLATE(A8020 , ""auto"", ""ar"")"),"بدأت أصرخ عليه")</f>
        <v>بدأت أصرخ عليه</v>
      </c>
    </row>
    <row r="8021" ht="15.75" customHeight="1">
      <c r="A8021" s="12" t="s">
        <v>17011</v>
      </c>
      <c r="B8021" s="13" t="s">
        <v>17012</v>
      </c>
      <c r="C8021" s="14" t="s">
        <v>17013</v>
      </c>
      <c r="D8021" s="1" t="str">
        <f>IFERROR(__xludf.DUMMYFUNCTION("GOOGLETRANSLATE(A8021 , ""auto"", ""ar"")"),"ماذا قال بعد ذلك؟")</f>
        <v>ماذا قال بعد ذلك؟</v>
      </c>
    </row>
    <row r="8022" ht="15.75" customHeight="1">
      <c r="A8022" s="12" t="s">
        <v>17014</v>
      </c>
      <c r="B8022" s="13" t="s">
        <v>17015</v>
      </c>
      <c r="C8022" s="14" t="s">
        <v>17016</v>
      </c>
      <c r="D8022" s="1" t="str">
        <f>IFERROR(__xludf.DUMMYFUNCTION("GOOGLETRANSLATE(A8022 , ""auto"", ""ar"")"),"لذلك كان أفضل")</f>
        <v>لذلك كان أفضل</v>
      </c>
    </row>
    <row r="8023" ht="15.75" customHeight="1">
      <c r="A8023" s="12" t="s">
        <v>17017</v>
      </c>
      <c r="B8023" s="13" t="s">
        <v>17018</v>
      </c>
      <c r="C8023" s="14" t="s">
        <v>17019</v>
      </c>
      <c r="D8023" s="1" t="str">
        <f>IFERROR(__xludf.DUMMYFUNCTION("GOOGLETRANSLATE(A8023 , ""auto"", ""ar"")"),"الإهانات")</f>
        <v>الإهانات</v>
      </c>
    </row>
    <row r="8024" ht="15.75" customHeight="1">
      <c r="A8024" s="12" t="s">
        <v>17020</v>
      </c>
      <c r="B8024" s="13" t="s">
        <v>17021</v>
      </c>
      <c r="C8024" s="14" t="s">
        <v>17022</v>
      </c>
      <c r="D8024" s="1" t="str">
        <f>IFERROR(__xludf.DUMMYFUNCTION("GOOGLETRANSLATE(A8024 , ""auto"", ""ar"")"),"غدا يمكنني أن أقودك إلى العمل")</f>
        <v>غدا يمكنني أن أقودك إلى العمل</v>
      </c>
    </row>
    <row r="8025" ht="15.75" customHeight="1">
      <c r="A8025" s="12" t="s">
        <v>17023</v>
      </c>
      <c r="B8025" s="13" t="s">
        <v>17024</v>
      </c>
      <c r="C8025" s="14" t="s">
        <v>17025</v>
      </c>
      <c r="D8025" s="1" t="str">
        <f>IFERROR(__xludf.DUMMYFUNCTION("GOOGLETRANSLATE(A8025 , ""auto"", ""ar"")"),"عن ماذا تتحدث؟!")</f>
        <v>عن ماذا تتحدث؟!</v>
      </c>
    </row>
    <row r="8026" ht="15.75" customHeight="1">
      <c r="A8026" s="12" t="s">
        <v>17026</v>
      </c>
      <c r="B8026" s="13" t="s">
        <v>17027</v>
      </c>
      <c r="C8026" s="14" t="s">
        <v>17028</v>
      </c>
      <c r="D8026" s="1" t="str">
        <f>IFERROR(__xludf.DUMMYFUNCTION("GOOGLETRANSLATE(A8026 , ""auto"", ""ar"")"),"أنا رئيس الطهاة!")</f>
        <v>أنا رئيس الطهاة!</v>
      </c>
    </row>
    <row r="8027" ht="15.75" customHeight="1">
      <c r="A8027" s="12" t="s">
        <v>17029</v>
      </c>
      <c r="B8027" s="13" t="s">
        <v>17030</v>
      </c>
      <c r="C8027" s="14" t="s">
        <v>17031</v>
      </c>
      <c r="D8027" s="1" t="str">
        <f>IFERROR(__xludf.DUMMYFUNCTION("GOOGLETRANSLATE(A8027 , ""auto"", ""ar"")"),"كان من المفترض أن تحصل على المكونات")</f>
        <v>كان من المفترض أن تحصل على المكونات</v>
      </c>
    </row>
    <row r="8028" ht="15.75" customHeight="1">
      <c r="A8028" s="12" t="s">
        <v>17032</v>
      </c>
      <c r="B8028" s="13" t="s">
        <v>17033</v>
      </c>
      <c r="C8028" s="14" t="s">
        <v>17034</v>
      </c>
      <c r="D8028" s="1" t="str">
        <f>IFERROR(__xludf.DUMMYFUNCTION("GOOGLETRANSLATE(A8028 , ""auto"", ""ar"")"),"من فضلك لا تخبرني أنك نسيت أن تذهب للتسوق")</f>
        <v>من فضلك لا تخبرني أنك نسيت أن تذهب للتسوق</v>
      </c>
    </row>
    <row r="8029" ht="15.75" customHeight="1">
      <c r="A8029" s="12" t="s">
        <v>17035</v>
      </c>
      <c r="B8029" s="13" t="s">
        <v>17036</v>
      </c>
      <c r="C8029" s="14" t="s">
        <v>17037</v>
      </c>
      <c r="D8029" s="1" t="str">
        <f>IFERROR(__xludf.DUMMYFUNCTION("GOOGLETRANSLATE(A8029 , ""auto"", ""ar"")"),"ماذا سنخدم عملائنا؟")</f>
        <v>ماذا سنخدم عملائنا؟</v>
      </c>
    </row>
    <row r="8030" ht="15.75" customHeight="1">
      <c r="A8030" s="12" t="s">
        <v>17038</v>
      </c>
      <c r="B8030" s="13" t="s">
        <v>17039</v>
      </c>
      <c r="C8030" s="14" t="s">
        <v>17040</v>
      </c>
      <c r="D8030" s="1" t="str">
        <f>IFERROR(__xludf.DUMMYFUNCTION("GOOGLETRANSLATE(A8030 , ""auto"", ""ar"")"),"لدينا عملاء جائعون ، جائعون!")</f>
        <v>لدينا عملاء جائعون ، جائعون!</v>
      </c>
    </row>
    <row r="8031" ht="15.75" customHeight="1">
      <c r="A8031" s="12" t="s">
        <v>17041</v>
      </c>
      <c r="B8031" s="13" t="s">
        <v>17042</v>
      </c>
      <c r="C8031" s="14" t="s">
        <v>17043</v>
      </c>
      <c r="D8031" s="1" t="str">
        <f>IFERROR(__xludf.DUMMYFUNCTION("GOOGLETRANSLATE(A8031 , ""auto"", ""ar"")"),"لكنك أخبرتني أنك ستذهب إلى السوق هذا الصباح!")</f>
        <v>لكنك أخبرتني أنك ستذهب إلى السوق هذا الصباح!</v>
      </c>
    </row>
    <row r="8032" ht="15.75" customHeight="1">
      <c r="A8032" s="12" t="s">
        <v>17044</v>
      </c>
      <c r="B8032" s="13" t="s">
        <v>17045</v>
      </c>
      <c r="C8032" s="14" t="s">
        <v>17046</v>
      </c>
      <c r="D8032" s="1" t="str">
        <f>IFERROR(__xludf.DUMMYFUNCTION("GOOGLETRANSLATE(A8032 , ""auto"", ""ar"")"),"أليس لدينا المكونات؟")</f>
        <v>أليس لدينا المكونات؟</v>
      </c>
    </row>
    <row r="8033" ht="15.75" customHeight="1">
      <c r="A8033" s="12" t="s">
        <v>17047</v>
      </c>
      <c r="B8033" s="13" t="s">
        <v>17048</v>
      </c>
      <c r="C8033" s="14" t="s">
        <v>17049</v>
      </c>
      <c r="D8033" s="1" t="str">
        <f>IFERROR(__xludf.DUMMYFUNCTION("GOOGLETRANSLATE(A8033 , ""auto"", ""ar"")"),"على أي حال ، من الواضح أننا في مخلل ضخم هنا")</f>
        <v>على أي حال ، من الواضح أننا في مخلل ضخم هنا</v>
      </c>
    </row>
    <row r="8034" ht="15.75" customHeight="1">
      <c r="A8034" s="12" t="s">
        <v>17050</v>
      </c>
      <c r="B8034" s="13" t="s">
        <v>17051</v>
      </c>
      <c r="C8034" s="14" t="s">
        <v>17052</v>
      </c>
      <c r="D8034" s="1" t="str">
        <f>IFERROR(__xludf.DUMMYFUNCTION("GOOGLETRANSLATE(A8034 , ""auto"", ""ar"")"),"أعتقد أنه سيتعين علينا فقط استخدام بقايا الطعام من الأمس")</f>
        <v>أعتقد أنه سيتعين علينا فقط استخدام بقايا الطعام من الأمس</v>
      </c>
    </row>
    <row r="8035" ht="15.75" customHeight="1">
      <c r="A8035" s="12" t="s">
        <v>17053</v>
      </c>
      <c r="B8035" s="13" t="s">
        <v>17054</v>
      </c>
      <c r="C8035" s="14" t="s">
        <v>17055</v>
      </c>
      <c r="D8035" s="1" t="str">
        <f>IFERROR(__xludf.DUMMYFUNCTION("GOOGLETRANSLATE(A8035 , ""auto"", ""ar"")"),"آمل ألا يلاحظوا أي خطأ")</f>
        <v>آمل ألا يلاحظوا أي خطأ</v>
      </c>
    </row>
    <row r="8036" ht="15.75" customHeight="1">
      <c r="A8036" s="12" t="s">
        <v>17056</v>
      </c>
      <c r="B8036" s="13" t="s">
        <v>17057</v>
      </c>
      <c r="C8036" s="14" t="s">
        <v>17058</v>
      </c>
      <c r="D8036" s="1" t="str">
        <f>IFERROR(__xludf.DUMMYFUNCTION("GOOGLETRANSLATE(A8036 , ""auto"", ""ar"")"),"حصلنا على خمس ساعات حتى عشاء الليلة")</f>
        <v>حصلنا على خمس ساعات حتى عشاء الليلة</v>
      </c>
    </row>
    <row r="8037" ht="15.75" customHeight="1">
      <c r="A8037" s="12" t="s">
        <v>17059</v>
      </c>
      <c r="B8037" s="13" t="s">
        <v>17060</v>
      </c>
      <c r="C8037" s="14" t="s">
        <v>17061</v>
      </c>
      <c r="D8037" s="1" t="str">
        <f>IFERROR(__xludf.DUMMYFUNCTION("GOOGLETRANSLATE(A8037 , ""auto"", ""ar"")"),"يمكنني الذهاب إلى السوق السوبر ومعرفة ما حصلوا عليه")</f>
        <v>يمكنني الذهاب إلى السوق السوبر ومعرفة ما حصلوا عليه</v>
      </c>
    </row>
    <row r="8038" ht="15.75" customHeight="1">
      <c r="A8038" s="12" t="s">
        <v>17062</v>
      </c>
      <c r="B8038" s="13" t="s">
        <v>17063</v>
      </c>
      <c r="C8038" s="14" t="s">
        <v>17064</v>
      </c>
      <c r="D8038" s="1" t="str">
        <f>IFERROR(__xludf.DUMMYFUNCTION("GOOGLETRANSLATE(A8038 , ""auto"", ""ar"")"),"أنا آسف ، لقد أسيء فهمه.")</f>
        <v>أنا آسف ، لقد أسيء فهمه.</v>
      </c>
    </row>
    <row r="8039" ht="15.75" customHeight="1">
      <c r="A8039" s="12" t="s">
        <v>17065</v>
      </c>
      <c r="B8039" s="13" t="s">
        <v>17066</v>
      </c>
      <c r="C8039" s="14" t="s">
        <v>17067</v>
      </c>
      <c r="D8039" s="1" t="str">
        <f>IFERROR(__xludf.DUMMYFUNCTION("GOOGLETRANSLATE(A8039 , ""auto"", ""ar"")"),"حسنًا ، من الأفضل أن تسرع بعد ذلك لأن لدينا الإعدادية")</f>
        <v>حسنًا ، من الأفضل أن تسرع بعد ذلك لأن لدينا الإعدادية</v>
      </c>
    </row>
    <row r="8040" ht="15.75" customHeight="1">
      <c r="A8040" s="12" t="s">
        <v>17068</v>
      </c>
      <c r="B8040" s="13" t="s">
        <v>17069</v>
      </c>
      <c r="C8040" s="14" t="s">
        <v>17070</v>
      </c>
      <c r="D8040" s="1" t="str">
        <f>IFERROR(__xludf.DUMMYFUNCTION("GOOGLETRANSLATE(A8040 , ""auto"", ""ar"")"),"ويستغرق اللحم البقري الفتوة أكثر من خمس ساعات")</f>
        <v>ويستغرق اللحم البقري الفتوة أكثر من خمس ساعات</v>
      </c>
    </row>
    <row r="8041" ht="15.75" customHeight="1">
      <c r="A8041" s="12" t="s">
        <v>17071</v>
      </c>
      <c r="B8041" s="13" t="s">
        <v>17072</v>
      </c>
      <c r="C8041" s="14" t="s">
        <v>17073</v>
      </c>
      <c r="D8041" s="1" t="str">
        <f>IFERROR(__xludf.DUMMYFUNCTION("GOOGLETRANSLATE(A8041 , ""auto"", ""ar"")"),"أنا خارج وسأعود مع ما أجده!")</f>
        <v>أنا خارج وسأعود مع ما أجده!</v>
      </c>
    </row>
    <row r="8042" ht="15.75" customHeight="1">
      <c r="A8042" s="12" t="s">
        <v>17074</v>
      </c>
      <c r="B8042" s="13" t="s">
        <v>17075</v>
      </c>
      <c r="C8042" s="14" t="s">
        <v>17076</v>
      </c>
      <c r="D8042" s="1" t="str">
        <f>IFERROR(__xludf.DUMMYFUNCTION("GOOGLETRANSLATE(A8042 , ""auto"", ""ar"")"),"بصراحة ، في بعض الأحيان أتساءل أين يحصل الأطفال على تدريبك في الوقت الحاضر")</f>
        <v>بصراحة ، في بعض الأحيان أتساءل أين يحصل الأطفال على تدريبك في الوقت الحاضر</v>
      </c>
    </row>
    <row r="8043" ht="15.75" customHeight="1">
      <c r="A8043" s="12" t="s">
        <v>7092</v>
      </c>
      <c r="B8043" s="13" t="s">
        <v>17077</v>
      </c>
      <c r="C8043" s="14" t="s">
        <v>17078</v>
      </c>
      <c r="D8043" s="1" t="str">
        <f>IFERROR(__xludf.DUMMYFUNCTION("GOOGLETRANSLATE(A8043 , ""auto"", ""ar"")"),"انتظر")</f>
        <v>انتظر</v>
      </c>
    </row>
    <row r="8044" ht="15.75" customHeight="1">
      <c r="A8044" s="12" t="s">
        <v>17079</v>
      </c>
      <c r="B8044" s="13" t="s">
        <v>17080</v>
      </c>
      <c r="C8044" s="14" t="s">
        <v>17081</v>
      </c>
      <c r="D8044" s="1" t="str">
        <f>IFERROR(__xludf.DUMMYFUNCTION("GOOGLETRANSLATE(A8044 , ""auto"", ""ar"")"),"قبل ان تذهب")</f>
        <v>قبل ان تذهب</v>
      </c>
    </row>
    <row r="8045" ht="15.75" customHeight="1">
      <c r="A8045" s="12" t="s">
        <v>17082</v>
      </c>
      <c r="B8045" s="13" t="s">
        <v>17083</v>
      </c>
      <c r="C8045" s="14" t="s">
        <v>17084</v>
      </c>
      <c r="D8045" s="1" t="str">
        <f>IFERROR(__xludf.DUMMYFUNCTION("GOOGLETRANSLATE(A8045 , ""auto"", ""ar"")"),"فيما يلي قائمة بكل ما نحتاجه لخدمة الليلة")</f>
        <v>فيما يلي قائمة بكل ما نحتاجه لخدمة الليلة</v>
      </c>
    </row>
    <row r="8046" ht="15.75" customHeight="1">
      <c r="A8046" s="12" t="s">
        <v>17085</v>
      </c>
      <c r="B8046" s="13" t="s">
        <v>17086</v>
      </c>
      <c r="C8046" s="14" t="s">
        <v>17087</v>
      </c>
      <c r="D8046" s="1" t="str">
        <f>IFERROR(__xludf.DUMMYFUNCTION("GOOGLETRANSLATE(A8046 , ""auto"", ""ar"")"),"لقد عدت!")</f>
        <v>لقد عدت!</v>
      </c>
    </row>
    <row r="8047" ht="15.75" customHeight="1">
      <c r="A8047" s="12" t="s">
        <v>17085</v>
      </c>
      <c r="B8047" s="13" t="s">
        <v>17088</v>
      </c>
      <c r="C8047" s="14" t="s">
        <v>17089</v>
      </c>
      <c r="D8047" s="1" t="str">
        <f>IFERROR(__xludf.DUMMYFUNCTION("GOOGLETRANSLATE(A8047 , ""auto"", ""ar"")"),"لقد عدت!")</f>
        <v>لقد عدت!</v>
      </c>
    </row>
    <row r="8048" ht="15.75" customHeight="1">
      <c r="A8048" s="12" t="s">
        <v>17090</v>
      </c>
      <c r="B8048" s="13" t="s">
        <v>17091</v>
      </c>
      <c r="C8048" s="14" t="s">
        <v>17092</v>
      </c>
      <c r="D8048" s="1" t="str">
        <f>IFERROR(__xludf.DUMMYFUNCTION("GOOGLETRANSLATE(A8048 , ""auto"", ""ar"")"),"بالمناسبة إنه لأمر مخز")</f>
        <v>بالمناسبة إنه لأمر مخز</v>
      </c>
    </row>
    <row r="8049" ht="15.75" customHeight="1">
      <c r="A8049" s="12" t="s">
        <v>17093</v>
      </c>
      <c r="B8049" s="13" t="s">
        <v>17094</v>
      </c>
      <c r="C8049" s="14" t="s">
        <v>17095</v>
      </c>
      <c r="D8049" s="1" t="str">
        <f>IFERROR(__xludf.DUMMYFUNCTION("GOOGLETRANSLATE(A8049 , ""auto"", ""ar"")"),"أنت تعرف")</f>
        <v>أنت تعرف</v>
      </c>
    </row>
    <row r="8050" ht="15.75" customHeight="1">
      <c r="A8050" s="12" t="s">
        <v>17096</v>
      </c>
      <c r="B8050" s="13" t="s">
        <v>17097</v>
      </c>
      <c r="C8050" s="14" t="s">
        <v>17098</v>
      </c>
      <c r="D8050" s="1" t="str">
        <f>IFERROR(__xludf.DUMMYFUNCTION("GOOGLETRANSLATE(A8050 , ""auto"", ""ar"")"),"طريقة ممتازة لتحسين علاقات العمل هي تنظيم تجمع غير رسمي")</f>
        <v>طريقة ممتازة لتحسين علاقات العمل هي تنظيم تجمع غير رسمي</v>
      </c>
    </row>
    <row r="8051" ht="15.75" customHeight="1">
      <c r="A8051" s="12" t="s">
        <v>17099</v>
      </c>
      <c r="B8051" s="13" t="s">
        <v>17100</v>
      </c>
      <c r="C8051" s="14" t="s">
        <v>17101</v>
      </c>
      <c r="D8051" s="1" t="str">
        <f>IFERROR(__xludf.DUMMYFUNCTION("GOOGLETRANSLATE(A8051 , ""auto"", ""ar"")"),"على سبيل المثال ، إذا كان لدى أحد أعضاء الفريق شيء للاحتفال به")</f>
        <v>على سبيل المثال ، إذا كان لدى أحد أعضاء الفريق شيء للاحتفال به</v>
      </c>
    </row>
    <row r="8052" ht="15.75" customHeight="1">
      <c r="A8052" s="12" t="s">
        <v>17102</v>
      </c>
      <c r="B8052" s="13" t="s">
        <v>17103</v>
      </c>
      <c r="C8052" s="14" t="s">
        <v>17104</v>
      </c>
      <c r="D8052" s="1" t="str">
        <f>IFERROR(__xludf.DUMMYFUNCTION("GOOGLETRANSLATE(A8052 , ""auto"", ""ar"")"),"ولادة طفل ، زواج ، مهما كان")</f>
        <v>ولادة طفل ، زواج ، مهما كان</v>
      </c>
    </row>
    <row r="8053" ht="15.75" customHeight="1">
      <c r="A8053" s="12" t="s">
        <v>17105</v>
      </c>
      <c r="B8053" s="13" t="s">
        <v>17106</v>
      </c>
      <c r="C8053" s="14" t="s">
        <v>17107</v>
      </c>
      <c r="D8053" s="1" t="str">
        <f>IFERROR(__xludf.DUMMYFUNCTION("GOOGLETRANSLATE(A8053 , ""auto"", ""ar"")"),"يمكن أن تقترح حفلة مشروبات صغيرة في وقت الغداء")</f>
        <v>يمكن أن تقترح حفلة مشروبات صغيرة في وقت الغداء</v>
      </c>
    </row>
    <row r="8054" ht="15.75" customHeight="1">
      <c r="A8054" s="12" t="s">
        <v>17108</v>
      </c>
      <c r="B8054" s="13" t="s">
        <v>17109</v>
      </c>
      <c r="C8054" s="14" t="s">
        <v>17110</v>
      </c>
      <c r="D8054" s="1" t="str">
        <f>IFERROR(__xludf.DUMMYFUNCTION("GOOGLETRANSLATE(A8054 , ""auto"", ""ar"")"),"أوافق ، ولكن سيكون أكثر من ذلك للتنظيم")</f>
        <v>أوافق ، ولكن سيكون أكثر من ذلك للتنظيم</v>
      </c>
    </row>
    <row r="8055" ht="15.75" customHeight="1">
      <c r="A8055" s="12" t="s">
        <v>17111</v>
      </c>
      <c r="B8055" s="13" t="s">
        <v>17112</v>
      </c>
      <c r="C8055" s="14" t="s">
        <v>17113</v>
      </c>
      <c r="D8055" s="1" t="str">
        <f>IFERROR(__xludf.DUMMYFUNCTION("GOOGLETRANSLATE(A8055 , ""auto"", ""ar"")"),"أنا مجرد موظف من بين آخرين في هذا القسم")</f>
        <v>أنا مجرد موظف من بين آخرين في هذا القسم</v>
      </c>
    </row>
    <row r="8056" ht="15.75" customHeight="1">
      <c r="A8056" s="12" t="s">
        <v>17114</v>
      </c>
      <c r="B8056" s="13" t="s">
        <v>17115</v>
      </c>
      <c r="C8056" s="14" t="s">
        <v>17116</v>
      </c>
      <c r="D8056" s="1" t="str">
        <f>IFERROR(__xludf.DUMMYFUNCTION("GOOGLETRANSLATE(A8056 , ""auto"", ""ar"")"),"كم عددكم؟")</f>
        <v>كم عددكم؟</v>
      </c>
    </row>
    <row r="8057" ht="15.75" customHeight="1">
      <c r="A8057" s="12" t="s">
        <v>17117</v>
      </c>
      <c r="B8057" s="13" t="s">
        <v>17118</v>
      </c>
      <c r="C8057" s="14" t="s">
        <v>17119</v>
      </c>
      <c r="D8057" s="1" t="str">
        <f>IFERROR(__xludf.DUMMYFUNCTION("GOOGLETRANSLATE(A8057 , ""auto"", ""ar"")"),"ليس لدي أي شيء للاحتفال به")</f>
        <v>ليس لدي أي شيء للاحتفال به</v>
      </c>
    </row>
    <row r="8058" ht="15.75" customHeight="1">
      <c r="A8058" s="12" t="s">
        <v>17120</v>
      </c>
      <c r="B8058" s="13" t="s">
        <v>17121</v>
      </c>
      <c r="C8058" s="14" t="s">
        <v>17122</v>
      </c>
      <c r="D8058" s="1" t="str">
        <f>IFERROR(__xludf.DUMMYFUNCTION("GOOGLETRANSLATE(A8058 , ""auto"", ""ar"")"),"سأتحدث إلى الزملاء ، ربما سيكون لدى أحدهم شيء للاحتفال به قريبًا.")</f>
        <v>سأتحدث إلى الزملاء ، ربما سيكون لدى أحدهم شيء للاحتفال به قريبًا.</v>
      </c>
    </row>
    <row r="8059" ht="15.75" customHeight="1">
      <c r="A8059" s="12" t="s">
        <v>17123</v>
      </c>
      <c r="B8059" s="13" t="s">
        <v>17124</v>
      </c>
      <c r="C8059" s="14" t="s">
        <v>17125</v>
      </c>
      <c r="D8059" s="1" t="str">
        <f>IFERROR(__xludf.DUMMYFUNCTION("GOOGLETRANSLATE(A8059 , ""auto"", ""ar"")"),"آه نعم ، هذا كثير من الناس")</f>
        <v>آه نعم ، هذا كثير من الناس</v>
      </c>
    </row>
    <row r="8060" ht="15.75" customHeight="1">
      <c r="A8060" s="12" t="s">
        <v>17126</v>
      </c>
      <c r="B8060" s="13" t="s">
        <v>17127</v>
      </c>
      <c r="C8060" s="14" t="s">
        <v>17128</v>
      </c>
      <c r="D8060" s="1" t="str">
        <f>IFERROR(__xludf.DUMMYFUNCTION("GOOGLETRANSLATE(A8060 , ""auto"", ""ar"")"),"والجميع متوتر من قبل هذا المدير؟")</f>
        <v>والجميع متوتر من قبل هذا المدير؟</v>
      </c>
    </row>
    <row r="8061" ht="15.75" customHeight="1">
      <c r="A8061" s="12" t="s">
        <v>17129</v>
      </c>
      <c r="B8061" s="13" t="s">
        <v>17130</v>
      </c>
      <c r="C8061" s="14" t="s">
        <v>17131</v>
      </c>
      <c r="D8061" s="1" t="str">
        <f>IFERROR(__xludf.DUMMYFUNCTION("GOOGLETRANSLATE(A8061 , ""auto"", ""ar"")"),"وأود أن أقول نعم")</f>
        <v>وأود أن أقول نعم</v>
      </c>
    </row>
    <row r="8062" ht="15.75" customHeight="1">
      <c r="A8062" s="12" t="s">
        <v>17132</v>
      </c>
      <c r="B8062" s="13" t="s">
        <v>17133</v>
      </c>
      <c r="C8062" s="14" t="s">
        <v>17134</v>
      </c>
      <c r="D8062" s="1" t="str">
        <f>IFERROR(__xludf.DUMMYFUNCTION("GOOGLETRANSLATE(A8062 , ""auto"", ""ar"")"),"هل هناك أي مديرين آخرين على مستوىها الذين يسهل الوصول إليه؟")</f>
        <v>هل هناك أي مديرين آخرين على مستوىها الذين يسهل الوصول إليه؟</v>
      </c>
    </row>
    <row r="8063" ht="15.75" customHeight="1">
      <c r="A8063" s="12" t="s">
        <v>17135</v>
      </c>
      <c r="B8063" s="13" t="s">
        <v>17136</v>
      </c>
      <c r="C8063" s="14" t="s">
        <v>17137</v>
      </c>
      <c r="D8063" s="1" t="str">
        <f>IFERROR(__xludf.DUMMYFUNCTION("GOOGLETRANSLATE(A8063 , ""auto"", ""ar"")"),"الناس يمكنك التحدث إليهم بسهولة؟")</f>
        <v>الناس يمكنك التحدث إليهم بسهولة؟</v>
      </c>
    </row>
    <row r="8064" ht="15.75" customHeight="1">
      <c r="A8064" s="12" t="s">
        <v>17138</v>
      </c>
      <c r="B8064" s="13" t="s">
        <v>17139</v>
      </c>
      <c r="C8064" s="14" t="s">
        <v>17140</v>
      </c>
      <c r="D8064" s="1" t="str">
        <f>IFERROR(__xludf.DUMMYFUNCTION("GOOGLETRANSLATE(A8064 , ""auto"", ""ar"")"),"المديرون الآخرون من مستواه ، لا نعرف الكثير عنهم")</f>
        <v>المديرون الآخرون من مستواه ، لا نعرف الكثير عنهم</v>
      </c>
    </row>
    <row r="8065" ht="15.75" customHeight="1">
      <c r="A8065" s="12" t="s">
        <v>17141</v>
      </c>
      <c r="B8065" s="13" t="s">
        <v>17142</v>
      </c>
      <c r="C8065" s="14" t="s">
        <v>17143</v>
      </c>
      <c r="D8065" s="1" t="str">
        <f>IFERROR(__xludf.DUMMYFUNCTION("GOOGLETRANSLATE(A8065 , ""auto"", ""ar"")"),"إنهم مديرو الإدارات الأخرى")</f>
        <v>إنهم مديرو الإدارات الأخرى</v>
      </c>
    </row>
    <row r="8066" ht="15.75" customHeight="1">
      <c r="A8066" s="12" t="s">
        <v>17144</v>
      </c>
      <c r="B8066" s="13" t="s">
        <v>17145</v>
      </c>
      <c r="C8066" s="14" t="s">
        <v>17146</v>
      </c>
      <c r="D8066" s="1" t="str">
        <f>IFERROR(__xludf.DUMMYFUNCTION("GOOGLETRANSLATE(A8066 , ""auto"", ""ar"")"),"لكنني سأحاول إعداد اقتراحك: ابحث عن سبب وجيه للمنظم")</f>
        <v>لكنني سأحاول إعداد اقتراحك: ابحث عن سبب وجيه للمنظم</v>
      </c>
    </row>
    <row r="8067" ht="15.75" customHeight="1">
      <c r="A8067" s="12" t="s">
        <v>9500</v>
      </c>
      <c r="B8067" s="13" t="s">
        <v>10360</v>
      </c>
      <c r="C8067" s="14" t="s">
        <v>9691</v>
      </c>
      <c r="D8067" s="1" t="str">
        <f>IFERROR(__xludf.DUMMYFUNCTION("GOOGLETRANSLATE(A8067 , ""auto"", ""ar"")"),"أنا آسف")</f>
        <v>أنا آسف</v>
      </c>
    </row>
    <row r="8068" ht="15.75" customHeight="1">
      <c r="A8068" s="12" t="s">
        <v>17147</v>
      </c>
      <c r="B8068" s="13" t="s">
        <v>17148</v>
      </c>
      <c r="C8068" s="14" t="s">
        <v>17149</v>
      </c>
      <c r="D8068" s="1" t="str">
        <f>IFERROR(__xludf.DUMMYFUNCTION("GOOGLETRANSLATE(A8068 , ""auto"", ""ar"")"),"لكنني سأحاول إعداد اقتراحك")</f>
        <v>لكنني سأحاول إعداد اقتراحك</v>
      </c>
    </row>
    <row r="8069" ht="15.75" customHeight="1">
      <c r="A8069" s="12" t="s">
        <v>17150</v>
      </c>
      <c r="B8069" s="13" t="s">
        <v>17151</v>
      </c>
      <c r="C8069" s="14" t="s">
        <v>17152</v>
      </c>
      <c r="D8069" s="1" t="str">
        <f>IFERROR(__xludf.DUMMYFUNCTION("GOOGLETRANSLATE(A8069 , ""auto"", ""ar"")"),"ابحث عن سبب وجيه لحفلة بين الزملاء ، وإعداده ، ودعوته!")</f>
        <v>ابحث عن سبب وجيه لحفلة بين الزملاء ، وإعداده ، ودعوته!</v>
      </c>
    </row>
    <row r="8070" ht="15.75" customHeight="1">
      <c r="A8070" s="12" t="s">
        <v>17153</v>
      </c>
      <c r="B8070" s="13" t="s">
        <v>17154</v>
      </c>
      <c r="C8070" s="14" t="s">
        <v>17155</v>
      </c>
      <c r="D8070" s="1" t="str">
        <f>IFERROR(__xludf.DUMMYFUNCTION("GOOGLETRANSLATE(A8070 , ""auto"", ""ar"")"),"أعتقد أن هذا يمكن أن يكون حلاً")</f>
        <v>أعتقد أن هذا يمكن أن يكون حلاً</v>
      </c>
    </row>
    <row r="8071" ht="15.75" customHeight="1">
      <c r="A8071" s="12" t="s">
        <v>17156</v>
      </c>
      <c r="B8071" s="13" t="s">
        <v>17157</v>
      </c>
      <c r="C8071" s="14" t="s">
        <v>17158</v>
      </c>
      <c r="D8071" s="1" t="str">
        <f>IFERROR(__xludf.DUMMYFUNCTION("GOOGLETRANSLATE(A8071 , ""auto"", ""ar"")"),"أو على الأقل خطوة في الاتجاه الصحيح")</f>
        <v>أو على الأقل خطوة في الاتجاه الصحيح</v>
      </c>
    </row>
    <row r="8072" ht="15.75" customHeight="1">
      <c r="A8072" s="12" t="s">
        <v>17159</v>
      </c>
      <c r="B8072" s="13" t="s">
        <v>17160</v>
      </c>
      <c r="C8072" s="14" t="s">
        <v>17161</v>
      </c>
      <c r="D8072" s="1" t="str">
        <f>IFERROR(__xludf.DUMMYFUNCTION("GOOGLETRANSLATE(A8072 , ""auto"", ""ar"")"),"في هذه الأثناء ، أنت شخصياً ، لا تواجه مشكلة في عقلك بوضوح")</f>
        <v>في هذه الأثناء ، أنت شخصياً ، لا تواجه مشكلة في عقلك بوضوح</v>
      </c>
    </row>
    <row r="8073" ht="15.75" customHeight="1">
      <c r="A8073" s="12" t="s">
        <v>17162</v>
      </c>
      <c r="B8073" s="13" t="s">
        <v>17163</v>
      </c>
      <c r="C8073" s="14" t="s">
        <v>17164</v>
      </c>
      <c r="D8073" s="1" t="str">
        <f>IFERROR(__xludf.DUMMYFUNCTION("GOOGLETRANSLATE(A8073 , ""auto"", ""ar"")"),"كما تقول")</f>
        <v>كما تقول</v>
      </c>
    </row>
    <row r="8074" ht="15.75" customHeight="1">
      <c r="A8074" s="12" t="s">
        <v>17165</v>
      </c>
      <c r="B8074" s="13" t="s">
        <v>17166</v>
      </c>
      <c r="C8074" s="14" t="s">
        <v>17167</v>
      </c>
      <c r="D8074" s="1" t="str">
        <f>IFERROR(__xludf.DUMMYFUNCTION("GOOGLETRANSLATE(A8074 , ""auto"", ""ar"")"),"في الأساس أنت تحت الضغط")</f>
        <v>في الأساس أنت تحت الضغط</v>
      </c>
    </row>
    <row r="8075" ht="15.75" customHeight="1">
      <c r="A8075" s="12" t="s">
        <v>17168</v>
      </c>
      <c r="B8075" s="13" t="s">
        <v>17169</v>
      </c>
      <c r="C8075" s="14" t="s">
        <v>17170</v>
      </c>
      <c r="D8075" s="1" t="str">
        <f>IFERROR(__xludf.DUMMYFUNCTION("GOOGLETRANSLATE(A8075 , ""auto"", ""ar"")"),"الذي يحدث لكثير من الناس هذه الأيام")</f>
        <v>الذي يحدث لكثير من الناس هذه الأيام</v>
      </c>
    </row>
    <row r="8076" ht="15.75" customHeight="1">
      <c r="A8076" s="12" t="s">
        <v>17171</v>
      </c>
      <c r="B8076" s="13" t="s">
        <v>17172</v>
      </c>
      <c r="C8076" s="14" t="s">
        <v>17173</v>
      </c>
      <c r="D8076" s="1" t="str">
        <f>IFERROR(__xludf.DUMMYFUNCTION("GOOGLETRANSLATE(A8076 , ""auto"", ""ar"")"),"كما اقترحت ، يمكن أن يساعدك استراحة بضعة أيام على استعادة النوم دون مخادع")</f>
        <v>كما اقترحت ، يمكن أن يساعدك استراحة بضعة أيام على استعادة النوم دون مخادع</v>
      </c>
    </row>
    <row r="8077" ht="15.75" customHeight="1">
      <c r="A8077" s="12" t="s">
        <v>17174</v>
      </c>
      <c r="B8077" s="13" t="s">
        <v>17175</v>
      </c>
      <c r="C8077" s="14" t="s">
        <v>17176</v>
      </c>
      <c r="D8077" s="1" t="str">
        <f>IFERROR(__xludf.DUMMYFUNCTION("GOOGLETRANSLATE(A8077 , ""auto"", ""ar"")"),"سأحاول وضع بضعة أيام إجازة")</f>
        <v>سأحاول وضع بضعة أيام إجازة</v>
      </c>
    </row>
    <row r="8078" ht="15.75" customHeight="1">
      <c r="A8078" s="12" t="s">
        <v>17177</v>
      </c>
      <c r="B8078" s="13" t="s">
        <v>17178</v>
      </c>
      <c r="C8078" s="14" t="s">
        <v>17179</v>
      </c>
      <c r="D8078" s="1" t="str">
        <f>IFERROR(__xludf.DUMMYFUNCTION("GOOGLETRANSLATE(A8078 , ""auto"", ""ar"")"),"احترم بعض القواعد المعروفة لسهولة النوم مثل أي جهاز كمبيوتر أو هاتف ذكي قبل الذهاب إلى الفراش أو التلفزيون.")</f>
        <v>احترم بعض القواعد المعروفة لسهولة النوم مثل أي جهاز كمبيوتر أو هاتف ذكي قبل الذهاب إلى الفراش أو التلفزيون.</v>
      </c>
    </row>
    <row r="8079" ht="15.75" customHeight="1">
      <c r="A8079" s="12" t="s">
        <v>17180</v>
      </c>
      <c r="B8079" s="13" t="s">
        <v>17181</v>
      </c>
      <c r="C8079" s="14" t="s">
        <v>17182</v>
      </c>
      <c r="D8079" s="1" t="str">
        <f>IFERROR(__xludf.DUMMYFUNCTION("GOOGLETRANSLATE(A8079 , ""auto"", ""ar"")"),"آسف - قبل الذهاب إلى الفراش مباشرة")</f>
        <v>آسف - قبل الذهاب إلى الفراش مباشرة</v>
      </c>
    </row>
    <row r="8080" ht="15.75" customHeight="1">
      <c r="A8080" s="12" t="s">
        <v>17183</v>
      </c>
      <c r="B8080" s="13" t="s">
        <v>17184</v>
      </c>
      <c r="C8080" s="14" t="s">
        <v>17185</v>
      </c>
      <c r="D8080" s="1" t="str">
        <f>IFERROR(__xludf.DUMMYFUNCTION("GOOGLETRANSLATE(A8080 , ""auto"", ""ar"")"),"وشاي البابونج قبل النوم!")</f>
        <v>وشاي البابونج قبل النوم!</v>
      </c>
    </row>
    <row r="8081" ht="15.75" customHeight="1">
      <c r="A8081" s="12" t="s">
        <v>17186</v>
      </c>
      <c r="B8081" s="13" t="s">
        <v>17187</v>
      </c>
      <c r="C8081" s="14" t="s">
        <v>17188</v>
      </c>
      <c r="D8081" s="1" t="str">
        <f>IFERROR(__xludf.DUMMYFUNCTION("GOOGLETRANSLATE(A8081 , ""auto"", ""ar"")"),"في بعض الأحيان نضحك على الجدات اللائي يشربن البابونج ، لكنني سأخبرك بشيء واحد ، أحبه!")</f>
        <v>في بعض الأحيان نضحك على الجدات اللائي يشربن البابونج ، لكنني سأخبرك بشيء واحد ، أحبه!</v>
      </c>
    </row>
    <row r="8082" ht="15.75" customHeight="1">
      <c r="A8082" s="12" t="s">
        <v>17189</v>
      </c>
      <c r="B8082" s="13" t="s">
        <v>17190</v>
      </c>
      <c r="C8082" s="14" t="s">
        <v>17191</v>
      </c>
      <c r="D8082" s="1" t="str">
        <f>IFERROR(__xludf.DUMMYFUNCTION("GOOGLETRANSLATE(A8082 , ""auto"", ""ar"")"),"كنت سأقترح ذلك أيضًا!")</f>
        <v>كنت سأقترح ذلك أيضًا!</v>
      </c>
    </row>
    <row r="8083" ht="15.75" customHeight="1">
      <c r="A8083" s="12" t="s">
        <v>17192</v>
      </c>
      <c r="B8083" s="13" t="s">
        <v>17193</v>
      </c>
      <c r="C8083" s="14" t="s">
        <v>17194</v>
      </c>
      <c r="D8083" s="1" t="str">
        <f>IFERROR(__xludf.DUMMYFUNCTION("GOOGLETRANSLATE(A8083 , ""auto"", ""ar"")"),"الآن ، أعتقد أن لدي كل ما نحتاجه لحل هذه المشكلة!")</f>
        <v>الآن ، أعتقد أن لدي كل ما نحتاجه لحل هذه المشكلة!</v>
      </c>
    </row>
    <row r="8084" ht="15.75" customHeight="1">
      <c r="A8084" s="12" t="s">
        <v>17195</v>
      </c>
      <c r="B8084" s="13" t="s">
        <v>17196</v>
      </c>
      <c r="C8084" s="14" t="s">
        <v>17197</v>
      </c>
      <c r="D8084" s="1" t="str">
        <f>IFERROR(__xludf.DUMMYFUNCTION("GOOGLETRANSLATE(A8084 , ""auto"", ""ar"")"),"أنا متأكد من أننا لن نحتاج إلى الالتقاء مرة أخرى لفترة طويلة ، إن وجدت ، ولكن من فضلك لا تتردد في العودة إلي إذا استمرت مشاكلك")</f>
        <v>أنا متأكد من أننا لن نحتاج إلى الالتقاء مرة أخرى لفترة طويلة ، إن وجدت ، ولكن من فضلك لا تتردد في العودة إلي إذا استمرت مشاكلك</v>
      </c>
    </row>
    <row r="8085" ht="15.75" customHeight="1">
      <c r="A8085" s="12" t="s">
        <v>17198</v>
      </c>
      <c r="B8085" s="13" t="s">
        <v>17199</v>
      </c>
      <c r="C8085" s="14" t="s">
        <v>17200</v>
      </c>
      <c r="D8085" s="1" t="str">
        <f>IFERROR(__xludf.DUMMYFUNCTION("GOOGLETRANSLATE(A8085 , ""auto"", ""ar"")"),"أنا سعيد بخدمتك.")</f>
        <v>أنا سعيد بخدمتك.</v>
      </c>
    </row>
    <row r="8086" ht="15.75" customHeight="1">
      <c r="A8086" s="12" t="s">
        <v>17201</v>
      </c>
      <c r="B8086" s="13" t="s">
        <v>17202</v>
      </c>
      <c r="C8086" s="14" t="s">
        <v>17203</v>
      </c>
      <c r="D8086" s="1" t="str">
        <f>IFERROR(__xludf.DUMMYFUNCTION("GOOGLETRANSLATE(A8086 , ""auto"", ""ar"")"),"لاحظ ، شكرا لك مرة أخرى.")</f>
        <v>لاحظ ، شكرا لك مرة أخرى.</v>
      </c>
    </row>
    <row r="8087" ht="15.75" customHeight="1">
      <c r="A8087" s="12" t="s">
        <v>17204</v>
      </c>
      <c r="B8087" s="13" t="s">
        <v>17205</v>
      </c>
      <c r="C8087" s="14" t="s">
        <v>17206</v>
      </c>
      <c r="D8087" s="1" t="str">
        <f>IFERROR(__xludf.DUMMYFUNCTION("GOOGLETRANSLATE(A8087 , ""auto"", ""ar"")"),"استمتع ببقية اليوم يا دكتور.")</f>
        <v>استمتع ببقية اليوم يا دكتور.</v>
      </c>
    </row>
    <row r="8088" ht="15.75" customHeight="1">
      <c r="A8088" s="12" t="s">
        <v>17207</v>
      </c>
      <c r="B8088" s="13" t="s">
        <v>17208</v>
      </c>
      <c r="C8088" s="14" t="s">
        <v>17209</v>
      </c>
      <c r="D8088" s="1" t="str">
        <f>IFERROR(__xludf.DUMMYFUNCTION("GOOGLETRANSLATE(A8088 , ""auto"", ""ar"")"),"ما لم يكن لديك أي شيء آخر ترغب في ذكره ، أتمنى لك استمرارًا لطيفًا")</f>
        <v>ما لم يكن لديك أي شيء آخر ترغب في ذكره ، أتمنى لك استمرارًا لطيفًا</v>
      </c>
    </row>
    <row r="8089" ht="15.75" customHeight="1">
      <c r="A8089" s="12" t="s">
        <v>17210</v>
      </c>
      <c r="B8089" s="13" t="s">
        <v>17211</v>
      </c>
      <c r="C8089" s="14" t="s">
        <v>17212</v>
      </c>
      <c r="D8089" s="1" t="str">
        <f>IFERROR(__xludf.DUMMYFUNCTION("GOOGLETRANSLATE(A8089 , ""auto"", ""ar"")"),"أتمنى أن تستفيد القصوى من العطلات المصرفية هذا الأسبوع لتغيير أفكارك")</f>
        <v>أتمنى أن تستفيد القصوى من العطلات المصرفية هذا الأسبوع لتغيير أفكارك</v>
      </c>
    </row>
    <row r="8090" ht="15.75" customHeight="1">
      <c r="A8090" s="12" t="s">
        <v>17213</v>
      </c>
      <c r="B8090" s="13" t="s">
        <v>17214</v>
      </c>
      <c r="C8090" s="14" t="s">
        <v>17215</v>
      </c>
      <c r="D8090" s="1" t="str">
        <f>IFERROR(__xludf.DUMMYFUNCTION("GOOGLETRANSLATE(A8090 , ""auto"", ""ar"")"),"اذهب للمشي تحت أشعة الشمس!")</f>
        <v>اذهب للمشي تحت أشعة الشمس!</v>
      </c>
    </row>
    <row r="8091" ht="15.75" customHeight="1">
      <c r="A8091" s="12" t="s">
        <v>15472</v>
      </c>
      <c r="B8091" s="13" t="s">
        <v>8103</v>
      </c>
      <c r="C8091" s="14" t="s">
        <v>2027</v>
      </c>
      <c r="D8091" s="1" t="str">
        <f>IFERROR(__xludf.DUMMYFUNCTION("GOOGLETRANSLATE(A8091 , ""auto"", ""ar"")"),"حسنًا!")</f>
        <v>حسنًا!</v>
      </c>
    </row>
    <row r="8092" ht="15.75" customHeight="1">
      <c r="A8092" s="12" t="s">
        <v>17216</v>
      </c>
      <c r="B8092" s="13" t="s">
        <v>17217</v>
      </c>
      <c r="C8092" s="14" t="s">
        <v>17218</v>
      </c>
      <c r="D8092" s="1" t="str">
        <f>IFERROR(__xludf.DUMMYFUNCTION("GOOGLETRANSLATE(A8092 , ""auto"", ""ar"")"),"أرك لاحقًا.")</f>
        <v>أرك لاحقًا.</v>
      </c>
    </row>
    <row r="8093" ht="15.75" customHeight="1">
      <c r="A8093" s="12" t="s">
        <v>17219</v>
      </c>
      <c r="B8093" s="13" t="s">
        <v>17220</v>
      </c>
      <c r="C8093" s="14" t="s">
        <v>17221</v>
      </c>
      <c r="D8093" s="1" t="str">
        <f>IFERROR(__xludf.DUMMYFUNCTION("GOOGLETRANSLATE(A8093 , ""auto"", ""ar"")"),"أنت أيضا ، آرثر.")</f>
        <v>أنت أيضا ، آرثر.</v>
      </c>
    </row>
    <row r="8094" ht="15.75" customHeight="1">
      <c r="A8094" s="12" t="s">
        <v>8079</v>
      </c>
      <c r="B8094" s="13" t="s">
        <v>17222</v>
      </c>
      <c r="C8094" s="14" t="s">
        <v>17223</v>
      </c>
      <c r="D8094" s="1" t="str">
        <f>IFERROR(__xludf.DUMMYFUNCTION("GOOGLETRANSLATE(A8094 , ""auto"", ""ar"")"),"مع السلامة")</f>
        <v>مع السلامة</v>
      </c>
    </row>
    <row r="8095" ht="15.75" customHeight="1">
      <c r="A8095" s="12" t="s">
        <v>17224</v>
      </c>
      <c r="B8095" s="13" t="s">
        <v>17225</v>
      </c>
      <c r="C8095" s="14" t="s">
        <v>17226</v>
      </c>
      <c r="D8095" s="1" t="str">
        <f>IFERROR(__xludf.DUMMYFUNCTION("GOOGLETRANSLATE(A8095 , ""auto"", ""ar"")"),"قطع تلك البطاطس إلى رقائق إنجليزية مناسبة الآن")</f>
        <v>قطع تلك البطاطس إلى رقائق إنجليزية مناسبة الآن</v>
      </c>
    </row>
    <row r="8096" ht="15.75" customHeight="1">
      <c r="A8096" s="12" t="s">
        <v>17227</v>
      </c>
      <c r="B8096" s="13" t="s">
        <v>17228</v>
      </c>
      <c r="C8096" s="14" t="s">
        <v>17229</v>
      </c>
      <c r="D8096" s="1" t="str">
        <f>IFERROR(__xludf.DUMMYFUNCTION("GOOGLETRANSLATE(A8096 , ""auto"", ""ar"")"),"ليس تلك البطاطس المقلية الرهيبة!")</f>
        <v>ليس تلك البطاطس المقلية الرهيبة!</v>
      </c>
    </row>
    <row r="8097" ht="15.75" customHeight="1">
      <c r="A8097" s="12" t="s">
        <v>17230</v>
      </c>
      <c r="B8097" s="13" t="s">
        <v>17231</v>
      </c>
      <c r="C8097" s="14" t="s">
        <v>17232</v>
      </c>
      <c r="D8097" s="1" t="str">
        <f>IFERROR(__xludf.DUMMYFUNCTION("GOOGLETRANSLATE(A8097 , ""auto"", ""ar"")"),"حسنًا ، رئيس!")</f>
        <v>حسنًا ، رئيس!</v>
      </c>
    </row>
    <row r="8098" ht="15.75" customHeight="1">
      <c r="A8098" s="12" t="s">
        <v>17233</v>
      </c>
      <c r="B8098" s="13" t="s">
        <v>17234</v>
      </c>
      <c r="C8098" s="14" t="s">
        <v>17235</v>
      </c>
      <c r="D8098" s="1" t="str">
        <f>IFERROR(__xludf.DUMMYFUNCTION("GOOGLETRANSLATE(A8098 , ""auto"", ""ar"")"),"ماذا عن مكعب أو طويل؟")</f>
        <v>ماذا عن مكعب أو طويل؟</v>
      </c>
    </row>
    <row r="8099" ht="15.75" customHeight="1">
      <c r="A8099" s="12" t="s">
        <v>17236</v>
      </c>
      <c r="B8099" s="13" t="s">
        <v>17237</v>
      </c>
      <c r="C8099" s="14" t="s">
        <v>17238</v>
      </c>
      <c r="D8099" s="1" t="str">
        <f>IFERROR(__xludf.DUMMYFUNCTION("GOOGLETRANSLATE(A8099 , ""auto"", ""ar"")"),"هل تريد البنجر معهم أيضًا؟")</f>
        <v>هل تريد البنجر معهم أيضًا؟</v>
      </c>
    </row>
    <row r="8100" ht="15.75" customHeight="1">
      <c r="A8100" s="12" t="s">
        <v>17239</v>
      </c>
      <c r="B8100" s="13" t="s">
        <v>17240</v>
      </c>
      <c r="C8100" s="14" t="s">
        <v>17241</v>
      </c>
      <c r="D8100" s="1" t="str">
        <f>IFERROR(__xludf.DUMMYFUNCTION("GOOGLETRANSLATE(A8100 , ""auto"", ""ar"")"),"من أجل الخير ، قلت لا تفهم أي شيء")</f>
        <v>من أجل الخير ، قلت لا تفهم أي شيء</v>
      </c>
    </row>
    <row r="8101" ht="15.75" customHeight="1">
      <c r="A8101" s="12" t="s">
        <v>17242</v>
      </c>
      <c r="B8101" s="13" t="s">
        <v>17243</v>
      </c>
      <c r="C8101" s="14" t="s">
        <v>17244</v>
      </c>
      <c r="D8101" s="1" t="str">
        <f>IFERROR(__xludf.DUMMYFUNCTION("GOOGLETRANSLATE(A8101 , ""auto"", ""ar"")"),"لا ، ما هي البنجر؟")</f>
        <v>لا ، ما هي البنجر؟</v>
      </c>
    </row>
    <row r="8102" ht="15.75" customHeight="1">
      <c r="A8102" s="12" t="s">
        <v>17245</v>
      </c>
      <c r="B8102" s="13" t="s">
        <v>17246</v>
      </c>
      <c r="C8102" s="14" t="s">
        <v>17247</v>
      </c>
      <c r="D8102" s="1" t="str">
        <f>IFERROR(__xludf.DUMMYFUNCTION("GOOGLETRANSLATE(A8102 , ""auto"", ""ar"")"),"ربما مع بعض الريحان إذن؟")</f>
        <v>ربما مع بعض الريحان إذن؟</v>
      </c>
    </row>
    <row r="8103" ht="15.75" customHeight="1">
      <c r="A8103" s="12" t="s">
        <v>17248</v>
      </c>
      <c r="B8103" s="13" t="s">
        <v>17249</v>
      </c>
      <c r="C8103" s="14" t="s">
        <v>17250</v>
      </c>
      <c r="D8103" s="1" t="str">
        <f>IFERROR(__xludf.DUMMYFUNCTION("GOOGLETRANSLATE(A8103 , ""auto"", ""ar"")"),"نحن لا نستعد لتناول وجبة إيطالية")</f>
        <v>نحن لا نستعد لتناول وجبة إيطالية</v>
      </c>
    </row>
    <row r="8104" ht="15.75" customHeight="1">
      <c r="A8104" s="12" t="s">
        <v>17251</v>
      </c>
      <c r="B8104" s="13" t="s">
        <v>17252</v>
      </c>
      <c r="C8104" s="14" t="s">
        <v>17253</v>
      </c>
      <c r="D8104" s="1" t="str">
        <f>IFERROR(__xludf.DUMMYFUNCTION("GOOGLETRANSLATE(A8104 , ""auto"", ""ar"")"),"ستكون هذه وجبة إنجليزية مناسبة")</f>
        <v>ستكون هذه وجبة إنجليزية مناسبة</v>
      </c>
    </row>
    <row r="8105" ht="15.75" customHeight="1">
      <c r="A8105" s="12" t="s">
        <v>17254</v>
      </c>
      <c r="B8105" s="13" t="s">
        <v>17255</v>
      </c>
      <c r="C8105" s="14" t="s">
        <v>17256</v>
      </c>
      <c r="D8105" s="1" t="str">
        <f>IFERROR(__xludf.DUMMYFUNCTION("GOOGLETRANSLATE(A8105 , ""auto"", ""ar"")"),"ربما المزيد من الجبن؟")</f>
        <v>ربما المزيد من الجبن؟</v>
      </c>
    </row>
    <row r="8106" ht="15.75" customHeight="1">
      <c r="A8106" s="12" t="s">
        <v>17257</v>
      </c>
      <c r="B8106" s="13" t="s">
        <v>17258</v>
      </c>
      <c r="C8106" s="14" t="s">
        <v>17259</v>
      </c>
      <c r="D8106" s="1" t="str">
        <f>IFERROR(__xludf.DUMMYFUNCTION("GOOGLETRANSLATE(A8106 , ""auto"", ""ar"")"),"حسنًا للوجبة الإنجليزية.")</f>
        <v>حسنًا للوجبة الإنجليزية.</v>
      </c>
    </row>
    <row r="8107" ht="15.75" customHeight="1">
      <c r="A8107" s="12" t="s">
        <v>17260</v>
      </c>
      <c r="B8107" s="13" t="s">
        <v>17261</v>
      </c>
      <c r="C8107" s="14" t="s">
        <v>17262</v>
      </c>
      <c r="D8107" s="1" t="str">
        <f>IFERROR(__xludf.DUMMYFUNCTION("GOOGLETRANSLATE(A8107 , ""auto"", ""ar"")"),"ما هو حجم البطاطس المقلية الفرنسية؟")</f>
        <v>ما هو حجم البطاطس المقلية الفرنسية؟</v>
      </c>
    </row>
    <row r="8108" ht="15.75" customHeight="1">
      <c r="A8108" s="12" t="s">
        <v>17263</v>
      </c>
      <c r="B8108" s="13" t="s">
        <v>17264</v>
      </c>
      <c r="C8108" s="14" t="s">
        <v>17265</v>
      </c>
      <c r="D8108" s="1" t="str">
        <f>IFERROR(__xludf.DUMMYFUNCTION("GOOGLETRANSLATE(A8108 , ""auto"", ""ar"")"),"على الرغم من أنهم في إنجلترا ينموون شمندر")</f>
        <v>على الرغم من أنهم في إنجلترا ينموون شمندر</v>
      </c>
    </row>
    <row r="8109" ht="15.75" customHeight="1">
      <c r="A8109" s="12" t="s">
        <v>17266</v>
      </c>
      <c r="B8109" s="13" t="s">
        <v>17267</v>
      </c>
      <c r="C8109" s="14" t="s">
        <v>17268</v>
      </c>
      <c r="D8109" s="1" t="str">
        <f>IFERROR(__xludf.DUMMYFUNCTION("GOOGLETRANSLATE(A8109 , ""auto"", ""ar"")"),"إذا كان هذا ما تعنيه")</f>
        <v>إذا كان هذا ما تعنيه</v>
      </c>
    </row>
    <row r="8110" ht="15.75" customHeight="1">
      <c r="A8110" s="12" t="s">
        <v>17269</v>
      </c>
      <c r="B8110" s="13" t="s">
        <v>17270</v>
      </c>
      <c r="C8110" s="14" t="s">
        <v>17271</v>
      </c>
      <c r="D8110" s="1" t="str">
        <f>IFERROR(__xludf.DUMMYFUNCTION("GOOGLETRANSLATE(A8110 , ""auto"", ""ar"")"),"عادة ما يتم غليها وتقديمها مع الخل")</f>
        <v>عادة ما يتم غليها وتقديمها مع الخل</v>
      </c>
    </row>
    <row r="8111" ht="15.75" customHeight="1">
      <c r="A8111" s="12" t="s">
        <v>17272</v>
      </c>
      <c r="B8111" s="13" t="s">
        <v>17273</v>
      </c>
      <c r="C8111" s="14" t="s">
        <v>17274</v>
      </c>
      <c r="D8111" s="1" t="str">
        <f>IFERROR(__xludf.DUMMYFUNCTION("GOOGLETRANSLATE(A8111 , ""auto"", ""ar"")"),"سأقوم فقط بقطع زوجين وأريك")</f>
        <v>سأقوم فقط بقطع زوجين وأريك</v>
      </c>
    </row>
    <row r="8112" ht="15.75" customHeight="1">
      <c r="A8112" s="12" t="s">
        <v>17275</v>
      </c>
      <c r="B8112" s="13" t="s">
        <v>17276</v>
      </c>
      <c r="C8112" s="14" t="s">
        <v>17277</v>
      </c>
      <c r="D8112" s="1" t="str">
        <f>IFERROR(__xludf.DUMMYFUNCTION("GOOGLETRANSLATE(A8112 , ""auto"", ""ar"")"),"نعم ، يمكننا إضافة زيت الزيتون مع البنجر.")</f>
        <v>نعم ، يمكننا إضافة زيت الزيتون مع البنجر.</v>
      </c>
    </row>
    <row r="8113" ht="15.75" customHeight="1">
      <c r="A8113" s="12" t="s">
        <v>17278</v>
      </c>
      <c r="B8113" s="13" t="s">
        <v>17279</v>
      </c>
      <c r="C8113" s="14" t="s">
        <v>17280</v>
      </c>
      <c r="D8113" s="1" t="str">
        <f>IFERROR(__xludf.DUMMYFUNCTION("GOOGLETRANSLATE(A8113 , ""auto"", ""ar"")"),"أعتقد أنهم يتزوجون.")</f>
        <v>أعتقد أنهم يتزوجون.</v>
      </c>
    </row>
    <row r="8114" ht="15.75" customHeight="1">
      <c r="A8114" s="12" t="s">
        <v>17281</v>
      </c>
      <c r="B8114" s="13" t="s">
        <v>10057</v>
      </c>
      <c r="C8114" s="14" t="s">
        <v>5033</v>
      </c>
      <c r="D8114" s="1" t="str">
        <f>IFERROR(__xludf.DUMMYFUNCTION("GOOGLETRANSLATE(A8114 , ""auto"", ""ar"")"),"لا أنا لا")</f>
        <v>لا أنا لا</v>
      </c>
    </row>
    <row r="8115" ht="15.75" customHeight="1">
      <c r="A8115" s="12" t="s">
        <v>15076</v>
      </c>
      <c r="B8115" s="13" t="s">
        <v>17282</v>
      </c>
      <c r="C8115" s="14" t="s">
        <v>17283</v>
      </c>
      <c r="D8115" s="1" t="str">
        <f>IFERROR(__xludf.DUMMYFUNCTION("GOOGLETRANSLATE(A8115 , ""auto"", ""ar"")"),"يرجى تقديم الجملة التي ترغب في ترجمتها إلى اللغة العربية المعيارية الحديثة (MSA).")</f>
        <v>يرجى تقديم الجملة التي ترغب في ترجمتها إلى اللغة العربية المعيارية الحديثة (MSA).</v>
      </c>
    </row>
    <row r="8116" ht="15.75" customHeight="1">
      <c r="A8116" s="12" t="s">
        <v>17284</v>
      </c>
      <c r="B8116" s="13" t="s">
        <v>17285</v>
      </c>
      <c r="C8116" s="14" t="s">
        <v>17286</v>
      </c>
      <c r="D8116" s="1" t="str">
        <f>IFERROR(__xludf.DUMMYFUNCTION("GOOGLETRANSLATE(A8116 , ""auto"", ""ar"")"),"أحتاج أن أرى أن يفعل الشيء الصحيح.")</f>
        <v>أحتاج أن أرى أن يفعل الشيء الصحيح.</v>
      </c>
    </row>
    <row r="8117" ht="15.75" customHeight="1">
      <c r="A8117" s="12" t="s">
        <v>17287</v>
      </c>
      <c r="B8117" s="13" t="s">
        <v>17288</v>
      </c>
      <c r="C8117" s="14" t="s">
        <v>17289</v>
      </c>
      <c r="D8117" s="1" t="str">
        <f>IFERROR(__xludf.DUMMYFUNCTION("GOOGLETRANSLATE(A8117 , ""auto"", ""ar"")"),"فقط اذهب ولا تتحدث كثيرا")</f>
        <v>فقط اذهب ولا تتحدث كثيرا</v>
      </c>
    </row>
    <row r="8118" ht="15.75" customHeight="1">
      <c r="A8118" s="12" t="s">
        <v>17290</v>
      </c>
      <c r="B8118" s="13" t="s">
        <v>17291</v>
      </c>
      <c r="C8118" s="14" t="s">
        <v>17292</v>
      </c>
      <c r="D8118" s="1" t="str">
        <f>IFERROR(__xludf.DUMMYFUNCTION("GOOGLETRANSLATE(A8118 , ""auto"", ""ar"")"),"من فضلك هل يمكنك فقط أن تحرق اللحم البقري في مقلاة ووضعه على إبطاء الشواء")</f>
        <v>من فضلك هل يمكنك فقط أن تحرق اللحم البقري في مقلاة ووضعه على إبطاء الشواء</v>
      </c>
    </row>
    <row r="8119" ht="15.75" customHeight="1">
      <c r="A8119" s="12" t="s">
        <v>17293</v>
      </c>
      <c r="B8119" s="13" t="s">
        <v>17294</v>
      </c>
      <c r="C8119" s="14" t="s">
        <v>17295</v>
      </c>
      <c r="D8119" s="1" t="str">
        <f>IFERROR(__xludf.DUMMYFUNCTION("GOOGLETRANSLATE(A8119 , ""auto"", ""ar"")"),"ما مدى سخونة الشواء؟")</f>
        <v>ما مدى سخونة الشواء؟</v>
      </c>
    </row>
    <row r="8120" ht="15.75" customHeight="1">
      <c r="A8120" s="12" t="s">
        <v>17296</v>
      </c>
      <c r="B8120" s="13" t="s">
        <v>17297</v>
      </c>
      <c r="C8120" s="14" t="s">
        <v>17298</v>
      </c>
      <c r="D8120" s="1" t="str">
        <f>IFERROR(__xludf.DUMMYFUNCTION("GOOGLETRANSLATE(A8120 , ""auto"", ""ar"")"),"ما عليك سوى احمره حتى تضعه بنيًا وكراميلًا ثم وضع خزفي مع الجزر والكرفس وبعض التوابل والغطاء مع الأسهم")</f>
        <v>ما عليك سوى احمره حتى تضعه بنيًا وكراميلًا ثم وضع خزفي مع الجزر والكرفس وبعض التوابل والغطاء مع الأسهم</v>
      </c>
    </row>
    <row r="8121" ht="15.75" customHeight="1">
      <c r="A8121" s="12" t="s">
        <v>17299</v>
      </c>
      <c r="B8121" s="13" t="s">
        <v>17300</v>
      </c>
      <c r="C8121" s="14" t="s">
        <v>17301</v>
      </c>
      <c r="D8121" s="1" t="str">
        <f>IFERROR(__xludf.DUMMYFUNCTION("GOOGLETRANSLATE(A8121 , ""auto"", ""ar"")"),"أخبرني الآن ، منذ متى وأنت طاهي متدرب؟")</f>
        <v>أخبرني الآن ، منذ متى وأنت طاهي متدرب؟</v>
      </c>
    </row>
    <row r="8122" ht="15.75" customHeight="1">
      <c r="A8122" s="12" t="s">
        <v>17302</v>
      </c>
      <c r="B8122" s="13" t="s">
        <v>17303</v>
      </c>
      <c r="C8122" s="14" t="s">
        <v>17304</v>
      </c>
      <c r="D8122" s="1" t="str">
        <f>IFERROR(__xludf.DUMMYFUNCTION("GOOGLETRANSLATE(A8122 , ""auto"", ""ar"")"),"لقد مرت عشر سنوات.")</f>
        <v>لقد مرت عشر سنوات.</v>
      </c>
    </row>
    <row r="8123" ht="15.75" customHeight="1">
      <c r="A8123" s="12" t="s">
        <v>17305</v>
      </c>
      <c r="B8123" s="13" t="s">
        <v>17306</v>
      </c>
      <c r="C8123" s="14" t="s">
        <v>17307</v>
      </c>
      <c r="D8123" s="1" t="str">
        <f>IFERROR(__xludf.DUMMYFUNCTION("GOOGLETRANSLATE(A8123 , ""auto"", ""ar"")"),"حسنًا للتخطيط.")</f>
        <v>حسنًا للتخطيط.</v>
      </c>
    </row>
    <row r="8124" ht="15.75" customHeight="1">
      <c r="A8124" s="12" t="s">
        <v>17308</v>
      </c>
      <c r="B8124" s="13" t="s">
        <v>17309</v>
      </c>
      <c r="C8124" s="14" t="s">
        <v>17310</v>
      </c>
      <c r="D8124" s="1" t="str">
        <f>IFERROR(__xludf.DUMMYFUNCTION("GOOGLETRANSLATE(A8124 , ""auto"", ""ar"")"),"هل يمكنني إضافة بعض الكرفس أيضًا؟")</f>
        <v>هل يمكنني إضافة بعض الكرفس أيضًا؟</v>
      </c>
    </row>
    <row r="8125" ht="15.75" customHeight="1">
      <c r="A8125" s="12" t="s">
        <v>17311</v>
      </c>
      <c r="B8125" s="13" t="s">
        <v>17312</v>
      </c>
      <c r="C8125" s="14" t="s">
        <v>17313</v>
      </c>
      <c r="D8125" s="1" t="str">
        <f>IFERROR(__xludf.DUMMYFUNCTION("GOOGLETRANSLATE(A8125 , ""auto"", ""ar"")"),"وكم من الوقت كنت مسؤولاً؟")</f>
        <v>وكم من الوقت كنت مسؤولاً؟</v>
      </c>
    </row>
    <row r="8126" ht="15.75" customHeight="1">
      <c r="A8126" s="12" t="s">
        <v>17314</v>
      </c>
      <c r="B8126" s="13" t="s">
        <v>17315</v>
      </c>
      <c r="C8126" s="14" t="s">
        <v>17316</v>
      </c>
      <c r="D8126" s="1" t="str">
        <f>IFERROR(__xludf.DUMMYFUNCTION("GOOGLETRANSLATE(A8126 , ""auto"", ""ar"")"),"أوه نعم")</f>
        <v>أوه نعم</v>
      </c>
    </row>
    <row r="8127" ht="15.75" customHeight="1">
      <c r="A8127" s="12" t="s">
        <v>17317</v>
      </c>
      <c r="B8127" s="13" t="s">
        <v>17318</v>
      </c>
      <c r="C8127" s="14" t="s">
        <v>17319</v>
      </c>
      <c r="D8127" s="1" t="str">
        <f>IFERROR(__xludf.DUMMYFUNCTION("GOOGLETRANSLATE(A8127 , ""auto"", ""ar"")"),"أقترح عليك الاستماع أكثر وتتحدث أقل ، يجب أن أذهب الآن")</f>
        <v>أقترح عليك الاستماع أكثر وتتحدث أقل ، يجب أن أذهب الآن</v>
      </c>
    </row>
    <row r="8128" ht="15.75" customHeight="1">
      <c r="A8128" s="12" t="s">
        <v>17320</v>
      </c>
      <c r="B8128" s="13" t="s">
        <v>17321</v>
      </c>
      <c r="C8128" s="14" t="s">
        <v>17322</v>
      </c>
      <c r="D8128" s="1" t="str">
        <f>IFERROR(__xludf.DUMMYFUNCTION("GOOGLETRANSLATE(A8128 , ""auto"", ""ar"")"),"سيدتي ، هل سنكون في السيطرة قريبًا؟")</f>
        <v>سيدتي ، هل سنكون في السيطرة قريبًا؟</v>
      </c>
    </row>
    <row r="8129" ht="15.75" customHeight="1">
      <c r="A8129" s="12" t="s">
        <v>17323</v>
      </c>
      <c r="B8129" s="13" t="s">
        <v>17324</v>
      </c>
      <c r="C8129" s="14" t="s">
        <v>17325</v>
      </c>
      <c r="D8129" s="1" t="str">
        <f>IFERROR(__xludf.DUMMYFUNCTION("GOOGLETRANSLATE(A8129 , ""auto"", ""ar"")"),"ماذا تريد أن تكون في السيطرة على؟")</f>
        <v>ماذا تريد أن تكون في السيطرة على؟</v>
      </c>
    </row>
    <row r="8130" ht="15.75" customHeight="1">
      <c r="A8130" s="12" t="s">
        <v>17326</v>
      </c>
      <c r="B8130" s="13" t="s">
        <v>17327</v>
      </c>
      <c r="C8130" s="14" t="s">
        <v>17328</v>
      </c>
      <c r="D8130" s="1" t="str">
        <f>IFERROR(__xludf.DUMMYFUNCTION("GOOGLETRANSLATE(A8130 , ""auto"", ""ar"")"),"تحكم في الفصل الأخير.")</f>
        <v>تحكم في الفصل الأخير.</v>
      </c>
    </row>
    <row r="8131" ht="15.75" customHeight="1">
      <c r="A8131" s="12" t="s">
        <v>17329</v>
      </c>
      <c r="B8131" s="13" t="s">
        <v>17330</v>
      </c>
      <c r="C8131" s="14" t="s">
        <v>17331</v>
      </c>
      <c r="D8131" s="1" t="str">
        <f>IFERROR(__xludf.DUMMYFUNCTION("GOOGLETRANSLATE(A8131 , ""auto"", ""ar"")"),"أود أن أعرف مقدار الوقت الذي تركته للدراسة")</f>
        <v>أود أن أعرف مقدار الوقت الذي تركته للدراسة</v>
      </c>
    </row>
    <row r="8132" ht="15.75" customHeight="1">
      <c r="A8132" s="12" t="s">
        <v>17332</v>
      </c>
      <c r="B8132" s="13" t="s">
        <v>17333</v>
      </c>
      <c r="C8132" s="14" t="s">
        <v>17334</v>
      </c>
      <c r="D8132" s="1" t="str">
        <f>IFERROR(__xludf.DUMMYFUNCTION("GOOGLETRANSLATE(A8132 , ""auto"", ""ar"")"),"سيكون لدينا امتحان ، إذا كان هذا هو ما تعنيه ، الأسبوع المقبل يوم الخميس")</f>
        <v>سيكون لدينا امتحان ، إذا كان هذا هو ما تعنيه ، الأسبوع المقبل يوم الخميس</v>
      </c>
    </row>
    <row r="8133" ht="15.75" customHeight="1">
      <c r="A8133" s="12" t="s">
        <v>17335</v>
      </c>
      <c r="B8133" s="13" t="s">
        <v>17336</v>
      </c>
      <c r="C8133" s="14" t="s">
        <v>17337</v>
      </c>
      <c r="D8133" s="1" t="str">
        <f>IFERROR(__xludf.DUMMYFUNCTION("GOOGLETRANSLATE(A8133 , ""auto"", ""ar"")"),"سنقوم بتغطية جميع المواد حتى يوم الثلاثاء المقبل ، لذا ابدأ الدراسة قريبًا!")</f>
        <v>سنقوم بتغطية جميع المواد حتى يوم الثلاثاء المقبل ، لذا ابدأ الدراسة قريبًا!</v>
      </c>
    </row>
    <row r="8134" ht="15.75" customHeight="1">
      <c r="A8134" s="12" t="s">
        <v>17338</v>
      </c>
      <c r="B8134" s="13" t="s">
        <v>17339</v>
      </c>
      <c r="C8134" s="14" t="s">
        <v>17340</v>
      </c>
      <c r="D8134" s="1" t="str">
        <f>IFERROR(__xludf.DUMMYFUNCTION("GOOGLETRANSLATE(A8134 , ""auto"", ""ar"")"),"لكنني سأجيب فقط على رسائل البريد الإلكتروني خلال ساعات العمل")</f>
        <v>لكنني سأجيب فقط على رسائل البريد الإلكتروني خلال ساعات العمل</v>
      </c>
    </row>
    <row r="8135" ht="15.75" customHeight="1">
      <c r="A8135" s="12" t="s">
        <v>17341</v>
      </c>
      <c r="B8135" s="13" t="s">
        <v>17342</v>
      </c>
      <c r="C8135" s="14" t="s">
        <v>17343</v>
      </c>
      <c r="D8135" s="1" t="str">
        <f>IFERROR(__xludf.DUMMYFUNCTION("GOOGLETRANSLATE(A8135 , ""auto"", ""ar"")"),"لذا من فضلك لا ترسلهم في وقت متأخر مساء الأربعاء")</f>
        <v>لذا من فضلك لا ترسلهم في وقت متأخر مساء الأربعاء</v>
      </c>
    </row>
    <row r="8136" ht="15.75" customHeight="1">
      <c r="A8136" s="12" t="s">
        <v>17344</v>
      </c>
      <c r="B8136" s="13" t="s">
        <v>17345</v>
      </c>
      <c r="C8136" s="14" t="s">
        <v>17346</v>
      </c>
      <c r="D8136" s="1" t="str">
        <f>IFERROR(__xludf.DUMMYFUNCTION("GOOGLETRANSLATE(A8136 , ""auto"", ""ar"")"),"شكرا سيدتي.")</f>
        <v>شكرا سيدتي.</v>
      </c>
    </row>
    <row r="8137" ht="15.75" customHeight="1">
      <c r="A8137" s="12" t="s">
        <v>17347</v>
      </c>
      <c r="B8137" s="13" t="s">
        <v>17348</v>
      </c>
      <c r="C8137" s="14" t="s">
        <v>17349</v>
      </c>
      <c r="D8137" s="1" t="str">
        <f>IFERROR(__xludf.DUMMYFUNCTION("GOOGLETRANSLATE(A8137 , ""auto"", ""ar"")"),"هل هذا سيفعل ذلك؟")</f>
        <v>هل هذا سيفعل ذلك؟</v>
      </c>
    </row>
    <row r="8138" ht="15.75" customHeight="1">
      <c r="A8138" s="12" t="s">
        <v>17350</v>
      </c>
      <c r="B8138" s="13" t="s">
        <v>17351</v>
      </c>
      <c r="C8138" s="14" t="s">
        <v>17352</v>
      </c>
      <c r="D8138" s="1" t="str">
        <f>IFERROR(__xludf.DUMMYFUNCTION("GOOGLETRANSLATE(A8138 , ""auto"", ""ar"")"),"وكيف سيساعدني كتابك على الهدوء؟!")</f>
        <v>وكيف سيساعدني كتابك على الهدوء؟!</v>
      </c>
    </row>
    <row r="8139" ht="15.75" customHeight="1">
      <c r="A8139" s="12" t="s">
        <v>17353</v>
      </c>
      <c r="B8139" s="13" t="s">
        <v>17354</v>
      </c>
      <c r="C8139" s="14" t="s">
        <v>17355</v>
      </c>
      <c r="D8139" s="1" t="str">
        <f>IFERROR(__xludf.DUMMYFUNCTION("GOOGLETRANSLATE(A8139 , ""auto"", ""ar"")"),"ليس أنت ، أنا الشخص الخائف من الطيران ، حسنًا؟")</f>
        <v>ليس أنت ، أنا الشخص الخائف من الطيران ، حسنًا؟</v>
      </c>
    </row>
    <row r="8140" ht="15.75" customHeight="1">
      <c r="A8140" s="12" t="s">
        <v>17356</v>
      </c>
      <c r="B8140" s="13" t="s">
        <v>17357</v>
      </c>
      <c r="C8140" s="14" t="s">
        <v>17358</v>
      </c>
      <c r="D8140" s="1" t="str">
        <f>IFERROR(__xludf.DUMMYFUNCTION("GOOGLETRANSLATE(A8140 , ""auto"", ""ar"")"),"وأنا أتحدث عن الزيوت الأساسية.")</f>
        <v>وأنا أتحدث عن الزيوت الأساسية.</v>
      </c>
    </row>
    <row r="8141" ht="15.75" customHeight="1">
      <c r="A8141" s="12" t="s">
        <v>17359</v>
      </c>
      <c r="B8141" s="13" t="s">
        <v>17360</v>
      </c>
      <c r="C8141" s="14" t="s">
        <v>17361</v>
      </c>
      <c r="D8141" s="1" t="str">
        <f>IFERROR(__xludf.DUMMYFUNCTION("GOOGLETRANSLATE(A8141 , ""auto"", ""ar"")"),"باهِر!")</f>
        <v>باهِر!</v>
      </c>
    </row>
    <row r="8142" ht="15.75" customHeight="1">
      <c r="A8142" s="12" t="s">
        <v>17362</v>
      </c>
      <c r="B8142" s="13" t="s">
        <v>17363</v>
      </c>
      <c r="C8142" s="14" t="s">
        <v>17364</v>
      </c>
      <c r="D8142" s="1" t="str">
        <f>IFERROR(__xludf.DUMMYFUNCTION("GOOGLETRANSLATE(A8142 , ""auto"", ""ar"")"),"كلانا خائف من الطيران")</f>
        <v>كلانا خائف من الطيران</v>
      </c>
    </row>
    <row r="8143" ht="15.75" customHeight="1">
      <c r="A8143" s="12" t="s">
        <v>17365</v>
      </c>
      <c r="B8143" s="13" t="s">
        <v>17366</v>
      </c>
      <c r="C8143" s="14" t="s">
        <v>17367</v>
      </c>
      <c r="D8143" s="1" t="str">
        <f>IFERROR(__xludf.DUMMYFUNCTION("GOOGLETRANSLATE(A8143 , ""auto"", ""ar"")"),"حسنًا ، سيكون هذا برميلًا كاملًا من الضحك ، أليس كذلك!")</f>
        <v>حسنًا ، سيكون هذا برميلًا كاملًا من الضحك ، أليس كذلك!</v>
      </c>
    </row>
    <row r="8144" ht="15.75" customHeight="1">
      <c r="A8144" s="12" t="s">
        <v>17368</v>
      </c>
      <c r="B8144" s="13" t="s">
        <v>17369</v>
      </c>
      <c r="C8144" s="14" t="s">
        <v>17370</v>
      </c>
      <c r="D8144" s="1" t="str">
        <f>IFERROR(__xludf.DUMMYFUNCTION("GOOGLETRANSLATE(A8144 , ""auto"", ""ar"")"),"ومنذ متى ساعدت الزيوت الأساسية أي شخص؟!")</f>
        <v>ومنذ متى ساعدت الزيوت الأساسية أي شخص؟!</v>
      </c>
    </row>
    <row r="8145" ht="15.75" customHeight="1">
      <c r="A8145" s="12" t="s">
        <v>17371</v>
      </c>
      <c r="B8145" s="13" t="s">
        <v>17372</v>
      </c>
      <c r="C8145" s="14" t="s">
        <v>17373</v>
      </c>
      <c r="D8145" s="1" t="str">
        <f>IFERROR(__xludf.DUMMYFUNCTION("GOOGLETRANSLATE(A8145 , ""auto"", ""ar"")"),"الهبي النموذجي!")</f>
        <v>الهبي النموذجي!</v>
      </c>
    </row>
    <row r="8146" ht="15.75" customHeight="1">
      <c r="A8146" s="12" t="s">
        <v>17374</v>
      </c>
      <c r="B8146" s="13" t="s">
        <v>17375</v>
      </c>
      <c r="C8146" s="14" t="s">
        <v>17376</v>
      </c>
      <c r="D8146" s="1" t="str">
        <f>IFERROR(__xludf.DUMMYFUNCTION("GOOGLETRANSLATE(A8146 , ""auto"", ""ar"")"),"برميل من الضحك ...")</f>
        <v>برميل من الضحك ...</v>
      </c>
    </row>
    <row r="8147" ht="15.75" customHeight="1">
      <c r="A8147" s="12" t="s">
        <v>17377</v>
      </c>
      <c r="B8147" s="13" t="s">
        <v>17378</v>
      </c>
      <c r="C8147" s="14" t="s">
        <v>17379</v>
      </c>
      <c r="D8147" s="1" t="str">
        <f>IFERROR(__xludf.DUMMYFUNCTION("GOOGLETRANSLATE(A8147 , ""auto"", ""ar"")"),"وهناك الكثير من المرح!")</f>
        <v>وهناك الكثير من المرح!</v>
      </c>
    </row>
    <row r="8148" ht="15.75" customHeight="1">
      <c r="A8148" s="12" t="s">
        <v>17380</v>
      </c>
      <c r="B8148" s="13" t="s">
        <v>17381</v>
      </c>
      <c r="C8148" s="14" t="s">
        <v>17382</v>
      </c>
      <c r="D8148" s="1" t="str">
        <f>IFERROR(__xludf.DUMMYFUNCTION("GOOGLETRANSLATE(A8148 , ""auto"", ""ar"")"),"ينتن في جميع أنحاء الطائرة")</f>
        <v>ينتن في جميع أنحاء الطائرة</v>
      </c>
    </row>
    <row r="8149" ht="15.75" customHeight="1">
      <c r="A8149" s="12" t="s">
        <v>17383</v>
      </c>
      <c r="B8149" s="13" t="s">
        <v>17384</v>
      </c>
      <c r="C8149" s="14" t="s">
        <v>17385</v>
      </c>
      <c r="D8149" s="1" t="str">
        <f>IFERROR(__xludf.DUMMYFUNCTION("GOOGLETRANSLATE(A8149 , ""auto"", ""ar"")"),"كيف حصلت على ذلك من خلال الأمن؟")</f>
        <v>كيف حصلت على ذلك من خلال الأمن؟</v>
      </c>
    </row>
    <row r="8150" ht="15.75" customHeight="1">
      <c r="A8150" s="12" t="s">
        <v>17386</v>
      </c>
      <c r="B8150" s="13" t="s">
        <v>17387</v>
      </c>
      <c r="C8150" s="14" t="s">
        <v>17388</v>
      </c>
      <c r="D8150" s="1" t="str">
        <f>IFERROR(__xludf.DUMMYFUNCTION("GOOGLETRANSLATE(A8150 , ""auto"", ""ar"")"),"مثل ، حافظ على ذراعيك في الداخل؟")</f>
        <v>مثل ، حافظ على ذراعيك في الداخل؟</v>
      </c>
    </row>
    <row r="8151" ht="15.75" customHeight="1">
      <c r="A8151" s="12" t="s">
        <v>17389</v>
      </c>
      <c r="B8151" s="13" t="s">
        <v>17390</v>
      </c>
      <c r="C8151" s="14" t="s">
        <v>17391</v>
      </c>
      <c r="D8151" s="1" t="str">
        <f>IFERROR(__xludf.DUMMYFUNCTION("GOOGLETRANSLATE(A8151 , ""auto"", ""ar"")"),"حسنًا ، إذا كنا في حادث ، فلن يكون لديك أي أسلحة متبقية")</f>
        <v>حسنًا ، إذا كنا في حادث ، فلن يكون لديك أي أسلحة متبقية</v>
      </c>
    </row>
    <row r="8152" ht="15.75" customHeight="1">
      <c r="A8152" s="12" t="s">
        <v>17392</v>
      </c>
      <c r="B8152" s="13" t="s">
        <v>17393</v>
      </c>
      <c r="C8152" s="14" t="s">
        <v>17394</v>
      </c>
      <c r="D8152" s="1" t="str">
        <f>IFERROR(__xludf.DUMMYFUNCTION("GOOGLETRANSLATE(A8152 , ""auto"", ""ar"")"),"لن يكون لديك حتى رأس!")</f>
        <v>لن يكون لديك حتى رأس!</v>
      </c>
    </row>
    <row r="8153" ht="15.75" customHeight="1">
      <c r="A8153" s="12" t="s">
        <v>17395</v>
      </c>
      <c r="B8153" s="13" t="s">
        <v>17396</v>
      </c>
      <c r="C8153" s="14" t="s">
        <v>17397</v>
      </c>
      <c r="D8153" s="1" t="str">
        <f>IFERROR(__xludf.DUMMYFUNCTION("GOOGLETRANSLATE(A8153 , ""auto"", ""ar"")"),"لماذا سمحت لك بإقناعي بأخذ هذه الطائرة")</f>
        <v>لماذا سمحت لك بإقناعي بأخذ هذه الطائرة</v>
      </c>
    </row>
    <row r="8154" ht="15.75" customHeight="1">
      <c r="A8154" s="12" t="s">
        <v>17398</v>
      </c>
      <c r="B8154" s="13" t="s">
        <v>17399</v>
      </c>
      <c r="C8154" s="14" t="s">
        <v>17400</v>
      </c>
      <c r="D8154" s="1" t="str">
        <f>IFERROR(__xludf.DUMMYFUNCTION("GOOGLETRANSLATE(A8154 , ""auto"", ""ar"")"),"علينا أن نذهب إلى حمتك.")</f>
        <v>علينا أن نذهب إلى حمتك.</v>
      </c>
    </row>
    <row r="8155" ht="15.75" customHeight="1">
      <c r="A8155" s="12" t="s">
        <v>17401</v>
      </c>
      <c r="B8155" s="13" t="s">
        <v>17402</v>
      </c>
      <c r="C8155" s="14" t="s">
        <v>17403</v>
      </c>
      <c r="D8155" s="1" t="str">
        <f>IFERROR(__xludf.DUMMYFUNCTION("GOOGLETRANSLATE(A8155 , ""auto"", ""ar"")"),"لذلك كل خطأ لها إذن!")</f>
        <v>لذلك كل خطأ لها إذن!</v>
      </c>
    </row>
    <row r="8156" ht="15.75" customHeight="1">
      <c r="A8156" s="12" t="s">
        <v>17404</v>
      </c>
      <c r="B8156" s="13" t="s">
        <v>17405</v>
      </c>
      <c r="C8156" s="14" t="s">
        <v>17406</v>
      </c>
      <c r="D8156" s="1" t="str">
        <f>IFERROR(__xludf.DUMMYFUNCTION("GOOGLETRANSLATE(A8156 , ""auto"", ""ar"")"),"كنت أعرف!")</f>
        <v>كنت أعرف!</v>
      </c>
    </row>
    <row r="8157" ht="15.75" customHeight="1">
      <c r="A8157" s="12" t="s">
        <v>17407</v>
      </c>
      <c r="B8157" s="13" t="s">
        <v>17408</v>
      </c>
      <c r="C8157" s="14" t="s">
        <v>17409</v>
      </c>
      <c r="D8157" s="1" t="str">
        <f>IFERROR(__xludf.DUMMYFUNCTION("GOOGLETRANSLATE(A8157 , ""auto"", ""ar"")"),"سأمرض!")</f>
        <v>سأمرض!</v>
      </c>
    </row>
    <row r="8158" ht="15.75" customHeight="1">
      <c r="A8158" s="12" t="s">
        <v>17410</v>
      </c>
      <c r="B8158" s="13" t="s">
        <v>17411</v>
      </c>
      <c r="C8158" s="14" t="s">
        <v>17412</v>
      </c>
      <c r="D8158" s="1" t="str">
        <f>IFERROR(__xludf.DUMMYFUNCTION("GOOGLETRANSLATE(A8158 , ""auto"", ""ar"")"),"والطيار ، ليس الانتحار ، آمل.")</f>
        <v>والطيار ، ليس الانتحار ، آمل.</v>
      </c>
    </row>
    <row r="8159" ht="15.75" customHeight="1">
      <c r="A8159" s="12" t="s">
        <v>17413</v>
      </c>
      <c r="B8159" s="13" t="s">
        <v>17414</v>
      </c>
      <c r="C8159" s="14" t="s">
        <v>17415</v>
      </c>
      <c r="D8159" s="1" t="str">
        <f>IFERROR(__xludf.DUMMYFUNCTION("GOOGLETRANSLATE(A8159 , ""auto"", ""ar"")"),"لا أريد أن أرى جبال الألب قريبة جدًا.")</f>
        <v>لا أريد أن أرى جبال الألب قريبة جدًا.</v>
      </c>
    </row>
    <row r="8160" ht="15.75" customHeight="1">
      <c r="A8160" s="12" t="s">
        <v>17416</v>
      </c>
      <c r="B8160" s="13" t="s">
        <v>17417</v>
      </c>
      <c r="C8160" s="14" t="s">
        <v>17418</v>
      </c>
      <c r="D8160" s="1" t="str">
        <f>IFERROR(__xludf.DUMMYFUNCTION("GOOGLETRANSLATE(A8160 , ""auto"", ""ar"")"),"سلم لي الحقيبة الورقية.")</f>
        <v>سلم لي الحقيبة الورقية.</v>
      </c>
    </row>
    <row r="8161" ht="15.75" customHeight="1">
      <c r="A8161" s="12" t="s">
        <v>17419</v>
      </c>
      <c r="B8161" s="13" t="s">
        <v>17420</v>
      </c>
      <c r="C8161" s="14" t="s">
        <v>17421</v>
      </c>
      <c r="D8161" s="1" t="str">
        <f>IFERROR(__xludf.DUMMYFUNCTION("GOOGLETRANSLATE(A8161 , ""auto"", ""ar"")"),"أعتقد أنني سأغادر!")</f>
        <v>أعتقد أنني سأغادر!</v>
      </c>
    </row>
    <row r="8162" ht="15.75" customHeight="1">
      <c r="A8162" s="12" t="s">
        <v>17422</v>
      </c>
      <c r="B8162" s="13" t="s">
        <v>17423</v>
      </c>
      <c r="C8162" s="14" t="s">
        <v>17424</v>
      </c>
      <c r="D8162" s="1" t="str">
        <f>IFERROR(__xludf.DUMMYFUNCTION("GOOGLETRANSLATE(A8162 , ""auto"", ""ar"")"),"لماذا كان عليك ذكر الطيار!")</f>
        <v>لماذا كان عليك ذكر الطيار!</v>
      </c>
    </row>
    <row r="8163" ht="15.75" customHeight="1">
      <c r="A8163" s="12" t="s">
        <v>17425</v>
      </c>
      <c r="B8163" s="13" t="s">
        <v>17426</v>
      </c>
      <c r="C8163" s="14" t="s">
        <v>17427</v>
      </c>
      <c r="D8163" s="1" t="str">
        <f>IFERROR(__xludf.DUMMYFUNCTION("GOOGLETRANSLATE(A8163 , ""auto"", ""ar"")"),"للطائرة تتحرك هكذا؟")</f>
        <v>للطائرة تتحرك هكذا؟</v>
      </c>
    </row>
    <row r="8164" ht="15.75" customHeight="1">
      <c r="A8164" s="12" t="s">
        <v>17428</v>
      </c>
      <c r="B8164" s="13" t="s">
        <v>17429</v>
      </c>
      <c r="C8164" s="14" t="s">
        <v>17430</v>
      </c>
      <c r="D8164" s="1" t="str">
        <f>IFERROR(__xludf.DUMMYFUNCTION("GOOGLETRANSLATE(A8164 , ""auto"", ""ar"")"),"لا تبدو الفنادق مريحة للغاية.")</f>
        <v>لا تبدو الفنادق مريحة للغاية.</v>
      </c>
    </row>
    <row r="8165" ht="15.75" customHeight="1">
      <c r="A8165" s="12" t="s">
        <v>17431</v>
      </c>
      <c r="B8165" s="13" t="s">
        <v>17432</v>
      </c>
      <c r="C8165" s="14" t="s">
        <v>17433</v>
      </c>
      <c r="D8165" s="1" t="str">
        <f>IFERROR(__xludf.DUMMYFUNCTION("GOOGLETRANSLATE(A8165 , ""auto"", ""ar"")"),"من أين أنت؟")</f>
        <v>من أين أنت؟</v>
      </c>
    </row>
    <row r="8166" ht="15.75" customHeight="1">
      <c r="A8166" s="12" t="s">
        <v>17431</v>
      </c>
      <c r="B8166" s="13" t="s">
        <v>17434</v>
      </c>
      <c r="C8166" s="14" t="s">
        <v>17435</v>
      </c>
      <c r="D8166" s="1" t="str">
        <f>IFERROR(__xludf.DUMMYFUNCTION("GOOGLETRANSLATE(A8166 , ""auto"", ""ar"")"),"من أين أنت؟")</f>
        <v>من أين أنت؟</v>
      </c>
    </row>
    <row r="8167" ht="15.75" customHeight="1">
      <c r="A8167" s="12" t="s">
        <v>17431</v>
      </c>
      <c r="B8167" s="13" t="s">
        <v>17436</v>
      </c>
      <c r="C8167" s="14" t="s">
        <v>17437</v>
      </c>
      <c r="D8167" s="1" t="str">
        <f>IFERROR(__xludf.DUMMYFUNCTION("GOOGLETRANSLATE(A8167 , ""auto"", ""ar"")"),"من أين أنت؟")</f>
        <v>من أين أنت؟</v>
      </c>
    </row>
    <row r="8168" ht="15.75" customHeight="1">
      <c r="A8168" s="12" t="s">
        <v>17438</v>
      </c>
      <c r="B8168" s="13" t="s">
        <v>17439</v>
      </c>
      <c r="C8168" s="14" t="s">
        <v>17440</v>
      </c>
      <c r="D8168" s="1" t="str">
        <f>IFERROR(__xludf.DUMMYFUNCTION("GOOGLETRANSLATE(A8168 , ""auto"", ""ar"")"),"أنا من الولايات المتحدة")</f>
        <v>أنا من الولايات المتحدة</v>
      </c>
    </row>
    <row r="8169" ht="15.75" customHeight="1">
      <c r="A8169" s="12" t="s">
        <v>17441</v>
      </c>
      <c r="B8169" s="13" t="s">
        <v>17442</v>
      </c>
      <c r="C8169" s="14" t="s">
        <v>17443</v>
      </c>
      <c r="D8169" s="1" t="str">
        <f>IFERROR(__xludf.DUMMYFUNCTION("GOOGLETRANSLATE(A8169 , ""auto"", ""ar"")"),"نحن من الولايات المتحدة")</f>
        <v>نحن من الولايات المتحدة</v>
      </c>
    </row>
    <row r="8170" ht="15.75" customHeight="1">
      <c r="A8170" s="12" t="s">
        <v>17444</v>
      </c>
      <c r="B8170" s="13" t="s">
        <v>17445</v>
      </c>
      <c r="C8170" s="14" t="s">
        <v>17446</v>
      </c>
      <c r="D8170" s="1" t="str">
        <f>IFERROR(__xludf.DUMMYFUNCTION("GOOGLETRANSLATE(A8170 , ""auto"", ""ar"")"),"أنا أميركي")</f>
        <v>أنا أميركي</v>
      </c>
    </row>
    <row r="8171" ht="15.75" customHeight="1">
      <c r="A8171" s="12" t="s">
        <v>17444</v>
      </c>
      <c r="B8171" s="13" t="s">
        <v>17447</v>
      </c>
      <c r="C8171" s="14" t="s">
        <v>17448</v>
      </c>
      <c r="D8171" s="1" t="str">
        <f>IFERROR(__xludf.DUMMYFUNCTION("GOOGLETRANSLATE(A8171 , ""auto"", ""ar"")"),"أنا أميركي")</f>
        <v>أنا أميركي</v>
      </c>
    </row>
    <row r="8172" ht="15.75" customHeight="1">
      <c r="A8172" s="12" t="s">
        <v>17449</v>
      </c>
      <c r="B8172" s="13" t="s">
        <v>17450</v>
      </c>
      <c r="C8172" s="14" t="s">
        <v>17451</v>
      </c>
      <c r="D8172" s="1" t="str">
        <f>IFERROR(__xludf.DUMMYFUNCTION("GOOGLETRANSLATE(A8172 , ""auto"", ""ar"")"),"انا من المغرب.")</f>
        <v>انا من المغرب.</v>
      </c>
    </row>
    <row r="8173" ht="15.75" customHeight="1">
      <c r="A8173" s="12" t="s">
        <v>17452</v>
      </c>
      <c r="B8173" s="13" t="s">
        <v>17453</v>
      </c>
      <c r="C8173" s="14" t="s">
        <v>17454</v>
      </c>
      <c r="D8173" s="1" t="str">
        <f>IFERROR(__xludf.DUMMYFUNCTION("GOOGLETRANSLATE(A8173 , ""auto"", ""ar"")"),"أنا مغربي")</f>
        <v>أنا مغربي</v>
      </c>
    </row>
    <row r="8174" ht="15.75" customHeight="1">
      <c r="A8174" s="12" t="s">
        <v>17452</v>
      </c>
      <c r="B8174" s="13" t="s">
        <v>17455</v>
      </c>
      <c r="C8174" s="14" t="s">
        <v>17456</v>
      </c>
      <c r="D8174" s="1" t="str">
        <f>IFERROR(__xludf.DUMMYFUNCTION("GOOGLETRANSLATE(A8174 , ""auto"", ""ar"")"),"أنا مغربي")</f>
        <v>أنا مغربي</v>
      </c>
    </row>
    <row r="8175" ht="15.75" customHeight="1">
      <c r="A8175" s="12" t="s">
        <v>17457</v>
      </c>
      <c r="B8175" s="13" t="s">
        <v>17458</v>
      </c>
      <c r="C8175" s="14" t="s">
        <v>17459</v>
      </c>
      <c r="D8175" s="1" t="str">
        <f>IFERROR(__xludf.DUMMYFUNCTION("GOOGLETRANSLATE(A8175 , ""auto"", ""ar"")"),"هل أنت غاضب؟")</f>
        <v>هل أنت غاضب؟</v>
      </c>
    </row>
    <row r="8176" ht="15.75" customHeight="1">
      <c r="A8176" s="12" t="s">
        <v>17457</v>
      </c>
      <c r="B8176" s="13" t="s">
        <v>17460</v>
      </c>
      <c r="C8176" s="14" t="s">
        <v>17461</v>
      </c>
      <c r="D8176" s="1" t="str">
        <f>IFERROR(__xludf.DUMMYFUNCTION("GOOGLETRANSLATE(A8176 , ""auto"", ""ar"")"),"هل أنت غاضب؟")</f>
        <v>هل أنت غاضب؟</v>
      </c>
    </row>
    <row r="8177" ht="15.75" customHeight="1">
      <c r="A8177" s="12" t="s">
        <v>17462</v>
      </c>
      <c r="B8177" s="13" t="s">
        <v>17463</v>
      </c>
      <c r="C8177" s="14" t="s">
        <v>17464</v>
      </c>
      <c r="D8177" s="1" t="str">
        <f>IFERROR(__xludf.DUMMYFUNCTION("GOOGLETRANSLATE(A8177 , ""auto"", ""ar"")"),"هل انت من الولايات المتحدة؟")</f>
        <v>هل انت من الولايات المتحدة؟</v>
      </c>
    </row>
    <row r="8178" ht="15.75" customHeight="1">
      <c r="A8178" s="12" t="s">
        <v>17462</v>
      </c>
      <c r="B8178" s="13" t="s">
        <v>17465</v>
      </c>
      <c r="C8178" s="14" t="s">
        <v>17466</v>
      </c>
      <c r="D8178" s="1" t="str">
        <f>IFERROR(__xludf.DUMMYFUNCTION("GOOGLETRANSLATE(A8178 , ""auto"", ""ar"")"),"هل انت من الولايات المتحدة؟")</f>
        <v>هل انت من الولايات المتحدة؟</v>
      </c>
    </row>
    <row r="8179" ht="15.75" customHeight="1">
      <c r="A8179" s="12" t="s">
        <v>17462</v>
      </c>
      <c r="B8179" s="13" t="s">
        <v>17467</v>
      </c>
      <c r="C8179" s="14" t="s">
        <v>17468</v>
      </c>
      <c r="D8179" s="1" t="str">
        <f>IFERROR(__xludf.DUMMYFUNCTION("GOOGLETRANSLATE(A8179 , ""auto"", ""ar"")"),"هل انت من الولايات المتحدة؟")</f>
        <v>هل انت من الولايات المتحدة؟</v>
      </c>
    </row>
    <row r="8180" ht="15.75" customHeight="1">
      <c r="A8180" s="12" t="s">
        <v>17469</v>
      </c>
      <c r="B8180" s="13" t="s">
        <v>17470</v>
      </c>
      <c r="C8180" s="14" t="s">
        <v>17471</v>
      </c>
      <c r="D8180" s="1" t="str">
        <f>IFERROR(__xludf.DUMMYFUNCTION("GOOGLETRANSLATE(A8180 , ""auto"", ""ar"")"),"من أين أنت في الولايات المتحدة؟")</f>
        <v>من أين أنت في الولايات المتحدة؟</v>
      </c>
    </row>
    <row r="8181" ht="15.75" customHeight="1">
      <c r="A8181" s="12" t="s">
        <v>17469</v>
      </c>
      <c r="B8181" s="13" t="s">
        <v>17472</v>
      </c>
      <c r="C8181" s="14" t="s">
        <v>17473</v>
      </c>
      <c r="D8181" s="1" t="str">
        <f>IFERROR(__xludf.DUMMYFUNCTION("GOOGLETRANSLATE(A8181 , ""auto"", ""ar"")"),"من أين أنت في الولايات المتحدة؟")</f>
        <v>من أين أنت في الولايات المتحدة؟</v>
      </c>
    </row>
    <row r="8182" ht="15.75" customHeight="1">
      <c r="A8182" s="12" t="s">
        <v>17469</v>
      </c>
      <c r="B8182" s="13" t="s">
        <v>17474</v>
      </c>
      <c r="C8182" s="14" t="s">
        <v>17475</v>
      </c>
      <c r="D8182" s="1" t="str">
        <f>IFERROR(__xludf.DUMMYFUNCTION("GOOGLETRANSLATE(A8182 , ""auto"", ""ar"")"),"من أين أنت في الولايات المتحدة؟")</f>
        <v>من أين أنت في الولايات المتحدة؟</v>
      </c>
    </row>
    <row r="8183" ht="15.75" customHeight="1">
      <c r="A8183" s="12" t="s">
        <v>17476</v>
      </c>
      <c r="B8183" s="13" t="s">
        <v>17477</v>
      </c>
      <c r="C8183" s="14" t="s">
        <v>17478</v>
      </c>
      <c r="D8183" s="1" t="str">
        <f>IFERROR(__xludf.DUMMYFUNCTION("GOOGLETRANSLATE(A8183 , ""auto"", ""ar"")"),"وأنت؟")</f>
        <v>وأنت؟</v>
      </c>
    </row>
    <row r="8184" ht="15.75" customHeight="1">
      <c r="A8184" s="12" t="s">
        <v>17476</v>
      </c>
      <c r="B8184" s="13" t="s">
        <v>17479</v>
      </c>
      <c r="C8184" s="14" t="s">
        <v>17480</v>
      </c>
      <c r="D8184" s="1" t="str">
        <f>IFERROR(__xludf.DUMMYFUNCTION("GOOGLETRANSLATE(A8184 , ""auto"", ""ar"")"),"وأنت؟")</f>
        <v>وأنت؟</v>
      </c>
    </row>
    <row r="8185" ht="15.75" customHeight="1">
      <c r="A8185" s="12" t="s">
        <v>17476</v>
      </c>
      <c r="B8185" s="13" t="s">
        <v>17481</v>
      </c>
      <c r="C8185" s="14" t="s">
        <v>17482</v>
      </c>
      <c r="D8185" s="1" t="str">
        <f>IFERROR(__xludf.DUMMYFUNCTION("GOOGLETRANSLATE(A8185 , ""auto"", ""ar"")"),"وأنت؟")</f>
        <v>وأنت؟</v>
      </c>
    </row>
    <row r="8186" ht="15.75" customHeight="1">
      <c r="A8186" s="12" t="s">
        <v>17483</v>
      </c>
      <c r="B8186" s="13" t="s">
        <v>17484</v>
      </c>
      <c r="C8186" s="14" t="s">
        <v>17485</v>
      </c>
      <c r="D8186" s="1" t="str">
        <f>IFERROR(__xludf.DUMMYFUNCTION("GOOGLETRANSLATE(A8186 , ""auto"", ""ar"")"),"مدينتك رائعة")</f>
        <v>مدينتك رائعة</v>
      </c>
    </row>
    <row r="8187" ht="15.75" customHeight="1">
      <c r="A8187" s="12" t="s">
        <v>9391</v>
      </c>
      <c r="B8187" s="13" t="s">
        <v>17486</v>
      </c>
      <c r="C8187" s="14" t="s">
        <v>10046</v>
      </c>
      <c r="D8187" s="1" t="str">
        <f>IFERROR(__xludf.DUMMYFUNCTION("GOOGLETRANSLATE(A8187 , ""auto"", ""ar"")"),"اعذرني")</f>
        <v>اعذرني</v>
      </c>
    </row>
    <row r="8188" ht="15.75" customHeight="1">
      <c r="A8188" s="12" t="s">
        <v>9391</v>
      </c>
      <c r="B8188" s="13" t="s">
        <v>17487</v>
      </c>
      <c r="C8188" s="14" t="s">
        <v>17488</v>
      </c>
      <c r="D8188" s="1" t="str">
        <f>IFERROR(__xludf.DUMMYFUNCTION("GOOGLETRANSLATE(A8188 , ""auto"", ""ar"")"),"اعذرني")</f>
        <v>اعذرني</v>
      </c>
    </row>
    <row r="8189" ht="15.75" customHeight="1">
      <c r="A8189" s="12" t="s">
        <v>17489</v>
      </c>
      <c r="B8189" s="13" t="s">
        <v>17490</v>
      </c>
      <c r="C8189" s="14" t="s">
        <v>17491</v>
      </c>
      <c r="D8189" s="1" t="str">
        <f>IFERROR(__xludf.DUMMYFUNCTION("GOOGLETRANSLATE(A8189 , ""auto"", ""ar"")"),"انا لست سعيد")</f>
        <v>انا لست سعيد</v>
      </c>
    </row>
    <row r="8190" ht="15.75" customHeight="1">
      <c r="A8190" s="12" t="s">
        <v>17492</v>
      </c>
      <c r="B8190" s="13" t="s">
        <v>17493</v>
      </c>
      <c r="C8190" s="14" t="s">
        <v>17494</v>
      </c>
      <c r="D8190" s="1" t="str">
        <f>IFERROR(__xludf.DUMMYFUNCTION("GOOGLETRANSLATE(A8190 , ""auto"", ""ar"")"),"هي مخطوبة")</f>
        <v>هي مخطوبة</v>
      </c>
    </row>
    <row r="8191" ht="15.75" customHeight="1">
      <c r="A8191" s="12" t="s">
        <v>17495</v>
      </c>
      <c r="B8191" s="13" t="s">
        <v>17496</v>
      </c>
      <c r="C8191" s="14" t="s">
        <v>17497</v>
      </c>
      <c r="D8191" s="1" t="str">
        <f>IFERROR(__xludf.DUMMYFUNCTION("GOOGLETRANSLATE(A8191 , ""auto"", ""ar"")"),"هو متزوج")</f>
        <v>هو متزوج</v>
      </c>
    </row>
    <row r="8192" ht="15.75" customHeight="1">
      <c r="A8192" s="12" t="s">
        <v>17498</v>
      </c>
      <c r="B8192" s="13" t="s">
        <v>17499</v>
      </c>
      <c r="C8192" s="14" t="s">
        <v>17500</v>
      </c>
      <c r="D8192" s="1" t="str">
        <f>IFERROR(__xludf.DUMMYFUNCTION("GOOGLETRANSLATE(A8192 , ""auto"", ""ar"")"),"هي متزوجة")</f>
        <v>هي متزوجة</v>
      </c>
    </row>
    <row r="8193" ht="15.75" customHeight="1">
      <c r="A8193" s="12" t="s">
        <v>17501</v>
      </c>
      <c r="B8193" s="13" t="s">
        <v>17502</v>
      </c>
      <c r="C8193" s="14" t="s">
        <v>17503</v>
      </c>
      <c r="D8193" s="1" t="str">
        <f>IFERROR(__xludf.DUMMYFUNCTION("GOOGLETRANSLATE(A8193 , ""auto"", ""ar"")"),"لا ليس بعد")</f>
        <v>لا ليس بعد</v>
      </c>
    </row>
    <row r="8194" ht="15.75" customHeight="1">
      <c r="A8194" s="12" t="s">
        <v>17501</v>
      </c>
      <c r="B8194" s="13" t="s">
        <v>17504</v>
      </c>
      <c r="C8194" s="14" t="s">
        <v>17505</v>
      </c>
      <c r="D8194" s="1" t="str">
        <f>IFERROR(__xludf.DUMMYFUNCTION("GOOGLETRANSLATE(A8194 , ""auto"", ""ar"")"),"لا ليس بعد")</f>
        <v>لا ليس بعد</v>
      </c>
    </row>
    <row r="8195" ht="15.75" customHeight="1">
      <c r="A8195" s="12" t="s">
        <v>17506</v>
      </c>
      <c r="B8195" s="13" t="s">
        <v>17507</v>
      </c>
      <c r="C8195" s="14" t="s">
        <v>17508</v>
      </c>
      <c r="D8195" s="1" t="str">
        <f>IFERROR(__xludf.DUMMYFUNCTION("GOOGLETRANSLATE(A8195 , ""auto"", ""ar"")"),"هل أنت سائح؟")</f>
        <v>هل أنت سائح؟</v>
      </c>
    </row>
    <row r="8196" ht="15.75" customHeight="1">
      <c r="A8196" s="12" t="s">
        <v>17506</v>
      </c>
      <c r="B8196" s="13" t="s">
        <v>17509</v>
      </c>
      <c r="C8196" s="14" t="s">
        <v>17510</v>
      </c>
      <c r="D8196" s="1" t="str">
        <f>IFERROR(__xludf.DUMMYFUNCTION("GOOGLETRANSLATE(A8196 , ""auto"", ""ar"")"),"هل أنت سائح؟")</f>
        <v>هل أنت سائح؟</v>
      </c>
    </row>
    <row r="8197" ht="15.75" customHeight="1">
      <c r="A8197" s="12" t="s">
        <v>17511</v>
      </c>
      <c r="B8197" s="13" t="s">
        <v>17512</v>
      </c>
      <c r="C8197" s="14" t="s">
        <v>17513</v>
      </c>
      <c r="D8197" s="1" t="str">
        <f>IFERROR(__xludf.DUMMYFUNCTION("GOOGLETRANSLATE(A8197 , ""auto"", ""ar"")"),"لقد كنت في انتظارك لمدة ساعتين")</f>
        <v>لقد كنت في انتظارك لمدة ساعتين</v>
      </c>
    </row>
    <row r="8198" ht="15.75" customHeight="1">
      <c r="A8198" s="12" t="s">
        <v>17514</v>
      </c>
      <c r="B8198" s="13" t="s">
        <v>17515</v>
      </c>
      <c r="C8198" s="14" t="s">
        <v>17516</v>
      </c>
      <c r="D8198" s="1" t="str">
        <f>IFERROR(__xludf.DUMMYFUNCTION("GOOGLETRANSLATE(A8198 , ""auto"", ""ar"")"),"لقد كان نائما لفترة طويلة")</f>
        <v>لقد كان نائما لفترة طويلة</v>
      </c>
    </row>
    <row r="8199" ht="15.75" customHeight="1">
      <c r="A8199" s="12" t="s">
        <v>17517</v>
      </c>
      <c r="B8199" s="13" t="s">
        <v>17518</v>
      </c>
      <c r="C8199" s="14" t="s">
        <v>17519</v>
      </c>
      <c r="D8199" s="1" t="str">
        <f>IFERROR(__xludf.DUMMYFUNCTION("GOOGLETRANSLATE(A8199 , ""auto"", ""ar"")"),"لقد كان في المغرب لمدة ثلاث سنوات")</f>
        <v>لقد كان في المغرب لمدة ثلاث سنوات</v>
      </c>
    </row>
    <row r="8200" ht="15.75" customHeight="1">
      <c r="A8200" s="12" t="s">
        <v>17520</v>
      </c>
      <c r="B8200" s="13" t="s">
        <v>17521</v>
      </c>
      <c r="C8200" s="14" t="s">
        <v>17522</v>
      </c>
      <c r="D8200" s="1" t="str">
        <f>IFERROR(__xludf.DUMMYFUNCTION("GOOGLETRANSLATE(A8200 , ""auto"", ""ar"")"),"لمن هذا الكتاب؟")</f>
        <v>لمن هذا الكتاب؟</v>
      </c>
    </row>
    <row r="8201" ht="15.75" customHeight="1">
      <c r="A8201" s="12" t="s">
        <v>17523</v>
      </c>
      <c r="B8201" s="13" t="s">
        <v>17524</v>
      </c>
      <c r="C8201" s="14" t="s">
        <v>17525</v>
      </c>
      <c r="D8201" s="1" t="str">
        <f>IFERROR(__xludf.DUMMYFUNCTION("GOOGLETRANSLATE(A8201 , ""auto"", ""ar"")"),"هذا هو كتاب لوبنا.")</f>
        <v>هذا هو كتاب لوبنا.</v>
      </c>
    </row>
    <row r="8202" ht="15.75" customHeight="1">
      <c r="A8202" s="12" t="s">
        <v>17526</v>
      </c>
      <c r="B8202" s="13" t="s">
        <v>17527</v>
      </c>
      <c r="C8202" s="14" t="s">
        <v>17528</v>
      </c>
      <c r="D8202" s="1" t="str">
        <f>IFERROR(__xludf.DUMMYFUNCTION("GOOGLETRANSLATE(A8202 , ""auto"", ""ar"")"),"هل كتاب هشام هذا؟")</f>
        <v>هل كتاب هشام هذا؟</v>
      </c>
    </row>
    <row r="8203" ht="15.75" customHeight="1">
      <c r="A8203" s="12" t="s">
        <v>17529</v>
      </c>
      <c r="B8203" s="13" t="s">
        <v>17530</v>
      </c>
      <c r="C8203" s="14" t="s">
        <v>17531</v>
      </c>
      <c r="D8203" s="1" t="str">
        <f>IFERROR(__xludf.DUMMYFUNCTION("GOOGLETRANSLATE(A8203 , ""auto"", ""ar"")"),"لا ، ليس له")</f>
        <v>لا ، ليس له</v>
      </c>
    </row>
    <row r="8204" ht="15.75" customHeight="1">
      <c r="A8204" s="12" t="s">
        <v>17532</v>
      </c>
      <c r="B8204" s="13" t="s">
        <v>17533</v>
      </c>
      <c r="C8204" s="14" t="s">
        <v>17534</v>
      </c>
      <c r="D8204" s="1" t="str">
        <f>IFERROR(__xludf.DUMMYFUNCTION("GOOGLETRANSLATE(A8204 , ""auto"", ""ar"")"),"منزل من هذا؟")</f>
        <v>منزل من هذا؟</v>
      </c>
    </row>
    <row r="8205" ht="15.75" customHeight="1">
      <c r="A8205" s="12" t="s">
        <v>17535</v>
      </c>
      <c r="B8205" s="13" t="s">
        <v>17536</v>
      </c>
      <c r="C8205" s="14" t="s">
        <v>17537</v>
      </c>
      <c r="D8205" s="1" t="str">
        <f>IFERROR(__xludf.DUMMYFUNCTION("GOOGLETRANSLATE(A8205 , ""auto"", ""ar"")"),"هذا المنزل هو مالكا")</f>
        <v>هذا المنزل هو مالكا</v>
      </c>
    </row>
    <row r="8206" ht="15.75" customHeight="1">
      <c r="A8206" s="12" t="s">
        <v>17538</v>
      </c>
      <c r="B8206" s="13" t="s">
        <v>17539</v>
      </c>
      <c r="C8206" s="14" t="s">
        <v>17540</v>
      </c>
      <c r="D8206" s="1" t="str">
        <f>IFERROR(__xludf.DUMMYFUNCTION("GOOGLETRANSLATE(A8206 , ""auto"", ""ar"")"),"هل هذا المنزل مالكا؟")</f>
        <v>هل هذا المنزل مالكا؟</v>
      </c>
    </row>
    <row r="8207" ht="15.75" customHeight="1">
      <c r="A8207" s="12" t="s">
        <v>17541</v>
      </c>
      <c r="B8207" s="13" t="s">
        <v>17542</v>
      </c>
      <c r="C8207" s="14" t="s">
        <v>17543</v>
      </c>
      <c r="D8207" s="1" t="str">
        <f>IFERROR(__xludf.DUMMYFUNCTION("GOOGLETRANSLATE(A8207 , ""auto"", ""ar"")"),"نعم، انها لها.")</f>
        <v>نعم، انها لها.</v>
      </c>
    </row>
    <row r="8208" ht="15.75" customHeight="1">
      <c r="A8208" s="12" t="s">
        <v>17544</v>
      </c>
      <c r="B8208" s="13" t="s">
        <v>17545</v>
      </c>
      <c r="C8208" s="14" t="s">
        <v>17546</v>
      </c>
      <c r="D8208" s="1" t="str">
        <f>IFERROR(__xludf.DUMMYFUNCTION("GOOGLETRANSLATE(A8208 , ""auto"", ""ar"")"),"أنا لا آكل اللحوم")</f>
        <v>أنا لا آكل اللحوم</v>
      </c>
    </row>
    <row r="8209" ht="15.75" customHeight="1">
      <c r="A8209" s="12" t="s">
        <v>17547</v>
      </c>
      <c r="B8209" s="13" t="s">
        <v>17548</v>
      </c>
      <c r="C8209" s="14" t="s">
        <v>17549</v>
      </c>
      <c r="D8209" s="1" t="str">
        <f>IFERROR(__xludf.DUMMYFUNCTION("GOOGLETRANSLATE(A8209 , ""auto"", ""ar"")"),"أشرب الشاي والقهوة بدون سكر")</f>
        <v>أشرب الشاي والقهوة بدون سكر</v>
      </c>
    </row>
    <row r="8210" ht="15.75" customHeight="1">
      <c r="A8210" s="12" t="s">
        <v>17550</v>
      </c>
      <c r="B8210" s="13" t="s">
        <v>17551</v>
      </c>
      <c r="C8210" s="14" t="s">
        <v>17552</v>
      </c>
      <c r="D8210" s="1" t="str">
        <f>IFERROR(__xludf.DUMMYFUNCTION("GOOGLETRANSLATE(A8210 , ""auto"", ""ar"")"),"أنا آكل كل شيء.")</f>
        <v>أنا آكل كل شيء.</v>
      </c>
    </row>
    <row r="8211" ht="15.75" customHeight="1">
      <c r="A8211" s="12" t="s">
        <v>17553</v>
      </c>
      <c r="B8211" s="13" t="s">
        <v>17554</v>
      </c>
      <c r="C8211" s="14" t="s">
        <v>17555</v>
      </c>
      <c r="D8211" s="1" t="str">
        <f>IFERROR(__xludf.DUMMYFUNCTION("GOOGLETRANSLATE(A8211 , ""auto"", ""ar"")"),"أنا آكل الخضار فقط")</f>
        <v>أنا آكل الخضار فقط</v>
      </c>
    </row>
    <row r="8212" ht="15.75" customHeight="1">
      <c r="A8212" s="12" t="s">
        <v>17556</v>
      </c>
      <c r="B8212" s="13" t="s">
        <v>17557</v>
      </c>
      <c r="C8212" s="14" t="s">
        <v>17558</v>
      </c>
      <c r="D8212" s="1" t="str">
        <f>IFERROR(__xludf.DUMMYFUNCTION("GOOGLETRANSLATE(A8212 , ""auto"", ""ar"")"),"لا أشعر بالرغبة في الأكل")</f>
        <v>لا أشعر بالرغبة في الأكل</v>
      </c>
    </row>
    <row r="8213" ht="15.75" customHeight="1">
      <c r="A8213" s="12" t="s">
        <v>17559</v>
      </c>
      <c r="B8213" s="13" t="s">
        <v>17560</v>
      </c>
      <c r="C8213" s="14" t="s">
        <v>17561</v>
      </c>
      <c r="D8213" s="1" t="str">
        <f>IFERROR(__xludf.DUMMYFUNCTION("GOOGLETRANSLATE(A8213 , ""auto"", ""ar"")"),"اريد مجرد كوب من الشاي")</f>
        <v>اريد مجرد كوب من الشاي</v>
      </c>
    </row>
    <row r="8214" ht="15.75" customHeight="1">
      <c r="A8214" s="12" t="s">
        <v>17562</v>
      </c>
      <c r="B8214" s="13" t="s">
        <v>17563</v>
      </c>
      <c r="C8214" s="14" t="s">
        <v>17564</v>
      </c>
      <c r="D8214" s="1" t="str">
        <f>IFERROR(__xludf.DUMMYFUNCTION("GOOGLETRANSLATE(A8214 , ""auto"", ""ar"")"),"لا أريد أن أتناول الإفطار")</f>
        <v>لا أريد أن أتناول الإفطار</v>
      </c>
    </row>
    <row r="8215" ht="15.75" customHeight="1">
      <c r="A8215" s="12" t="s">
        <v>17565</v>
      </c>
      <c r="B8215" s="13" t="s">
        <v>17566</v>
      </c>
      <c r="C8215" s="14" t="s">
        <v>17567</v>
      </c>
      <c r="D8215" s="1" t="str">
        <f>IFERROR(__xludf.DUMMYFUNCTION("GOOGLETRANSLATE(A8215 , ""auto"", ""ar"")"),"الطعام لذيذ")</f>
        <v>الطعام لذيذ</v>
      </c>
    </row>
    <row r="8216" ht="15.75" customHeight="1">
      <c r="A8216" s="12" t="s">
        <v>17568</v>
      </c>
      <c r="B8216" s="13" t="s">
        <v>17569</v>
      </c>
      <c r="C8216" s="14" t="s">
        <v>17570</v>
      </c>
      <c r="D8216" s="1" t="str">
        <f>IFERROR(__xludf.DUMMYFUNCTION("GOOGLETRANSLATE(A8216 , ""auto"", ""ar"")"),"انا ممتلئ.")</f>
        <v>انا ممتلئ.</v>
      </c>
    </row>
    <row r="8217" ht="15.75" customHeight="1">
      <c r="A8217" s="12" t="s">
        <v>17571</v>
      </c>
      <c r="B8217" s="13" t="s">
        <v>17572</v>
      </c>
      <c r="C8217" s="14" t="s">
        <v>17573</v>
      </c>
      <c r="D8217" s="1" t="str">
        <f>IFERROR(__xludf.DUMMYFUNCTION("GOOGLETRANSLATE(A8217 , ""auto"", ""ar"")"),"أريد أن أتعلم كيف أطبخ")</f>
        <v>أريد أن أتعلم كيف أطبخ</v>
      </c>
    </row>
    <row r="8218" ht="15.75" customHeight="1">
      <c r="A8218" s="12" t="s">
        <v>17574</v>
      </c>
      <c r="B8218" s="13" t="s">
        <v>17575</v>
      </c>
      <c r="C8218" s="14" t="s">
        <v>17576</v>
      </c>
      <c r="D8218" s="1" t="str">
        <f>IFERROR(__xludf.DUMMYFUNCTION("GOOGLETRANSLATE(A8218 , ""auto"", ""ar"")"),"عسى الله")</f>
        <v>عسى الله</v>
      </c>
    </row>
    <row r="8219" ht="15.75" customHeight="1">
      <c r="A8219" s="12" t="s">
        <v>9288</v>
      </c>
      <c r="B8219" s="13" t="s">
        <v>17577</v>
      </c>
      <c r="C8219" s="14" t="s">
        <v>17578</v>
      </c>
      <c r="D8219" s="1" t="str">
        <f>IFERROR(__xludf.DUMMYFUNCTION("GOOGLETRANSLATE(A8219 , ""auto"", ""ar"")"),"لصحتك")</f>
        <v>لصحتك</v>
      </c>
    </row>
    <row r="8220" ht="15.75" customHeight="1">
      <c r="A8220" s="12" t="s">
        <v>17579</v>
      </c>
      <c r="B8220" s="13" t="s">
        <v>17580</v>
      </c>
      <c r="C8220" s="14" t="s">
        <v>17581</v>
      </c>
      <c r="D8220" s="1" t="str">
        <f>IFERROR(__xludf.DUMMYFUNCTION("GOOGLETRANSLATE(A8220 , ""auto"", ""ar"")"),"عسى أن يمنحك الله الصحة أيضًا")</f>
        <v>عسى أن يمنحك الله الصحة أيضًا</v>
      </c>
    </row>
    <row r="8221" ht="15.75" customHeight="1">
      <c r="A8221" s="12" t="s">
        <v>9396</v>
      </c>
      <c r="B8221" s="13" t="s">
        <v>17582</v>
      </c>
      <c r="C8221" s="14" t="s">
        <v>8101</v>
      </c>
      <c r="D8221" s="1" t="str">
        <f>IFERROR(__xludf.DUMMYFUNCTION("GOOGLETRANSLATE(A8221 , ""auto"", ""ar"")"),"على الرحب والسعة")</f>
        <v>على الرحب والسعة</v>
      </c>
    </row>
    <row r="8222" ht="15.75" customHeight="1">
      <c r="A8222" s="12" t="s">
        <v>9456</v>
      </c>
      <c r="B8222" s="13" t="s">
        <v>17583</v>
      </c>
      <c r="C8222" s="14" t="s">
        <v>17584</v>
      </c>
      <c r="D8222" s="1" t="str">
        <f>IFERROR(__xludf.DUMMYFUNCTION("GOOGLETRANSLATE(A8222 , ""auto"", ""ar"")"),"أنا متعب")</f>
        <v>أنا متعب</v>
      </c>
    </row>
    <row r="8223" ht="15.75" customHeight="1">
      <c r="A8223" s="12" t="s">
        <v>9456</v>
      </c>
      <c r="B8223" s="13" t="s">
        <v>17585</v>
      </c>
      <c r="C8223" s="14" t="s">
        <v>17586</v>
      </c>
      <c r="D8223" s="1" t="str">
        <f>IFERROR(__xludf.DUMMYFUNCTION("GOOGLETRANSLATE(A8223 , ""auto"", ""ar"")"),"أنا متعب")</f>
        <v>أنا متعب</v>
      </c>
    </row>
    <row r="8224" ht="15.75" customHeight="1">
      <c r="A8224" s="12" t="s">
        <v>9456</v>
      </c>
      <c r="B8224" s="13" t="s">
        <v>17587</v>
      </c>
      <c r="C8224" s="14" t="s">
        <v>17588</v>
      </c>
      <c r="D8224" s="1" t="str">
        <f>IFERROR(__xludf.DUMMYFUNCTION("GOOGLETRANSLATE(A8224 , ""auto"", ""ar"")"),"أنا متعب")</f>
        <v>أنا متعب</v>
      </c>
    </row>
    <row r="8225" ht="15.75" customHeight="1">
      <c r="A8225" s="12" t="s">
        <v>9456</v>
      </c>
      <c r="B8225" s="13" t="s">
        <v>17589</v>
      </c>
      <c r="C8225" s="14" t="s">
        <v>17590</v>
      </c>
      <c r="D8225" s="1" t="str">
        <f>IFERROR(__xludf.DUMMYFUNCTION("GOOGLETRANSLATE(A8225 , ""auto"", ""ar"")"),"أنا متعب")</f>
        <v>أنا متعب</v>
      </c>
    </row>
    <row r="8226" ht="15.75" customHeight="1">
      <c r="A8226" s="12" t="s">
        <v>17591</v>
      </c>
      <c r="B8226" s="13" t="s">
        <v>17592</v>
      </c>
      <c r="C8226" s="14" t="s">
        <v>17593</v>
      </c>
      <c r="D8226" s="1" t="str">
        <f>IFERROR(__xludf.DUMMYFUNCTION("GOOGLETRANSLATE(A8226 , ""auto"", ""ar"")"),"أريد أن أقرأ قليلا")</f>
        <v>أريد أن أقرأ قليلا</v>
      </c>
    </row>
    <row r="8227" ht="15.75" customHeight="1">
      <c r="A8227" s="12" t="s">
        <v>17594</v>
      </c>
      <c r="B8227" s="13" t="s">
        <v>17595</v>
      </c>
      <c r="C8227" s="14" t="s">
        <v>17596</v>
      </c>
      <c r="D8227" s="1" t="str">
        <f>IFERROR(__xludf.DUMMYFUNCTION("GOOGLETRANSLATE(A8227 , ""auto"", ""ar"")"),"أريد الذهاب إلى الفراش")</f>
        <v>أريد الذهاب إلى الفراش</v>
      </c>
    </row>
    <row r="8228" ht="15.75" customHeight="1">
      <c r="A8228" s="12" t="s">
        <v>17597</v>
      </c>
      <c r="B8228" s="13" t="s">
        <v>17598</v>
      </c>
      <c r="C8228" s="14" t="s">
        <v>17599</v>
      </c>
      <c r="D8228" s="1" t="str">
        <f>IFERROR(__xludf.DUMMYFUNCTION("GOOGLETRANSLATE(A8228 , ""auto"", ""ar"")"),"أين أنام؟")</f>
        <v>أين أنام؟</v>
      </c>
    </row>
    <row r="8229" ht="15.75" customHeight="1">
      <c r="A8229" s="12" t="s">
        <v>17600</v>
      </c>
      <c r="B8229" s="13" t="s">
        <v>17601</v>
      </c>
      <c r="C8229" s="14" t="s">
        <v>17602</v>
      </c>
      <c r="D8229" s="1" t="str">
        <f>IFERROR(__xludf.DUMMYFUNCTION("GOOGLETRANSLATE(A8229 , ""auto"", ""ar"")"),"أريد أن أذهب إلى الفراش مبكرًا")</f>
        <v>أريد أن أذهب إلى الفراش مبكرًا</v>
      </c>
    </row>
    <row r="8230" ht="15.75" customHeight="1">
      <c r="A8230" s="12" t="s">
        <v>17603</v>
      </c>
      <c r="B8230" s="13" t="s">
        <v>17604</v>
      </c>
      <c r="C8230" s="14" t="s">
        <v>17605</v>
      </c>
      <c r="D8230" s="1" t="str">
        <f>IFERROR(__xludf.DUMMYFUNCTION("GOOGLETRANSLATE(A8230 , ""auto"", ""ar"")"),"أريد أن أستيقظ مبكرًا")</f>
        <v>أريد أن أستيقظ مبكرًا</v>
      </c>
    </row>
    <row r="8231" ht="15.75" customHeight="1">
      <c r="A8231" s="12" t="s">
        <v>17606</v>
      </c>
      <c r="B8231" s="13" t="s">
        <v>17607</v>
      </c>
      <c r="C8231" s="14" t="s">
        <v>17608</v>
      </c>
      <c r="D8231" s="1" t="str">
        <f>IFERROR(__xludf.DUMMYFUNCTION("GOOGLETRANSLATE(A8231 , ""auto"", ""ar"")"),"اريد بطانية")</f>
        <v>اريد بطانية</v>
      </c>
    </row>
    <row r="8232" ht="15.75" customHeight="1">
      <c r="A8232" s="12" t="s">
        <v>17609</v>
      </c>
      <c r="B8232" s="13" t="s">
        <v>17610</v>
      </c>
      <c r="C8232" s="14" t="s">
        <v>17611</v>
      </c>
      <c r="D8232" s="1" t="str">
        <f>IFERROR(__xludf.DUMMYFUNCTION("GOOGLETRANSLATE(A8232 , ""auto"", ""ar"")"),"هذا كرسي")</f>
        <v>هذا كرسي</v>
      </c>
    </row>
    <row r="8233" ht="15.75" customHeight="1">
      <c r="A8233" s="12" t="s">
        <v>17612</v>
      </c>
      <c r="B8233" s="13" t="s">
        <v>17613</v>
      </c>
      <c r="C8233" s="14" t="s">
        <v>17614</v>
      </c>
      <c r="D8233" s="1" t="str">
        <f>IFERROR(__xludf.DUMMYFUNCTION("GOOGLETRANSLATE(A8233 , ""auto"", ""ar"")"),"هذه طاولة")</f>
        <v>هذه طاولة</v>
      </c>
    </row>
    <row r="8234" ht="15.75" customHeight="1">
      <c r="A8234" s="12" t="s">
        <v>17615</v>
      </c>
      <c r="B8234" s="13" t="s">
        <v>17616</v>
      </c>
      <c r="C8234" s="14" t="s">
        <v>17617</v>
      </c>
      <c r="D8234" s="1" t="str">
        <f>IFERROR(__xludf.DUMMYFUNCTION("GOOGLETRANSLATE(A8234 , ""auto"", ""ar"")"),"هذا عبد الله")</f>
        <v>هذا عبد الله</v>
      </c>
    </row>
    <row r="8235" ht="15.75" customHeight="1">
      <c r="A8235" s="12" t="s">
        <v>17618</v>
      </c>
      <c r="B8235" s="13" t="s">
        <v>17619</v>
      </c>
      <c r="C8235" s="14" t="s">
        <v>17620</v>
      </c>
      <c r="D8235" s="1" t="str">
        <f>IFERROR(__xludf.DUMMYFUNCTION("GOOGLETRANSLATE(A8235 , ""auto"", ""ar"")"),"هذا وايتشا")</f>
        <v>هذا وايتشا</v>
      </c>
    </row>
    <row r="8236" ht="15.75" customHeight="1">
      <c r="A8236" s="12" t="s">
        <v>17621</v>
      </c>
      <c r="B8236" s="13" t="s">
        <v>17622</v>
      </c>
      <c r="C8236" s="14" t="s">
        <v>17623</v>
      </c>
      <c r="D8236" s="1" t="str">
        <f>IFERROR(__xludf.DUMMYFUNCTION("GOOGLETRANSLATE(A8236 , ""auto"", ""ar"")"),"ما هذا؟")</f>
        <v>ما هذا؟</v>
      </c>
    </row>
    <row r="8237" ht="15.75" customHeight="1">
      <c r="A8237" s="12" t="s">
        <v>17621</v>
      </c>
      <c r="B8237" s="13" t="s">
        <v>17624</v>
      </c>
      <c r="C8237" s="14" t="s">
        <v>17625</v>
      </c>
      <c r="D8237" s="1" t="str">
        <f>IFERROR(__xludf.DUMMYFUNCTION("GOOGLETRANSLATE(A8237 , ""auto"", ""ar"")"),"ما هذا؟")</f>
        <v>ما هذا؟</v>
      </c>
    </row>
    <row r="8238" ht="15.75" customHeight="1">
      <c r="A8238" s="12" t="s">
        <v>9383</v>
      </c>
      <c r="B8238" s="13" t="s">
        <v>17626</v>
      </c>
      <c r="C8238" s="14" t="s">
        <v>17627</v>
      </c>
      <c r="D8238" s="1" t="str">
        <f>IFERROR(__xludf.DUMMYFUNCTION("GOOGLETRANSLATE(A8238 , ""auto"", ""ar"")"),"من هذا؟")</f>
        <v>من هذا؟</v>
      </c>
    </row>
    <row r="8239" ht="15.75" customHeight="1">
      <c r="A8239" s="12" t="s">
        <v>9383</v>
      </c>
      <c r="B8239" s="13" t="s">
        <v>17628</v>
      </c>
      <c r="C8239" s="14" t="s">
        <v>11965</v>
      </c>
      <c r="D8239" s="1" t="str">
        <f>IFERROR(__xludf.DUMMYFUNCTION("GOOGLETRANSLATE(A8239 , ""auto"", ""ar"")"),"من هذا؟")</f>
        <v>من هذا؟</v>
      </c>
    </row>
    <row r="8240" ht="15.75" customHeight="1">
      <c r="A8240" s="12" t="s">
        <v>17629</v>
      </c>
      <c r="B8240" s="13" t="s">
        <v>17630</v>
      </c>
      <c r="C8240" s="14" t="s">
        <v>17631</v>
      </c>
      <c r="D8240" s="1" t="str">
        <f>IFERROR(__xludf.DUMMYFUNCTION("GOOGLETRANSLATE(A8240 , ""auto"", ""ar"")"),"ما هذا؟")</f>
        <v>ما هذا؟</v>
      </c>
    </row>
    <row r="8241" ht="15.75" customHeight="1">
      <c r="A8241" s="12" t="s">
        <v>17629</v>
      </c>
      <c r="B8241" s="13" t="s">
        <v>17632</v>
      </c>
      <c r="C8241" s="14" t="s">
        <v>17633</v>
      </c>
      <c r="D8241" s="1" t="str">
        <f>IFERROR(__xludf.DUMMYFUNCTION("GOOGLETRANSLATE(A8241 , ""auto"", ""ar"")"),"ما هذا؟")</f>
        <v>ما هذا؟</v>
      </c>
    </row>
    <row r="8242" ht="15.75" customHeight="1">
      <c r="A8242" s="12" t="s">
        <v>17634</v>
      </c>
      <c r="B8242" s="13" t="s">
        <v>17635</v>
      </c>
      <c r="C8242" s="14" t="s">
        <v>17636</v>
      </c>
      <c r="D8242" s="1" t="str">
        <f>IFERROR(__xludf.DUMMYFUNCTION("GOOGLETRANSLATE(A8242 , ""auto"", ""ar"")"),"من ذاك؟")</f>
        <v>من ذاك؟</v>
      </c>
    </row>
    <row r="8243" ht="15.75" customHeight="1">
      <c r="A8243" s="12" t="s">
        <v>17634</v>
      </c>
      <c r="B8243" s="13" t="s">
        <v>17637</v>
      </c>
      <c r="C8243" s="14" t="s">
        <v>17638</v>
      </c>
      <c r="D8243" s="1" t="str">
        <f>IFERROR(__xludf.DUMMYFUNCTION("GOOGLETRANSLATE(A8243 , ""auto"", ""ar"")"),"من ذاك؟")</f>
        <v>من ذاك؟</v>
      </c>
    </row>
    <row r="8244" ht="15.75" customHeight="1">
      <c r="A8244" s="12" t="s">
        <v>17639</v>
      </c>
      <c r="B8244" s="13" t="s">
        <v>17640</v>
      </c>
      <c r="C8244" s="14" t="s">
        <v>17641</v>
      </c>
      <c r="D8244" s="1" t="str">
        <f>IFERROR(__xludf.DUMMYFUNCTION("GOOGLETRANSLATE(A8244 , ""auto"", ""ar"")"),"هذا الرجل")</f>
        <v>هذا الرجل</v>
      </c>
    </row>
    <row r="8245" ht="15.75" customHeight="1">
      <c r="A8245" s="12" t="s">
        <v>17642</v>
      </c>
      <c r="B8245" s="13" t="s">
        <v>17643</v>
      </c>
      <c r="C8245" s="14" t="s">
        <v>17644</v>
      </c>
      <c r="D8245" s="1" t="str">
        <f>IFERROR(__xludf.DUMMYFUNCTION("GOOGLETRANSLATE(A8245 , ""auto"", ""ar"")"),"هذه المرأة")</f>
        <v>هذه المرأة</v>
      </c>
    </row>
    <row r="8246" ht="15.75" customHeight="1">
      <c r="A8246" s="12" t="s">
        <v>17645</v>
      </c>
      <c r="B8246" s="13" t="s">
        <v>17646</v>
      </c>
      <c r="C8246" s="14" t="s">
        <v>17647</v>
      </c>
      <c r="D8246" s="1" t="str">
        <f>IFERROR(__xludf.DUMMYFUNCTION("GOOGLETRANSLATE(A8246 , ""auto"", ""ar"")"),"هؤلاء الرجال")</f>
        <v>هؤلاء الرجال</v>
      </c>
    </row>
    <row r="8247" ht="15.75" customHeight="1">
      <c r="A8247" s="12" t="s">
        <v>17648</v>
      </c>
      <c r="B8247" s="13" t="s">
        <v>17649</v>
      </c>
      <c r="C8247" s="14" t="s">
        <v>17650</v>
      </c>
      <c r="D8247" s="1" t="str">
        <f>IFERROR(__xludf.DUMMYFUNCTION("GOOGLETRANSLATE(A8247 , ""auto"", ""ar"")"),"هؤلاء النساء")</f>
        <v>هؤلاء النساء</v>
      </c>
    </row>
    <row r="8248" ht="15.75" customHeight="1">
      <c r="A8248" s="12" t="s">
        <v>17651</v>
      </c>
      <c r="B8248" s="13" t="s">
        <v>17652</v>
      </c>
      <c r="C8248" s="14" t="s">
        <v>17653</v>
      </c>
      <c r="D8248" s="1" t="str">
        <f>IFERROR(__xludf.DUMMYFUNCTION("GOOGLETRANSLATE(A8248 , ""auto"", ""ar"")"),"هذه المدينة كبيرة")</f>
        <v>هذه المدينة كبيرة</v>
      </c>
    </row>
    <row r="8249" ht="15.75" customHeight="1">
      <c r="A8249" s="12" t="s">
        <v>17654</v>
      </c>
      <c r="B8249" s="13" t="s">
        <v>17655</v>
      </c>
      <c r="C8249" s="14" t="s">
        <v>17656</v>
      </c>
      <c r="D8249" s="1" t="str">
        <f>IFERROR(__xludf.DUMMYFUNCTION("GOOGLETRANSLATE(A8249 , ""auto"", ""ar"")"),"هذا المنزل كبير")</f>
        <v>هذا المنزل كبير</v>
      </c>
    </row>
    <row r="8250" ht="15.75" customHeight="1">
      <c r="A8250" s="12" t="s">
        <v>17657</v>
      </c>
      <c r="B8250" s="13" t="s">
        <v>17658</v>
      </c>
      <c r="C8250" s="14" t="s">
        <v>17659</v>
      </c>
      <c r="D8250" s="1" t="str">
        <f>IFERROR(__xludf.DUMMYFUNCTION("GOOGLETRANSLATE(A8250 , ""auto"", ""ar"")"),"اريد ذلك")</f>
        <v>اريد ذلك</v>
      </c>
    </row>
    <row r="8251" ht="15.75" customHeight="1">
      <c r="A8251" s="12" t="s">
        <v>17660</v>
      </c>
      <c r="B8251" s="13" t="s">
        <v>17661</v>
      </c>
      <c r="C8251" s="14" t="s">
        <v>17662</v>
      </c>
      <c r="D8251" s="1" t="str">
        <f>IFERROR(__xludf.DUMMYFUNCTION("GOOGLETRANSLATE(A8251 , ""auto"", ""ar"")"),"هذا ما اريد")</f>
        <v>هذا ما اريد</v>
      </c>
    </row>
    <row r="8252" ht="15.75" customHeight="1">
      <c r="A8252" s="12" t="s">
        <v>17663</v>
      </c>
      <c r="B8252" s="13" t="s">
        <v>17664</v>
      </c>
      <c r="C8252" s="14" t="s">
        <v>17665</v>
      </c>
      <c r="D8252" s="1" t="str">
        <f>IFERROR(__xludf.DUMMYFUNCTION("GOOGLETRANSLATE(A8252 , ""auto"", ""ar"")"),"أريد أن أغسل يدي بالصابون")</f>
        <v>أريد أن أغسل يدي بالصابون</v>
      </c>
    </row>
    <row r="8253" ht="15.75" customHeight="1">
      <c r="A8253" s="12" t="s">
        <v>17666</v>
      </c>
      <c r="B8253" s="13" t="s">
        <v>17667</v>
      </c>
      <c r="C8253" s="14" t="s">
        <v>17668</v>
      </c>
      <c r="D8253" s="1" t="str">
        <f>IFERROR(__xludf.DUMMYFUNCTION("GOOGLETRANSLATE(A8253 , ""auto"", ""ar"")"),"أريد أن أخفق أسناني")</f>
        <v>أريد أن أخفق أسناني</v>
      </c>
    </row>
    <row r="8254" ht="15.75" customHeight="1">
      <c r="A8254" s="12" t="s">
        <v>17669</v>
      </c>
      <c r="B8254" s="13" t="s">
        <v>17670</v>
      </c>
      <c r="C8254" s="14" t="s">
        <v>17671</v>
      </c>
      <c r="D8254" s="1" t="str">
        <f>IFERROR(__xludf.DUMMYFUNCTION("GOOGLETRANSLATE(A8254 , ""auto"", ""ar"")"),"أريد الماء الساخن من فضلك")</f>
        <v>أريد الماء الساخن من فضلك</v>
      </c>
    </row>
    <row r="8255" ht="15.75" customHeight="1">
      <c r="A8255" s="12" t="s">
        <v>17672</v>
      </c>
      <c r="B8255" s="13" t="s">
        <v>17673</v>
      </c>
      <c r="C8255" s="14" t="s">
        <v>17674</v>
      </c>
      <c r="D8255" s="1" t="str">
        <f>IFERROR(__xludf.DUMMYFUNCTION("GOOGLETRANSLATE(A8255 , ""auto"", ""ar"")"),"أريد أن أستحم")</f>
        <v>أريد أن أستحم</v>
      </c>
    </row>
    <row r="8256" ht="15.75" customHeight="1">
      <c r="A8256" s="12" t="s">
        <v>17675</v>
      </c>
      <c r="B8256" s="13" t="s">
        <v>17676</v>
      </c>
      <c r="C8256" s="14" t="s">
        <v>17677</v>
      </c>
      <c r="D8256" s="1" t="str">
        <f>IFERROR(__xludf.DUMMYFUNCTION("GOOGLETRANSLATE(A8256 , ""auto"", ""ar"")"),"أريد أن أذهب إلى الحمام")</f>
        <v>أريد أن أذهب إلى الحمام</v>
      </c>
    </row>
    <row r="8257" ht="15.75" customHeight="1">
      <c r="A8257" s="12" t="s">
        <v>17678</v>
      </c>
      <c r="B8257" s="13" t="s">
        <v>17679</v>
      </c>
      <c r="C8257" s="14" t="s">
        <v>17680</v>
      </c>
      <c r="D8257" s="1" t="str">
        <f>IFERROR(__xludf.DUMMYFUNCTION("GOOGLETRANSLATE(A8257 , ""auto"", ""ar"")"),"أريد تغيير ملابسي")</f>
        <v>أريد تغيير ملابسي</v>
      </c>
    </row>
    <row r="8258" ht="15.75" customHeight="1">
      <c r="A8258" s="12" t="s">
        <v>9611</v>
      </c>
      <c r="B8258" s="13" t="s">
        <v>17681</v>
      </c>
      <c r="C8258" s="14" t="s">
        <v>17682</v>
      </c>
      <c r="D8258" s="1" t="str">
        <f>IFERROR(__xludf.DUMMYFUNCTION("GOOGLETRANSLATE(A8258 , ""auto"", ""ar"")"),"أنا مريض")</f>
        <v>أنا مريض</v>
      </c>
    </row>
    <row r="8259" ht="15.75" customHeight="1">
      <c r="A8259" s="12" t="s">
        <v>9611</v>
      </c>
      <c r="B8259" s="13" t="s">
        <v>17683</v>
      </c>
      <c r="C8259" s="14" t="s">
        <v>17684</v>
      </c>
      <c r="D8259" s="1" t="str">
        <f>IFERROR(__xludf.DUMMYFUNCTION("GOOGLETRANSLATE(A8259 , ""auto"", ""ar"")"),"أنا مريض")</f>
        <v>أنا مريض</v>
      </c>
    </row>
    <row r="8260" ht="15.75" customHeight="1">
      <c r="A8260" s="12" t="s">
        <v>17685</v>
      </c>
      <c r="B8260" s="13" t="s">
        <v>17686</v>
      </c>
      <c r="C8260" s="14" t="s">
        <v>17687</v>
      </c>
      <c r="D8260" s="1" t="str">
        <f>IFERROR(__xludf.DUMMYFUNCTION("GOOGLETRANSLATE(A8260 , ""auto"", ""ar"")"),"أريد أن أرتاح قليلا")</f>
        <v>أريد أن أرتاح قليلا</v>
      </c>
    </row>
    <row r="8261" ht="15.75" customHeight="1">
      <c r="A8261" s="12" t="s">
        <v>17688</v>
      </c>
      <c r="B8261" s="13" t="s">
        <v>17689</v>
      </c>
      <c r="C8261" s="14" t="s">
        <v>17690</v>
      </c>
      <c r="D8261" s="1" t="str">
        <f>IFERROR(__xludf.DUMMYFUNCTION("GOOGLETRANSLATE(A8261 , ""auto"", ""ar"")"),"هل تشعر بتحسن؟")</f>
        <v>هل تشعر بتحسن؟</v>
      </c>
    </row>
    <row r="8262" ht="15.75" customHeight="1">
      <c r="A8262" s="12" t="s">
        <v>17691</v>
      </c>
      <c r="B8262" s="13" t="s">
        <v>17692</v>
      </c>
      <c r="C8262" s="14" t="s">
        <v>17693</v>
      </c>
      <c r="D8262" s="1" t="str">
        <f>IFERROR(__xludf.DUMMYFUNCTION("GOOGLETRANSLATE(A8262 , ""auto"", ""ar"")"),"أريد أن أذهب إلى الإفران")</f>
        <v>أريد أن أذهب إلى الإفران</v>
      </c>
    </row>
    <row r="8263" ht="15.75" customHeight="1">
      <c r="A8263" s="12" t="s">
        <v>17694</v>
      </c>
      <c r="B8263" s="13" t="s">
        <v>17695</v>
      </c>
      <c r="C8263" s="14" t="s">
        <v>17696</v>
      </c>
      <c r="D8263" s="1" t="str">
        <f>IFERROR(__xludf.DUMMYFUNCTION("GOOGLETRANSLATE(A8263 , ""auto"", ""ar"")"),"خذني إلى المنزل من فضلك")</f>
        <v>خذني إلى المنزل من فضلك</v>
      </c>
    </row>
    <row r="8264" ht="15.75" customHeight="1">
      <c r="A8264" s="12" t="s">
        <v>17697</v>
      </c>
      <c r="B8264" s="13" t="s">
        <v>17698</v>
      </c>
      <c r="C8264" s="14" t="s">
        <v>17699</v>
      </c>
      <c r="D8264" s="1" t="str">
        <f>IFERROR(__xludf.DUMMYFUNCTION("GOOGLETRANSLATE(A8264 , ""auto"", ""ar"")"),"توقف هنا من فضلك")</f>
        <v>توقف هنا من فضلك</v>
      </c>
    </row>
    <row r="8265" ht="15.75" customHeight="1">
      <c r="A8265" s="12" t="s">
        <v>17700</v>
      </c>
      <c r="B8265" s="13" t="s">
        <v>17701</v>
      </c>
      <c r="C8265" s="14" t="s">
        <v>17702</v>
      </c>
      <c r="D8265" s="1" t="str">
        <f>IFERROR(__xludf.DUMMYFUNCTION("GOOGLETRANSLATE(A8265 , ""auto"", ""ar"")"),"هل العداد؟")</f>
        <v>هل العداد؟</v>
      </c>
    </row>
    <row r="8266" ht="15.75" customHeight="1">
      <c r="A8266" s="12" t="s">
        <v>17703</v>
      </c>
      <c r="B8266" s="13" t="s">
        <v>17704</v>
      </c>
      <c r="C8266" s="14" t="s">
        <v>17705</v>
      </c>
      <c r="D8266" s="1" t="str">
        <f>IFERROR(__xludf.DUMMYFUNCTION("GOOGLETRANSLATE(A8266 , ""auto"", ""ar"")"),"قم بتشغيل العداد من فضلك.")</f>
        <v>قم بتشغيل العداد من فضلك.</v>
      </c>
    </row>
    <row r="8267" ht="15.75" customHeight="1">
      <c r="A8267" s="12" t="s">
        <v>17706</v>
      </c>
      <c r="B8267" s="13" t="s">
        <v>17707</v>
      </c>
      <c r="C8267" s="14" t="s">
        <v>17708</v>
      </c>
      <c r="D8267" s="1" t="str">
        <f>IFERROR(__xludf.DUMMYFUNCTION("GOOGLETRANSLATE(A8267 , ""auto"", ""ar"")"),"ليست مشكلة.")</f>
        <v>ليست مشكلة.</v>
      </c>
    </row>
    <row r="8268" ht="15.75" customHeight="1">
      <c r="A8268" s="12" t="s">
        <v>17709</v>
      </c>
      <c r="B8268" s="13" t="s">
        <v>17710</v>
      </c>
      <c r="C8268" s="14" t="s">
        <v>17711</v>
      </c>
      <c r="D8268" s="1" t="str">
        <f>IFERROR(__xludf.DUMMYFUNCTION("GOOGLETRANSLATE(A8268 , ""auto"", ""ar"")"),"لا توجد مشكلة")</f>
        <v>لا توجد مشكلة</v>
      </c>
    </row>
    <row r="8269" ht="15.75" customHeight="1">
      <c r="A8269" s="12" t="s">
        <v>17712</v>
      </c>
      <c r="B8269" s="13" t="s">
        <v>17713</v>
      </c>
      <c r="C8269" s="14" t="s">
        <v>17714</v>
      </c>
      <c r="D8269" s="1" t="str">
        <f>IFERROR(__xludf.DUMMYFUNCTION("GOOGLETRANSLATE(A8269 , ""auto"", ""ar"")"),"لا توجد مشكلة.")</f>
        <v>لا توجد مشكلة.</v>
      </c>
    </row>
    <row r="8270" ht="15.75" customHeight="1">
      <c r="A8270" s="12" t="s">
        <v>9471</v>
      </c>
      <c r="B8270" s="13" t="s">
        <v>17715</v>
      </c>
      <c r="C8270" s="14" t="s">
        <v>812</v>
      </c>
      <c r="D8270" s="1" t="str">
        <f>IFERROR(__xludf.DUMMYFUNCTION("GOOGLETRANSLATE(A8270 , ""auto"", ""ar"")"),"تهانينا")</f>
        <v>تهانينا</v>
      </c>
    </row>
    <row r="8271" ht="15.75" customHeight="1">
      <c r="A8271" s="12" t="s">
        <v>9471</v>
      </c>
      <c r="B8271" s="13" t="s">
        <v>17716</v>
      </c>
      <c r="C8271" s="14" t="s">
        <v>17717</v>
      </c>
      <c r="D8271" s="1" t="str">
        <f>IFERROR(__xludf.DUMMYFUNCTION("GOOGLETRANSLATE(A8271 , ""auto"", ""ar"")"),"تهانينا")</f>
        <v>تهانينا</v>
      </c>
    </row>
    <row r="8272" ht="15.75" customHeight="1">
      <c r="A8272" s="12" t="s">
        <v>17718</v>
      </c>
      <c r="B8272" s="13" t="s">
        <v>17719</v>
      </c>
      <c r="C8272" s="14" t="s">
        <v>17720</v>
      </c>
      <c r="D8272" s="1" t="str">
        <f>IFERROR(__xludf.DUMMYFUNCTION("GOOGLETRANSLATE(A8272 , ""auto"", ""ar"")"),"الله يمنحك النعمة")</f>
        <v>الله يمنحك النعمة</v>
      </c>
    </row>
    <row r="8273" ht="15.75" customHeight="1">
      <c r="A8273" s="12" t="s">
        <v>8110</v>
      </c>
      <c r="B8273" s="13" t="s">
        <v>17721</v>
      </c>
      <c r="C8273" s="14" t="s">
        <v>17722</v>
      </c>
      <c r="D8273" s="1" t="str">
        <f>IFERROR(__xludf.DUMMYFUNCTION("GOOGLETRANSLATE(A8273 , ""auto"", ""ar"")"),"لا أفهم")</f>
        <v>لا أفهم</v>
      </c>
    </row>
    <row r="8274" ht="15.75" customHeight="1">
      <c r="A8274" s="12" t="s">
        <v>8116</v>
      </c>
      <c r="B8274" s="13" t="s">
        <v>17723</v>
      </c>
      <c r="C8274" s="14" t="s">
        <v>9449</v>
      </c>
      <c r="D8274" s="1" t="str">
        <f>IFERROR(__xludf.DUMMYFUNCTION("GOOGLETRANSLATE(A8274 , ""auto"", ""ar"")"),"لا أعرف")</f>
        <v>لا أعرف</v>
      </c>
    </row>
    <row r="8275" ht="15.75" customHeight="1">
      <c r="A8275" s="12" t="s">
        <v>17724</v>
      </c>
      <c r="B8275" s="13" t="s">
        <v>17725</v>
      </c>
      <c r="C8275" s="14" t="s">
        <v>17726</v>
      </c>
      <c r="D8275" s="1" t="str">
        <f>IFERROR(__xludf.DUMMYFUNCTION("GOOGLETRANSLATE(A8275 , ""auto"", ""ar"")"),"ببطء من فضلك")</f>
        <v>ببطء من فضلك</v>
      </c>
    </row>
    <row r="8276" ht="15.75" customHeight="1">
      <c r="A8276" s="12" t="s">
        <v>17727</v>
      </c>
      <c r="B8276" s="13" t="s">
        <v>17728</v>
      </c>
      <c r="C8276" s="14" t="s">
        <v>17729</v>
      </c>
      <c r="D8276" s="1" t="str">
        <f>IFERROR(__xludf.DUMMYFUNCTION("GOOGLETRANSLATE(A8276 , ""auto"", ""ar"")"),"أعد من فضلك")</f>
        <v>أعد من فضلك</v>
      </c>
    </row>
    <row r="8277" ht="15.75" customHeight="1">
      <c r="A8277" s="12" t="s">
        <v>17727</v>
      </c>
      <c r="B8277" s="13" t="s">
        <v>17730</v>
      </c>
      <c r="C8277" s="14" t="s">
        <v>17731</v>
      </c>
      <c r="D8277" s="1" t="str">
        <f>IFERROR(__xludf.DUMMYFUNCTION("GOOGLETRANSLATE(A8277 , ""auto"", ""ar"")"),"أعد من فضلك")</f>
        <v>أعد من فضلك</v>
      </c>
    </row>
    <row r="8278" ht="15.75" customHeight="1">
      <c r="A8278" s="12" t="s">
        <v>17732</v>
      </c>
      <c r="B8278" s="13" t="s">
        <v>17733</v>
      </c>
      <c r="C8278" s="14" t="s">
        <v>17734</v>
      </c>
      <c r="D8278" s="1" t="str">
        <f>IFERROR(__xludf.DUMMYFUNCTION("GOOGLETRANSLATE(A8278 , ""auto"", ""ar"")"),"ماذا قلت؟")</f>
        <v>ماذا قلت؟</v>
      </c>
    </row>
    <row r="8279" ht="15.75" customHeight="1">
      <c r="A8279" s="12" t="s">
        <v>17735</v>
      </c>
      <c r="B8279" s="13" t="s">
        <v>17736</v>
      </c>
      <c r="C8279" s="14" t="s">
        <v>17737</v>
      </c>
      <c r="D8279" s="1" t="str">
        <f>IFERROR(__xludf.DUMMYFUNCTION("GOOGLETRANSLATE(A8279 , ""auto"", ""ar"")"),"أعطني هذا الشيء من فضلك")</f>
        <v>أعطني هذا الشيء من فضلك</v>
      </c>
    </row>
    <row r="8280" ht="15.75" customHeight="1">
      <c r="A8280" s="12" t="s">
        <v>17738</v>
      </c>
      <c r="B8280" s="13" t="s">
        <v>17739</v>
      </c>
      <c r="C8280" s="14" t="s">
        <v>17740</v>
      </c>
      <c r="D8280" s="1" t="str">
        <f>IFERROR(__xludf.DUMMYFUNCTION("GOOGLETRANSLATE(A8280 , ""auto"", ""ar"")"),"أين الحمام؟")</f>
        <v>أين الحمام؟</v>
      </c>
    </row>
    <row r="8281" ht="15.75" customHeight="1">
      <c r="A8281" s="12" t="s">
        <v>17738</v>
      </c>
      <c r="B8281" s="13" t="s">
        <v>17741</v>
      </c>
      <c r="C8281" s="14" t="s">
        <v>17742</v>
      </c>
      <c r="D8281" s="1" t="str">
        <f>IFERROR(__xludf.DUMMYFUNCTION("GOOGLETRANSLATE(A8281 , ""auto"", ""ar"")"),"أين الحمام؟")</f>
        <v>أين الحمام؟</v>
      </c>
    </row>
    <row r="8282" ht="15.75" customHeight="1">
      <c r="A8282" s="12" t="s">
        <v>17743</v>
      </c>
      <c r="B8282" s="13" t="s">
        <v>17744</v>
      </c>
      <c r="C8282" s="14" t="s">
        <v>17745</v>
      </c>
      <c r="D8282" s="1" t="str">
        <f>IFERROR(__xludf.DUMMYFUNCTION("GOOGLETRANSLATE(A8282 , ""auto"", ""ar"")"),"اريد ان عمل الغسيل")</f>
        <v>اريد ان عمل الغسيل</v>
      </c>
    </row>
    <row r="8283" ht="15.75" customHeight="1">
      <c r="A8283" s="12" t="s">
        <v>17746</v>
      </c>
      <c r="B8283" s="13" t="s">
        <v>17747</v>
      </c>
      <c r="C8283" s="14" t="s">
        <v>17748</v>
      </c>
      <c r="D8283" s="1" t="str">
        <f>IFERROR(__xludf.DUMMYFUNCTION("GOOGLETRANSLATE(A8283 , ""auto"", ""ar"")"),"أين يمكنني الغسيل؟")</f>
        <v>أين يمكنني الغسيل؟</v>
      </c>
    </row>
    <row r="8284" ht="15.75" customHeight="1">
      <c r="A8284" s="12" t="s">
        <v>17749</v>
      </c>
      <c r="B8284" s="13" t="s">
        <v>17750</v>
      </c>
      <c r="C8284" s="14" t="s">
        <v>17751</v>
      </c>
      <c r="D8284" s="1" t="str">
        <f>IFERROR(__xludf.DUMMYFUNCTION("GOOGLETRANSLATE(A8284 , ""auto"", ""ar"")"),"أيمكنني مساعدتك؟")</f>
        <v>أيمكنني مساعدتك؟</v>
      </c>
    </row>
    <row r="8285" ht="15.75" customHeight="1">
      <c r="A8285" s="12" t="s">
        <v>17752</v>
      </c>
      <c r="B8285" s="13" t="s">
        <v>17753</v>
      </c>
      <c r="C8285" s="14" t="s">
        <v>17754</v>
      </c>
      <c r="D8285" s="1" t="str">
        <f>IFERROR(__xludf.DUMMYFUNCTION("GOOGLETRANSLATE(A8285 , ""auto"", ""ar"")"),"ثمانية كتب")</f>
        <v>ثمانية كتب</v>
      </c>
    </row>
    <row r="8286" ht="15.75" customHeight="1">
      <c r="A8286" s="12" t="s">
        <v>17752</v>
      </c>
      <c r="B8286" s="13" t="s">
        <v>17755</v>
      </c>
      <c r="C8286" s="14" t="s">
        <v>17756</v>
      </c>
      <c r="D8286" s="1" t="str">
        <f>IFERROR(__xludf.DUMMYFUNCTION("GOOGLETRANSLATE(A8286 , ""auto"", ""ar"")"),"ثمانية كتب")</f>
        <v>ثمانية كتب</v>
      </c>
    </row>
    <row r="8287" ht="15.75" customHeight="1">
      <c r="A8287" s="12" t="s">
        <v>17757</v>
      </c>
      <c r="B8287" s="13" t="s">
        <v>17758</v>
      </c>
      <c r="C8287" s="14" t="s">
        <v>17759</v>
      </c>
      <c r="D8287" s="1" t="str">
        <f>IFERROR(__xludf.DUMMYFUNCTION("GOOGLETRANSLATE(A8287 , ""auto"", ""ar"")"),"خمسة درهم")</f>
        <v>خمسة درهم</v>
      </c>
    </row>
    <row r="8288" ht="15.75" customHeight="1">
      <c r="A8288" s="12" t="s">
        <v>17757</v>
      </c>
      <c r="B8288" s="13" t="s">
        <v>17760</v>
      </c>
      <c r="C8288" s="14" t="s">
        <v>17761</v>
      </c>
      <c r="D8288" s="1" t="str">
        <f>IFERROR(__xludf.DUMMYFUNCTION("GOOGLETRANSLATE(A8288 , ""auto"", ""ar"")"),"خمسة درهم")</f>
        <v>خمسة درهم</v>
      </c>
    </row>
    <row r="8289" ht="15.75" customHeight="1">
      <c r="A8289" s="12" t="s">
        <v>17762</v>
      </c>
      <c r="B8289" s="13" t="s">
        <v>17763</v>
      </c>
      <c r="C8289" s="14" t="s">
        <v>17764</v>
      </c>
      <c r="D8289" s="1" t="str">
        <f>IFERROR(__xludf.DUMMYFUNCTION("GOOGLETRANSLATE(A8289 , ""auto"", ""ar"")"),"كتاب واحد")</f>
        <v>كتاب واحد</v>
      </c>
    </row>
    <row r="8290" ht="15.75" customHeight="1">
      <c r="A8290" s="12" t="s">
        <v>17765</v>
      </c>
      <c r="B8290" s="13" t="s">
        <v>17766</v>
      </c>
      <c r="C8290" s="14" t="s">
        <v>17767</v>
      </c>
      <c r="D8290" s="1" t="str">
        <f>IFERROR(__xludf.DUMMYFUNCTION("GOOGLETRANSLATE(A8290 , ""auto"", ""ar"")"),"فتاة واحدة")</f>
        <v>فتاة واحدة</v>
      </c>
    </row>
    <row r="8291" ht="15.75" customHeight="1">
      <c r="A8291" s="12" t="s">
        <v>9547</v>
      </c>
      <c r="B8291" s="13" t="s">
        <v>17768</v>
      </c>
      <c r="C8291" s="14" t="s">
        <v>17769</v>
      </c>
      <c r="D8291" s="1" t="str">
        <f>IFERROR(__xludf.DUMMYFUNCTION("GOOGLETRANSLATE(A8291 , ""auto"", ""ar"")"),"أي ساعة؟")</f>
        <v>أي ساعة؟</v>
      </c>
    </row>
    <row r="8292" ht="15.75" customHeight="1">
      <c r="A8292" s="12" t="s">
        <v>9547</v>
      </c>
      <c r="B8292" s="13" t="s">
        <v>17770</v>
      </c>
      <c r="C8292" s="14" t="s">
        <v>17771</v>
      </c>
      <c r="D8292" s="1" t="str">
        <f>IFERROR(__xludf.DUMMYFUNCTION("GOOGLETRANSLATE(A8292 , ""auto"", ""ar"")"),"أي ساعة؟")</f>
        <v>أي ساعة؟</v>
      </c>
    </row>
    <row r="8293" ht="15.75" customHeight="1">
      <c r="A8293" s="12" t="s">
        <v>17772</v>
      </c>
      <c r="B8293" s="13" t="s">
        <v>17773</v>
      </c>
      <c r="C8293" s="14" t="s">
        <v>17774</v>
      </c>
      <c r="D8293" s="1" t="str">
        <f>IFERROR(__xludf.DUMMYFUNCTION("GOOGLETRANSLATE(A8293 , ""auto"", ""ar"")"),"إنها بالضبط الساعة الواحدة")</f>
        <v>إنها بالضبط الساعة الواحدة</v>
      </c>
    </row>
    <row r="8294" ht="15.75" customHeight="1">
      <c r="A8294" s="12" t="s">
        <v>17772</v>
      </c>
      <c r="B8294" s="13" t="s">
        <v>17775</v>
      </c>
      <c r="C8294" s="14" t="s">
        <v>17776</v>
      </c>
      <c r="D8294" s="1" t="str">
        <f>IFERROR(__xludf.DUMMYFUNCTION("GOOGLETRANSLATE(A8294 , ""auto"", ""ar"")"),"إنها بالضبط الساعة الواحدة")</f>
        <v>إنها بالضبط الساعة الواحدة</v>
      </c>
    </row>
    <row r="8295" ht="15.75" customHeight="1">
      <c r="A8295" s="12" t="s">
        <v>17777</v>
      </c>
      <c r="B8295" s="13" t="s">
        <v>17778</v>
      </c>
      <c r="C8295" s="14" t="s">
        <v>17779</v>
      </c>
      <c r="D8295" s="1" t="str">
        <f>IFERROR(__xludf.DUMMYFUNCTION("GOOGLETRANSLATE(A8295 , ""auto"", ""ar"")"),"إنه بعد خمس دقائق من دقيقتين")</f>
        <v>إنه بعد خمس دقائق من دقيقتين</v>
      </c>
    </row>
    <row r="8296" ht="15.75" customHeight="1">
      <c r="A8296" s="12" t="s">
        <v>17780</v>
      </c>
      <c r="B8296" s="13" t="s">
        <v>17781</v>
      </c>
      <c r="C8296" s="14" t="s">
        <v>17782</v>
      </c>
      <c r="D8296" s="1" t="str">
        <f>IFERROR(__xludf.DUMMYFUNCTION("GOOGLETRANSLATE(A8296 , ""auto"", ""ar"")"),"لقد تجاوزت ثلاث دقائق ثلاث دقائق")</f>
        <v>لقد تجاوزت ثلاث دقائق ثلاث دقائق</v>
      </c>
    </row>
    <row r="8297" ht="15.75" customHeight="1">
      <c r="A8297" s="12" t="s">
        <v>17783</v>
      </c>
      <c r="B8297" s="13" t="s">
        <v>17784</v>
      </c>
      <c r="C8297" s="14" t="s">
        <v>17785</v>
      </c>
      <c r="D8297" s="1" t="str">
        <f>IFERROR(__xludf.DUMMYFUNCTION("GOOGLETRANSLATE(A8297 , ""auto"", ""ar"")"),"إنه ربع ما بعد أربعة")</f>
        <v>إنه ربع ما بعد أربعة</v>
      </c>
    </row>
    <row r="8298" ht="15.75" customHeight="1">
      <c r="A8298" s="12" t="s">
        <v>17786</v>
      </c>
      <c r="B8298" s="13" t="s">
        <v>17787</v>
      </c>
      <c r="C8298" s="14" t="s">
        <v>17788</v>
      </c>
      <c r="D8298" s="1" t="str">
        <f>IFERROR(__xludf.DUMMYFUNCTION("GOOGLETRANSLATE(A8298 , ""auto"", ""ar"")"),"إنها عشرون دقيقة بعد خمسة دقيقة")</f>
        <v>إنها عشرون دقيقة بعد خمسة دقيقة</v>
      </c>
    </row>
    <row r="8299" ht="15.75" customHeight="1">
      <c r="A8299" s="12" t="s">
        <v>17789</v>
      </c>
      <c r="B8299" s="13" t="s">
        <v>17790</v>
      </c>
      <c r="C8299" s="14" t="s">
        <v>17791</v>
      </c>
      <c r="D8299" s="1" t="str">
        <f>IFERROR(__xludf.DUMMYFUNCTION("GOOGLETRANSLATE(A8299 , ""auto"", ""ar"")"),"إنها خمسة وعشرون دقيقة الماضية")</f>
        <v>إنها خمسة وعشرون دقيقة الماضية</v>
      </c>
    </row>
    <row r="8300" ht="15.75" customHeight="1">
      <c r="A8300" s="12" t="s">
        <v>17789</v>
      </c>
      <c r="B8300" s="13" t="s">
        <v>17792</v>
      </c>
      <c r="C8300" s="14" t="s">
        <v>17793</v>
      </c>
      <c r="D8300" s="1" t="str">
        <f>IFERROR(__xludf.DUMMYFUNCTION("GOOGLETRANSLATE(A8300 , ""auto"", ""ar"")"),"إنها خمسة وعشرون دقيقة الماضية")</f>
        <v>إنها خمسة وعشرون دقيقة الماضية</v>
      </c>
    </row>
    <row r="8301" ht="15.75" customHeight="1">
      <c r="A8301" s="12" t="s">
        <v>17794</v>
      </c>
      <c r="B8301" s="13" t="s">
        <v>17795</v>
      </c>
      <c r="C8301" s="14" t="s">
        <v>17796</v>
      </c>
      <c r="D8301" s="1" t="str">
        <f>IFERROR(__xludf.DUMMYFUNCTION("GOOGLETRANSLATE(A8301 , ""auto"", ""ar"")"),"إنها سبعة وثلاثين")</f>
        <v>إنها سبعة وثلاثين</v>
      </c>
    </row>
    <row r="8302" ht="15.75" customHeight="1">
      <c r="A8302" s="12" t="s">
        <v>17797</v>
      </c>
      <c r="B8302" s="13" t="s">
        <v>17798</v>
      </c>
      <c r="C8302" s="14" t="s">
        <v>17799</v>
      </c>
      <c r="D8302" s="1" t="str">
        <f>IFERROR(__xludf.DUMMYFUNCTION("GOOGLETRANSLATE(A8302 , ""auto"", ""ar"")"),"إنها ثمانية وثلاثين")</f>
        <v>إنها ثمانية وثلاثين</v>
      </c>
    </row>
    <row r="8303" ht="15.75" customHeight="1">
      <c r="A8303" s="12" t="s">
        <v>17797</v>
      </c>
      <c r="B8303" s="13" t="s">
        <v>17800</v>
      </c>
      <c r="C8303" s="14" t="s">
        <v>17801</v>
      </c>
      <c r="D8303" s="1" t="str">
        <f>IFERROR(__xludf.DUMMYFUNCTION("GOOGLETRANSLATE(A8303 , ""auto"", ""ar"")"),"إنها ثمانية وثلاثين")</f>
        <v>إنها ثمانية وثلاثين</v>
      </c>
    </row>
    <row r="8304" ht="15.75" customHeight="1">
      <c r="A8304" s="12" t="s">
        <v>17802</v>
      </c>
      <c r="B8304" s="13" t="s">
        <v>17803</v>
      </c>
      <c r="C8304" s="14" t="s">
        <v>17804</v>
      </c>
      <c r="D8304" s="1" t="str">
        <f>IFERROR(__xludf.DUMMYFUNCTION("GOOGLETRANSLATE(A8304 , ""auto"", ""ar"")"),"إنها من عشرين دقيقة إلى التاسعة")</f>
        <v>إنها من عشرين دقيقة إلى التاسعة</v>
      </c>
    </row>
    <row r="8305" ht="15.75" customHeight="1">
      <c r="A8305" s="12" t="s">
        <v>17805</v>
      </c>
      <c r="B8305" s="13" t="s">
        <v>17806</v>
      </c>
      <c r="C8305" s="14" t="s">
        <v>17807</v>
      </c>
      <c r="D8305" s="1" t="str">
        <f>IFERROR(__xludf.DUMMYFUNCTION("GOOGLETRANSLATE(A8305 , ""auto"", ""ar"")"),"إنه ربع إلى عشرة")</f>
        <v>إنه ربع إلى عشرة</v>
      </c>
    </row>
    <row r="8306" ht="15.75" customHeight="1">
      <c r="A8306" s="12" t="s">
        <v>17808</v>
      </c>
      <c r="B8306" s="13" t="s">
        <v>17809</v>
      </c>
      <c r="C8306" s="14" t="s">
        <v>17810</v>
      </c>
      <c r="D8306" s="1" t="str">
        <f>IFERROR(__xludf.DUMMYFUNCTION("GOOGLETRANSLATE(A8306 , ""auto"", ""ar"")"),"إنه عشر دقائق إلى أحد عشر")</f>
        <v>إنه عشر دقائق إلى أحد عشر</v>
      </c>
    </row>
    <row r="8307" ht="15.75" customHeight="1">
      <c r="A8307" s="12" t="s">
        <v>17811</v>
      </c>
      <c r="B8307" s="13" t="s">
        <v>17812</v>
      </c>
      <c r="C8307" s="14" t="s">
        <v>17813</v>
      </c>
      <c r="D8307" s="1" t="str">
        <f>IFERROR(__xludf.DUMMYFUNCTION("GOOGLETRANSLATE(A8307 , ""auto"", ""ar"")"),"من خمس دقائق إلى اثني عشر")</f>
        <v>من خمس دقائق إلى اثني عشر</v>
      </c>
    </row>
    <row r="8308" ht="15.75" customHeight="1">
      <c r="A8308" s="12" t="s">
        <v>17814</v>
      </c>
      <c r="B8308" s="13" t="s">
        <v>17815</v>
      </c>
      <c r="C8308" s="14" t="s">
        <v>17816</v>
      </c>
      <c r="D8308" s="1" t="str">
        <f>IFERROR(__xludf.DUMMYFUNCTION("GOOGLETRANSLATE(A8308 , ""auto"", ""ar"")"),"أعطني الحليب من فضلك")</f>
        <v>أعطني الحليب من فضلك</v>
      </c>
    </row>
    <row r="8309" ht="15.75" customHeight="1">
      <c r="A8309" s="12" t="s">
        <v>17817</v>
      </c>
      <c r="B8309" s="13" t="s">
        <v>17818</v>
      </c>
      <c r="C8309" s="14" t="s">
        <v>17819</v>
      </c>
      <c r="D8309" s="1" t="str">
        <f>IFERROR(__xludf.DUMMYFUNCTION("GOOGLETRANSLATE(A8309 , ""auto"", ""ar"")"),"من فضلك ، هل لديك حليب؟")</f>
        <v>من فضلك ، هل لديك حليب؟</v>
      </c>
    </row>
    <row r="8310" ht="15.75" customHeight="1">
      <c r="A8310" s="12" t="s">
        <v>17820</v>
      </c>
      <c r="B8310" s="13" t="s">
        <v>17821</v>
      </c>
      <c r="C8310" s="14" t="s">
        <v>17822</v>
      </c>
      <c r="D8310" s="1" t="str">
        <f>IFERROR(__xludf.DUMMYFUNCTION("GOOGLETRANSLATE(A8310 , ""auto"", ""ar"")"),"ماذا تريد سيدتي؟")</f>
        <v>ماذا تريد سيدتي؟</v>
      </c>
    </row>
    <row r="8311" ht="15.75" customHeight="1">
      <c r="A8311" s="12" t="s">
        <v>17823</v>
      </c>
      <c r="B8311" s="13" t="s">
        <v>17824</v>
      </c>
      <c r="C8311" s="14" t="s">
        <v>17825</v>
      </c>
      <c r="D8311" s="1" t="str">
        <f>IFERROR(__xludf.DUMMYFUNCTION("GOOGLETRANSLATE(A8311 , ""auto"", ""ar"")"),"ماذا تريد سيدي؟")</f>
        <v>ماذا تريد سيدي؟</v>
      </c>
    </row>
    <row r="8312" ht="15.75" customHeight="1">
      <c r="A8312" s="12" t="s">
        <v>9519</v>
      </c>
      <c r="B8312" s="13" t="s">
        <v>17826</v>
      </c>
      <c r="C8312" s="14" t="s">
        <v>17827</v>
      </c>
      <c r="D8312" s="1" t="str">
        <f>IFERROR(__xludf.DUMMYFUNCTION("GOOGLETRANSLATE(A8312 , ""auto"", ""ar"")"),"كم ثمن؟")</f>
        <v>كم ثمن؟</v>
      </c>
    </row>
    <row r="8313" ht="15.75" customHeight="1">
      <c r="A8313" s="12" t="s">
        <v>17828</v>
      </c>
      <c r="B8313" s="13" t="s">
        <v>17829</v>
      </c>
      <c r="C8313" s="14" t="s">
        <v>17830</v>
      </c>
      <c r="D8313" s="1" t="str">
        <f>IFERROR(__xludf.DUMMYFUNCTION("GOOGLETRANSLATE(A8313 , ""auto"", ""ar"")"),"هل لديك صرافة؟")</f>
        <v>هل لديك صرافة؟</v>
      </c>
    </row>
    <row r="8314" ht="15.75" customHeight="1">
      <c r="A8314" s="12" t="s">
        <v>17831</v>
      </c>
      <c r="B8314" s="13" t="s">
        <v>17832</v>
      </c>
      <c r="C8314" s="14" t="s">
        <v>17833</v>
      </c>
      <c r="D8314" s="1" t="str">
        <f>IFERROR(__xludf.DUMMYFUNCTION("GOOGLETRANSLATE(A8314 , ""auto"", ""ar"")"),"هل لديك تغيير لـ 200 DHS؟")</f>
        <v>هل لديك تغيير لـ 200 DHS؟</v>
      </c>
    </row>
    <row r="8315" ht="15.75" customHeight="1">
      <c r="A8315" s="12" t="s">
        <v>17834</v>
      </c>
      <c r="B8315" s="13" t="s">
        <v>17835</v>
      </c>
      <c r="C8315" s="14" t="s">
        <v>17836</v>
      </c>
      <c r="D8315" s="1" t="str">
        <f>IFERROR(__xludf.DUMMYFUNCTION("GOOGLETRANSLATE(A8315 , ""auto"", ""ar"")"),"اريد شاي")</f>
        <v>اريد شاي</v>
      </c>
    </row>
    <row r="8316" ht="15.75" customHeight="1">
      <c r="A8316" s="12" t="s">
        <v>17837</v>
      </c>
      <c r="B8316" s="13" t="s">
        <v>17838</v>
      </c>
      <c r="C8316" s="14" t="s">
        <v>17839</v>
      </c>
      <c r="D8316" s="1" t="str">
        <f>IFERROR(__xludf.DUMMYFUNCTION("GOOGLETRANSLATE(A8316 , ""auto"", ""ar"")"),"هل تريد القهوة مع السكر؟")</f>
        <v>هل تريد القهوة مع السكر؟</v>
      </c>
    </row>
    <row r="8317" ht="15.75" customHeight="1">
      <c r="A8317" s="12" t="s">
        <v>17840</v>
      </c>
      <c r="B8317" s="13" t="s">
        <v>17841</v>
      </c>
      <c r="C8317" s="14" t="s">
        <v>17842</v>
      </c>
      <c r="D8317" s="1" t="str">
        <f>IFERROR(__xludf.DUMMYFUNCTION("GOOGLETRANSLATE(A8317 , ""auto"", ""ar"")"),"علي يريد كوبًا من الماء")</f>
        <v>علي يريد كوبًا من الماء</v>
      </c>
    </row>
    <row r="8318" ht="15.75" customHeight="1">
      <c r="A8318" s="12" t="s">
        <v>17843</v>
      </c>
      <c r="B8318" s="13" t="s">
        <v>17844</v>
      </c>
      <c r="C8318" s="14" t="s">
        <v>17845</v>
      </c>
      <c r="D8318" s="1" t="str">
        <f>IFERROR(__xludf.DUMMYFUNCTION("GOOGLETRANSLATE(A8318 , ""auto"", ""ar"")"),"لا يريد Driss و Fatima الصودا")</f>
        <v>لا يريد Driss و Fatima الصودا</v>
      </c>
    </row>
    <row r="8319" ht="15.75" customHeight="1">
      <c r="A8319" s="12" t="s">
        <v>17846</v>
      </c>
      <c r="B8319" s="13" t="s">
        <v>17847</v>
      </c>
      <c r="C8319" s="14" t="s">
        <v>17848</v>
      </c>
      <c r="D8319" s="1" t="str">
        <f>IFERROR(__xludf.DUMMYFUNCTION("GOOGLETRANSLATE(A8319 , ""auto"", ""ar"")"),"Driss في المنزل")</f>
        <v>Driss في المنزل</v>
      </c>
    </row>
    <row r="8320" ht="15.75" customHeight="1">
      <c r="A8320" s="12" t="s">
        <v>17849</v>
      </c>
      <c r="B8320" s="13" t="s">
        <v>17850</v>
      </c>
      <c r="C8320" s="14" t="s">
        <v>17851</v>
      </c>
      <c r="D8320" s="1" t="str">
        <f>IFERROR(__xludf.DUMMYFUNCTION("GOOGLETRANSLATE(A8320 , ""auto"", ""ar"")"),"هل يوجد ماء في الزجاجة؟")</f>
        <v>هل يوجد ماء في الزجاجة؟</v>
      </c>
    </row>
    <row r="8321" ht="15.75" customHeight="1">
      <c r="A8321" s="12" t="s">
        <v>17852</v>
      </c>
      <c r="B8321" s="13" t="s">
        <v>17853</v>
      </c>
      <c r="C8321" s="14" t="s">
        <v>17854</v>
      </c>
      <c r="D8321" s="1" t="str">
        <f>IFERROR(__xludf.DUMMYFUNCTION("GOOGLETRANSLATE(A8321 , ""auto"", ""ar"")"),"توم ليس في المقهى")</f>
        <v>توم ليس في المقهى</v>
      </c>
    </row>
    <row r="8322" ht="15.75" customHeight="1">
      <c r="A8322" s="12" t="s">
        <v>17855</v>
      </c>
      <c r="B8322" s="13" t="s">
        <v>17856</v>
      </c>
      <c r="C8322" s="14" t="s">
        <v>17857</v>
      </c>
      <c r="D8322" s="1" t="str">
        <f>IFERROR(__xludf.DUMMYFUNCTION("GOOGLETRANSLATE(A8322 , ""auto"", ""ar"")"),"هناك طعام في الثلاجة")</f>
        <v>هناك طعام في الثلاجة</v>
      </c>
    </row>
    <row r="8323" ht="15.75" customHeight="1">
      <c r="A8323" s="12" t="s">
        <v>17858</v>
      </c>
      <c r="B8323" s="13" t="s">
        <v>17859</v>
      </c>
      <c r="C8323" s="14" t="s">
        <v>17860</v>
      </c>
      <c r="D8323" s="1" t="str">
        <f>IFERROR(__xludf.DUMMYFUNCTION("GOOGLETRANSLATE(A8323 , ""auto"", ""ar"")"),"هناك العديد من الكتب على الطاولة")</f>
        <v>هناك العديد من الكتب على الطاولة</v>
      </c>
    </row>
    <row r="8324" ht="15.75" customHeight="1">
      <c r="A8324" s="12" t="s">
        <v>17861</v>
      </c>
      <c r="B8324" s="13" t="s">
        <v>17862</v>
      </c>
      <c r="C8324" s="14" t="s">
        <v>17863</v>
      </c>
      <c r="D8324" s="1" t="str">
        <f>IFERROR(__xludf.DUMMYFUNCTION("GOOGLETRANSLATE(A8324 , ""auto"", ""ar"")"),"كيف يرتبط محمد بك؟")</f>
        <v>كيف يرتبط محمد بك؟</v>
      </c>
    </row>
    <row r="8325" ht="15.75" customHeight="1">
      <c r="A8325" s="12" t="s">
        <v>17864</v>
      </c>
      <c r="B8325" s="13" t="s">
        <v>17865</v>
      </c>
      <c r="C8325" s="14" t="s">
        <v>17866</v>
      </c>
      <c r="D8325" s="1" t="str">
        <f>IFERROR(__xludf.DUMMYFUNCTION("GOOGLETRANSLATE(A8325 , ""auto"", ""ar"")"),"كيف ترتبط أمينا بك؟")</f>
        <v>كيف ترتبط أمينا بك؟</v>
      </c>
    </row>
    <row r="8326" ht="15.75" customHeight="1">
      <c r="A8326" s="12" t="s">
        <v>17867</v>
      </c>
      <c r="B8326" s="13" t="s">
        <v>17868</v>
      </c>
      <c r="C8326" s="14" t="s">
        <v>17869</v>
      </c>
      <c r="D8326" s="1" t="str">
        <f>IFERROR(__xludf.DUMMYFUNCTION("GOOGLETRANSLATE(A8326 , ""auto"", ""ar"")"),"أمي لا تعمل")</f>
        <v>أمي لا تعمل</v>
      </c>
    </row>
    <row r="8327" ht="15.75" customHeight="1">
      <c r="A8327" s="12" t="s">
        <v>17867</v>
      </c>
      <c r="B8327" s="13" t="s">
        <v>17870</v>
      </c>
      <c r="C8327" s="14" t="s">
        <v>17871</v>
      </c>
      <c r="D8327" s="1" t="str">
        <f>IFERROR(__xludf.DUMMYFUNCTION("GOOGLETRANSLATE(A8327 , ""auto"", ""ar"")"),"أمي لا تعمل")</f>
        <v>أمي لا تعمل</v>
      </c>
    </row>
    <row r="8328" ht="15.75" customHeight="1">
      <c r="A8328" s="12" t="s">
        <v>17872</v>
      </c>
      <c r="B8328" s="13" t="s">
        <v>17873</v>
      </c>
      <c r="C8328" s="14" t="s">
        <v>17874</v>
      </c>
      <c r="D8328" s="1" t="str">
        <f>IFERROR(__xludf.DUMMYFUNCTION("GOOGLETRANSLATE(A8328 , ""auto"", ""ar"")"),"أمي وأبي مطلقين")</f>
        <v>أمي وأبي مطلقين</v>
      </c>
    </row>
    <row r="8329" ht="15.75" customHeight="1">
      <c r="A8329" s="12" t="s">
        <v>17872</v>
      </c>
      <c r="B8329" s="13" t="s">
        <v>17875</v>
      </c>
      <c r="C8329" s="14" t="s">
        <v>17876</v>
      </c>
      <c r="D8329" s="1" t="str">
        <f>IFERROR(__xludf.DUMMYFUNCTION("GOOGLETRANSLATE(A8329 , ""auto"", ""ar"")"),"أمي وأبي مطلقين")</f>
        <v>أمي وأبي مطلقين</v>
      </c>
    </row>
    <row r="8330" ht="15.75" customHeight="1">
      <c r="A8330" s="12" t="s">
        <v>17877</v>
      </c>
      <c r="B8330" s="13" t="s">
        <v>17878</v>
      </c>
      <c r="C8330" s="14" t="s">
        <v>17879</v>
      </c>
      <c r="D8330" s="1" t="str">
        <f>IFERROR(__xludf.DUMMYFUNCTION("GOOGLETRANSLATE(A8330 , ""auto"", ""ar"")"),"لدي شقيقان توأمان")</f>
        <v>لدي شقيقان توأمان</v>
      </c>
    </row>
    <row r="8331" ht="15.75" customHeight="1">
      <c r="A8331" s="12" t="s">
        <v>17880</v>
      </c>
      <c r="B8331" s="13" t="s">
        <v>17881</v>
      </c>
      <c r="C8331" s="14" t="s">
        <v>17882</v>
      </c>
      <c r="D8331" s="1" t="str">
        <f>IFERROR(__xludf.DUMMYFUNCTION("GOOGLETRANSLATE(A8331 , ""auto"", ""ar"")"),"كم من الأشقاء لديك؟")</f>
        <v>كم من الأشقاء لديك؟</v>
      </c>
    </row>
    <row r="8332" ht="15.75" customHeight="1">
      <c r="A8332" s="12" t="s">
        <v>17883</v>
      </c>
      <c r="B8332" s="13" t="s">
        <v>17884</v>
      </c>
      <c r="C8332" s="14" t="s">
        <v>17885</v>
      </c>
      <c r="D8332" s="1" t="str">
        <f>IFERROR(__xludf.DUMMYFUNCTION("GOOGLETRANSLATE(A8332 , ""auto"", ""ar"")"),"كم أخت لديك؟")</f>
        <v>كم أخت لديك؟</v>
      </c>
    </row>
    <row r="8333" ht="15.75" customHeight="1">
      <c r="A8333" s="12" t="s">
        <v>17886</v>
      </c>
      <c r="B8333" s="13" t="s">
        <v>17887</v>
      </c>
      <c r="C8333" s="14" t="s">
        <v>17888</v>
      </c>
      <c r="D8333" s="1" t="str">
        <f>IFERROR(__xludf.DUMMYFUNCTION("GOOGLETRANSLATE(A8333 , ""auto"", ""ar"")"),"ما اسم والدك؟")</f>
        <v>ما اسم والدك؟</v>
      </c>
    </row>
    <row r="8334" ht="15.75" customHeight="1">
      <c r="A8334" s="12" t="s">
        <v>17889</v>
      </c>
      <c r="B8334" s="13" t="s">
        <v>17890</v>
      </c>
      <c r="C8334" s="14" t="s">
        <v>17891</v>
      </c>
      <c r="D8334" s="1" t="str">
        <f>IFERROR(__xludf.DUMMYFUNCTION("GOOGLETRANSLATE(A8334 , ""auto"", ""ar"")"),"كم هو عمر أخيك؟")</f>
        <v>كم هو عمر أخيك؟</v>
      </c>
    </row>
    <row r="8335" ht="15.75" customHeight="1">
      <c r="A8335" s="12" t="s">
        <v>17892</v>
      </c>
      <c r="B8335" s="13" t="s">
        <v>17893</v>
      </c>
      <c r="C8335" s="14" t="s">
        <v>17894</v>
      </c>
      <c r="D8335" s="1" t="str">
        <f>IFERROR(__xludf.DUMMYFUNCTION("GOOGLETRANSLATE(A8335 , ""auto"", ""ar"")"),"لدي أخ أصغر مني")</f>
        <v>لدي أخ أصغر مني</v>
      </c>
    </row>
    <row r="8336" ht="15.75" customHeight="1">
      <c r="A8336" s="12" t="s">
        <v>17895</v>
      </c>
      <c r="B8336" s="13" t="s">
        <v>17896</v>
      </c>
      <c r="C8336" s="14" t="s">
        <v>17897</v>
      </c>
      <c r="D8336" s="1" t="str">
        <f>IFERROR(__xludf.DUMMYFUNCTION("GOOGLETRANSLATE(A8336 , ""auto"", ""ar"")"),"أنا وابن عمي في نفس العمر")</f>
        <v>أنا وابن عمي في نفس العمر</v>
      </c>
    </row>
    <row r="8337" ht="15.75" customHeight="1">
      <c r="A8337" s="12" t="s">
        <v>17898</v>
      </c>
      <c r="B8337" s="13" t="s">
        <v>17899</v>
      </c>
      <c r="C8337" s="14" t="s">
        <v>17900</v>
      </c>
      <c r="D8337" s="1" t="str">
        <f>IFERROR(__xludf.DUMMYFUNCTION("GOOGLETRANSLATE(A8337 , ""auto"", ""ar"")"),"أختي الكبرى هي معلمة")</f>
        <v>أختي الكبرى هي معلمة</v>
      </c>
    </row>
    <row r="8338" ht="15.75" customHeight="1">
      <c r="A8338" s="12" t="s">
        <v>17901</v>
      </c>
      <c r="B8338" s="13" t="s">
        <v>17902</v>
      </c>
      <c r="C8338" s="14" t="s">
        <v>17903</v>
      </c>
      <c r="D8338" s="1" t="str">
        <f>IFERROR(__xludf.DUMMYFUNCTION("GOOGLETRANSLATE(A8338 , ""auto"", ""ar"")"),"أخي الأصغر يذهب إلى المدرسة")</f>
        <v>أخي الأصغر يذهب إلى المدرسة</v>
      </c>
    </row>
    <row r="8339" ht="15.75" customHeight="1">
      <c r="A8339" s="12" t="s">
        <v>17904</v>
      </c>
      <c r="B8339" s="13" t="s">
        <v>17905</v>
      </c>
      <c r="C8339" s="14" t="s">
        <v>17906</v>
      </c>
      <c r="D8339" s="1" t="str">
        <f>IFERROR(__xludf.DUMMYFUNCTION("GOOGLETRANSLATE(A8339 , ""auto"", ""ar"")"),"لا ، ليس لدي منزل في الولايات المتحدة")</f>
        <v>لا ، ليس لدي منزل في الولايات المتحدة</v>
      </c>
    </row>
    <row r="8340" ht="15.75" customHeight="1">
      <c r="A8340" s="12" t="s">
        <v>17907</v>
      </c>
      <c r="B8340" s="13" t="s">
        <v>17908</v>
      </c>
      <c r="C8340" s="14" t="s">
        <v>17909</v>
      </c>
      <c r="D8340" s="1" t="str">
        <f>IFERROR(__xludf.DUMMYFUNCTION("GOOGLETRANSLATE(A8340 , ""auto"", ""ar"")"),"هل لديك منزل في المغرب؟")</f>
        <v>هل لديك منزل في المغرب؟</v>
      </c>
    </row>
    <row r="8341" ht="15.75" customHeight="1">
      <c r="A8341" s="12" t="s">
        <v>17910</v>
      </c>
      <c r="B8341" s="13" t="s">
        <v>17911</v>
      </c>
      <c r="C8341" s="14" t="s">
        <v>17912</v>
      </c>
      <c r="D8341" s="1" t="str">
        <f>IFERROR(__xludf.DUMMYFUNCTION("GOOGLETRANSLATE(A8341 , ""auto"", ""ar"")"),"موها وفاطمة لديهما ابنتان وابن")</f>
        <v>موها وفاطمة لديهما ابنتان وابن</v>
      </c>
    </row>
    <row r="8342" ht="15.75" customHeight="1">
      <c r="A8342" s="12" t="s">
        <v>17913</v>
      </c>
      <c r="B8342" s="13" t="s">
        <v>17914</v>
      </c>
      <c r="C8342" s="14" t="s">
        <v>17915</v>
      </c>
      <c r="D8342" s="1" t="str">
        <f>IFERROR(__xludf.DUMMYFUNCTION("GOOGLETRANSLATE(A8342 , ""auto"", ""ar"")"),"لدينا مدرس جيد")</f>
        <v>لدينا مدرس جيد</v>
      </c>
    </row>
    <row r="8343" ht="15.75" customHeight="1">
      <c r="A8343" s="12" t="s">
        <v>17916</v>
      </c>
      <c r="B8343" s="13" t="s">
        <v>17917</v>
      </c>
      <c r="C8343" s="14" t="s">
        <v>17918</v>
      </c>
      <c r="D8343" s="1" t="str">
        <f>IFERROR(__xludf.DUMMYFUNCTION("GOOGLETRANSLATE(A8343 , ""auto"", ""ar"")"),"اين لوبنا من فضلك؟")</f>
        <v>اين لوبنا من فضلك؟</v>
      </c>
    </row>
    <row r="8344" ht="15.75" customHeight="1">
      <c r="A8344" s="12" t="s">
        <v>17919</v>
      </c>
      <c r="B8344" s="13" t="s">
        <v>17920</v>
      </c>
      <c r="C8344" s="14" t="s">
        <v>17921</v>
      </c>
      <c r="D8344" s="1" t="str">
        <f>IFERROR(__xludf.DUMMYFUNCTION("GOOGLETRANSLATE(A8344 , ""auto"", ""ar"")"),"هل هناك مسجد قريب؟")</f>
        <v>هل هناك مسجد قريب؟</v>
      </c>
    </row>
    <row r="8345" ht="15.75" customHeight="1">
      <c r="A8345" s="12" t="s">
        <v>17922</v>
      </c>
      <c r="B8345" s="13" t="s">
        <v>17923</v>
      </c>
      <c r="C8345" s="14" t="s">
        <v>17924</v>
      </c>
      <c r="D8345" s="1" t="str">
        <f>IFERROR(__xludf.DUMMYFUNCTION("GOOGLETRANSLATE(A8345 , ""auto"", ""ar"")"),"انطلق الأمام")</f>
        <v>انطلق الأمام</v>
      </c>
    </row>
    <row r="8346" ht="15.75" customHeight="1">
      <c r="A8346" s="12" t="s">
        <v>17925</v>
      </c>
      <c r="B8346" s="13" t="s">
        <v>17926</v>
      </c>
      <c r="C8346" s="14" t="s">
        <v>17927</v>
      </c>
      <c r="D8346" s="1" t="str">
        <f>IFERROR(__xludf.DUMMYFUNCTION("GOOGLETRANSLATE(A8346 , ""auto"", ""ar"")"),"انعطف يمينا")</f>
        <v>انعطف يمينا</v>
      </c>
    </row>
    <row r="8347" ht="15.75" customHeight="1">
      <c r="A8347" s="12" t="s">
        <v>17925</v>
      </c>
      <c r="B8347" s="13" t="s">
        <v>17928</v>
      </c>
      <c r="C8347" s="14" t="s">
        <v>17929</v>
      </c>
      <c r="D8347" s="1" t="str">
        <f>IFERROR(__xludf.DUMMYFUNCTION("GOOGLETRANSLATE(A8347 , ""auto"", ""ar"")"),"انعطف يمينا")</f>
        <v>انعطف يمينا</v>
      </c>
    </row>
    <row r="8348" ht="15.75" customHeight="1">
      <c r="A8348" s="12" t="s">
        <v>17925</v>
      </c>
      <c r="B8348" s="13" t="s">
        <v>17930</v>
      </c>
      <c r="C8348" s="14" t="s">
        <v>17931</v>
      </c>
      <c r="D8348" s="1" t="str">
        <f>IFERROR(__xludf.DUMMYFUNCTION("GOOGLETRANSLATE(A8348 , ""auto"", ""ar"")"),"انعطف يمينا")</f>
        <v>انعطف يمينا</v>
      </c>
    </row>
    <row r="8349" ht="15.75" customHeight="1">
      <c r="A8349" s="12" t="s">
        <v>17932</v>
      </c>
      <c r="B8349" s="13" t="s">
        <v>17933</v>
      </c>
      <c r="C8349" s="14" t="s">
        <v>17934</v>
      </c>
      <c r="D8349" s="1" t="str">
        <f>IFERROR(__xludf.DUMMYFUNCTION("GOOGLETRANSLATE(A8349 , ""auto"", ""ar"")"),"انعطف لليسار")</f>
        <v>انعطف لليسار</v>
      </c>
    </row>
    <row r="8350" ht="15.75" customHeight="1">
      <c r="A8350" s="12" t="s">
        <v>17935</v>
      </c>
      <c r="B8350" s="13" t="s">
        <v>17936</v>
      </c>
      <c r="C8350" s="14" t="s">
        <v>17937</v>
      </c>
      <c r="D8350" s="1" t="str">
        <f>IFERROR(__xludf.DUMMYFUNCTION("GOOGLETRANSLATE(A8350 , ""auto"", ""ar"")"),"المضي قدما قليلا")</f>
        <v>المضي قدما قليلا</v>
      </c>
    </row>
    <row r="8351" ht="15.75" customHeight="1">
      <c r="A8351" s="12" t="s">
        <v>17938</v>
      </c>
      <c r="B8351" s="13" t="s">
        <v>17939</v>
      </c>
      <c r="C8351" s="14" t="s">
        <v>17940</v>
      </c>
      <c r="D8351" s="1" t="str">
        <f>IFERROR(__xludf.DUMMYFUNCTION("GOOGLETRANSLATE(A8351 , ""auto"", ""ar"")"),"مرر الشارع الأول")</f>
        <v>مرر الشارع الأول</v>
      </c>
    </row>
    <row r="8352" ht="15.75" customHeight="1">
      <c r="A8352" s="12" t="s">
        <v>17941</v>
      </c>
      <c r="B8352" s="13" t="s">
        <v>17942</v>
      </c>
      <c r="C8352" s="14" t="s">
        <v>17943</v>
      </c>
      <c r="D8352" s="1" t="str">
        <f>IFERROR(__xludf.DUMMYFUNCTION("GOOGLETRANSLATE(A8352 , ""auto"", ""ar"")"),"الشارع الثاني")</f>
        <v>الشارع الثاني</v>
      </c>
    </row>
    <row r="8353" ht="15.75" customHeight="1">
      <c r="A8353" s="12" t="s">
        <v>17944</v>
      </c>
      <c r="B8353" s="13" t="s">
        <v>17945</v>
      </c>
      <c r="C8353" s="14" t="s">
        <v>17946</v>
      </c>
      <c r="D8353" s="1" t="str">
        <f>IFERROR(__xludf.DUMMYFUNCTION("GOOGLETRANSLATE(A8353 , ""auto"", ""ar"")"),"بالأمس ، شربت الشاي بدون سكر.")</f>
        <v>بالأمس ، شربت الشاي بدون سكر.</v>
      </c>
    </row>
    <row r="8354" ht="15.75" customHeight="1">
      <c r="A8354" s="12" t="s">
        <v>17947</v>
      </c>
      <c r="B8354" s="13" t="s">
        <v>17948</v>
      </c>
      <c r="C8354" s="14" t="s">
        <v>17949</v>
      </c>
      <c r="D8354" s="1" t="str">
        <f>IFERROR(__xludf.DUMMYFUNCTION("GOOGLETRANSLATE(A8354 , ""auto"", ""ar"")"),"في الأسبوع الماضي ، كتب رسالة إلى صديقه.")</f>
        <v>في الأسبوع الماضي ، كتب رسالة إلى صديقه.</v>
      </c>
    </row>
    <row r="8355" ht="15.75" customHeight="1">
      <c r="A8355" s="12" t="s">
        <v>17950</v>
      </c>
      <c r="B8355" s="13" t="s">
        <v>17951</v>
      </c>
      <c r="C8355" s="14" t="s">
        <v>17952</v>
      </c>
      <c r="D8355" s="1" t="str">
        <f>IFERROR(__xludf.DUMMYFUNCTION("GOOGLETRANSLATE(A8355 , ""auto"", ""ar"")"),"في العام الماضي ، سافرنا إلى نيويورك.")</f>
        <v>في العام الماضي ، سافرنا إلى نيويورك.</v>
      </c>
    </row>
    <row r="8356" ht="15.75" customHeight="1">
      <c r="A8356" s="12" t="s">
        <v>17953</v>
      </c>
      <c r="B8356" s="13" t="s">
        <v>17954</v>
      </c>
      <c r="C8356" s="14" t="s">
        <v>17955</v>
      </c>
      <c r="D8356" s="1" t="str">
        <f>IFERROR(__xludf.DUMMYFUNCTION("GOOGLETRANSLATE(A8356 , ""auto"", ""ar"")"),"استيقظت هذا الصباح في الساعة 7:00")</f>
        <v>استيقظت هذا الصباح في الساعة 7:00</v>
      </c>
    </row>
    <row r="8357" ht="15.75" customHeight="1">
      <c r="A8357" s="12" t="s">
        <v>17956</v>
      </c>
      <c r="B8357" s="13" t="s">
        <v>17957</v>
      </c>
      <c r="C8357" s="14" t="s">
        <v>17958</v>
      </c>
      <c r="D8357" s="1" t="str">
        <f>IFERROR(__xludf.DUMMYFUNCTION("GOOGLETRANSLATE(A8357 , ""auto"", ""ar"")"),"ماذا فعلت البارحة؟")</f>
        <v>ماذا فعلت البارحة؟</v>
      </c>
    </row>
    <row r="8358" ht="15.75" customHeight="1">
      <c r="A8358" s="12" t="s">
        <v>17959</v>
      </c>
      <c r="B8358" s="13" t="s">
        <v>17960</v>
      </c>
      <c r="C8358" s="14" t="s">
        <v>17961</v>
      </c>
      <c r="D8358" s="1" t="str">
        <f>IFERROR(__xludf.DUMMYFUNCTION("GOOGLETRANSLATE(A8358 , ""auto"", ""ar"")"),"لم أكن أعرف شيئًا")</f>
        <v>لم أكن أعرف شيئًا</v>
      </c>
    </row>
    <row r="8359" ht="15.75" customHeight="1">
      <c r="A8359" s="12" t="s">
        <v>17962</v>
      </c>
      <c r="B8359" s="13" t="s">
        <v>17963</v>
      </c>
      <c r="C8359" s="14" t="s">
        <v>17964</v>
      </c>
      <c r="D8359" s="1" t="str">
        <f>IFERROR(__xludf.DUMMYFUNCTION("GOOGLETRANSLATE(A8359 , ""auto"", ""ar"")"),"لم يأكل شيئًا")</f>
        <v>لم يأكل شيئًا</v>
      </c>
    </row>
    <row r="8360" ht="15.75" customHeight="1">
      <c r="A8360" s="12" t="s">
        <v>17965</v>
      </c>
      <c r="B8360" s="13" t="s">
        <v>17966</v>
      </c>
      <c r="C8360" s="14" t="s">
        <v>17967</v>
      </c>
      <c r="D8360" s="1" t="str">
        <f>IFERROR(__xludf.DUMMYFUNCTION("GOOGLETRANSLATE(A8360 , ""auto"", ""ar"")"),"لم يأت أحد")</f>
        <v>لم يأت أحد</v>
      </c>
    </row>
    <row r="8361" ht="15.75" customHeight="1">
      <c r="A8361" s="12" t="s">
        <v>17968</v>
      </c>
      <c r="B8361" s="13" t="s">
        <v>17969</v>
      </c>
      <c r="C8361" s="14" t="s">
        <v>17970</v>
      </c>
      <c r="D8361" s="1" t="str">
        <f>IFERROR(__xludf.DUMMYFUNCTION("GOOGLETRANSLATE(A8361 , ""auto"", ""ar"")"),"لم ير أحد")</f>
        <v>لم ير أحد</v>
      </c>
    </row>
    <row r="8362" ht="15.75" customHeight="1">
      <c r="A8362" s="12" t="s">
        <v>17971</v>
      </c>
      <c r="B8362" s="13" t="s">
        <v>17972</v>
      </c>
      <c r="C8362" s="14" t="s">
        <v>17973</v>
      </c>
      <c r="D8362" s="1" t="str">
        <f>IFERROR(__xludf.DUMMYFUNCTION("GOOGLETRANSLATE(A8362 , ""auto"", ""ar"")"),"هل سبق لك أن ذهبت إلى فرنسا؟")</f>
        <v>هل سبق لك أن ذهبت إلى فرنسا؟</v>
      </c>
    </row>
    <row r="8363" ht="15.75" customHeight="1">
      <c r="A8363" s="12" t="s">
        <v>17974</v>
      </c>
      <c r="B8363" s="13" t="s">
        <v>17975</v>
      </c>
      <c r="C8363" s="14" t="s">
        <v>17976</v>
      </c>
      <c r="D8363" s="1" t="str">
        <f>IFERROR(__xludf.DUMMYFUNCTION("GOOGLETRANSLATE(A8363 , ""auto"", ""ar"")"),"هل أكلوا من قبل الكسكس؟")</f>
        <v>هل أكلوا من قبل الكسكس؟</v>
      </c>
    </row>
    <row r="8364" ht="15.75" customHeight="1">
      <c r="A8364" s="12" t="s">
        <v>17977</v>
      </c>
      <c r="B8364" s="13" t="s">
        <v>17978</v>
      </c>
      <c r="C8364" s="14" t="s">
        <v>17979</v>
      </c>
      <c r="D8364" s="1" t="str">
        <f>IFERROR(__xludf.DUMMYFUNCTION("GOOGLETRANSLATE(A8364 , ""auto"", ""ar"")"),"هل سبق لك أن شرب الشاي في أمريكا؟")</f>
        <v>هل سبق لك أن شرب الشاي في أمريكا؟</v>
      </c>
    </row>
    <row r="8365" ht="15.75" customHeight="1">
      <c r="A8365" s="12" t="s">
        <v>17980</v>
      </c>
      <c r="B8365" s="13" t="s">
        <v>17981</v>
      </c>
      <c r="C8365" s="14" t="s">
        <v>17982</v>
      </c>
      <c r="D8365" s="1" t="str">
        <f>IFERROR(__xludf.DUMMYFUNCTION("GOOGLETRANSLATE(A8365 , ""auto"", ""ar"")"),"لم آكل همبرغر أبدًا")</f>
        <v>لم آكل همبرغر أبدًا</v>
      </c>
    </row>
    <row r="8366" ht="15.75" customHeight="1">
      <c r="A8366" s="12" t="s">
        <v>17983</v>
      </c>
      <c r="B8366" s="13" t="s">
        <v>17984</v>
      </c>
      <c r="C8366" s="14" t="s">
        <v>17985</v>
      </c>
      <c r="D8366" s="1" t="str">
        <f>IFERROR(__xludf.DUMMYFUNCTION("GOOGLETRANSLATE(A8366 , ""auto"", ""ar"")"),"لم تكن في الخارج أبدا")</f>
        <v>لم تكن في الخارج أبدا</v>
      </c>
    </row>
    <row r="8367" ht="15.75" customHeight="1">
      <c r="A8367" s="12" t="s">
        <v>17986</v>
      </c>
      <c r="B8367" s="13" t="s">
        <v>17987</v>
      </c>
      <c r="C8367" s="14" t="s">
        <v>17988</v>
      </c>
      <c r="D8367" s="1" t="str">
        <f>IFERROR(__xludf.DUMMYFUNCTION("GOOGLETRANSLATE(A8367 , ""auto"", ""ar"")"),"لم يتحدث العربية أبدًا")</f>
        <v>لم يتحدث العربية أبدًا</v>
      </c>
    </row>
    <row r="8368" ht="15.75" customHeight="1">
      <c r="A8368" s="12" t="s">
        <v>17989</v>
      </c>
      <c r="B8368" s="13" t="s">
        <v>17990</v>
      </c>
      <c r="C8368" s="14" t="s">
        <v>17991</v>
      </c>
      <c r="D8368" s="1" t="str">
        <f>IFERROR(__xludf.DUMMYFUNCTION("GOOGLETRANSLATE(A8368 , ""auto"", ""ar"")"),"أعطى عمر كتابًا لمحمد")</f>
        <v>أعطى عمر كتابًا لمحمد</v>
      </c>
    </row>
    <row r="8369" ht="15.75" customHeight="1">
      <c r="A8369" s="12" t="s">
        <v>17992</v>
      </c>
      <c r="B8369" s="13" t="s">
        <v>17993</v>
      </c>
      <c r="C8369" s="14" t="s">
        <v>17994</v>
      </c>
      <c r="D8369" s="1" t="str">
        <f>IFERROR(__xludf.DUMMYFUNCTION("GOOGLETRANSLATE(A8369 , ""auto"", ""ar"")"),"أعطاها عمر محمد")</f>
        <v>أعطاها عمر محمد</v>
      </c>
    </row>
    <row r="8370" ht="15.75" customHeight="1">
      <c r="A8370" s="12" t="s">
        <v>17995</v>
      </c>
      <c r="B8370" s="13" t="s">
        <v>17996</v>
      </c>
      <c r="C8370" s="14" t="s">
        <v>17997</v>
      </c>
      <c r="D8370" s="1" t="str">
        <f>IFERROR(__xludf.DUMMYFUNCTION("GOOGLETRANSLATE(A8370 , ""auto"", ""ar"")"),"هل كتبت الرسالة إلى حسن؟")</f>
        <v>هل كتبت الرسالة إلى حسن؟</v>
      </c>
    </row>
    <row r="8371" ht="15.75" customHeight="1">
      <c r="A8371" s="12" t="s">
        <v>17998</v>
      </c>
      <c r="B8371" s="13" t="s">
        <v>17999</v>
      </c>
      <c r="C8371" s="14" t="s">
        <v>18000</v>
      </c>
      <c r="D8371" s="1" t="str">
        <f>IFERROR(__xludf.DUMMYFUNCTION("GOOGLETRANSLATE(A8371 , ""auto"", ""ar"")"),"نعم ، كتبته إلى حسن")</f>
        <v>نعم ، كتبته إلى حسن</v>
      </c>
    </row>
    <row r="8372" ht="15.75" customHeight="1">
      <c r="A8372" s="12" t="s">
        <v>18001</v>
      </c>
      <c r="B8372" s="13" t="s">
        <v>18002</v>
      </c>
      <c r="C8372" s="14" t="s">
        <v>18003</v>
      </c>
      <c r="D8372" s="1" t="str">
        <f>IFERROR(__xludf.DUMMYFUNCTION("GOOGLETRANSLATE(A8372 , ""auto"", ""ar"")"),"لماذا تركتنا معه؟")</f>
        <v>لماذا تركتنا معه؟</v>
      </c>
    </row>
    <row r="8373" ht="15.75" customHeight="1">
      <c r="A8373" s="12" t="s">
        <v>18004</v>
      </c>
      <c r="B8373" s="13" t="s">
        <v>18005</v>
      </c>
      <c r="C8373" s="14" t="s">
        <v>18006</v>
      </c>
      <c r="D8373" s="1" t="str">
        <f>IFERROR(__xludf.DUMMYFUNCTION("GOOGLETRANSLATE(A8373 , ""auto"", ""ar"")"),"رآتني في مسرح السينما")</f>
        <v>رآتني في مسرح السينما</v>
      </c>
    </row>
    <row r="8374" ht="15.75" customHeight="1">
      <c r="A8374" s="12" t="s">
        <v>18007</v>
      </c>
      <c r="B8374" s="13" t="s">
        <v>18008</v>
      </c>
      <c r="C8374" s="14" t="s">
        <v>18009</v>
      </c>
      <c r="D8374" s="1" t="str">
        <f>IFERROR(__xludf.DUMMYFUNCTION("GOOGLETRANSLATE(A8374 , ""auto"", ""ar"")"),"رأيتني")</f>
        <v>رأيتني</v>
      </c>
    </row>
    <row r="8375" ht="15.75" customHeight="1">
      <c r="A8375" s="12" t="s">
        <v>18010</v>
      </c>
      <c r="B8375" s="13" t="s">
        <v>18011</v>
      </c>
      <c r="C8375" s="14" t="s">
        <v>18012</v>
      </c>
      <c r="D8375" s="1" t="str">
        <f>IFERROR(__xludf.DUMMYFUNCTION("GOOGLETRANSLATE(A8375 , ""auto"", ""ar"")"),"لم تراني")</f>
        <v>لم تراني</v>
      </c>
    </row>
    <row r="8376" ht="15.75" customHeight="1">
      <c r="A8376" s="12" t="s">
        <v>18013</v>
      </c>
      <c r="B8376" s="13" t="s">
        <v>18014</v>
      </c>
      <c r="C8376" s="14" t="s">
        <v>18015</v>
      </c>
      <c r="D8376" s="1" t="str">
        <f>IFERROR(__xludf.DUMMYFUNCTION("GOOGLETRANSLATE(A8376 , ""auto"", ""ar"")"),"هل رأيت حكيما وكريم؟")</f>
        <v>هل رأيت حكيما وكريم؟</v>
      </c>
    </row>
    <row r="8377" ht="15.75" customHeight="1">
      <c r="A8377" s="12" t="s">
        <v>18016</v>
      </c>
      <c r="B8377" s="13" t="s">
        <v>18017</v>
      </c>
      <c r="C8377" s="14" t="s">
        <v>18018</v>
      </c>
      <c r="D8377" s="1" t="str">
        <f>IFERROR(__xludf.DUMMYFUNCTION("GOOGLETRANSLATE(A8377 , ""auto"", ""ar"")"),"لا ، لم أرهم")</f>
        <v>لا ، لم أرهم</v>
      </c>
    </row>
    <row r="8378" ht="15.75" customHeight="1">
      <c r="A8378" s="12" t="s">
        <v>18019</v>
      </c>
      <c r="B8378" s="13" t="s">
        <v>18020</v>
      </c>
      <c r="C8378" s="14" t="s">
        <v>18021</v>
      </c>
      <c r="D8378" s="1" t="str">
        <f>IFERROR(__xludf.DUMMYFUNCTION("GOOGLETRANSLATE(A8378 , ""auto"", ""ar"")"),"لقد وجدت خدين سمك السلمون ولحم البقر")</f>
        <v>لقد وجدت خدين سمك السلمون ولحم البقر</v>
      </c>
    </row>
    <row r="8379" ht="15.75" customHeight="1">
      <c r="A8379" s="12" t="s">
        <v>12347</v>
      </c>
      <c r="B8379" s="13" t="s">
        <v>12348</v>
      </c>
      <c r="C8379" s="14" t="s">
        <v>12349</v>
      </c>
      <c r="D8379" s="1" t="str">
        <f>IFERROR(__xludf.DUMMYFUNCTION("GOOGLETRANSLATE(A8379 , ""auto"", ""ar"")"),"هل هذا كله على ما يرام؟")</f>
        <v>هل هذا كله على ما يرام؟</v>
      </c>
    </row>
    <row r="8380" ht="15.75" customHeight="1">
      <c r="A8380" s="12" t="s">
        <v>18022</v>
      </c>
      <c r="B8380" s="13" t="s">
        <v>18023</v>
      </c>
      <c r="C8380" s="14" t="s">
        <v>18024</v>
      </c>
      <c r="D8380" s="1" t="str">
        <f>IFERROR(__xludf.DUMMYFUNCTION("GOOGLETRANSLATE(A8380 , ""auto"", ""ar"")"),"كان هذا سريعا")</f>
        <v>كان هذا سريعا</v>
      </c>
    </row>
    <row r="8381" ht="15.75" customHeight="1">
      <c r="A8381" s="12" t="s">
        <v>18025</v>
      </c>
      <c r="B8381" s="13" t="s">
        <v>18026</v>
      </c>
      <c r="C8381" s="14" t="s">
        <v>18027</v>
      </c>
      <c r="D8381" s="1" t="str">
        <f>IFERROR(__xludf.DUMMYFUNCTION("GOOGLETRANSLATE(A8381 , ""auto"", ""ar"")"),"أعتقد أنه سيتعين القيام به")</f>
        <v>أعتقد أنه سيتعين القيام به</v>
      </c>
    </row>
    <row r="8382" ht="15.75" customHeight="1">
      <c r="A8382" s="12" t="s">
        <v>18028</v>
      </c>
      <c r="B8382" s="13" t="s">
        <v>18029</v>
      </c>
      <c r="C8382" s="14" t="s">
        <v>18030</v>
      </c>
      <c r="D8382" s="1" t="str">
        <f>IFERROR(__xludf.DUMMYFUNCTION("GOOGLETRANSLATE(A8382 , ""auto"", ""ar"")"),"ركضت")</f>
        <v>ركضت</v>
      </c>
    </row>
    <row r="8383" ht="15.75" customHeight="1">
      <c r="A8383" s="12" t="s">
        <v>18031</v>
      </c>
      <c r="B8383" s="13" t="s">
        <v>18032</v>
      </c>
      <c r="C8383" s="14" t="s">
        <v>18033</v>
      </c>
      <c r="D8383" s="1" t="str">
        <f>IFERROR(__xludf.DUMMYFUNCTION("GOOGLETRANSLATE(A8383 , ""auto"", ""ar"")"),"صحيح ، اذهب إلى العمل")</f>
        <v>صحيح ، اذهب إلى العمل</v>
      </c>
    </row>
    <row r="8384" ht="15.75" customHeight="1">
      <c r="A8384" s="12" t="s">
        <v>18034</v>
      </c>
      <c r="B8384" s="13" t="s">
        <v>18035</v>
      </c>
      <c r="C8384" s="14" t="s">
        <v>18036</v>
      </c>
      <c r="D8384" s="1" t="str">
        <f>IFERROR(__xludf.DUMMYFUNCTION("GOOGLETRANSLATE(A8384 , ""auto"", ""ar"")"),"هذا الطعام لن يطبخ نفسه")</f>
        <v>هذا الطعام لن يطبخ نفسه</v>
      </c>
    </row>
    <row r="8385" ht="15.75" customHeight="1">
      <c r="A8385" s="12" t="s">
        <v>18037</v>
      </c>
      <c r="B8385" s="13" t="s">
        <v>18038</v>
      </c>
      <c r="C8385" s="14" t="s">
        <v>18039</v>
      </c>
      <c r="D8385" s="1" t="str">
        <f>IFERROR(__xludf.DUMMYFUNCTION("GOOGLETRANSLATE(A8385 , ""auto"", ""ar"")"),"نعم ، سنجعله!")</f>
        <v>نعم ، سنجعله!</v>
      </c>
    </row>
    <row r="8386" ht="15.75" customHeight="1">
      <c r="A8386" s="12" t="s">
        <v>18040</v>
      </c>
      <c r="B8386" s="13" t="s">
        <v>18041</v>
      </c>
      <c r="C8386" s="14" t="s">
        <v>18042</v>
      </c>
      <c r="D8386" s="1" t="str">
        <f>IFERROR(__xludf.DUMMYFUNCTION("GOOGLETRANSLATE(A8386 , ""auto"", ""ar"")"),"حماسك يزعجني")</f>
        <v>حماسك يزعجني</v>
      </c>
    </row>
    <row r="8387" ht="15.75" customHeight="1">
      <c r="A8387" s="12" t="s">
        <v>18043</v>
      </c>
      <c r="B8387" s="13" t="s">
        <v>18044</v>
      </c>
      <c r="C8387" s="14" t="s">
        <v>18045</v>
      </c>
      <c r="D8387" s="1" t="str">
        <f>IFERROR(__xludf.DUMMYFUNCTION("GOOGLETRANSLATE(A8387 , ""auto"", ""ar"")"),"سوف اساله!")</f>
        <v>سوف اساله!</v>
      </c>
    </row>
    <row r="8388" ht="15.75" customHeight="1">
      <c r="A8388" s="12" t="s">
        <v>18046</v>
      </c>
      <c r="B8388" s="13" t="s">
        <v>18047</v>
      </c>
      <c r="C8388" s="14" t="s">
        <v>18048</v>
      </c>
      <c r="D8388" s="1" t="str">
        <f>IFERROR(__xludf.DUMMYFUNCTION("GOOGLETRANSLATE(A8388 , ""auto"", ""ar"")"),"رائع شكرا لك")</f>
        <v>رائع شكرا لك</v>
      </c>
    </row>
    <row r="8389" ht="15.75" customHeight="1">
      <c r="A8389" s="12" t="s">
        <v>18049</v>
      </c>
      <c r="B8389" s="13" t="s">
        <v>18050</v>
      </c>
      <c r="C8389" s="14" t="s">
        <v>18051</v>
      </c>
      <c r="D8389" s="1" t="str">
        <f>IFERROR(__xludf.DUMMYFUNCTION("GOOGLETRANSLATE(A8389 , ""auto"", ""ar"")"),"أنا أعرف!")</f>
        <v>أنا أعرف!</v>
      </c>
    </row>
    <row r="8390" ht="15.75" customHeight="1">
      <c r="A8390" s="12" t="s">
        <v>18052</v>
      </c>
      <c r="B8390" s="13" t="s">
        <v>18053</v>
      </c>
      <c r="C8390" s="14" t="s">
        <v>18054</v>
      </c>
      <c r="D8390" s="1" t="str">
        <f>IFERROR(__xludf.DUMMYFUNCTION("GOOGLETRANSLATE(A8390 , ""auto"", ""ar"")"),"هذه هي المرة الخامسة هذا الشهر!")</f>
        <v>هذه هي المرة الخامسة هذا الشهر!</v>
      </c>
    </row>
    <row r="8391" ht="15.75" customHeight="1">
      <c r="A8391" s="12" t="s">
        <v>18055</v>
      </c>
      <c r="B8391" s="13" t="s">
        <v>18056</v>
      </c>
      <c r="C8391" s="14" t="s">
        <v>18057</v>
      </c>
      <c r="D8391" s="1" t="str">
        <f>IFERROR(__xludf.DUMMYFUNCTION("GOOGLETRANSLATE(A8391 , ""auto"", ""ar"")"),"أتساءل لماذا لم يتم إصلاحه بشكل صحيح بعد")</f>
        <v>أتساءل لماذا لم يتم إصلاحه بشكل صحيح بعد</v>
      </c>
    </row>
    <row r="8392" ht="15.75" customHeight="1">
      <c r="A8392" s="12" t="s">
        <v>18058</v>
      </c>
      <c r="B8392" s="13" t="s">
        <v>18059</v>
      </c>
      <c r="C8392" s="14" t="s">
        <v>18060</v>
      </c>
      <c r="D8392" s="1" t="str">
        <f>IFERROR(__xludf.DUMMYFUNCTION("GOOGLETRANSLATE(A8392 , ""auto"", ""ar"")"),"أنا أدفع ثروة لصيانة هذه الآلات!")</f>
        <v>أنا أدفع ثروة لصيانة هذه الآلات!</v>
      </c>
    </row>
    <row r="8393" ht="15.75" customHeight="1">
      <c r="A8393" s="12" t="s">
        <v>18061</v>
      </c>
      <c r="B8393" s="13" t="s">
        <v>18062</v>
      </c>
      <c r="C8393" s="14" t="s">
        <v>18063</v>
      </c>
      <c r="D8393" s="1" t="str">
        <f>IFERROR(__xludf.DUMMYFUNCTION("GOOGLETRANSLATE(A8393 , ""auto"", ""ar"")"),"أنا محاط بعدم الكفاءة")</f>
        <v>أنا محاط بعدم الكفاءة</v>
      </c>
    </row>
    <row r="8394" ht="15.75" customHeight="1">
      <c r="A8394" s="12" t="s">
        <v>18064</v>
      </c>
      <c r="B8394" s="13" t="s">
        <v>18065</v>
      </c>
      <c r="C8394" s="14" t="s">
        <v>18066</v>
      </c>
      <c r="D8394" s="1" t="str">
        <f>IFERROR(__xludf.DUMMYFUNCTION("GOOGLETRANSLATE(A8394 , ""auto"", ""ar"")"),"أعني ، أنا لا أقول ذلك لك")</f>
        <v>أعني ، أنا لا أقول ذلك لك</v>
      </c>
    </row>
    <row r="8395" ht="15.75" customHeight="1">
      <c r="A8395" s="12" t="s">
        <v>18067</v>
      </c>
      <c r="B8395" s="13" t="s">
        <v>18068</v>
      </c>
      <c r="C8395" s="14" t="s">
        <v>18069</v>
      </c>
      <c r="D8395" s="1" t="str">
        <f>IFERROR(__xludf.DUMMYFUNCTION("GOOGLETRANSLATE(A8395 , ""auto"", ""ar"")"),"مهلا ، كن مهذبا!")</f>
        <v>مهلا ، كن مهذبا!</v>
      </c>
    </row>
    <row r="8396" ht="15.75" customHeight="1">
      <c r="A8396" s="12" t="s">
        <v>18070</v>
      </c>
      <c r="B8396" s="13" t="s">
        <v>18071</v>
      </c>
      <c r="C8396" s="14" t="s">
        <v>18072</v>
      </c>
      <c r="D8396" s="1" t="str">
        <f>IFERROR(__xludf.DUMMYFUNCTION("GOOGLETRANSLATE(A8396 , ""auto"", ""ar"")"),"إذا واصلت هذه النغمة ، فسيحدث ذلك خطأً بالنسبة لك")</f>
        <v>إذا واصلت هذه النغمة ، فسيحدث ذلك خطأً بالنسبة لك</v>
      </c>
    </row>
    <row r="8397" ht="15.75" customHeight="1">
      <c r="A8397" s="12" t="s">
        <v>18073</v>
      </c>
      <c r="B8397" s="13" t="s">
        <v>18074</v>
      </c>
      <c r="C8397" s="14" t="s">
        <v>18075</v>
      </c>
      <c r="D8397" s="1" t="str">
        <f>IFERROR(__xludf.DUMMYFUNCTION("GOOGLETRANSLATE(A8397 , ""auto"", ""ar"")"),"أنا خائف جدا")</f>
        <v>أنا خائف جدا</v>
      </c>
    </row>
    <row r="8398" ht="15.75" customHeight="1">
      <c r="A8398" s="12" t="s">
        <v>18076</v>
      </c>
      <c r="B8398" s="13" t="s">
        <v>18077</v>
      </c>
      <c r="C8398" s="14" t="s">
        <v>18078</v>
      </c>
      <c r="D8398" s="1" t="str">
        <f>IFERROR(__xludf.DUMMYFUNCTION("GOOGLETRANSLATE(A8398 , ""auto"", ""ar"")"),"أنا أرتجف في حذائي")</f>
        <v>أنا أرتجف في حذائي</v>
      </c>
    </row>
    <row r="8399" ht="15.75" customHeight="1">
      <c r="A8399" s="12" t="s">
        <v>18079</v>
      </c>
      <c r="B8399" s="13" t="s">
        <v>18080</v>
      </c>
      <c r="C8399" s="14" t="s">
        <v>18081</v>
      </c>
      <c r="D8399" s="1" t="str">
        <f>IFERROR(__xludf.DUMMYFUNCTION("GOOGLETRANSLATE(A8399 , ""auto"", ""ar"")"),"في الواقع ، أنت تعرف ماذا؟")</f>
        <v>في الواقع ، أنت تعرف ماذا؟</v>
      </c>
    </row>
    <row r="8400" ht="15.75" customHeight="1">
      <c r="A8400" s="12" t="s">
        <v>18082</v>
      </c>
      <c r="B8400" s="13" t="s">
        <v>18083</v>
      </c>
      <c r="C8400" s="14" t="s">
        <v>18084</v>
      </c>
      <c r="D8400" s="1" t="str">
        <f>IFERROR(__xludf.DUMMYFUNCTION("GOOGLETRANSLATE(A8400 , ""auto"", ""ar"")"),"لا أهتم")</f>
        <v>لا أهتم</v>
      </c>
    </row>
    <row r="8401" ht="15.75" customHeight="1">
      <c r="A8401" s="12" t="s">
        <v>18082</v>
      </c>
      <c r="B8401" s="13" t="s">
        <v>18085</v>
      </c>
      <c r="C8401" s="14" t="s">
        <v>18086</v>
      </c>
      <c r="D8401" s="1" t="str">
        <f>IFERROR(__xludf.DUMMYFUNCTION("GOOGLETRANSLATE(A8401 , ""auto"", ""ar"")"),"لا أهتم")</f>
        <v>لا أهتم</v>
      </c>
    </row>
    <row r="8402" ht="15.75" customHeight="1">
      <c r="A8402" s="12" t="s">
        <v>18087</v>
      </c>
      <c r="B8402" s="13" t="s">
        <v>18088</v>
      </c>
      <c r="C8402" s="14" t="s">
        <v>18089</v>
      </c>
      <c r="D8402" s="1" t="str">
        <f>IFERROR(__xludf.DUMMYFUNCTION("GOOGLETRANSLATE(A8402 , ""auto"", ""ar"")"),"مثل عيد الهالوين")</f>
        <v>مثل عيد الهالوين</v>
      </c>
    </row>
    <row r="8403" ht="15.75" customHeight="1">
      <c r="A8403" s="12" t="s">
        <v>18090</v>
      </c>
      <c r="B8403" s="13" t="s">
        <v>18091</v>
      </c>
      <c r="C8403" s="14" t="s">
        <v>18092</v>
      </c>
      <c r="D8403" s="1" t="str">
        <f>IFERROR(__xludf.DUMMYFUNCTION("GOOGLETRANSLATE(A8403 , ""auto"", ""ar"")"),"أوه واو؟")</f>
        <v>أوه واو؟</v>
      </c>
    </row>
    <row r="8404" ht="15.75" customHeight="1">
      <c r="A8404" s="12" t="s">
        <v>18093</v>
      </c>
      <c r="B8404" s="13" t="s">
        <v>18094</v>
      </c>
      <c r="C8404" s="14" t="s">
        <v>18095</v>
      </c>
      <c r="D8404" s="1" t="str">
        <f>IFERROR(__xludf.DUMMYFUNCTION("GOOGLETRANSLATE(A8404 , ""auto"", ""ar"")"),"لن آكل التوت")</f>
        <v>لن آكل التوت</v>
      </c>
    </row>
    <row r="8405" ht="15.75" customHeight="1">
      <c r="A8405" s="12" t="s">
        <v>18096</v>
      </c>
      <c r="B8405" s="13" t="s">
        <v>18097</v>
      </c>
      <c r="C8405" s="14" t="s">
        <v>18098</v>
      </c>
      <c r="D8405" s="1" t="str">
        <f>IFERROR(__xludf.DUMMYFUNCTION("GOOGLETRANSLATE(A8405 , ""auto"", ""ar"")"),"لدي بعض الفصيلة الخبازية في حقيبتي")</f>
        <v>لدي بعض الفصيلة الخبازية في حقيبتي</v>
      </c>
    </row>
    <row r="8406" ht="15.75" customHeight="1">
      <c r="A8406" s="12" t="s">
        <v>18099</v>
      </c>
      <c r="B8406" s="13" t="s">
        <v>18100</v>
      </c>
      <c r="C8406" s="14" t="s">
        <v>18101</v>
      </c>
      <c r="D8406" s="1" t="str">
        <f>IFERROR(__xludf.DUMMYFUNCTION("GOOGLETRANSLATE(A8406 , ""auto"", ""ar"")"),"أنا مريض قليلا في الواقع")</f>
        <v>أنا مريض قليلا في الواقع</v>
      </c>
    </row>
    <row r="8407" ht="15.75" customHeight="1">
      <c r="A8407" s="12" t="s">
        <v>18102</v>
      </c>
      <c r="B8407" s="13" t="s">
        <v>18103</v>
      </c>
      <c r="C8407" s="14" t="s">
        <v>18104</v>
      </c>
      <c r="D8407" s="1" t="str">
        <f>IFERROR(__xludf.DUMMYFUNCTION("GOOGLETRANSLATE(A8407 , ""auto"", ""ar"")"),"كان ينبغي علي إحضار الطائر معي")</f>
        <v>كان ينبغي علي إحضار الطائر معي</v>
      </c>
    </row>
    <row r="8408" ht="15.75" customHeight="1">
      <c r="A8408" s="12" t="s">
        <v>18105</v>
      </c>
      <c r="B8408" s="13" t="s">
        <v>18106</v>
      </c>
      <c r="C8408" s="14" t="s">
        <v>18107</v>
      </c>
      <c r="D8408" s="1" t="str">
        <f>IFERROR(__xludf.DUMMYFUNCTION("GOOGLETRANSLATE(A8408 , ""auto"", ""ar"")"),"لن أترك هذا الشيف")</f>
        <v>لن أترك هذا الشيف</v>
      </c>
    </row>
    <row r="8409" ht="15.75" customHeight="1">
      <c r="A8409" s="12" t="s">
        <v>18108</v>
      </c>
      <c r="B8409" s="13" t="s">
        <v>18109</v>
      </c>
      <c r="C8409" s="14" t="s">
        <v>18110</v>
      </c>
      <c r="D8409" s="1" t="str">
        <f>IFERROR(__xludf.DUMMYFUNCTION("GOOGLETRANSLATE(A8409 , ""auto"", ""ar"")"),"تحصل على الصلصة الآن")</f>
        <v>تحصل على الصلصة الآن</v>
      </c>
    </row>
    <row r="8410" ht="15.75" customHeight="1">
      <c r="A8410" s="12" t="s">
        <v>18111</v>
      </c>
      <c r="B8410" s="13" t="s">
        <v>18112</v>
      </c>
      <c r="C8410" s="14" t="s">
        <v>18113</v>
      </c>
      <c r="D8410" s="1" t="str">
        <f>IFERROR(__xludf.DUMMYFUNCTION("GOOGLETRANSLATE(A8410 , ""auto"", ""ar"")"),"أتمنى أن تعرف كيف تفعل ذلك بنفسك")</f>
        <v>أتمنى أن تعرف كيف تفعل ذلك بنفسك</v>
      </c>
    </row>
    <row r="8411" ht="15.75" customHeight="1">
      <c r="A8411" s="12" t="s">
        <v>18114</v>
      </c>
      <c r="B8411" s="13" t="s">
        <v>18115</v>
      </c>
      <c r="C8411" s="14" t="s">
        <v>18116</v>
      </c>
      <c r="D8411" s="1" t="str">
        <f>IFERROR(__xludf.DUMMYFUNCTION("GOOGLETRANSLATE(A8411 , ""auto"", ""ar"")"),"الصلصة جاهزة")</f>
        <v>الصلصة جاهزة</v>
      </c>
    </row>
    <row r="8412" ht="15.75" customHeight="1">
      <c r="A8412" s="12" t="s">
        <v>18114</v>
      </c>
      <c r="B8412" s="13" t="s">
        <v>18117</v>
      </c>
      <c r="C8412" s="14" t="s">
        <v>18118</v>
      </c>
      <c r="D8412" s="1" t="str">
        <f>IFERROR(__xludf.DUMMYFUNCTION("GOOGLETRANSLATE(A8412 , ""auto"", ""ar"")"),"الصلصة جاهزة")</f>
        <v>الصلصة جاهزة</v>
      </c>
    </row>
    <row r="8413" ht="15.75" customHeight="1">
      <c r="A8413" s="12" t="s">
        <v>18119</v>
      </c>
      <c r="B8413" s="13" t="s">
        <v>18120</v>
      </c>
      <c r="C8413" s="14" t="s">
        <v>18121</v>
      </c>
      <c r="D8413" s="1" t="str">
        <f>IFERROR(__xludf.DUMMYFUNCTION("GOOGLETRANSLATE(A8413 , ""auto"", ""ar"")"),"يخدم الآن رئيس الطهاة")</f>
        <v>يخدم الآن رئيس الطهاة</v>
      </c>
    </row>
    <row r="8414" ht="15.75" customHeight="1">
      <c r="A8414" s="12" t="s">
        <v>18122</v>
      </c>
      <c r="B8414" s="13" t="s">
        <v>18123</v>
      </c>
      <c r="C8414" s="14" t="s">
        <v>18124</v>
      </c>
      <c r="D8414" s="1" t="str">
        <f>IFERROR(__xludf.DUMMYFUNCTION("GOOGLETRANSLATE(A8414 , ""auto"", ""ar"")"),"لديهم متطلبات غذائية خاصة")</f>
        <v>لديهم متطلبات غذائية خاصة</v>
      </c>
    </row>
    <row r="8415" ht="15.75" customHeight="1">
      <c r="A8415" s="12" t="s">
        <v>18125</v>
      </c>
      <c r="B8415" s="13" t="s">
        <v>18126</v>
      </c>
      <c r="C8415" s="14" t="s">
        <v>18127</v>
      </c>
      <c r="D8415" s="1" t="str">
        <f>IFERROR(__xludf.DUMMYFUNCTION("GOOGLETRANSLATE(A8415 , ""auto"", ""ar"")"),"لا طاهي الحليب")</f>
        <v>لا طاهي الحليب</v>
      </c>
    </row>
    <row r="8416" ht="15.75" customHeight="1">
      <c r="A8416" s="12" t="s">
        <v>18128</v>
      </c>
      <c r="B8416" s="13" t="s">
        <v>18129</v>
      </c>
      <c r="C8416" s="14" t="s">
        <v>18130</v>
      </c>
      <c r="D8416" s="1" t="str">
        <f>IFERROR(__xludf.DUMMYFUNCTION("GOOGLETRANSLATE(A8416 , ""auto"", ""ar"")"),"كان يجب أن تخبرني في وقت سابق")</f>
        <v>كان يجب أن تخبرني في وقت سابق</v>
      </c>
    </row>
    <row r="8417" ht="15.75" customHeight="1">
      <c r="A8417" s="12" t="s">
        <v>18131</v>
      </c>
      <c r="B8417" s="13" t="s">
        <v>18132</v>
      </c>
      <c r="C8417" s="14" t="s">
        <v>18133</v>
      </c>
      <c r="D8417" s="1" t="str">
        <f>IFERROR(__xludf.DUMMYFUNCTION("GOOGLETRANSLATE(A8417 , ""auto"", ""ar"")"),"هل لديك أي شيء عليك؟")</f>
        <v>هل لديك أي شيء عليك؟</v>
      </c>
    </row>
    <row r="8418" ht="15.75" customHeight="1">
      <c r="A8418" s="12" t="s">
        <v>18134</v>
      </c>
      <c r="B8418" s="13" t="s">
        <v>18135</v>
      </c>
      <c r="C8418" s="14" t="s">
        <v>18136</v>
      </c>
      <c r="D8418" s="1" t="str">
        <f>IFERROR(__xludf.DUMMYFUNCTION("GOOGLETRANSLATE(A8418 , ""auto"", ""ar"")"),"هل تعتقد أنه سيأكل قطعًا صغيرة من التبغ؟")</f>
        <v>هل تعتقد أنه سيأكل قطعًا صغيرة من التبغ؟</v>
      </c>
    </row>
    <row r="8419" ht="15.75" customHeight="1">
      <c r="A8419" s="12" t="s">
        <v>18137</v>
      </c>
      <c r="B8419" s="13" t="s">
        <v>18138</v>
      </c>
      <c r="C8419" s="14" t="s">
        <v>18139</v>
      </c>
      <c r="D8419" s="1" t="str">
        <f>IFERROR(__xludf.DUMMYFUNCTION("GOOGLETRANSLATE(A8419 , ""auto"", ""ar"")"),"ERM ، ربما لا")</f>
        <v>ERM ، ربما لا</v>
      </c>
    </row>
    <row r="8420" ht="15.75" customHeight="1">
      <c r="A8420" s="12" t="s">
        <v>18140</v>
      </c>
      <c r="B8420" s="13" t="s">
        <v>18141</v>
      </c>
      <c r="C8420" s="14" t="s">
        <v>18142</v>
      </c>
      <c r="D8420" s="1" t="str">
        <f>IFERROR(__xludf.DUMMYFUNCTION("GOOGLETRANSLATE(A8420 , ""auto"", ""ar"")"),"ما الذي حصل لتفعله حيال ذلك؟")</f>
        <v>ما الذي حصل لتفعله حيال ذلك؟</v>
      </c>
    </row>
    <row r="8421" ht="15.75" customHeight="1">
      <c r="A8421" s="12" t="s">
        <v>18143</v>
      </c>
      <c r="B8421" s="13" t="s">
        <v>18144</v>
      </c>
      <c r="C8421" s="14" t="s">
        <v>18145</v>
      </c>
      <c r="D8421" s="1" t="str">
        <f>IFERROR(__xludf.DUMMYFUNCTION("GOOGLETRANSLATE(A8421 , ""auto"", ""ar"")"),"التبغ أيضا؟")</f>
        <v>التبغ أيضا؟</v>
      </c>
    </row>
    <row r="8422" ht="15.75" customHeight="1">
      <c r="A8422" s="12" t="s">
        <v>18146</v>
      </c>
      <c r="B8422" s="13" t="s">
        <v>18147</v>
      </c>
      <c r="C8422" s="14" t="s">
        <v>18148</v>
      </c>
      <c r="D8422" s="1" t="str">
        <f>IFERROR(__xludf.DUMMYFUNCTION("GOOGLETRANSLATE(A8422 , ""auto"", ""ar"")"),"إنه حيوانك الأليف!")</f>
        <v>إنه حيوانك الأليف!</v>
      </c>
    </row>
    <row r="8423" ht="15.75" customHeight="1">
      <c r="A8423" s="12" t="s">
        <v>18149</v>
      </c>
      <c r="B8423" s="13" t="s">
        <v>18150</v>
      </c>
      <c r="C8423" s="14" t="s">
        <v>18151</v>
      </c>
      <c r="D8423" s="1" t="str">
        <f>IFERROR(__xludf.DUMMYFUNCTION("GOOGLETRANSLATE(A8423 , ""auto"", ""ar"")"),"حسنًا ، إنه في نادي الجولف الخاص بي!")</f>
        <v>حسنًا ، إنه في نادي الجولف الخاص بي!</v>
      </c>
    </row>
    <row r="8424" ht="15.75" customHeight="1">
      <c r="A8424" s="12" t="s">
        <v>18152</v>
      </c>
      <c r="B8424" s="13" t="s">
        <v>18153</v>
      </c>
      <c r="C8424" s="14" t="s">
        <v>18154</v>
      </c>
      <c r="D8424" s="1" t="str">
        <f>IFERROR(__xludf.DUMMYFUNCTION("GOOGLETRANSLATE(A8424 , ""auto"", ""ar"")"),"يلعب الجولف معك؟")</f>
        <v>يلعب الجولف معك؟</v>
      </c>
    </row>
    <row r="8425" ht="15.75" customHeight="1">
      <c r="A8425" s="12" t="s">
        <v>15408</v>
      </c>
      <c r="B8425" s="13" t="s">
        <v>15409</v>
      </c>
      <c r="C8425" s="14" t="s">
        <v>15410</v>
      </c>
      <c r="D8425" s="1" t="str">
        <f>IFERROR(__xludf.DUMMYFUNCTION("GOOGLETRANSLATE(A8425 , ""auto"", ""ar"")"),"لكن هذا ليس عادلاً!")</f>
        <v>لكن هذا ليس عادلاً!</v>
      </c>
    </row>
    <row r="8426" ht="15.75" customHeight="1">
      <c r="A8426" s="12" t="s">
        <v>18155</v>
      </c>
      <c r="B8426" s="13" t="s">
        <v>18156</v>
      </c>
      <c r="C8426" s="14" t="s">
        <v>18157</v>
      </c>
      <c r="D8426" s="1" t="str">
        <f>IFERROR(__xludf.DUMMYFUNCTION("GOOGLETRANSLATE(A8426 , ""auto"", ""ar"")"),"أنت تعرفه شخصيًا ، لذا فأنت تفضله")</f>
        <v>أنت تعرفه شخصيًا ، لذا فأنت تفضله</v>
      </c>
    </row>
    <row r="8427" ht="15.75" customHeight="1">
      <c r="A8427" s="12" t="s">
        <v>18158</v>
      </c>
      <c r="B8427" s="13" t="s">
        <v>18159</v>
      </c>
      <c r="C8427" s="14" t="s">
        <v>18160</v>
      </c>
      <c r="D8427" s="1" t="str">
        <f>IFERROR(__xludf.DUMMYFUNCTION("GOOGLETRANSLATE(A8427 , ""auto"", ""ar"")"),"يجب أن يكون هناك مدرسون آخرون لا يلعبون لعبة الجولف")</f>
        <v>يجب أن يكون هناك مدرسون آخرون لا يلعبون لعبة الجولف</v>
      </c>
    </row>
    <row r="8428" ht="15.75" customHeight="1">
      <c r="A8428" s="12" t="s">
        <v>18161</v>
      </c>
      <c r="B8428" s="13" t="s">
        <v>18162</v>
      </c>
      <c r="C8428" s="14" t="s">
        <v>18163</v>
      </c>
      <c r="D8428" s="1" t="str">
        <f>IFERROR(__xludf.DUMMYFUNCTION("GOOGLETRANSLATE(A8428 , ""auto"", ""ar"")"),"لا أستطيع أن أتخيل السيدة نوها تلعب الجولف")</f>
        <v>لا أستطيع أن أتخيل السيدة نوها تلعب الجولف</v>
      </c>
    </row>
    <row r="8429" ht="15.75" customHeight="1">
      <c r="A8429" s="12" t="s">
        <v>18164</v>
      </c>
      <c r="B8429" s="13" t="s">
        <v>18165</v>
      </c>
      <c r="C8429" s="14" t="s">
        <v>18166</v>
      </c>
      <c r="D8429" s="1" t="str">
        <f>IFERROR(__xludf.DUMMYFUNCTION("GOOGLETRANSLATE(A8429 , ""auto"", ""ar"")"),"لقد تواعدنا منذ ما يقرب من عام")</f>
        <v>لقد تواعدنا منذ ما يقرب من عام</v>
      </c>
    </row>
    <row r="8430" ht="15.75" customHeight="1">
      <c r="A8430" s="12" t="s">
        <v>18167</v>
      </c>
      <c r="B8430" s="13" t="s">
        <v>18168</v>
      </c>
      <c r="C8430" s="14" t="s">
        <v>18169</v>
      </c>
      <c r="D8430" s="1" t="str">
        <f>IFERROR(__xludf.DUMMYFUNCTION("GOOGLETRANSLATE(A8430 , ""auto"", ""ar"")"),"قدمنا ​​مارتن")</f>
        <v>قدمنا ​​مارتن</v>
      </c>
    </row>
    <row r="8431" ht="15.75" customHeight="1">
      <c r="A8431" s="12" t="s">
        <v>18170</v>
      </c>
      <c r="B8431" s="13" t="s">
        <v>18171</v>
      </c>
      <c r="C8431" s="14" t="s">
        <v>18172</v>
      </c>
      <c r="D8431" s="1" t="str">
        <f>IFERROR(__xludf.DUMMYFUNCTION("GOOGLETRANSLATE(A8431 , ""auto"", ""ar"")"),"هل يمكنني اقتباسك على ذلك؟")</f>
        <v>هل يمكنني اقتباسك على ذلك؟</v>
      </c>
    </row>
    <row r="8432" ht="15.75" customHeight="1">
      <c r="A8432" s="12" t="s">
        <v>18173</v>
      </c>
      <c r="B8432" s="13" t="s">
        <v>18174</v>
      </c>
      <c r="C8432" s="14" t="s">
        <v>18175</v>
      </c>
      <c r="D8432" s="1" t="str">
        <f>IFERROR(__xludf.DUMMYFUNCTION("GOOGLETRANSLATE(A8432 , ""auto"", ""ar"")"),"قد تكون وجهة النظر تاريخية أو اجتماعية")</f>
        <v>قد تكون وجهة النظر تاريخية أو اجتماعية</v>
      </c>
    </row>
    <row r="8433" ht="15.75" customHeight="1">
      <c r="A8433" s="12" t="s">
        <v>18176</v>
      </c>
      <c r="B8433" s="13" t="s">
        <v>18177</v>
      </c>
      <c r="C8433" s="14" t="s">
        <v>18178</v>
      </c>
      <c r="D8433" s="1" t="str">
        <f>IFERROR(__xludf.DUMMYFUNCTION("GOOGLETRANSLATE(A8433 , ""auto"", ""ar"")"),"ماذا كانت التداعيات السياسية أو المجتمعات المجتمعية؟")</f>
        <v>ماذا كانت التداعيات السياسية أو المجتمعات المجتمعية؟</v>
      </c>
    </row>
    <row r="8434" ht="15.75" customHeight="1">
      <c r="A8434" s="12" t="s">
        <v>18179</v>
      </c>
      <c r="B8434" s="13" t="s">
        <v>18180</v>
      </c>
      <c r="C8434" s="14" t="s">
        <v>18181</v>
      </c>
      <c r="D8434" s="1" t="str">
        <f>IFERROR(__xludf.DUMMYFUNCTION("GOOGLETRANSLATE(A8434 , ""auto"", ""ar"")"),"أو كيف يتم إدراك ذلك الآن؟")</f>
        <v>أو كيف يتم إدراك ذلك الآن؟</v>
      </c>
    </row>
    <row r="8435" ht="15.75" customHeight="1">
      <c r="A8435" s="12" t="s">
        <v>18182</v>
      </c>
      <c r="B8435" s="13" t="s">
        <v>18183</v>
      </c>
      <c r="C8435" s="14" t="s">
        <v>18184</v>
      </c>
      <c r="D8435" s="1" t="str">
        <f>IFERROR(__xludf.DUMMYFUNCTION("GOOGLETRANSLATE(A8435 , ""auto"", ""ar"")"),"كم عدد الكلمات مقال قصير؟")</f>
        <v>كم عدد الكلمات مقال قصير؟</v>
      </c>
    </row>
    <row r="8436" ht="15.75" customHeight="1">
      <c r="A8436" s="12" t="s">
        <v>18185</v>
      </c>
      <c r="B8436" s="13" t="s">
        <v>18186</v>
      </c>
      <c r="C8436" s="14" t="s">
        <v>18187</v>
      </c>
      <c r="D8436" s="1" t="str">
        <f>IFERROR(__xludf.DUMMYFUNCTION("GOOGLETRANSLATE(A8436 , ""auto"", ""ar"")"),"2000 كلمة")</f>
        <v>2000 كلمة</v>
      </c>
    </row>
    <row r="8437" ht="15.75" customHeight="1">
      <c r="A8437" s="12" t="s">
        <v>18188</v>
      </c>
      <c r="B8437" s="13" t="s">
        <v>18189</v>
      </c>
      <c r="C8437" s="14" t="s">
        <v>18190</v>
      </c>
      <c r="D8437" s="1" t="str">
        <f>IFERROR(__xludf.DUMMYFUNCTION("GOOGLETRANSLATE(A8437 , ""auto"", ""ar"")"),"ولكن يجب أن تحترم هذا الموعد النهائي الجديد")</f>
        <v>ولكن يجب أن تحترم هذا الموعد النهائي الجديد</v>
      </c>
    </row>
    <row r="8438" ht="15.75" customHeight="1">
      <c r="A8438" s="12" t="s">
        <v>18191</v>
      </c>
      <c r="B8438" s="13" t="s">
        <v>18192</v>
      </c>
      <c r="C8438" s="14" t="s">
        <v>18193</v>
      </c>
      <c r="D8438" s="1" t="str">
        <f>IFERROR(__xludf.DUMMYFUNCTION("GOOGLETRANSLATE(A8438 , ""auto"", ""ar"")"),"ويجب أن يكون مقالك هو أفضل ما كتبته على الإطلاق")</f>
        <v>ويجب أن يكون مقالك هو أفضل ما كتبته على الإطلاق</v>
      </c>
    </row>
    <row r="8439" ht="15.75" customHeight="1">
      <c r="A8439" s="12" t="s">
        <v>18194</v>
      </c>
      <c r="B8439" s="13" t="s">
        <v>18195</v>
      </c>
      <c r="C8439" s="14" t="s">
        <v>18196</v>
      </c>
      <c r="D8439" s="1" t="str">
        <f>IFERROR(__xludf.DUMMYFUNCTION("GOOGLETRANSLATE(A8439 , ""auto"", ""ar"")"),"سيكون ، أعدك")</f>
        <v>سيكون ، أعدك</v>
      </c>
    </row>
    <row r="8440" ht="15.75" customHeight="1">
      <c r="A8440" s="12" t="s">
        <v>9394</v>
      </c>
      <c r="B8440" s="13" t="s">
        <v>18197</v>
      </c>
      <c r="C8440" s="14" t="s">
        <v>18198</v>
      </c>
      <c r="D8440" s="1" t="str">
        <f>IFERROR(__xludf.DUMMYFUNCTION("GOOGLETRANSLATE(A8440 , ""auto"", ""ar"")"),"شكرًا لك")</f>
        <v>شكرًا لك</v>
      </c>
    </row>
    <row r="8441" ht="15.75" customHeight="1">
      <c r="A8441" s="12" t="s">
        <v>18199</v>
      </c>
      <c r="B8441" s="13" t="s">
        <v>18200</v>
      </c>
      <c r="C8441" s="14" t="s">
        <v>18201</v>
      </c>
      <c r="D8441" s="1" t="str">
        <f>IFERROR(__xludf.DUMMYFUNCTION("GOOGLETRANSLATE(A8441 , ""auto"", ""ar"")"),"دعونا نحصل على التنظيم")</f>
        <v>دعونا نحصل على التنظيم</v>
      </c>
    </row>
    <row r="8442" ht="15.75" customHeight="1">
      <c r="A8442" s="12" t="s">
        <v>18202</v>
      </c>
      <c r="B8442" s="13" t="s">
        <v>18203</v>
      </c>
      <c r="C8442" s="14" t="s">
        <v>18204</v>
      </c>
      <c r="D8442" s="1" t="str">
        <f>IFERROR(__xludf.DUMMYFUNCTION("GOOGLETRANSLATE(A8442 , ""auto"", ""ar"")"),"فعلت الكثير من الركض في المدرسة الثانوية")</f>
        <v>فعلت الكثير من الركض في المدرسة الثانوية</v>
      </c>
    </row>
    <row r="8443" ht="15.75" customHeight="1">
      <c r="A8443" s="12" t="s">
        <v>18205</v>
      </c>
      <c r="B8443" s="13" t="s">
        <v>18206</v>
      </c>
      <c r="C8443" s="14" t="s">
        <v>18207</v>
      </c>
      <c r="D8443" s="1" t="str">
        <f>IFERROR(__xludf.DUMMYFUNCTION("GOOGLETRANSLATE(A8443 , ""auto"", ""ar"")"),"بالتأكيد آمل ألا تقوم بطهي اللحم البقري وسلمون معًا")</f>
        <v>بالتأكيد آمل ألا تقوم بطهي اللحم البقري وسلمون معًا</v>
      </c>
    </row>
    <row r="8444" ht="15.75" customHeight="1">
      <c r="A8444" s="12" t="s">
        <v>18208</v>
      </c>
      <c r="B8444" s="13" t="s">
        <v>18209</v>
      </c>
      <c r="C8444" s="14" t="s">
        <v>18210</v>
      </c>
      <c r="D8444" s="1" t="str">
        <f>IFERROR(__xludf.DUMMYFUNCTION("GOOGLETRANSLATE(A8444 , ""auto"", ""ar"")"),"سيكون ذلك غريبًا تعتقد أنه يمكن أن يكون جيدًا؟")</f>
        <v>سيكون ذلك غريبًا تعتقد أنه يمكن أن يكون جيدًا؟</v>
      </c>
    </row>
    <row r="8445" ht="15.75" customHeight="1">
      <c r="A8445" s="12" t="s">
        <v>18211</v>
      </c>
      <c r="B8445" s="13" t="s">
        <v>18212</v>
      </c>
      <c r="C8445" s="14" t="s">
        <v>18213</v>
      </c>
      <c r="D8445" s="1" t="str">
        <f>IFERROR(__xludf.DUMMYFUNCTION("GOOGLETRANSLATE(A8445 , ""auto"", ""ar"")"),"ماذا في اسم الرب؟")</f>
        <v>ماذا في اسم الرب؟</v>
      </c>
    </row>
    <row r="8446" ht="15.75" customHeight="1">
      <c r="A8446" s="12" t="s">
        <v>18214</v>
      </c>
      <c r="B8446" s="13" t="s">
        <v>18215</v>
      </c>
      <c r="C8446" s="14" t="s">
        <v>18216</v>
      </c>
      <c r="D8446" s="1" t="str">
        <f>IFERROR(__xludf.DUMMYFUNCTION("GOOGLETRANSLATE(A8446 , ""auto"", ""ar"")"),"هذا صحيح!")</f>
        <v>هذا صحيح!</v>
      </c>
    </row>
    <row r="8447" ht="15.75" customHeight="1">
      <c r="A8447" s="12" t="s">
        <v>18217</v>
      </c>
      <c r="B8447" s="13" t="s">
        <v>18218</v>
      </c>
      <c r="C8447" s="14" t="s">
        <v>18219</v>
      </c>
      <c r="D8447" s="1" t="str">
        <f>IFERROR(__xludf.DUMMYFUNCTION("GOOGLETRANSLATE(A8447 , ""auto"", ""ar"")"),"سيكون أسرع ولا يزال أنيقًا!")</f>
        <v>سيكون أسرع ولا يزال أنيقًا!</v>
      </c>
    </row>
    <row r="8448" ht="15.75" customHeight="1">
      <c r="A8448" s="12" t="s">
        <v>18220</v>
      </c>
      <c r="B8448" s="13" t="s">
        <v>18221</v>
      </c>
      <c r="C8448" s="14" t="s">
        <v>18222</v>
      </c>
      <c r="D8448" s="1" t="str">
        <f>IFERROR(__xludf.DUMMYFUNCTION("GOOGLETRANSLATE(A8448 , ""auto"", ""ar"")"),"مرحبًا ، سيكون التخطيط لهذا الحزب ممتعًا")</f>
        <v>مرحبًا ، سيكون التخطيط لهذا الحزب ممتعًا</v>
      </c>
    </row>
    <row r="8449" ht="15.75" customHeight="1">
      <c r="A8449" s="12" t="s">
        <v>18223</v>
      </c>
      <c r="B8449" s="13" t="s">
        <v>18224</v>
      </c>
      <c r="C8449" s="14" t="s">
        <v>18225</v>
      </c>
      <c r="D8449" s="1" t="str">
        <f>IFERROR(__xludf.DUMMYFUNCTION("GOOGLETRANSLATE(A8449 , ""auto"", ""ar"")"),"أي نوع من الحفلات تعتقد أنه ينبغي أن يكون؟")</f>
        <v>أي نوع من الحفلات تعتقد أنه ينبغي أن يكون؟</v>
      </c>
    </row>
    <row r="8450" ht="15.75" customHeight="1">
      <c r="A8450" s="12" t="s">
        <v>18226</v>
      </c>
      <c r="B8450" s="13" t="s">
        <v>18227</v>
      </c>
      <c r="C8450" s="14" t="s">
        <v>18228</v>
      </c>
      <c r="D8450" s="1" t="str">
        <f>IFERROR(__xludf.DUMMYFUNCTION("GOOGLETRANSLATE(A8450 , ""auto"", ""ar"")"),"إنه لعيد ميلادك")</f>
        <v>إنه لعيد ميلادك</v>
      </c>
    </row>
    <row r="8451" ht="15.75" customHeight="1">
      <c r="A8451" s="12" t="s">
        <v>18229</v>
      </c>
      <c r="B8451" s="13" t="s">
        <v>18230</v>
      </c>
      <c r="C8451" s="14" t="s">
        <v>18231</v>
      </c>
      <c r="D8451" s="1" t="str">
        <f>IFERROR(__xludf.DUMMYFUNCTION("GOOGLETRANSLATE(A8451 , ""auto"", ""ar"")"),"آسف ، قصدت الموضوع")</f>
        <v>آسف ، قصدت الموضوع</v>
      </c>
    </row>
    <row r="8452" ht="15.75" customHeight="1">
      <c r="A8452" s="12" t="s">
        <v>18232</v>
      </c>
      <c r="B8452" s="13" t="s">
        <v>18233</v>
      </c>
      <c r="C8452" s="14" t="s">
        <v>18234</v>
      </c>
      <c r="D8452" s="1" t="str">
        <f>IFERROR(__xludf.DUMMYFUNCTION("GOOGLETRANSLATE(A8452 , ""auto"", ""ar"")"),"سيكون موضوع الثمانينيات جيدًا")</f>
        <v>سيكون موضوع الثمانينيات جيدًا</v>
      </c>
    </row>
    <row r="8453" ht="15.75" customHeight="1">
      <c r="A8453" s="12" t="s">
        <v>18235</v>
      </c>
      <c r="B8453" s="13" t="s">
        <v>18236</v>
      </c>
      <c r="C8453" s="14" t="s">
        <v>18237</v>
      </c>
      <c r="D8453" s="1" t="str">
        <f>IFERROR(__xludf.DUMMYFUNCTION("GOOGLETRANSLATE(A8453 , ""auto"", ""ar"")"),"يمكننا أن نجعل الجميع يرتدون ملابس في الثمانينات")</f>
        <v>يمكننا أن نجعل الجميع يرتدون ملابس في الثمانينات</v>
      </c>
    </row>
    <row r="8454" ht="15.75" customHeight="1">
      <c r="A8454" s="12" t="s">
        <v>18238</v>
      </c>
      <c r="B8454" s="13" t="s">
        <v>18239</v>
      </c>
      <c r="C8454" s="14" t="s">
        <v>18240</v>
      </c>
      <c r="D8454" s="1" t="str">
        <f>IFERROR(__xludf.DUMMYFUNCTION("GOOGLETRANSLATE(A8454 , ""auto"", ""ar"")"),"أوه نعم ، الثمانينات ، هذه فكرة رائعة!")</f>
        <v>أوه نعم ، الثمانينات ، هذه فكرة رائعة!</v>
      </c>
    </row>
    <row r="8455" ht="15.75" customHeight="1">
      <c r="A8455" s="12" t="s">
        <v>18241</v>
      </c>
      <c r="B8455" s="13" t="s">
        <v>18242</v>
      </c>
      <c r="C8455" s="14" t="s">
        <v>18243</v>
      </c>
      <c r="D8455" s="1" t="str">
        <f>IFERROR(__xludf.DUMMYFUNCTION("GOOGLETRANSLATE(A8455 , ""auto"", ""ar"")"),"لا يزال يجب أن يكون لدي أشرطة في مكان ما")</f>
        <v>لا يزال يجب أن يكون لدي أشرطة في مكان ما</v>
      </c>
    </row>
    <row r="8456" ht="15.75" customHeight="1">
      <c r="A8456" s="12" t="s">
        <v>18244</v>
      </c>
      <c r="B8456" s="13" t="s">
        <v>18245</v>
      </c>
      <c r="C8456" s="14" t="s">
        <v>18246</v>
      </c>
      <c r="D8456" s="1" t="str">
        <f>IFERROR(__xludf.DUMMYFUNCTION("GOOGLETRANSLATE(A8456 , ""auto"", ""ar"")"),"هل سمعت عن سبوتيفي؟")</f>
        <v>هل سمعت عن سبوتيفي؟</v>
      </c>
    </row>
    <row r="8457" ht="15.75" customHeight="1">
      <c r="A8457" s="12" t="s">
        <v>18247</v>
      </c>
      <c r="B8457" s="13" t="s">
        <v>18248</v>
      </c>
      <c r="C8457" s="14" t="s">
        <v>18249</v>
      </c>
      <c r="D8457" s="1" t="str">
        <f>IFERROR(__xludf.DUMMYFUNCTION("GOOGLETRANSLATE(A8457 , ""auto"", ""ar"")"),"إنه تطبيق موسيقى عبر الإنترنت")</f>
        <v>إنه تطبيق موسيقى عبر الإنترنت</v>
      </c>
    </row>
    <row r="8458" ht="15.75" customHeight="1">
      <c r="A8458" s="12" t="s">
        <v>18250</v>
      </c>
      <c r="B8458" s="13" t="s">
        <v>18251</v>
      </c>
      <c r="C8458" s="14" t="s">
        <v>18252</v>
      </c>
      <c r="D8458" s="1" t="str">
        <f>IFERROR(__xludf.DUMMYFUNCTION("GOOGLETRANSLATE(A8458 , ""auto"", ""ar"")"),"انها ليست غبية")</f>
        <v>انها ليست غبية</v>
      </c>
    </row>
    <row r="8459" ht="15.75" customHeight="1">
      <c r="A8459" s="12" t="s">
        <v>18253</v>
      </c>
      <c r="B8459" s="13" t="s">
        <v>18254</v>
      </c>
      <c r="C8459" s="14" t="s">
        <v>18255</v>
      </c>
      <c r="D8459" s="1" t="str">
        <f>IFERROR(__xludf.DUMMYFUNCTION("GOOGLETRANSLATE(A8459 , ""auto"", ""ar"")"),"وبالطبع كعكة!")</f>
        <v>وبالطبع كعكة!</v>
      </c>
    </row>
    <row r="8460" ht="15.75" customHeight="1">
      <c r="A8460" s="12" t="s">
        <v>18256</v>
      </c>
      <c r="B8460" s="13" t="s">
        <v>18257</v>
      </c>
      <c r="C8460" s="14" t="s">
        <v>18258</v>
      </c>
      <c r="D8460" s="1" t="str">
        <f>IFERROR(__xludf.DUMMYFUNCTION("GOOGLETRANSLATE(A8460 , ""auto"", ""ar"")"),"ومن الضروري!")</f>
        <v>ومن الضروري!</v>
      </c>
    </row>
    <row r="8461" ht="15.75" customHeight="1">
      <c r="A8461" s="12" t="s">
        <v>18259</v>
      </c>
      <c r="B8461" s="13" t="s">
        <v>18260</v>
      </c>
      <c r="C8461" s="14" t="s">
        <v>18261</v>
      </c>
      <c r="D8461" s="1" t="str">
        <f>IFERROR(__xludf.DUMMYFUNCTION("GOOGLETRANSLATE(A8461 , ""auto"", ""ar"")"),"يمكنني صنع واحدة إذا كنت تريد")</f>
        <v>يمكنني صنع واحدة إذا كنت تريد</v>
      </c>
    </row>
    <row r="8462" ht="15.75" customHeight="1">
      <c r="A8462" s="12" t="s">
        <v>18262</v>
      </c>
      <c r="B8462" s="13" t="s">
        <v>18263</v>
      </c>
      <c r="C8462" s="14" t="s">
        <v>18264</v>
      </c>
      <c r="D8462" s="1" t="str">
        <f>IFERROR(__xludf.DUMMYFUNCTION("GOOGLETRANSLATE(A8462 , ""auto"", ""ar"")"),"أنا أحب الخبز")</f>
        <v>أنا أحب الخبز</v>
      </c>
    </row>
    <row r="8463" ht="15.75" customHeight="1">
      <c r="A8463" s="12" t="s">
        <v>18265</v>
      </c>
      <c r="B8463" s="13" t="s">
        <v>18266</v>
      </c>
      <c r="C8463" s="14" t="s">
        <v>18267</v>
      </c>
      <c r="D8463" s="1" t="str">
        <f>IFERROR(__xludf.DUMMYFUNCTION("GOOGLETRANSLATE(A8463 , ""auto"", ""ar"")"),"بالمناسبة ، سنضطر إلى الرقص!")</f>
        <v>بالمناسبة ، سنضطر إلى الرقص!</v>
      </c>
    </row>
    <row r="8464" ht="15.75" customHeight="1">
      <c r="A8464" s="12" t="s">
        <v>18268</v>
      </c>
      <c r="B8464" s="13" t="s">
        <v>18269</v>
      </c>
      <c r="C8464" s="14" t="s">
        <v>18270</v>
      </c>
      <c r="D8464" s="1" t="str">
        <f>IFERROR(__xludf.DUMMYFUNCTION("GOOGLETRANSLATE(A8464 , ""auto"", ""ar"")"),"هذه خطة جيدة!")</f>
        <v>هذه خطة جيدة!</v>
      </c>
    </row>
    <row r="8465" ht="15.75" customHeight="1">
      <c r="A8465" s="12" t="s">
        <v>18271</v>
      </c>
      <c r="B8465" s="13" t="s">
        <v>18272</v>
      </c>
      <c r="C8465" s="14" t="s">
        <v>18273</v>
      </c>
      <c r="D8465" s="1" t="str">
        <f>IFERROR(__xludf.DUMMYFUNCTION("GOOGLETRANSLATE(A8465 , ""auto"", ""ar"")"),"أوه ، لا ، إنه يحدث مرة أخرى!")</f>
        <v>أوه ، لا ، إنه يحدث مرة أخرى!</v>
      </c>
    </row>
    <row r="8466" ht="15.75" customHeight="1">
      <c r="A8466" s="12" t="s">
        <v>18274</v>
      </c>
      <c r="B8466" s="13" t="s">
        <v>18275</v>
      </c>
      <c r="C8466" s="14" t="s">
        <v>18276</v>
      </c>
      <c r="D8466" s="1" t="str">
        <f>IFERROR(__xludf.DUMMYFUNCTION("GOOGLETRANSLATE(A8466 , ""auto"", ""ar"")"),"هل تعتقد أننا يجب أن نطلب المساعدة؟")</f>
        <v>هل تعتقد أننا يجب أن نطلب المساعدة؟</v>
      </c>
    </row>
    <row r="8467" ht="15.75" customHeight="1">
      <c r="A8467" s="12" t="s">
        <v>18277</v>
      </c>
      <c r="B8467" s="13" t="s">
        <v>18278</v>
      </c>
      <c r="C8467" s="14" t="s">
        <v>18279</v>
      </c>
      <c r="D8467" s="1" t="str">
        <f>IFERROR(__xludf.DUMMYFUNCTION("GOOGLETRANSLATE(A8467 , ""auto"", ""ar"")"),"أم أن هناك من يلاحظ قريبا ما يكفي؟")</f>
        <v>أم أن هناك من يلاحظ قريبا ما يكفي؟</v>
      </c>
    </row>
    <row r="8468" ht="15.75" customHeight="1">
      <c r="A8468" s="12" t="s">
        <v>18280</v>
      </c>
      <c r="B8468" s="13" t="s">
        <v>18281</v>
      </c>
      <c r="C8468" s="14" t="s">
        <v>18282</v>
      </c>
      <c r="D8468" s="1" t="str">
        <f>IFERROR(__xludf.DUMMYFUNCTION("GOOGLETRANSLATE(A8468 , ""auto"", ""ar"")"),"هل تعرف من تتحدث؟")</f>
        <v>هل تعرف من تتحدث؟</v>
      </c>
    </row>
    <row r="8469" ht="15.75" customHeight="1">
      <c r="A8469" s="12" t="s">
        <v>18280</v>
      </c>
      <c r="B8469" s="13" t="s">
        <v>18283</v>
      </c>
      <c r="C8469" s="14" t="s">
        <v>18284</v>
      </c>
      <c r="D8469" s="1" t="str">
        <f>IFERROR(__xludf.DUMMYFUNCTION("GOOGLETRANSLATE(A8469 , ""auto"", ""ar"")"),"هل تعرف من تتحدث؟")</f>
        <v>هل تعرف من تتحدث؟</v>
      </c>
    </row>
    <row r="8470" ht="15.75" customHeight="1">
      <c r="A8470" s="12" t="s">
        <v>18285</v>
      </c>
      <c r="B8470" s="13" t="s">
        <v>18286</v>
      </c>
      <c r="C8470" s="14" t="s">
        <v>18287</v>
      </c>
      <c r="D8470" s="1" t="str">
        <f>IFERROR(__xludf.DUMMYFUNCTION("GOOGLETRANSLATE(A8470 , ""auto"", ""ar"")"),"أنت على حق بالضبط")</f>
        <v>أنت على حق بالضبط</v>
      </c>
    </row>
    <row r="8471" ht="15.75" customHeight="1">
      <c r="A8471" s="12" t="s">
        <v>18288</v>
      </c>
      <c r="B8471" s="13" t="s">
        <v>18289</v>
      </c>
      <c r="C8471" s="14" t="s">
        <v>18290</v>
      </c>
      <c r="D8471" s="1" t="str">
        <f>IFERROR(__xludf.DUMMYFUNCTION("GOOGLETRANSLATE(A8471 , ""auto"", ""ar"")"),"بالطبع سوف يلاحظ الناس أنك مفقود")</f>
        <v>بالطبع سوف يلاحظ الناس أنك مفقود</v>
      </c>
    </row>
    <row r="8472" ht="15.75" customHeight="1">
      <c r="A8472" s="12" t="s">
        <v>18291</v>
      </c>
      <c r="B8472" s="13" t="s">
        <v>18292</v>
      </c>
      <c r="C8472" s="14" t="s">
        <v>18293</v>
      </c>
      <c r="D8472" s="1" t="str">
        <f>IFERROR(__xludf.DUMMYFUNCTION("GOOGLETRANSLATE(A8472 , ""auto"", ""ar"")"),"5 ثوان دون أن يصرخ في")</f>
        <v>5 ثوان دون أن يصرخ في</v>
      </c>
    </row>
    <row r="8473" ht="15.75" customHeight="1">
      <c r="A8473" s="12" t="s">
        <v>18294</v>
      </c>
      <c r="B8473" s="13" t="s">
        <v>18295</v>
      </c>
      <c r="C8473" s="14" t="s">
        <v>18296</v>
      </c>
      <c r="D8473" s="1" t="str">
        <f>IFERROR(__xludf.DUMMYFUNCTION("GOOGLETRANSLATE(A8473 , ""auto"", ""ar"")"),"لقد كنت أنتظر سنوات للحصول على فرصة مثالية لأخبرك بذلك")</f>
        <v>لقد كنت أنتظر سنوات للحصول على فرصة مثالية لأخبرك بذلك</v>
      </c>
    </row>
    <row r="8474" ht="15.75" customHeight="1">
      <c r="A8474" s="12" t="s">
        <v>18297</v>
      </c>
      <c r="B8474" s="13" t="s">
        <v>18298</v>
      </c>
      <c r="C8474" s="14" t="s">
        <v>18299</v>
      </c>
      <c r="D8474" s="1" t="str">
        <f>IFERROR(__xludf.DUMMYFUNCTION("GOOGLETRANSLATE(A8474 , ""auto"", ""ar"")"),"هذا ما أشعر به حيال العمل هنا")</f>
        <v>هذا ما أشعر به حيال العمل هنا</v>
      </c>
    </row>
    <row r="8475" ht="15.75" customHeight="1">
      <c r="A8475" s="12" t="s">
        <v>18300</v>
      </c>
      <c r="B8475" s="13" t="s">
        <v>18301</v>
      </c>
      <c r="C8475" s="14" t="s">
        <v>18302</v>
      </c>
      <c r="D8475" s="1" t="str">
        <f>IFERROR(__xludf.DUMMYFUNCTION("GOOGLETRANSLATE(A8475 , ""auto"", ""ar"")"),"والعمل من أجلك على وجه الخصوص")</f>
        <v>والعمل من أجلك على وجه الخصوص</v>
      </c>
    </row>
    <row r="8476" ht="15.75" customHeight="1">
      <c r="A8476" s="12" t="s">
        <v>18303</v>
      </c>
      <c r="B8476" s="13" t="s">
        <v>18304</v>
      </c>
      <c r="C8476" s="14" t="s">
        <v>18305</v>
      </c>
      <c r="D8476" s="1" t="str">
        <f>IFERROR(__xludf.DUMMYFUNCTION("GOOGLETRANSLATE(A8476 , ""auto"", ""ar"")"),"استمر ، تطور")</f>
        <v>استمر ، تطور</v>
      </c>
    </row>
    <row r="8477" ht="15.75" customHeight="1">
      <c r="A8477" s="12" t="s">
        <v>18306</v>
      </c>
      <c r="B8477" s="13" t="s">
        <v>18307</v>
      </c>
      <c r="C8477" s="14" t="s">
        <v>18308</v>
      </c>
      <c r="D8477" s="1" t="str">
        <f>IFERROR(__xludf.DUMMYFUNCTION("GOOGLETRANSLATE(A8477 , ""auto"", ""ar"")"),"إذا كنت تثق فينا جميعًا في القيام بوظائفنا ، فسنكون أكثر فاعلية")</f>
        <v>إذا كنت تثق فينا جميعًا في القيام بوظائفنا ، فسنكون أكثر فاعلية</v>
      </c>
    </row>
    <row r="8478" ht="15.75" customHeight="1">
      <c r="A8478" s="12" t="s">
        <v>18309</v>
      </c>
      <c r="B8478" s="13" t="s">
        <v>18310</v>
      </c>
      <c r="C8478" s="14" t="s">
        <v>18311</v>
      </c>
      <c r="D8478" s="1" t="str">
        <f>IFERROR(__xludf.DUMMYFUNCTION("GOOGLETRANSLATE(A8478 , ""auto"", ""ar"")"),"لن أفعل أي شيء من هذا القبيل")</f>
        <v>لن أفعل أي شيء من هذا القبيل</v>
      </c>
    </row>
    <row r="8479" ht="15.75" customHeight="1">
      <c r="A8479" s="12" t="s">
        <v>18312</v>
      </c>
      <c r="B8479" s="13" t="s">
        <v>18313</v>
      </c>
      <c r="C8479" s="14" t="s">
        <v>18314</v>
      </c>
      <c r="D8479" s="1" t="str">
        <f>IFERROR(__xludf.DUMMYFUNCTION("GOOGLETRANSLATE(A8479 , ""auto"", ""ar"")"),"لا تنسى ، أنا أعلم كل ما تفعله هذه الشركة على مدار السنوات العشر الماضية")</f>
        <v>لا تنسى ، أنا أعلم كل ما تفعله هذه الشركة على مدار السنوات العشر الماضية</v>
      </c>
    </row>
    <row r="8480" ht="15.75" customHeight="1">
      <c r="A8480" s="12" t="s">
        <v>18315</v>
      </c>
      <c r="B8480" s="13" t="s">
        <v>18316</v>
      </c>
      <c r="C8480" s="14" t="s">
        <v>18317</v>
      </c>
      <c r="D8480" s="1" t="str">
        <f>IFERROR(__xludf.DUMMYFUNCTION("GOOGLETRANSLATE(A8480 , ""auto"", ""ar"")"),"التهرب الضريبي")</f>
        <v>التهرب الضريبي</v>
      </c>
    </row>
    <row r="8481" ht="15.75" customHeight="1">
      <c r="A8481" s="12" t="s">
        <v>18318</v>
      </c>
      <c r="B8481" s="13" t="s">
        <v>18319</v>
      </c>
      <c r="C8481" s="14" t="s">
        <v>18320</v>
      </c>
      <c r="D8481" s="1" t="str">
        <f>IFERROR(__xludf.DUMMYFUNCTION("GOOGLETRANSLATE(A8481 , ""auto"", ""ar"")"),"هل تعتقد أن تلك التوت صالحة للأكل؟")</f>
        <v>هل تعتقد أن تلك التوت صالحة للأكل؟</v>
      </c>
    </row>
    <row r="8482" ht="15.75" customHeight="1">
      <c r="A8482" s="12" t="s">
        <v>18321</v>
      </c>
      <c r="B8482" s="13" t="s">
        <v>18322</v>
      </c>
      <c r="C8482" s="14" t="s">
        <v>18323</v>
      </c>
      <c r="D8482" s="1" t="str">
        <f>IFERROR(__xludf.DUMMYFUNCTION("GOOGLETRANSLATE(A8482 , ""auto"", ""ar"")"),"هذا مثير حقا أن تضيع مثل هذا!")</f>
        <v>هذا مثير حقا أن تضيع مثل هذا!</v>
      </c>
    </row>
    <row r="8483" ht="15.75" customHeight="1">
      <c r="A8483" s="12" t="s">
        <v>18324</v>
      </c>
      <c r="B8483" s="13" t="s">
        <v>18325</v>
      </c>
      <c r="C8483" s="14" t="s">
        <v>18326</v>
      </c>
      <c r="D8483" s="1" t="str">
        <f>IFERROR(__xludf.DUMMYFUNCTION("GOOGLETRANSLATE(A8483 , ""auto"", ""ar"")"),"نحن نعرف ، لكننا نستمر")</f>
        <v>نحن نعرف ، لكننا نستمر</v>
      </c>
    </row>
    <row r="8484" ht="15.75" customHeight="1">
      <c r="A8484" s="12" t="s">
        <v>18327</v>
      </c>
      <c r="B8484" s="13" t="s">
        <v>18328</v>
      </c>
      <c r="C8484" s="14" t="s">
        <v>18329</v>
      </c>
      <c r="D8484" s="1" t="str">
        <f>IFERROR(__xludf.DUMMYFUNCTION("GOOGLETRANSLATE(A8484 , ""auto"", ""ar"")"),"إنه غبي بعض الشيء")</f>
        <v>إنه غبي بعض الشيء</v>
      </c>
    </row>
    <row r="8485" ht="15.75" customHeight="1">
      <c r="A8485" s="12" t="s">
        <v>18330</v>
      </c>
      <c r="B8485" s="13" t="s">
        <v>18331</v>
      </c>
      <c r="C8485" s="14" t="s">
        <v>18332</v>
      </c>
      <c r="D8485" s="1" t="str">
        <f>IFERROR(__xludf.DUMMYFUNCTION("GOOGLETRANSLATE(A8485 , ""auto"", ""ar"")"),"لعنة ، فجرت شرائح اللحم")</f>
        <v>لعنة ، فجرت شرائح اللحم</v>
      </c>
    </row>
    <row r="8486" ht="15.75" customHeight="1">
      <c r="A8486" s="12" t="s">
        <v>18333</v>
      </c>
      <c r="B8486" s="13" t="s">
        <v>18334</v>
      </c>
      <c r="C8486" s="14" t="s">
        <v>18335</v>
      </c>
      <c r="D8486" s="1" t="str">
        <f>IFERROR(__xludf.DUMMYFUNCTION("GOOGLETRANSLATE(A8486 , ""auto"", ""ar"")"),"عليك أن تضع المزيد من الكريمة فيه")</f>
        <v>عليك أن تضع المزيد من الكريمة فيه</v>
      </c>
    </row>
    <row r="8487" ht="15.75" customHeight="1">
      <c r="A8487" s="12" t="s">
        <v>18336</v>
      </c>
      <c r="B8487" s="13" t="s">
        <v>18337</v>
      </c>
      <c r="C8487" s="14" t="s">
        <v>18338</v>
      </c>
      <c r="D8487" s="1" t="str">
        <f>IFERROR(__xludf.DUMMYFUNCTION("GOOGLETRANSLATE(A8487 , ""auto"", ""ar"")"),"فكرة رائعة ، سأغير القائمة")</f>
        <v>فكرة رائعة ، سأغير القائمة</v>
      </c>
    </row>
    <row r="8488" ht="15.75" customHeight="1">
      <c r="A8488" s="12" t="s">
        <v>18339</v>
      </c>
      <c r="B8488" s="13" t="s">
        <v>18340</v>
      </c>
      <c r="C8488" s="14" t="s">
        <v>18341</v>
      </c>
      <c r="D8488" s="1" t="str">
        <f>IFERROR(__xludf.DUMMYFUNCTION("GOOGLETRANSLATE(A8488 , ""auto"", ""ar"")"),"الحلويات في الثلاجة")</f>
        <v>الحلويات في الثلاجة</v>
      </c>
    </row>
    <row r="8489" ht="15.75" customHeight="1">
      <c r="A8489" s="12" t="s">
        <v>18342</v>
      </c>
      <c r="B8489" s="13" t="s">
        <v>18343</v>
      </c>
      <c r="C8489" s="14" t="s">
        <v>18344</v>
      </c>
      <c r="D8489" s="1" t="str">
        <f>IFERROR(__xludf.DUMMYFUNCTION("GOOGLETRANSLATE(A8489 , ""auto"", ""ar"")"),"مهلا ، دعنا نذهب ونلعب الكرة الطائرة؟")</f>
        <v>مهلا ، دعنا نذهب ونلعب الكرة الطائرة؟</v>
      </c>
    </row>
    <row r="8490" ht="15.75" customHeight="1">
      <c r="A8490" s="12" t="s">
        <v>18345</v>
      </c>
      <c r="B8490" s="13" t="s">
        <v>18346</v>
      </c>
      <c r="C8490" s="14" t="s">
        <v>18347</v>
      </c>
      <c r="D8490" s="1" t="str">
        <f>IFERROR(__xludf.DUMMYFUNCTION("GOOGLETRANSLATE(A8490 , ""auto"", ""ar"")"),"أود أن أتسكع في الشمس لفترة أطول قليلاً")</f>
        <v>أود أن أتسكع في الشمس لفترة أطول قليلاً</v>
      </c>
    </row>
    <row r="8491" ht="15.75" customHeight="1">
      <c r="A8491" s="12" t="s">
        <v>18348</v>
      </c>
      <c r="B8491" s="13" t="s">
        <v>18349</v>
      </c>
      <c r="C8491" s="14" t="s">
        <v>18350</v>
      </c>
      <c r="D8491" s="1" t="str">
        <f>IFERROR(__xludf.DUMMYFUNCTION("GOOGLETRANSLATE(A8491 , ""auto"", ""ar"")"),"حسنًا ، ليس لدي الكثير من الطاقة الآن")</f>
        <v>حسنًا ، ليس لدي الكثير من الطاقة الآن</v>
      </c>
    </row>
    <row r="8492" ht="15.75" customHeight="1">
      <c r="A8492" s="12" t="s">
        <v>18351</v>
      </c>
      <c r="B8492" s="13" t="s">
        <v>18352</v>
      </c>
      <c r="C8492" s="14" t="s">
        <v>18353</v>
      </c>
      <c r="D8492" s="1" t="str">
        <f>IFERROR(__xludf.DUMMYFUNCTION("GOOGLETRANSLATE(A8492 , ""auto"", ""ar"")"),"هذا الصباح ، اليوم السابق بالأمس!")</f>
        <v>هذا الصباح ، اليوم السابق بالأمس!</v>
      </c>
    </row>
    <row r="8493" ht="15.75" customHeight="1">
      <c r="A8493" s="12" t="s">
        <v>18354</v>
      </c>
      <c r="B8493" s="13" t="s">
        <v>18355</v>
      </c>
      <c r="C8493" s="14" t="s">
        <v>18356</v>
      </c>
      <c r="D8493" s="1" t="str">
        <f>IFERROR(__xludf.DUMMYFUNCTION("GOOGLETRANSLATE(A8493 , ""auto"", ""ar"")"),"لا بأس ، لا أريد أن أفعل أي شيء")</f>
        <v>لا بأس ، لا أريد أن أفعل أي شيء</v>
      </c>
    </row>
    <row r="8494" ht="15.75" customHeight="1">
      <c r="A8494" s="12" t="s">
        <v>18357</v>
      </c>
      <c r="B8494" s="13" t="s">
        <v>18358</v>
      </c>
      <c r="C8494" s="14" t="s">
        <v>18359</v>
      </c>
      <c r="D8494" s="1" t="str">
        <f>IFERROR(__xludf.DUMMYFUNCTION("GOOGLETRANSLATE(A8494 , ""auto"", ""ar"")"),"ماذا عن الوقت الذي كنا نلعب فيه الورق")</f>
        <v>ماذا عن الوقت الذي كنا نلعب فيه الورق</v>
      </c>
    </row>
    <row r="8495" ht="15.75" customHeight="1">
      <c r="A8495" s="12" t="s">
        <v>18360</v>
      </c>
      <c r="B8495" s="13" t="s">
        <v>18361</v>
      </c>
      <c r="C8495" s="14" t="s">
        <v>18362</v>
      </c>
      <c r="D8495" s="1" t="str">
        <f>IFERROR(__xludf.DUMMYFUNCTION("GOOGLETRANSLATE(A8495 , ""auto"", ""ar"")"),"حسنًا ، أنا ذاهب إلى البار للحصول على مشروب")</f>
        <v>حسنًا ، أنا ذاهب إلى البار للحصول على مشروب</v>
      </c>
    </row>
    <row r="8496" ht="15.75" customHeight="1">
      <c r="A8496" s="12" t="s">
        <v>16276</v>
      </c>
      <c r="B8496" s="13" t="s">
        <v>18363</v>
      </c>
      <c r="C8496" s="14" t="s">
        <v>18364</v>
      </c>
      <c r="D8496" s="1" t="str">
        <f>IFERROR(__xludf.DUMMYFUNCTION("GOOGLETRANSLATE(A8496 , ""auto"", ""ar"")"),"هل تريد واحد؟")</f>
        <v>هل تريد واحد؟</v>
      </c>
    </row>
    <row r="8497" ht="15.75" customHeight="1">
      <c r="A8497" s="12" t="s">
        <v>18365</v>
      </c>
      <c r="B8497" s="13" t="s">
        <v>18366</v>
      </c>
      <c r="C8497" s="14" t="s">
        <v>18367</v>
      </c>
      <c r="D8497" s="1" t="str">
        <f>IFERROR(__xludf.DUMMYFUNCTION("GOOGLETRANSLATE(A8497 , ""auto"", ""ar"")"),"أوه ، نعم ، هذا ما أتحدث عنه")</f>
        <v>أوه ، نعم ، هذا ما أتحدث عنه</v>
      </c>
    </row>
    <row r="8498" ht="15.75" customHeight="1">
      <c r="A8498" s="12" t="s">
        <v>18368</v>
      </c>
      <c r="B8498" s="13" t="s">
        <v>18369</v>
      </c>
      <c r="C8498" s="14" t="s">
        <v>18370</v>
      </c>
      <c r="D8498" s="1" t="str">
        <f>IFERROR(__xludf.DUMMYFUNCTION("GOOGLETRANSLATE(A8498 , ""auto"", ""ar"")"),"أوه ، لقد حصلت عليه")</f>
        <v>أوه ، لقد حصلت عليه</v>
      </c>
    </row>
    <row r="8499" ht="15.75" customHeight="1">
      <c r="A8499" s="12" t="s">
        <v>18371</v>
      </c>
      <c r="B8499" s="13" t="s">
        <v>18372</v>
      </c>
      <c r="C8499" s="14" t="s">
        <v>18373</v>
      </c>
      <c r="D8499" s="1" t="str">
        <f>IFERROR(__xludf.DUMMYFUNCTION("GOOGLETRANSLATE(A8499 , ""auto"", ""ar"")"),"سآخذ قيلتي بعد ذلك")</f>
        <v>سآخذ قيلتي بعد ذلك</v>
      </c>
    </row>
    <row r="8500" ht="15.75" customHeight="1">
      <c r="A8500" s="12" t="s">
        <v>18374</v>
      </c>
      <c r="B8500" s="13" t="s">
        <v>18375</v>
      </c>
      <c r="C8500" s="14" t="s">
        <v>18376</v>
      </c>
      <c r="D8500" s="1" t="str">
        <f>IFERROR(__xludf.DUMMYFUNCTION("GOOGLETRANSLATE(A8500 , ""auto"", ""ar"")"),"كبدك ، أنا آسف")</f>
        <v>كبدك ، أنا آسف</v>
      </c>
    </row>
    <row r="8501" ht="15.75" customHeight="1">
      <c r="A8501" s="12" t="s">
        <v>18377</v>
      </c>
      <c r="B8501" s="13" t="s">
        <v>18378</v>
      </c>
      <c r="C8501" s="14" t="s">
        <v>18379</v>
      </c>
      <c r="D8501" s="1" t="str">
        <f>IFERROR(__xludf.DUMMYFUNCTION("GOOGLETRANSLATE(A8501 , ""auto"", ""ar"")"),"طعمه أفضل مع كريم مزدوج")</f>
        <v>طعمه أفضل مع كريم مزدوج</v>
      </c>
    </row>
    <row r="8502" ht="15.75" customHeight="1">
      <c r="A8502" s="12" t="s">
        <v>18380</v>
      </c>
      <c r="B8502" s="13" t="s">
        <v>18381</v>
      </c>
      <c r="C8502" s="14" t="s">
        <v>18382</v>
      </c>
      <c r="D8502" s="1" t="str">
        <f>IFERROR(__xludf.DUMMYFUNCTION("GOOGLETRANSLATE(A8502 , ""auto"", ""ar"")"),"لا أفضل")</f>
        <v>لا أفضل</v>
      </c>
    </row>
    <row r="8503" ht="15.75" customHeight="1">
      <c r="A8503" s="12" t="s">
        <v>18383</v>
      </c>
      <c r="B8503" s="13" t="s">
        <v>18384</v>
      </c>
      <c r="C8503" s="14" t="s">
        <v>18385</v>
      </c>
      <c r="D8503" s="1" t="str">
        <f>IFERROR(__xludf.DUMMYFUNCTION("GOOGLETRANSLATE(A8503 , ""auto"", ""ar"")"),"تأخير البناء ، ما كل هذا؟")</f>
        <v>تأخير البناء ، ما كل هذا؟</v>
      </c>
    </row>
    <row r="8504" ht="15.75" customHeight="1">
      <c r="A8504" s="12" t="s">
        <v>18386</v>
      </c>
      <c r="B8504" s="13" t="s">
        <v>18387</v>
      </c>
      <c r="C8504" s="14" t="s">
        <v>18388</v>
      </c>
      <c r="D8504" s="1" t="str">
        <f>IFERROR(__xludf.DUMMYFUNCTION("GOOGLETRANSLATE(A8504 , ""auto"", ""ar"")"),"هناك الكثير لتنظيمه رغم ذلك")</f>
        <v>هناك الكثير لتنظيمه رغم ذلك</v>
      </c>
    </row>
    <row r="8505" ht="15.75" customHeight="1">
      <c r="A8505" s="12" t="s">
        <v>18389</v>
      </c>
      <c r="B8505" s="13" t="s">
        <v>18390</v>
      </c>
      <c r="C8505" s="14" t="s">
        <v>18391</v>
      </c>
      <c r="D8505" s="1" t="str">
        <f>IFERROR(__xludf.DUMMYFUNCTION("GOOGLETRANSLATE(A8505 , ""auto"", ""ar"")"),"هل يمكن أن تأتي من 15 ساعة لمساعدتي في إعدادها!")</f>
        <v>هل يمكن أن تأتي من 15 ساعة لمساعدتي في إعدادها!</v>
      </c>
    </row>
    <row r="8506" ht="15.75" customHeight="1">
      <c r="A8506" s="12" t="s">
        <v>18392</v>
      </c>
      <c r="B8506" s="13" t="s">
        <v>18393</v>
      </c>
      <c r="C8506" s="14" t="s">
        <v>18394</v>
      </c>
      <c r="D8506" s="1" t="str">
        <f>IFERROR(__xludf.DUMMYFUNCTION("GOOGLETRANSLATE(A8506 , ""auto"", ""ar"")"),"أفترض أنك تعني الممرات")</f>
        <v>أفترض أنك تعني الممرات</v>
      </c>
    </row>
    <row r="8507" ht="15.75" customHeight="1">
      <c r="A8507" s="12" t="s">
        <v>18395</v>
      </c>
      <c r="B8507" s="13" t="s">
        <v>18396</v>
      </c>
      <c r="C8507" s="14" t="s">
        <v>18397</v>
      </c>
      <c r="D8507" s="1" t="str">
        <f>IFERROR(__xludf.DUMMYFUNCTION("GOOGLETRANSLATE(A8507 , ""auto"", ""ar"")"),"تم حفظها!")</f>
        <v>تم حفظها!</v>
      </c>
    </row>
    <row r="8508" ht="15.75" customHeight="1">
      <c r="A8508" s="12" t="s">
        <v>18398</v>
      </c>
      <c r="B8508" s="13" t="s">
        <v>18399</v>
      </c>
      <c r="C8508" s="14" t="s">
        <v>18400</v>
      </c>
      <c r="D8508" s="1" t="str">
        <f>IFERROR(__xludf.DUMMYFUNCTION("GOOGLETRANSLATE(A8508 , ""auto"", ""ar"")"),"أحسنت لاستعادتنا")</f>
        <v>أحسنت لاستعادتنا</v>
      </c>
    </row>
    <row r="8509" ht="15.75" customHeight="1">
      <c r="A8509" s="12" t="s">
        <v>18401</v>
      </c>
      <c r="B8509" s="13" t="s">
        <v>18402</v>
      </c>
      <c r="C8509" s="14" t="s">
        <v>18403</v>
      </c>
      <c r="D8509" s="1" t="str">
        <f>IFERROR(__xludf.DUMMYFUNCTION("GOOGLETRANSLATE(A8509 , ""auto"", ""ar"")"),"صباح الخير يا سيد هاتيم ، كيف تشعر هذا الصباح؟")</f>
        <v>صباح الخير يا سيد هاتيم ، كيف تشعر هذا الصباح؟</v>
      </c>
    </row>
    <row r="8510" ht="15.75" customHeight="1">
      <c r="A8510" s="12" t="s">
        <v>18404</v>
      </c>
      <c r="B8510" s="13" t="s">
        <v>18405</v>
      </c>
      <c r="C8510" s="14" t="s">
        <v>18406</v>
      </c>
      <c r="D8510" s="1" t="str">
        <f>IFERROR(__xludf.DUMMYFUNCTION("GOOGLETRANSLATE(A8510 , ""auto"", ""ar"")"),"أكلت ثلاثة ضفادع وقواقع")</f>
        <v>أكلت ثلاثة ضفادع وقواقع</v>
      </c>
    </row>
    <row r="8511" ht="15.75" customHeight="1">
      <c r="A8511" s="12" t="s">
        <v>18407</v>
      </c>
      <c r="B8511" s="13" t="s">
        <v>18408</v>
      </c>
      <c r="C8511" s="14" t="s">
        <v>18409</v>
      </c>
      <c r="D8511" s="1" t="str">
        <f>IFERROR(__xludf.DUMMYFUNCTION("GOOGLETRANSLATE(A8511 , ""auto"", ""ar"")"),"هل كان ذلك لتناول الإفطار؟")</f>
        <v>هل كان ذلك لتناول الإفطار؟</v>
      </c>
    </row>
    <row r="8512" ht="15.75" customHeight="1">
      <c r="A8512" s="12" t="s">
        <v>18410</v>
      </c>
      <c r="B8512" s="13" t="s">
        <v>18411</v>
      </c>
      <c r="C8512" s="14" t="s">
        <v>18412</v>
      </c>
      <c r="D8512" s="1" t="str">
        <f>IFERROR(__xludf.DUMMYFUNCTION("GOOGLETRANSLATE(A8512 , ""auto"", ""ar"")"),"وعلى جانبك؟")</f>
        <v>وعلى جانبك؟</v>
      </c>
    </row>
    <row r="8513" ht="15.75" customHeight="1">
      <c r="A8513" s="12" t="s">
        <v>18413</v>
      </c>
      <c r="B8513" s="13" t="s">
        <v>18414</v>
      </c>
      <c r="C8513" s="14" t="s">
        <v>18415</v>
      </c>
      <c r="D8513" s="1" t="str">
        <f>IFERROR(__xludf.DUMMYFUNCTION("GOOGLETRANSLATE(A8513 , ""auto"", ""ar"")"),"بخير شكرا لك")</f>
        <v>بخير شكرا لك</v>
      </c>
    </row>
    <row r="8514" ht="15.75" customHeight="1">
      <c r="A8514" s="12" t="s">
        <v>18416</v>
      </c>
      <c r="B8514" s="13" t="s">
        <v>18417</v>
      </c>
      <c r="C8514" s="14" t="s">
        <v>18418</v>
      </c>
      <c r="D8514" s="1" t="str">
        <f>IFERROR(__xludf.DUMMYFUNCTION("GOOGLETRANSLATE(A8514 , ""auto"", ""ar"")"),"أشعر أنني أرى مزدوجًا")</f>
        <v>أشعر أنني أرى مزدوجًا</v>
      </c>
    </row>
    <row r="8515" ht="15.75" customHeight="1">
      <c r="A8515" s="12" t="s">
        <v>18419</v>
      </c>
      <c r="B8515" s="13" t="s">
        <v>18420</v>
      </c>
      <c r="C8515" s="14" t="s">
        <v>18421</v>
      </c>
      <c r="D8515" s="1" t="str">
        <f>IFERROR(__xludf.DUMMYFUNCTION("GOOGLETRANSLATE(A8515 , ""auto"", ""ar"")"),"عندما أرى اللون الأخضر ، أرى اللون الأحمر أيضًا")</f>
        <v>عندما أرى اللون الأخضر ، أرى اللون الأحمر أيضًا</v>
      </c>
    </row>
    <row r="8516" ht="15.75" customHeight="1">
      <c r="A8516" s="12" t="s">
        <v>18422</v>
      </c>
      <c r="B8516" s="13" t="s">
        <v>18423</v>
      </c>
      <c r="C8516" s="14" t="s">
        <v>18424</v>
      </c>
      <c r="D8516" s="1" t="str">
        <f>IFERROR(__xludf.DUMMYFUNCTION("GOOGLETRANSLATE(A8516 , ""auto"", ""ar"")"),"هل ترى الأخضر والأحمر معًا طوال الوقت؟")</f>
        <v>هل ترى الأخضر والأحمر معًا طوال الوقت؟</v>
      </c>
    </row>
    <row r="8517" ht="15.75" customHeight="1">
      <c r="A8517" s="12" t="s">
        <v>18425</v>
      </c>
      <c r="B8517" s="13" t="s">
        <v>18426</v>
      </c>
      <c r="C8517" s="14" t="s">
        <v>18427</v>
      </c>
      <c r="D8517" s="1" t="str">
        <f>IFERROR(__xludf.DUMMYFUNCTION("GOOGLETRANSLATE(A8517 , ""auto"", ""ar"")"),"أو فقط في أوقات معينة؟")</f>
        <v>أو فقط في أوقات معينة؟</v>
      </c>
    </row>
    <row r="8518" ht="15.75" customHeight="1">
      <c r="A8518" s="12" t="s">
        <v>18428</v>
      </c>
      <c r="B8518" s="13" t="s">
        <v>18429</v>
      </c>
      <c r="C8518" s="14" t="s">
        <v>18430</v>
      </c>
      <c r="D8518" s="1" t="str">
        <f>IFERROR(__xludf.DUMMYFUNCTION("GOOGLETRANSLATE(A8518 , ""auto"", ""ar"")"),"إذا كان الأمر كذلك ، متى؟")</f>
        <v>إذا كان الأمر كذلك ، متى؟</v>
      </c>
    </row>
    <row r="8519" ht="15.75" customHeight="1">
      <c r="A8519" s="12" t="s">
        <v>18431</v>
      </c>
      <c r="B8519" s="13" t="s">
        <v>18432</v>
      </c>
      <c r="C8519" s="14" t="s">
        <v>18433</v>
      </c>
      <c r="D8519" s="1" t="str">
        <f>IFERROR(__xludf.DUMMYFUNCTION("GOOGLETRANSLATE(A8519 , ""auto"", ""ar"")"),"على قطعة خبز واحدة")</f>
        <v>على قطعة خبز واحدة</v>
      </c>
    </row>
    <row r="8520" ht="15.75" customHeight="1">
      <c r="A8520" s="12" t="s">
        <v>18434</v>
      </c>
      <c r="B8520" s="13" t="s">
        <v>18435</v>
      </c>
      <c r="C8520" s="14" t="s">
        <v>18436</v>
      </c>
      <c r="D8520" s="1" t="str">
        <f>IFERROR(__xludf.DUMMYFUNCTION("GOOGLETRANSLATE(A8520 , ""auto"", ""ar"")"),"هل تعتقد حقًا أنه من الممكن الحصول على ثلاثة؟")</f>
        <v>هل تعتقد حقًا أنه من الممكن الحصول على ثلاثة؟</v>
      </c>
    </row>
    <row r="8521" ht="15.75" customHeight="1">
      <c r="A8521" s="12" t="s">
        <v>18437</v>
      </c>
      <c r="B8521" s="13" t="s">
        <v>18438</v>
      </c>
      <c r="C8521" s="14" t="s">
        <v>18439</v>
      </c>
      <c r="D8521" s="1" t="str">
        <f>IFERROR(__xludf.DUMMYFUNCTION("GOOGLETRANSLATE(A8521 , ""auto"", ""ar"")"),"يجب أن يكونوا قريبًا جدًا من بعضهم البعض")</f>
        <v>يجب أن يكونوا قريبًا جدًا من بعضهم البعض</v>
      </c>
    </row>
    <row r="8522" ht="15.75" customHeight="1">
      <c r="A8522" s="12" t="s">
        <v>18440</v>
      </c>
      <c r="B8522" s="13" t="s">
        <v>18441</v>
      </c>
      <c r="C8522" s="14" t="s">
        <v>18442</v>
      </c>
      <c r="D8522" s="1" t="str">
        <f>IFERROR(__xludf.DUMMYFUNCTION("GOOGLETRANSLATE(A8522 , ""auto"", ""ar"")"),"وقد يكون من الصعب للغاية إدراكها")</f>
        <v>وقد يكون من الصعب للغاية إدراكها</v>
      </c>
    </row>
    <row r="8523" ht="15.75" customHeight="1">
      <c r="A8523" s="12" t="s">
        <v>18443</v>
      </c>
      <c r="B8523" s="13" t="s">
        <v>18444</v>
      </c>
      <c r="C8523" s="14" t="s">
        <v>18445</v>
      </c>
      <c r="D8523" s="1" t="str">
        <f>IFERROR(__xludf.DUMMYFUNCTION("GOOGLETRANSLATE(A8523 , ""auto"", ""ar"")"),"اجلس هنا")</f>
        <v>اجلس هنا</v>
      </c>
    </row>
    <row r="8524" ht="15.75" customHeight="1">
      <c r="A8524" s="12" t="s">
        <v>18443</v>
      </c>
      <c r="B8524" s="13" t="s">
        <v>18446</v>
      </c>
      <c r="C8524" s="14" t="s">
        <v>18447</v>
      </c>
      <c r="D8524" s="1" t="str">
        <f>IFERROR(__xludf.DUMMYFUNCTION("GOOGLETRANSLATE(A8524 , ""auto"", ""ar"")"),"اجلس هنا")</f>
        <v>اجلس هنا</v>
      </c>
    </row>
    <row r="8525" ht="15.75" customHeight="1">
      <c r="A8525" s="12" t="s">
        <v>18443</v>
      </c>
      <c r="B8525" s="13" t="s">
        <v>18448</v>
      </c>
      <c r="C8525" s="14" t="s">
        <v>18449</v>
      </c>
      <c r="D8525" s="1" t="str">
        <f>IFERROR(__xludf.DUMMYFUNCTION("GOOGLETRANSLATE(A8525 , ""auto"", ""ar"")"),"اجلس هنا")</f>
        <v>اجلس هنا</v>
      </c>
    </row>
    <row r="8526" ht="15.75" customHeight="1">
      <c r="A8526" s="12" t="s">
        <v>18450</v>
      </c>
      <c r="B8526" s="13" t="s">
        <v>18451</v>
      </c>
      <c r="C8526" s="14" t="s">
        <v>18452</v>
      </c>
      <c r="D8526" s="1" t="str">
        <f>IFERROR(__xludf.DUMMYFUNCTION("GOOGLETRANSLATE(A8526 , ""auto"", ""ar"")"),"آمل أن تتمكن من مساعدتي")</f>
        <v>آمل أن تتمكن من مساعدتي</v>
      </c>
    </row>
    <row r="8527" ht="15.75" customHeight="1">
      <c r="A8527" s="12" t="s">
        <v>18453</v>
      </c>
      <c r="B8527" s="13" t="s">
        <v>18454</v>
      </c>
      <c r="C8527" s="14" t="s">
        <v>18455</v>
      </c>
      <c r="D8527" s="1" t="str">
        <f>IFERROR(__xludf.DUMMYFUNCTION("GOOGLETRANSLATE(A8527 , ""auto"", ""ar"")"),"لقد شعرت بالحزن الشديد مؤخرًا")</f>
        <v>لقد شعرت بالحزن الشديد مؤخرًا</v>
      </c>
    </row>
    <row r="8528" ht="15.75" customHeight="1">
      <c r="A8528" s="12" t="s">
        <v>18456</v>
      </c>
      <c r="B8528" s="13" t="s">
        <v>18457</v>
      </c>
      <c r="C8528" s="14" t="s">
        <v>18458</v>
      </c>
      <c r="D8528" s="1" t="str">
        <f>IFERROR(__xludf.DUMMYFUNCTION("GOOGLETRANSLATE(A8528 , ""auto"", ""ar"")"),"بالتوازي ، قطعنا نصف الحبوب")</f>
        <v>بالتوازي ، قطعنا نصف الحبوب</v>
      </c>
    </row>
    <row r="8529" ht="15.75" customHeight="1">
      <c r="A8529" s="12" t="s">
        <v>18459</v>
      </c>
      <c r="B8529" s="13" t="s">
        <v>18460</v>
      </c>
      <c r="C8529" s="14" t="s">
        <v>18461</v>
      </c>
      <c r="D8529" s="1" t="str">
        <f>IFERROR(__xludf.DUMMYFUNCTION("GOOGLETRANSLATE(A8529 , ""auto"", ""ar"")"),"لقد مر وقت طويل منذ أن اضطررنا إلى الوصول إلى الطريق")</f>
        <v>لقد مر وقت طويل منذ أن اضطررنا إلى الوصول إلى الطريق</v>
      </c>
    </row>
    <row r="8530" ht="15.75" customHeight="1">
      <c r="A8530" s="12" t="s">
        <v>18462</v>
      </c>
      <c r="B8530" s="13" t="s">
        <v>18463</v>
      </c>
      <c r="C8530" s="14" t="s">
        <v>18464</v>
      </c>
      <c r="D8530" s="1" t="str">
        <f>IFERROR(__xludf.DUMMYFUNCTION("GOOGLETRANSLATE(A8530 , ""auto"", ""ar"")"),"أشعر أننا ضائعون")</f>
        <v>أشعر أننا ضائعون</v>
      </c>
    </row>
    <row r="8531" ht="15.75" customHeight="1">
      <c r="A8531" s="12" t="s">
        <v>18465</v>
      </c>
      <c r="B8531" s="13" t="s">
        <v>18466</v>
      </c>
      <c r="C8531" s="14" t="s">
        <v>18467</v>
      </c>
      <c r="D8531" s="1" t="str">
        <f>IFERROR(__xludf.DUMMYFUNCTION("GOOGLETRANSLATE(A8531 , ""auto"", ""ar"")"),"انتظر ، سوف أنظر في حقيبتي")</f>
        <v>انتظر ، سوف أنظر في حقيبتي</v>
      </c>
    </row>
    <row r="8532" ht="15.75" customHeight="1">
      <c r="A8532" s="12" t="s">
        <v>18468</v>
      </c>
      <c r="B8532" s="13" t="s">
        <v>18469</v>
      </c>
      <c r="C8532" s="14" t="s">
        <v>18470</v>
      </c>
      <c r="D8532" s="1" t="str">
        <f>IFERROR(__xludf.DUMMYFUNCTION("GOOGLETRANSLATE(A8532 , ""auto"", ""ar"")"),"حسنًا ، لا يمكنني العثور على الخريطة")</f>
        <v>حسنًا ، لا يمكنني العثور على الخريطة</v>
      </c>
    </row>
    <row r="8533" ht="15.75" customHeight="1">
      <c r="A8533" s="12" t="s">
        <v>18471</v>
      </c>
      <c r="B8533" s="13" t="s">
        <v>18472</v>
      </c>
      <c r="C8533" s="14" t="s">
        <v>18473</v>
      </c>
      <c r="D8533" s="1" t="str">
        <f>IFERROR(__xludf.DUMMYFUNCTION("GOOGLETRANSLATE(A8533 , ""auto"", ""ar"")"),"ولكن لا تزال هناك شوكولاتة ، هل تريد البعض؟")</f>
        <v>ولكن لا تزال هناك شوكولاتة ، هل تريد البعض؟</v>
      </c>
    </row>
    <row r="8534" ht="15.75" customHeight="1">
      <c r="A8534" s="12" t="s">
        <v>18474</v>
      </c>
      <c r="B8534" s="13" t="s">
        <v>18475</v>
      </c>
      <c r="C8534" s="14" t="s">
        <v>18476</v>
      </c>
      <c r="D8534" s="1" t="str">
        <f>IFERROR(__xludf.DUMMYFUNCTION("GOOGLETRANSLATE(A8534 , ""auto"", ""ar"")"),"لست متأكدًا مما يمكننا القيام به بدون الخريطة")</f>
        <v>لست متأكدًا مما يمكننا القيام به بدون الخريطة</v>
      </c>
    </row>
    <row r="8535" ht="15.75" customHeight="1">
      <c r="A8535" s="12" t="s">
        <v>18477</v>
      </c>
      <c r="B8535" s="13" t="s">
        <v>18478</v>
      </c>
      <c r="C8535" s="14" t="s">
        <v>18479</v>
      </c>
      <c r="D8535" s="1" t="str">
        <f>IFERROR(__xludf.DUMMYFUNCTION("GOOGLETRANSLATE(A8535 , ""auto"", ""ar"")"),"ربما تجد نهر")</f>
        <v>ربما تجد نهر</v>
      </c>
    </row>
    <row r="8536" ht="15.75" customHeight="1">
      <c r="A8536" s="12" t="s">
        <v>18480</v>
      </c>
      <c r="B8536" s="13" t="s">
        <v>18481</v>
      </c>
      <c r="C8536" s="14" t="s">
        <v>18482</v>
      </c>
      <c r="D8536" s="1" t="str">
        <f>IFERROR(__xludf.DUMMYFUNCTION("GOOGLETRANSLATE(A8536 , ""auto"", ""ar"")"),"من الغباء أن تضيع عندما يكون لدينا خريطة جيدة!")</f>
        <v>من الغباء أن تضيع عندما يكون لدينا خريطة جيدة!</v>
      </c>
    </row>
    <row r="8537" ht="15.75" customHeight="1">
      <c r="A8537" s="12" t="s">
        <v>18483</v>
      </c>
      <c r="B8537" s="13" t="s">
        <v>18484</v>
      </c>
      <c r="C8537" s="14" t="s">
        <v>18485</v>
      </c>
      <c r="D8537" s="1" t="str">
        <f>IFERROR(__xludf.DUMMYFUNCTION("GOOGLETRANSLATE(A8537 , ""auto"", ""ar"")"),"لماذا أعطيتها لوبنا في وقت سابق؟")</f>
        <v>لماذا أعطيتها لوبنا في وقت سابق؟</v>
      </c>
    </row>
    <row r="8538" ht="15.75" customHeight="1">
      <c r="A8538" s="12" t="s">
        <v>18486</v>
      </c>
      <c r="B8538" s="13" t="s">
        <v>18487</v>
      </c>
      <c r="C8538" s="14" t="s">
        <v>18488</v>
      </c>
      <c r="D8538" s="1" t="str">
        <f>IFERROR(__xludf.DUMMYFUNCTION("GOOGLETRANSLATE(A8538 , ""auto"", ""ar"")"),"أنت تعرف جيدا لماذا!")</f>
        <v>أنت تعرف جيدا لماذا!</v>
      </c>
    </row>
    <row r="8539" ht="15.75" customHeight="1">
      <c r="A8539" s="12" t="s">
        <v>18489</v>
      </c>
      <c r="B8539" s="13" t="s">
        <v>18490</v>
      </c>
      <c r="C8539" s="14" t="s">
        <v>18491</v>
      </c>
      <c r="D8539" s="1" t="str">
        <f>IFERROR(__xludf.DUMMYFUNCTION("GOOGLETRANSLATE(A8539 , ""auto"", ""ar"")"),"كانت هذه هي الطريقة الوحيدة لجعلهم يعيدوننا طعامنا")</f>
        <v>كانت هذه هي الطريقة الوحيدة لجعلهم يعيدوننا طعامنا</v>
      </c>
    </row>
    <row r="8540" ht="15.75" customHeight="1">
      <c r="A8540" s="12" t="s">
        <v>18492</v>
      </c>
      <c r="B8540" s="13" t="s">
        <v>18493</v>
      </c>
      <c r="C8540" s="14" t="s">
        <v>18494</v>
      </c>
      <c r="D8540" s="1" t="str">
        <f>IFERROR(__xludf.DUMMYFUNCTION("GOOGLETRANSLATE(A8540 , ""auto"", ""ar"")"),"شوكة؟")</f>
        <v>شوكة؟</v>
      </c>
    </row>
    <row r="8541" ht="15.75" customHeight="1">
      <c r="A8541" s="12" t="s">
        <v>18495</v>
      </c>
      <c r="B8541" s="13" t="s">
        <v>18496</v>
      </c>
      <c r="C8541" s="14" t="s">
        <v>18497</v>
      </c>
      <c r="D8541" s="1" t="str">
        <f>IFERROR(__xludf.DUMMYFUNCTION("GOOGLETRANSLATE(A8541 , ""auto"", ""ar"")"),"لا ، لم أفتحه بعد")</f>
        <v>لا ، لم أفتحه بعد</v>
      </c>
    </row>
    <row r="8542" ht="15.75" customHeight="1">
      <c r="A8542" s="12" t="s">
        <v>18498</v>
      </c>
      <c r="B8542" s="13" t="s">
        <v>18499</v>
      </c>
      <c r="C8542" s="14" t="s">
        <v>18500</v>
      </c>
      <c r="D8542" s="1" t="str">
        <f>IFERROR(__xludf.DUMMYFUNCTION("GOOGLETRANSLATE(A8542 , ""auto"", ""ar"")"),"دعني ألقي نظرة")</f>
        <v>دعني ألقي نظرة</v>
      </c>
    </row>
    <row r="8543" ht="15.75" customHeight="1">
      <c r="A8543" s="12" t="s">
        <v>18498</v>
      </c>
      <c r="B8543" s="13" t="s">
        <v>18501</v>
      </c>
      <c r="C8543" s="14" t="s">
        <v>18502</v>
      </c>
      <c r="D8543" s="1" t="str">
        <f>IFERROR(__xludf.DUMMYFUNCTION("GOOGLETRANSLATE(A8543 , ""auto"", ""ar"")"),"دعني ألقي نظرة")</f>
        <v>دعني ألقي نظرة</v>
      </c>
    </row>
    <row r="8544" ht="15.75" customHeight="1">
      <c r="A8544" s="12" t="s">
        <v>18498</v>
      </c>
      <c r="B8544" s="13" t="s">
        <v>18503</v>
      </c>
      <c r="C8544" s="14" t="s">
        <v>10153</v>
      </c>
      <c r="D8544" s="1" t="str">
        <f>IFERROR(__xludf.DUMMYFUNCTION("GOOGLETRANSLATE(A8544 , ""auto"", ""ar"")"),"دعني ألقي نظرة")</f>
        <v>دعني ألقي نظرة</v>
      </c>
    </row>
    <row r="8545" ht="15.75" customHeight="1">
      <c r="A8545" s="12" t="s">
        <v>18504</v>
      </c>
      <c r="B8545" s="13" t="s">
        <v>18505</v>
      </c>
      <c r="C8545" s="14" t="s">
        <v>18506</v>
      </c>
      <c r="D8545" s="1" t="str">
        <f>IFERROR(__xludf.DUMMYFUNCTION("GOOGLETRANSLATE(A8545 , ""auto"", ""ar"")"),"تقصد أن الرائحة تأتي من هديةك؟")</f>
        <v>تقصد أن الرائحة تأتي من هديةك؟</v>
      </c>
    </row>
    <row r="8546" ht="15.75" customHeight="1">
      <c r="A8546" s="12" t="s">
        <v>3680</v>
      </c>
      <c r="B8546" s="13" t="s">
        <v>18507</v>
      </c>
      <c r="C8546" s="14" t="s">
        <v>18508</v>
      </c>
      <c r="D8546" s="1" t="str">
        <f>IFERROR(__xludf.DUMMYFUNCTION("GOOGLETRANSLATE(A8546 , ""auto"", ""ar"")"),"كيف حالك؟")</f>
        <v>كيف حالك؟</v>
      </c>
    </row>
    <row r="8547" ht="15.75" customHeight="1">
      <c r="A8547" s="12" t="s">
        <v>18509</v>
      </c>
      <c r="B8547" s="13" t="s">
        <v>18510</v>
      </c>
      <c r="C8547" s="14" t="s">
        <v>18511</v>
      </c>
      <c r="D8547" s="1" t="str">
        <f>IFERROR(__xludf.DUMMYFUNCTION("GOOGLETRANSLATE(A8547 , ""auto"", ""ar"")"),"هل تناولت فطارك؟")</f>
        <v>هل تناولت فطارك؟</v>
      </c>
    </row>
    <row r="8548" ht="15.75" customHeight="1">
      <c r="A8548" s="12" t="s">
        <v>18512</v>
      </c>
      <c r="B8548" s="13" t="s">
        <v>18513</v>
      </c>
      <c r="C8548" s="14" t="s">
        <v>18514</v>
      </c>
      <c r="D8548" s="1" t="str">
        <f>IFERROR(__xludf.DUMMYFUNCTION("GOOGLETRANSLATE(A8548 , ""auto"", ""ar"")"),"هل أنت جائع؟")</f>
        <v>هل أنت جائع؟</v>
      </c>
    </row>
    <row r="8549" ht="15.75" customHeight="1">
      <c r="A8549" s="12" t="s">
        <v>18515</v>
      </c>
      <c r="B8549" s="13" t="s">
        <v>18516</v>
      </c>
      <c r="C8549" s="14" t="s">
        <v>18517</v>
      </c>
      <c r="D8549" s="1" t="str">
        <f>IFERROR(__xludf.DUMMYFUNCTION("GOOGLETRANSLATE(A8549 , ""auto"", ""ar"")"),"ماذا تريد لتناول الإفطار؟")</f>
        <v>ماذا تريد لتناول الإفطار؟</v>
      </c>
    </row>
    <row r="8550" ht="15.75" customHeight="1">
      <c r="A8550" s="12" t="s">
        <v>18518</v>
      </c>
      <c r="B8550" s="13" t="s">
        <v>18519</v>
      </c>
      <c r="C8550" s="14" t="s">
        <v>18520</v>
      </c>
      <c r="D8550" s="1" t="str">
        <f>IFERROR(__xludf.DUMMYFUNCTION("GOOGLETRANSLATE(A8550 , ""auto"", ""ar"")"),"هل تشرب الشاي؟")</f>
        <v>هل تشرب الشاي؟</v>
      </c>
    </row>
    <row r="8551" ht="15.75" customHeight="1">
      <c r="A8551" s="12" t="s">
        <v>18521</v>
      </c>
      <c r="B8551" s="13" t="s">
        <v>18522</v>
      </c>
      <c r="C8551" s="14" t="s">
        <v>18523</v>
      </c>
      <c r="D8551" s="1" t="str">
        <f>IFERROR(__xludf.DUMMYFUNCTION("GOOGLETRANSLATE(A8551 , ""auto"", ""ar"")"),"هل تشرب الشاي بدون سكر؟")</f>
        <v>هل تشرب الشاي بدون سكر؟</v>
      </c>
    </row>
    <row r="8552" ht="15.75" customHeight="1">
      <c r="A8552" s="12" t="s">
        <v>18524</v>
      </c>
      <c r="B8552" s="13" t="s">
        <v>18525</v>
      </c>
      <c r="C8552" s="14" t="s">
        <v>18526</v>
      </c>
      <c r="D8552" s="1" t="str">
        <f>IFERROR(__xludf.DUMMYFUNCTION("GOOGLETRANSLATE(A8552 , ""auto"", ""ar"")"),"هل تريد بعض القهوة؟")</f>
        <v>هل تريد بعض القهوة؟</v>
      </c>
    </row>
    <row r="8553" ht="15.75" customHeight="1">
      <c r="A8553" s="12" t="s">
        <v>18527</v>
      </c>
      <c r="B8553" s="13" t="s">
        <v>18528</v>
      </c>
      <c r="C8553" s="14" t="s">
        <v>18529</v>
      </c>
      <c r="D8553" s="1" t="str">
        <f>IFERROR(__xludf.DUMMYFUNCTION("GOOGLETRANSLATE(A8553 , ""auto"", ""ar"")"),"أنا جائع")</f>
        <v>أنا جائع</v>
      </c>
    </row>
    <row r="8554" ht="15.75" customHeight="1">
      <c r="A8554" s="12" t="s">
        <v>18530</v>
      </c>
      <c r="B8554" s="13" t="s">
        <v>18531</v>
      </c>
      <c r="C8554" s="14" t="s">
        <v>18532</v>
      </c>
      <c r="D8554" s="1" t="str">
        <f>IFERROR(__xludf.DUMMYFUNCTION("GOOGLETRANSLATE(A8554 , ""auto"", ""ar"")"),"هل هناك أي شيء لتناول الطعام؟")</f>
        <v>هل هناك أي شيء لتناول الطعام؟</v>
      </c>
    </row>
    <row r="8555" ht="15.75" customHeight="1">
      <c r="A8555" s="12" t="s">
        <v>18533</v>
      </c>
      <c r="B8555" s="13" t="s">
        <v>18534</v>
      </c>
      <c r="C8555" s="14" t="s">
        <v>18535</v>
      </c>
      <c r="D8555" s="1" t="str">
        <f>IFERROR(__xludf.DUMMYFUNCTION("GOOGLETRANSLATE(A8555 , ""auto"", ""ar"")"),"هذا شهي")</f>
        <v>هذا شهي</v>
      </c>
    </row>
    <row r="8556" ht="15.75" customHeight="1">
      <c r="A8556" s="12" t="s">
        <v>18536</v>
      </c>
      <c r="B8556" s="13" t="s">
        <v>18537</v>
      </c>
      <c r="C8556" s="14" t="s">
        <v>18538</v>
      </c>
      <c r="D8556" s="1" t="str">
        <f>IFERROR(__xludf.DUMMYFUNCTION("GOOGLETRANSLATE(A8556 , ""auto"", ""ar"")"),"إنه مالح")</f>
        <v>إنه مالح</v>
      </c>
    </row>
    <row r="8557" ht="15.75" customHeight="1">
      <c r="A8557" s="12" t="s">
        <v>18539</v>
      </c>
      <c r="B8557" s="13" t="s">
        <v>18540</v>
      </c>
      <c r="C8557" s="14" t="s">
        <v>18541</v>
      </c>
      <c r="D8557" s="1" t="str">
        <f>IFERROR(__xludf.DUMMYFUNCTION("GOOGLETRANSLATE(A8557 , ""auto"", ""ar"")"),"انه جميل جدا")</f>
        <v>انه جميل جدا</v>
      </c>
    </row>
    <row r="8558" ht="15.75" customHeight="1">
      <c r="A8558" s="12" t="s">
        <v>18542</v>
      </c>
      <c r="B8558" s="13" t="s">
        <v>18543</v>
      </c>
      <c r="C8558" s="14" t="s">
        <v>18544</v>
      </c>
      <c r="D8558" s="1" t="str">
        <f>IFERROR(__xludf.DUMMYFUNCTION("GOOGLETRANSLATE(A8558 , ""auto"", ""ar"")"),"أنا لست جائعا الآن")</f>
        <v>أنا لست جائعا الآن</v>
      </c>
    </row>
    <row r="8559" ht="15.75" customHeight="1">
      <c r="A8559" s="12" t="s">
        <v>18545</v>
      </c>
      <c r="B8559" s="13" t="s">
        <v>18546</v>
      </c>
      <c r="C8559" s="14" t="s">
        <v>18547</v>
      </c>
      <c r="D8559" s="1" t="str">
        <f>IFERROR(__xludf.DUMMYFUNCTION("GOOGLETRANSLATE(A8559 , ""auto"", ""ar"")"),"هل يوجد أي خبز؟")</f>
        <v>هل يوجد أي خبز؟</v>
      </c>
    </row>
    <row r="8560" ht="15.75" customHeight="1">
      <c r="A8560" s="12" t="s">
        <v>18548</v>
      </c>
      <c r="B8560" s="13" t="s">
        <v>18549</v>
      </c>
      <c r="C8560" s="14" t="s">
        <v>18550</v>
      </c>
      <c r="D8560" s="1" t="str">
        <f>IFERROR(__xludf.DUMMYFUNCTION("GOOGLETRANSLATE(A8560 , ""auto"", ""ar"")"),"أين تريد تناول الإفطار؟")</f>
        <v>أين تريد تناول الإفطار؟</v>
      </c>
    </row>
    <row r="8561" ht="15.75" customHeight="1">
      <c r="A8561" s="12" t="s">
        <v>18551</v>
      </c>
      <c r="B8561" s="13" t="s">
        <v>18552</v>
      </c>
      <c r="C8561" s="14" t="s">
        <v>18553</v>
      </c>
      <c r="D8561" s="1" t="str">
        <f>IFERROR(__xludf.DUMMYFUNCTION("GOOGLETRANSLATE(A8561 , ""auto"", ""ar"")"),"أنا لا أشرب الشاي")</f>
        <v>أنا لا أشرب الشاي</v>
      </c>
    </row>
    <row r="8562" ht="15.75" customHeight="1">
      <c r="A8562" s="12" t="s">
        <v>18554</v>
      </c>
      <c r="B8562" s="13" t="s">
        <v>18555</v>
      </c>
      <c r="C8562" s="14" t="s">
        <v>18556</v>
      </c>
      <c r="D8562" s="1" t="str">
        <f>IFERROR(__xludf.DUMMYFUNCTION("GOOGLETRANSLATE(A8562 , ""auto"", ""ar"")"),"سأذهب إلى المقهى")</f>
        <v>سأذهب إلى المقهى</v>
      </c>
    </row>
    <row r="8563" ht="15.75" customHeight="1">
      <c r="A8563" s="12" t="s">
        <v>18557</v>
      </c>
      <c r="B8563" s="13" t="s">
        <v>18558</v>
      </c>
      <c r="C8563" s="14" t="s">
        <v>18559</v>
      </c>
      <c r="D8563" s="1" t="str">
        <f>IFERROR(__xludf.DUMMYFUNCTION("GOOGLETRANSLATE(A8563 , ""auto"", ""ar"")"),"متى تناولت الإفطار الخاص بك؟")</f>
        <v>متى تناولت الإفطار الخاص بك؟</v>
      </c>
    </row>
    <row r="8564" ht="15.75" customHeight="1">
      <c r="A8564" s="12" t="s">
        <v>18560</v>
      </c>
      <c r="B8564" s="13" t="s">
        <v>18561</v>
      </c>
      <c r="C8564" s="14" t="s">
        <v>18562</v>
      </c>
      <c r="D8564" s="1" t="str">
        <f>IFERROR(__xludf.DUMMYFUNCTION("GOOGLETRANSLATE(A8564 , ""auto"", ""ar"")"),"متى تناولت الغداء؟")</f>
        <v>متى تناولت الغداء؟</v>
      </c>
    </row>
    <row r="8565" ht="15.75" customHeight="1">
      <c r="A8565" s="12" t="s">
        <v>18563</v>
      </c>
      <c r="B8565" s="13" t="s">
        <v>18564</v>
      </c>
      <c r="C8565" s="14" t="s">
        <v>18565</v>
      </c>
      <c r="D8565" s="1" t="str">
        <f>IFERROR(__xludf.DUMMYFUNCTION("GOOGLETRANSLATE(A8565 , ""auto"", ""ar"")"),"متى تناولت العشاء؟")</f>
        <v>متى تناولت العشاء؟</v>
      </c>
    </row>
    <row r="8566" ht="15.75" customHeight="1">
      <c r="A8566" s="12" t="s">
        <v>18566</v>
      </c>
      <c r="B8566" s="13" t="s">
        <v>18567</v>
      </c>
      <c r="C8566" s="14" t="s">
        <v>18568</v>
      </c>
      <c r="D8566" s="1" t="str">
        <f>IFERROR(__xludf.DUMMYFUNCTION("GOOGLETRANSLATE(A8566 , ""auto"", ""ar"")"),"ماذا اكلت على الغداء؟")</f>
        <v>ماذا اكلت على الغداء؟</v>
      </c>
    </row>
    <row r="8567" ht="15.75" customHeight="1">
      <c r="A8567" s="12" t="s">
        <v>18569</v>
      </c>
      <c r="B8567" s="13" t="s">
        <v>18570</v>
      </c>
      <c r="C8567" s="14" t="s">
        <v>18571</v>
      </c>
      <c r="D8567" s="1" t="str">
        <f>IFERROR(__xludf.DUMMYFUNCTION("GOOGLETRANSLATE(A8567 , ""auto"", ""ar"")"),"ماذا أكلت في العشاء؟")</f>
        <v>ماذا أكلت في العشاء؟</v>
      </c>
    </row>
    <row r="8568" ht="15.75" customHeight="1">
      <c r="A8568" s="12" t="s">
        <v>18572</v>
      </c>
      <c r="B8568" s="13" t="s">
        <v>18573</v>
      </c>
      <c r="C8568" s="14" t="s">
        <v>18574</v>
      </c>
      <c r="D8568" s="1" t="str">
        <f>IFERROR(__xludf.DUMMYFUNCTION("GOOGLETRANSLATE(A8568 , ""auto"", ""ar"")"),"ماذا لديك لتناول الافطار؟")</f>
        <v>ماذا لديك لتناول الافطار؟</v>
      </c>
    </row>
    <row r="8569" ht="15.75" customHeight="1">
      <c r="A8569" s="12" t="s">
        <v>18575</v>
      </c>
      <c r="B8569" s="13" t="s">
        <v>18576</v>
      </c>
      <c r="C8569" s="14" t="s">
        <v>18577</v>
      </c>
      <c r="D8569" s="1" t="str">
        <f>IFERROR(__xludf.DUMMYFUNCTION("GOOGLETRANSLATE(A8569 , ""auto"", ""ar"")"),"لقد ولدت في أغادري")</f>
        <v>لقد ولدت في أغادري</v>
      </c>
    </row>
    <row r="8570" ht="15.75" customHeight="1">
      <c r="A8570" s="12" t="s">
        <v>18578</v>
      </c>
      <c r="B8570" s="13" t="s">
        <v>18579</v>
      </c>
      <c r="C8570" s="14" t="s">
        <v>18580</v>
      </c>
      <c r="D8570" s="1" t="str">
        <f>IFERROR(__xludf.DUMMYFUNCTION("GOOGLETRANSLATE(A8570 , ""auto"", ""ar"")"),"أين ذهبت؟")</f>
        <v>أين ذهبت؟</v>
      </c>
    </row>
    <row r="8571" ht="15.75" customHeight="1">
      <c r="A8571" s="12" t="s">
        <v>18581</v>
      </c>
      <c r="B8571" s="13" t="s">
        <v>18582</v>
      </c>
      <c r="C8571" s="14" t="s">
        <v>18583</v>
      </c>
      <c r="D8571" s="1" t="str">
        <f>IFERROR(__xludf.DUMMYFUNCTION("GOOGLETRANSLATE(A8571 , ""auto"", ""ar"")"),"ذهبت الى السوق")</f>
        <v>ذهبت الى السوق</v>
      </c>
    </row>
    <row r="8572" ht="15.75" customHeight="1">
      <c r="A8572" s="12" t="s">
        <v>18584</v>
      </c>
      <c r="B8572" s="13" t="s">
        <v>18585</v>
      </c>
      <c r="C8572" s="14" t="s">
        <v>18586</v>
      </c>
      <c r="D8572" s="1" t="str">
        <f>IFERROR(__xludf.DUMMYFUNCTION("GOOGLETRANSLATE(A8572 , ""auto"", ""ar"")"),"منزل من هذا؟")</f>
        <v>منزل من هذا؟</v>
      </c>
    </row>
    <row r="8573" ht="15.75" customHeight="1">
      <c r="A8573" s="12" t="s">
        <v>18587</v>
      </c>
      <c r="B8573" s="13" t="s">
        <v>18588</v>
      </c>
      <c r="C8573" s="14" t="s">
        <v>18589</v>
      </c>
      <c r="D8573" s="1" t="str">
        <f>IFERROR(__xludf.DUMMYFUNCTION("GOOGLETRANSLATE(A8573 , ""auto"", ""ar"")"),"اين تدرس؟")</f>
        <v>اين تدرس؟</v>
      </c>
    </row>
    <row r="8574" ht="15.75" customHeight="1">
      <c r="A8574" s="12" t="s">
        <v>18590</v>
      </c>
      <c r="B8574" s="13" t="s">
        <v>18591</v>
      </c>
      <c r="C8574" s="14" t="s">
        <v>18592</v>
      </c>
      <c r="D8574" s="1" t="str">
        <f>IFERROR(__xludf.DUMMYFUNCTION("GOOGLETRANSLATE(A8574 , ""auto"", ""ar"")"),"انا ادرس في الجامعه")</f>
        <v>انا ادرس في الجامعه</v>
      </c>
    </row>
    <row r="8575" ht="15.75" customHeight="1">
      <c r="A8575" s="12" t="s">
        <v>18593</v>
      </c>
      <c r="B8575" s="13" t="s">
        <v>18594</v>
      </c>
      <c r="C8575" s="14" t="s">
        <v>18595</v>
      </c>
      <c r="D8575" s="1" t="str">
        <f>IFERROR(__xludf.DUMMYFUNCTION("GOOGLETRANSLATE(A8575 , ""auto"", ""ar"")"),"هل تحتاج مساعدة؟")</f>
        <v>هل تحتاج مساعدة؟</v>
      </c>
    </row>
    <row r="8576" ht="15.75" customHeight="1">
      <c r="A8576" s="12" t="s">
        <v>18596</v>
      </c>
      <c r="B8576" s="13" t="s">
        <v>18597</v>
      </c>
      <c r="C8576" s="14" t="s">
        <v>18598</v>
      </c>
      <c r="D8576" s="1" t="str">
        <f>IFERROR(__xludf.DUMMYFUNCTION("GOOGLETRANSLATE(A8576 , ""auto"", ""ar"")"),"متى تنام؟")</f>
        <v>متى تنام؟</v>
      </c>
    </row>
    <row r="8577" ht="15.75" customHeight="1">
      <c r="A8577" s="12" t="s">
        <v>18599</v>
      </c>
      <c r="B8577" s="13" t="s">
        <v>18600</v>
      </c>
      <c r="C8577" s="14" t="s">
        <v>18601</v>
      </c>
      <c r="D8577" s="1" t="str">
        <f>IFERROR(__xludf.DUMMYFUNCTION("GOOGLETRANSLATE(A8577 , ""auto"", ""ar"")"),"ما اسم أخيك؟")</f>
        <v>ما اسم أخيك؟</v>
      </c>
    </row>
    <row r="8578" ht="15.75" customHeight="1">
      <c r="A8578" s="12" t="s">
        <v>18602</v>
      </c>
      <c r="B8578" s="13" t="s">
        <v>18603</v>
      </c>
      <c r="C8578" s="14" t="s">
        <v>18604</v>
      </c>
      <c r="D8578" s="1" t="str">
        <f>IFERROR(__xludf.DUMMYFUNCTION("GOOGLETRANSLATE(A8578 , ""auto"", ""ar"")"),"ما هو إسم أختك؟")</f>
        <v>ما هو إسم أختك؟</v>
      </c>
    </row>
    <row r="8579" ht="15.75" customHeight="1">
      <c r="A8579" s="12" t="s">
        <v>18605</v>
      </c>
      <c r="B8579" s="13" t="s">
        <v>18606</v>
      </c>
      <c r="C8579" s="14" t="s">
        <v>18607</v>
      </c>
      <c r="D8579" s="1" t="str">
        <f>IFERROR(__xludf.DUMMYFUNCTION("GOOGLETRANSLATE(A8579 , ""auto"", ""ar"")"),"اين المدرسة؟")</f>
        <v>اين المدرسة؟</v>
      </c>
    </row>
    <row r="8580" ht="15.75" customHeight="1">
      <c r="A8580" s="12" t="s">
        <v>18608</v>
      </c>
      <c r="B8580" s="13" t="s">
        <v>18609</v>
      </c>
      <c r="C8580" s="14" t="s">
        <v>18610</v>
      </c>
      <c r="D8580" s="1" t="str">
        <f>IFERROR(__xludf.DUMMYFUNCTION("GOOGLETRANSLATE(A8580 , ""auto"", ""ar"")"),"أين المستشفى؟")</f>
        <v>أين المستشفى؟</v>
      </c>
    </row>
    <row r="8581" ht="15.75" customHeight="1">
      <c r="A8581" s="12" t="s">
        <v>18611</v>
      </c>
      <c r="B8581" s="13" t="s">
        <v>18612</v>
      </c>
      <c r="C8581" s="14" t="s">
        <v>18613</v>
      </c>
      <c r="D8581" s="1" t="str">
        <f>IFERROR(__xludf.DUMMYFUNCTION("GOOGLETRANSLATE(A8581 , ""auto"", ""ar"")"),"أين هذا الفندق؟")</f>
        <v>أين هذا الفندق؟</v>
      </c>
    </row>
    <row r="8582" ht="15.75" customHeight="1">
      <c r="A8582" s="12" t="s">
        <v>18614</v>
      </c>
      <c r="B8582" s="13" t="s">
        <v>18615</v>
      </c>
      <c r="C8582" s="14" t="s">
        <v>18616</v>
      </c>
      <c r="D8582" s="1" t="str">
        <f>IFERROR(__xludf.DUMMYFUNCTION("GOOGLETRANSLATE(A8582 , ""auto"", ""ar"")"),"ألم تذهب؟")</f>
        <v>ألم تذهب؟</v>
      </c>
    </row>
    <row r="8583" ht="15.75" customHeight="1">
      <c r="A8583" s="12" t="s">
        <v>18617</v>
      </c>
      <c r="B8583" s="13" t="s">
        <v>18618</v>
      </c>
      <c r="C8583" s="14" t="s">
        <v>18619</v>
      </c>
      <c r="D8583" s="1" t="str">
        <f>IFERROR(__xludf.DUMMYFUNCTION("GOOGLETRANSLATE(A8583 , ""auto"", ""ar"")"),"هل ما زلت متأخرا؟")</f>
        <v>هل ما زلت متأخرا؟</v>
      </c>
    </row>
    <row r="8584" ht="15.75" customHeight="1">
      <c r="A8584" s="12" t="s">
        <v>18620</v>
      </c>
      <c r="B8584" s="13" t="s">
        <v>18621</v>
      </c>
      <c r="C8584" s="14" t="s">
        <v>18622</v>
      </c>
      <c r="D8584" s="1" t="str">
        <f>IFERROR(__xludf.DUMMYFUNCTION("GOOGLETRANSLATE(A8584 , ""auto"", ""ar"")"),"هل كل شيء على ما يرام؟")</f>
        <v>هل كل شيء على ما يرام؟</v>
      </c>
    </row>
    <row r="8585" ht="15.75" customHeight="1">
      <c r="A8585" s="12" t="s">
        <v>18623</v>
      </c>
      <c r="B8585" s="13" t="s">
        <v>18624</v>
      </c>
      <c r="C8585" s="14" t="s">
        <v>18625</v>
      </c>
      <c r="D8585" s="1" t="str">
        <f>IFERROR(__xludf.DUMMYFUNCTION("GOOGLETRANSLATE(A8585 , ""auto"", ""ar"")"),"لماذا لم تأت بالأمس؟")</f>
        <v>لماذا لم تأت بالأمس؟</v>
      </c>
    </row>
    <row r="8586" ht="15.75" customHeight="1">
      <c r="A8586" s="12" t="s">
        <v>18626</v>
      </c>
      <c r="B8586" s="13" t="s">
        <v>18627</v>
      </c>
      <c r="C8586" s="14" t="s">
        <v>18628</v>
      </c>
      <c r="D8586" s="1" t="str">
        <f>IFERROR(__xludf.DUMMYFUNCTION("GOOGLETRANSLATE(A8586 , ""auto"", ""ar"")"),"ماذا لديك غدا؟")</f>
        <v>ماذا لديك غدا؟</v>
      </c>
    </row>
    <row r="8587" ht="15.75" customHeight="1">
      <c r="A8587" s="12" t="s">
        <v>18629</v>
      </c>
      <c r="B8587" s="13" t="s">
        <v>18630</v>
      </c>
      <c r="C8587" s="14" t="s">
        <v>18631</v>
      </c>
      <c r="D8587" s="1" t="str">
        <f>IFERROR(__xludf.DUMMYFUNCTION("GOOGLETRANSLATE(A8587 , ""auto"", ""ar"")"),"لم أحصل على كلماتك")</f>
        <v>لم أحصل على كلماتك</v>
      </c>
    </row>
    <row r="8588" ht="15.75" customHeight="1">
      <c r="A8588" s="12" t="s">
        <v>18632</v>
      </c>
      <c r="B8588" s="13" t="s">
        <v>18633</v>
      </c>
      <c r="C8588" s="14" t="s">
        <v>18634</v>
      </c>
      <c r="D8588" s="1" t="str">
        <f>IFERROR(__xludf.DUMMYFUNCTION("GOOGLETRANSLATE(A8588 , ""auto"", ""ar"")"),"ماذا لم تفهم؟")</f>
        <v>ماذا لم تفهم؟</v>
      </c>
    </row>
    <row r="8589" ht="15.75" customHeight="1">
      <c r="A8589" s="12" t="s">
        <v>18635</v>
      </c>
      <c r="B8589" s="13" t="s">
        <v>18636</v>
      </c>
      <c r="C8589" s="14" t="s">
        <v>18637</v>
      </c>
      <c r="D8589" s="1" t="str">
        <f>IFERROR(__xludf.DUMMYFUNCTION("GOOGLETRANSLATE(A8589 , ""auto"", ""ar"")"),"هذا الطريق فارغ")</f>
        <v>هذا الطريق فارغ</v>
      </c>
    </row>
    <row r="8590" ht="15.75" customHeight="1">
      <c r="A8590" s="12" t="s">
        <v>18638</v>
      </c>
      <c r="B8590" s="13" t="s">
        <v>18639</v>
      </c>
      <c r="C8590" s="14" t="s">
        <v>18640</v>
      </c>
      <c r="D8590" s="1" t="str">
        <f>IFERROR(__xludf.DUMMYFUNCTION("GOOGLETRANSLATE(A8590 , ""auto"", ""ar"")"),"هذا الطريق طويل")</f>
        <v>هذا الطريق طويل</v>
      </c>
    </row>
    <row r="8591" ht="15.75" customHeight="1">
      <c r="A8591" s="12" t="s">
        <v>18641</v>
      </c>
      <c r="B8591" s="13" t="s">
        <v>18642</v>
      </c>
      <c r="C8591" s="14" t="s">
        <v>18643</v>
      </c>
      <c r="D8591" s="1" t="str">
        <f>IFERROR(__xludf.DUMMYFUNCTION("GOOGLETRANSLATE(A8591 , ""auto"", ""ar"")"),"هاتفي ينطفئ")</f>
        <v>هاتفي ينطفئ</v>
      </c>
    </row>
    <row r="8592" ht="15.75" customHeight="1">
      <c r="A8592" s="12" t="s">
        <v>18644</v>
      </c>
      <c r="B8592" s="13" t="s">
        <v>18645</v>
      </c>
      <c r="C8592" s="14" t="s">
        <v>18646</v>
      </c>
      <c r="D8592" s="1" t="str">
        <f>IFERROR(__xludf.DUMMYFUNCTION("GOOGLETRANSLATE(A8592 , ""auto"", ""ar"")"),"أنا لا أذهب معك")</f>
        <v>أنا لا أذهب معك</v>
      </c>
    </row>
    <row r="8593" ht="15.75" customHeight="1">
      <c r="A8593" s="12" t="s">
        <v>18647</v>
      </c>
      <c r="B8593" s="13" t="s">
        <v>18648</v>
      </c>
      <c r="C8593" s="14" t="s">
        <v>18649</v>
      </c>
      <c r="D8593" s="1" t="str">
        <f>IFERROR(__xludf.DUMMYFUNCTION("GOOGLETRANSLATE(A8593 , ""auto"", ""ar"")"),"انا لست على ما يرام")</f>
        <v>انا لست على ما يرام</v>
      </c>
    </row>
    <row r="8594" ht="15.75" customHeight="1">
      <c r="A8594" s="12" t="s">
        <v>18650</v>
      </c>
      <c r="B8594" s="13" t="s">
        <v>18651</v>
      </c>
      <c r="C8594" s="14" t="s">
        <v>18652</v>
      </c>
      <c r="D8594" s="1" t="str">
        <f>IFERROR(__xludf.DUMMYFUNCTION("GOOGLETRANSLATE(A8594 , ""auto"", ""ar"")"),"الوظيفة صعبة")</f>
        <v>الوظيفة صعبة</v>
      </c>
    </row>
    <row r="8595" ht="15.75" customHeight="1">
      <c r="A8595" s="12" t="s">
        <v>18653</v>
      </c>
      <c r="B8595" s="13" t="s">
        <v>18654</v>
      </c>
      <c r="C8595" s="14" t="s">
        <v>18655</v>
      </c>
      <c r="D8595" s="1" t="str">
        <f>IFERROR(__xludf.DUMMYFUNCTION("GOOGLETRANSLATE(A8595 , ""auto"", ""ar"")"),"لدي الكثير من العمل لأقوم به اليوم")</f>
        <v>لدي الكثير من العمل لأقوم به اليوم</v>
      </c>
    </row>
    <row r="8596" ht="15.75" customHeight="1">
      <c r="A8596" s="12" t="s">
        <v>18656</v>
      </c>
      <c r="B8596" s="13" t="s">
        <v>18657</v>
      </c>
      <c r="C8596" s="14" t="s">
        <v>18658</v>
      </c>
      <c r="D8596" s="1" t="str">
        <f>IFERROR(__xludf.DUMMYFUNCTION("GOOGLETRANSLATE(A8596 , ""auto"", ""ar"")"),"ليس لدي فصل اليوم")</f>
        <v>ليس لدي فصل اليوم</v>
      </c>
    </row>
    <row r="8597" ht="15.75" customHeight="1">
      <c r="A8597" s="12" t="s">
        <v>18659</v>
      </c>
      <c r="B8597" s="13" t="s">
        <v>18660</v>
      </c>
      <c r="C8597" s="14" t="s">
        <v>18661</v>
      </c>
      <c r="D8597" s="1" t="str">
        <f>IFERROR(__xludf.DUMMYFUNCTION("GOOGLETRANSLATE(A8597 , ""auto"", ""ar"")"),"لم يأت المعلم اليوم")</f>
        <v>لم يأت المعلم اليوم</v>
      </c>
    </row>
    <row r="8598" ht="15.75" customHeight="1">
      <c r="A8598" s="12" t="s">
        <v>18662</v>
      </c>
      <c r="B8598" s="13" t="s">
        <v>18663</v>
      </c>
      <c r="C8598" s="14" t="s">
        <v>18664</v>
      </c>
      <c r="D8598" s="1" t="str">
        <f>IFERROR(__xludf.DUMMYFUNCTION("GOOGLETRANSLATE(A8598 , ""auto"", ""ar"")"),"هل تريدني أن أحضر لك شيئًا؟")</f>
        <v>هل تريدني أن أحضر لك شيئًا؟</v>
      </c>
    </row>
    <row r="8599" ht="15.75" customHeight="1">
      <c r="A8599" s="12" t="s">
        <v>18665</v>
      </c>
      <c r="B8599" s="13" t="s">
        <v>18666</v>
      </c>
      <c r="C8599" s="14" t="s">
        <v>18667</v>
      </c>
      <c r="D8599" s="1" t="str">
        <f>IFERROR(__xludf.DUMMYFUNCTION("GOOGLETRANSLATE(A8599 , ""auto"", ""ar"")"),"أختي تتزوج")</f>
        <v>أختي تتزوج</v>
      </c>
    </row>
    <row r="8600" ht="15.75" customHeight="1">
      <c r="A8600" s="12" t="s">
        <v>18668</v>
      </c>
      <c r="B8600" s="13" t="s">
        <v>18669</v>
      </c>
      <c r="C8600" s="14" t="s">
        <v>18670</v>
      </c>
      <c r="D8600" s="1" t="str">
        <f>IFERROR(__xludf.DUMMYFUNCTION("GOOGLETRANSLATE(A8600 , ""auto"", ""ar"")"),"هؤلاء هم أبناء أخي")</f>
        <v>هؤلاء هم أبناء أخي</v>
      </c>
    </row>
    <row r="8601" ht="15.75" customHeight="1">
      <c r="A8601" s="12" t="s">
        <v>18671</v>
      </c>
      <c r="B8601" s="13" t="s">
        <v>18672</v>
      </c>
      <c r="C8601" s="14" t="s">
        <v>18673</v>
      </c>
      <c r="D8601" s="1" t="str">
        <f>IFERROR(__xludf.DUMMYFUNCTION("GOOGLETRANSLATE(A8601 , ""auto"", ""ar"")"),"أين كنت؟")</f>
        <v>أين كنت؟</v>
      </c>
    </row>
    <row r="8602" ht="15.75" customHeight="1">
      <c r="A8602" s="12" t="s">
        <v>18674</v>
      </c>
      <c r="B8602" s="13" t="s">
        <v>18675</v>
      </c>
      <c r="C8602" s="14" t="s">
        <v>18676</v>
      </c>
      <c r="D8602" s="1" t="str">
        <f>IFERROR(__xludf.DUMMYFUNCTION("GOOGLETRANSLATE(A8602 , ""auto"", ""ar"")"),"لماذا لا تجيب على الهاتف؟")</f>
        <v>لماذا لا تجيب على الهاتف؟</v>
      </c>
    </row>
    <row r="8603" ht="15.75" customHeight="1">
      <c r="A8603" s="12" t="s">
        <v>18677</v>
      </c>
      <c r="B8603" s="13" t="s">
        <v>18678</v>
      </c>
      <c r="C8603" s="14" t="s">
        <v>18679</v>
      </c>
      <c r="D8603" s="1" t="str">
        <f>IFERROR(__xludf.DUMMYFUNCTION("GOOGLETRANSLATE(A8603 , ""auto"", ""ar"")"),"أنا لا آكل الأرز")</f>
        <v>أنا لا آكل الأرز</v>
      </c>
    </row>
    <row r="8604" ht="15.75" customHeight="1">
      <c r="A8604" s="12" t="s">
        <v>18680</v>
      </c>
      <c r="B8604" s="13" t="s">
        <v>18681</v>
      </c>
      <c r="C8604" s="14" t="s">
        <v>18682</v>
      </c>
      <c r="D8604" s="1" t="str">
        <f>IFERROR(__xludf.DUMMYFUNCTION("GOOGLETRANSLATE(A8604 , ""auto"", ""ar"")"),"أنا أتبع حمية")</f>
        <v>أنا أتبع حمية</v>
      </c>
    </row>
    <row r="8605" ht="15.75" customHeight="1">
      <c r="A8605" s="12" t="s">
        <v>18683</v>
      </c>
      <c r="B8605" s="13" t="s">
        <v>18684</v>
      </c>
      <c r="C8605" s="14" t="s">
        <v>18685</v>
      </c>
      <c r="D8605" s="1" t="str">
        <f>IFERROR(__xludf.DUMMYFUNCTION("GOOGLETRANSLATE(A8605 , ""auto"", ""ar"")"),"هذا القميص جميل")</f>
        <v>هذا القميص جميل</v>
      </c>
    </row>
    <row r="8606" ht="15.75" customHeight="1">
      <c r="A8606" s="12" t="s">
        <v>18686</v>
      </c>
      <c r="B8606" s="13" t="s">
        <v>18687</v>
      </c>
      <c r="C8606" s="14" t="s">
        <v>18688</v>
      </c>
      <c r="D8606" s="1" t="str">
        <f>IFERROR(__xludf.DUMMYFUNCTION("GOOGLETRANSLATE(A8606 , ""auto"", ""ar"")"),"هذا اللباس يناسبك")</f>
        <v>هذا اللباس يناسبك</v>
      </c>
    </row>
    <row r="8607" ht="15.75" customHeight="1">
      <c r="A8607" s="12" t="s">
        <v>18689</v>
      </c>
      <c r="B8607" s="13" t="s">
        <v>18690</v>
      </c>
      <c r="C8607" s="14" t="s">
        <v>18691</v>
      </c>
      <c r="D8607" s="1" t="str">
        <f>IFERROR(__xludf.DUMMYFUNCTION("GOOGLETRANSLATE(A8607 , ""auto"", ""ar"")"),"هذه الجيلابا كبيرة")</f>
        <v>هذه الجيلابا كبيرة</v>
      </c>
    </row>
    <row r="8608" ht="15.75" customHeight="1">
      <c r="A8608" s="12" t="s">
        <v>18692</v>
      </c>
      <c r="B8608" s="13" t="s">
        <v>18693</v>
      </c>
      <c r="C8608" s="14" t="s">
        <v>18694</v>
      </c>
      <c r="D8608" s="1" t="str">
        <f>IFERROR(__xludf.DUMMYFUNCTION("GOOGLETRANSLATE(A8608 , ""auto"", ""ar"")"),"هذه الجيلابا ضيقة")</f>
        <v>هذه الجيلابا ضيقة</v>
      </c>
    </row>
    <row r="8609" ht="15.75" customHeight="1">
      <c r="A8609" s="12" t="s">
        <v>18695</v>
      </c>
      <c r="B8609" s="13" t="s">
        <v>18696</v>
      </c>
      <c r="C8609" s="14" t="s">
        <v>18697</v>
      </c>
      <c r="D8609" s="1" t="str">
        <f>IFERROR(__xludf.DUMMYFUNCTION("GOOGLETRANSLATE(A8609 , ""auto"", ""ar"")"),"من أين اشتريت هذا الزي؟")</f>
        <v>من أين اشتريت هذا الزي؟</v>
      </c>
    </row>
    <row r="8610" ht="15.75" customHeight="1">
      <c r="A8610" s="12" t="s">
        <v>18698</v>
      </c>
      <c r="B8610" s="13" t="s">
        <v>18699</v>
      </c>
      <c r="C8610" s="14" t="s">
        <v>18700</v>
      </c>
      <c r="D8610" s="1" t="str">
        <f>IFERROR(__xludf.DUMMYFUNCTION("GOOGLETRANSLATE(A8610 , ""auto"", ""ar"")"),"كم اشتريت هذا الزي؟")</f>
        <v>كم اشتريت هذا الزي؟</v>
      </c>
    </row>
    <row r="8611" ht="15.75" customHeight="1">
      <c r="A8611" s="12" t="s">
        <v>18701</v>
      </c>
      <c r="B8611" s="13" t="s">
        <v>18702</v>
      </c>
      <c r="C8611" s="14" t="s">
        <v>18703</v>
      </c>
      <c r="D8611" s="1" t="str">
        <f>IFERROR(__xludf.DUMMYFUNCTION("GOOGLETRANSLATE(A8611 , ""auto"", ""ar"")"),"هل سافرت؟")</f>
        <v>هل سافرت؟</v>
      </c>
    </row>
    <row r="8612" ht="15.75" customHeight="1">
      <c r="A8612" s="12" t="s">
        <v>18704</v>
      </c>
      <c r="B8612" s="13" t="s">
        <v>18705</v>
      </c>
      <c r="C8612" s="14" t="s">
        <v>18706</v>
      </c>
      <c r="D8612" s="1" t="str">
        <f>IFERROR(__xludf.DUMMYFUNCTION("GOOGLETRANSLATE(A8612 , ""auto"", ""ar"")"),"لماذا لم تسافر؟")</f>
        <v>لماذا لم تسافر؟</v>
      </c>
    </row>
    <row r="8613" ht="15.75" customHeight="1">
      <c r="A8613" s="12" t="s">
        <v>18707</v>
      </c>
      <c r="B8613" s="13" t="s">
        <v>18708</v>
      </c>
      <c r="C8613" s="14" t="s">
        <v>18709</v>
      </c>
      <c r="D8613" s="1" t="str">
        <f>IFERROR(__xludf.DUMMYFUNCTION("GOOGLETRANSLATE(A8613 , ""auto"", ""ar"")"),"ليس لدي مال")</f>
        <v>ليس لدي مال</v>
      </c>
    </row>
    <row r="8614" ht="15.75" customHeight="1">
      <c r="A8614" s="12" t="s">
        <v>18710</v>
      </c>
      <c r="B8614" s="13" t="s">
        <v>18711</v>
      </c>
      <c r="C8614" s="14" t="s">
        <v>18712</v>
      </c>
      <c r="D8614" s="1" t="str">
        <f>IFERROR(__xludf.DUMMYFUNCTION("GOOGLETRANSLATE(A8614 , ""auto"", ""ar"")"),"ليس لدي وقت")</f>
        <v>ليس لدي وقت</v>
      </c>
    </row>
    <row r="8615" ht="15.75" customHeight="1">
      <c r="A8615" s="12" t="s">
        <v>18713</v>
      </c>
      <c r="B8615" s="13" t="s">
        <v>18714</v>
      </c>
      <c r="C8615" s="14" t="s">
        <v>18715</v>
      </c>
      <c r="D8615" s="1" t="str">
        <f>IFERROR(__xludf.DUMMYFUNCTION("GOOGLETRANSLATE(A8615 , ""auto"", ""ar"")"),"امي مريضة")</f>
        <v>امي مريضة</v>
      </c>
    </row>
    <row r="8616" ht="15.75" customHeight="1">
      <c r="A8616" s="12" t="s">
        <v>18716</v>
      </c>
      <c r="B8616" s="13" t="s">
        <v>18717</v>
      </c>
      <c r="C8616" s="14" t="s">
        <v>18718</v>
      </c>
      <c r="D8616" s="1" t="str">
        <f>IFERROR(__xludf.DUMMYFUNCTION("GOOGLETRANSLATE(A8616 , ""auto"", ""ar"")"),"والدي مريض")</f>
        <v>والدي مريض</v>
      </c>
    </row>
    <row r="8617" ht="15.75" customHeight="1">
      <c r="A8617" s="12" t="s">
        <v>18719</v>
      </c>
      <c r="B8617" s="13" t="s">
        <v>18720</v>
      </c>
      <c r="C8617" s="14" t="s">
        <v>18721</v>
      </c>
      <c r="D8617" s="1" t="str">
        <f>IFERROR(__xludf.DUMMYFUNCTION("GOOGLETRANSLATE(A8617 , ""auto"", ""ar"")"),"أخي مريض")</f>
        <v>أخي مريض</v>
      </c>
    </row>
    <row r="8618" ht="15.75" customHeight="1">
      <c r="A8618" s="12" t="s">
        <v>18722</v>
      </c>
      <c r="B8618" s="13" t="s">
        <v>18723</v>
      </c>
      <c r="C8618" s="14" t="s">
        <v>18724</v>
      </c>
      <c r="D8618" s="1" t="str">
        <f>IFERROR(__xludf.DUMMYFUNCTION("GOOGLETRANSLATE(A8618 , ""auto"", ""ar"")"),"أختي مريضة")</f>
        <v>أختي مريضة</v>
      </c>
    </row>
    <row r="8619" ht="15.75" customHeight="1">
      <c r="A8619" s="12" t="s">
        <v>18725</v>
      </c>
      <c r="B8619" s="13" t="s">
        <v>18726</v>
      </c>
      <c r="C8619" s="14" t="s">
        <v>18727</v>
      </c>
      <c r="D8619" s="1" t="str">
        <f>IFERROR(__xludf.DUMMYFUNCTION("GOOGLETRANSLATE(A8619 , ""auto"", ""ar"")"),"جدتي مريضة")</f>
        <v>جدتي مريضة</v>
      </c>
    </row>
    <row r="8620" ht="15.75" customHeight="1">
      <c r="A8620" s="12" t="s">
        <v>18728</v>
      </c>
      <c r="B8620" s="13" t="s">
        <v>18729</v>
      </c>
      <c r="C8620" s="14" t="s">
        <v>18730</v>
      </c>
      <c r="D8620" s="1" t="str">
        <f>IFERROR(__xludf.DUMMYFUNCTION("GOOGLETRANSLATE(A8620 , ""auto"", ""ar"")"),"جدي مريض")</f>
        <v>جدي مريض</v>
      </c>
    </row>
    <row r="8621" ht="15.75" customHeight="1">
      <c r="A8621" s="12" t="s">
        <v>18731</v>
      </c>
      <c r="B8621" s="13" t="s">
        <v>18732</v>
      </c>
      <c r="C8621" s="14" t="s">
        <v>18733</v>
      </c>
      <c r="D8621" s="1" t="str">
        <f>IFERROR(__xludf.DUMMYFUNCTION("GOOGLETRANSLATE(A8621 , ""auto"", ""ar"")"),"توفي جدي")</f>
        <v>توفي جدي</v>
      </c>
    </row>
    <row r="8622" ht="15.75" customHeight="1">
      <c r="A8622" s="12" t="s">
        <v>18734</v>
      </c>
      <c r="B8622" s="13" t="s">
        <v>18735</v>
      </c>
      <c r="C8622" s="14" t="s">
        <v>18736</v>
      </c>
      <c r="D8622" s="1" t="str">
        <f>IFERROR(__xludf.DUMMYFUNCTION("GOOGLETRANSLATE(A8622 , ""auto"", ""ar"")"),"توفيت جدتي")</f>
        <v>توفيت جدتي</v>
      </c>
    </row>
    <row r="8623" ht="15.75" customHeight="1">
      <c r="A8623" s="12" t="s">
        <v>18737</v>
      </c>
      <c r="B8623" s="13" t="s">
        <v>18738</v>
      </c>
      <c r="C8623" s="14" t="s">
        <v>18739</v>
      </c>
      <c r="D8623" s="1" t="str">
        <f>IFERROR(__xludf.DUMMYFUNCTION("GOOGLETRANSLATE(A8623 , ""auto"", ""ar"")"),"افتقد جدتي")</f>
        <v>افتقد جدتي</v>
      </c>
    </row>
    <row r="8624" ht="15.75" customHeight="1">
      <c r="A8624" s="12" t="s">
        <v>18740</v>
      </c>
      <c r="B8624" s="13" t="s">
        <v>18741</v>
      </c>
      <c r="C8624" s="14" t="s">
        <v>18742</v>
      </c>
      <c r="D8624" s="1" t="str">
        <f>IFERROR(__xludf.DUMMYFUNCTION("GOOGLETRANSLATE(A8624 , ""auto"", ""ar"")"),"افتقد جدي")</f>
        <v>افتقد جدي</v>
      </c>
    </row>
    <row r="8625" ht="15.75" customHeight="1">
      <c r="A8625" s="12" t="s">
        <v>18743</v>
      </c>
      <c r="B8625" s="13" t="s">
        <v>18744</v>
      </c>
      <c r="C8625" s="14" t="s">
        <v>18745</v>
      </c>
      <c r="D8625" s="1" t="str">
        <f>IFERROR(__xludf.DUMMYFUNCTION("GOOGLETRANSLATE(A8625 , ""auto"", ""ar"")"),"هذا صعب")</f>
        <v>هذا صعب</v>
      </c>
    </row>
    <row r="8626" ht="15.75" customHeight="1">
      <c r="A8626" s="12" t="s">
        <v>18746</v>
      </c>
      <c r="B8626" s="13" t="s">
        <v>18747</v>
      </c>
      <c r="C8626" s="14" t="s">
        <v>18748</v>
      </c>
      <c r="D8626" s="1" t="str">
        <f>IFERROR(__xludf.DUMMYFUNCTION("GOOGLETRANSLATE(A8626 , ""auto"", ""ar"")"),"الكمبيوتر المحمول لا يعمل بعد الآن")</f>
        <v>الكمبيوتر المحمول لا يعمل بعد الآن</v>
      </c>
    </row>
    <row r="8627" ht="15.75" customHeight="1">
      <c r="A8627" s="12" t="s">
        <v>18749</v>
      </c>
      <c r="B8627" s="13" t="s">
        <v>18750</v>
      </c>
      <c r="C8627" s="14" t="s">
        <v>18751</v>
      </c>
      <c r="D8627" s="1" t="str">
        <f>IFERROR(__xludf.DUMMYFUNCTION("GOOGLETRANSLATE(A8627 , ""auto"", ""ar"")"),"متى ستنتهي من دراستك؟")</f>
        <v>متى ستنتهي من دراستك؟</v>
      </c>
    </row>
    <row r="8628" ht="15.75" customHeight="1">
      <c r="A8628" s="12" t="s">
        <v>18752</v>
      </c>
      <c r="B8628" s="13" t="s">
        <v>18753</v>
      </c>
      <c r="C8628" s="14" t="s">
        <v>18754</v>
      </c>
      <c r="D8628" s="1" t="str">
        <f>IFERROR(__xludf.DUMMYFUNCTION("GOOGLETRANSLATE(A8628 , ""auto"", ""ar"")"),"متى ستنتهي من العمل؟")</f>
        <v>متى ستنتهي من العمل؟</v>
      </c>
    </row>
    <row r="8629" ht="15.75" customHeight="1">
      <c r="A8629" s="12" t="s">
        <v>18755</v>
      </c>
      <c r="B8629" s="13" t="s">
        <v>18756</v>
      </c>
      <c r="C8629" s="14" t="s">
        <v>18757</v>
      </c>
      <c r="D8629" s="1" t="str">
        <f>IFERROR(__xludf.DUMMYFUNCTION("GOOGLETRANSLATE(A8629 , ""auto"", ""ar"")"),"أنا حامل")</f>
        <v>أنا حامل</v>
      </c>
    </row>
    <row r="8630" ht="15.75" customHeight="1">
      <c r="A8630" s="12" t="s">
        <v>18758</v>
      </c>
      <c r="B8630" s="13" t="s">
        <v>18759</v>
      </c>
      <c r="C8630" s="14" t="s">
        <v>18760</v>
      </c>
      <c r="D8630" s="1" t="str">
        <f>IFERROR(__xludf.DUMMYFUNCTION("GOOGLETRANSLATE(A8630 , ""auto"", ""ar"")"),"سألد قريبا")</f>
        <v>سألد قريبا</v>
      </c>
    </row>
    <row r="8631" ht="15.75" customHeight="1">
      <c r="A8631" s="12" t="s">
        <v>18761</v>
      </c>
      <c r="B8631" s="13" t="s">
        <v>18762</v>
      </c>
      <c r="C8631" s="14" t="s">
        <v>18763</v>
      </c>
      <c r="D8631" s="1" t="str">
        <f>IFERROR(__xludf.DUMMYFUNCTION("GOOGLETRANSLATE(A8631 , ""auto"", ""ar"")"),"ليس لدي أولاد")</f>
        <v>ليس لدي أولاد</v>
      </c>
    </row>
    <row r="8632" ht="15.75" customHeight="1">
      <c r="A8632" s="12" t="s">
        <v>18764</v>
      </c>
      <c r="B8632" s="13" t="s">
        <v>18765</v>
      </c>
      <c r="C8632" s="14" t="s">
        <v>18766</v>
      </c>
      <c r="D8632" s="1" t="str">
        <f>IFERROR(__xludf.DUMMYFUNCTION("GOOGLETRANSLATE(A8632 , ""auto"", ""ar"")"),"ليس لدي فتيات")</f>
        <v>ليس لدي فتيات</v>
      </c>
    </row>
    <row r="8633" ht="15.75" customHeight="1">
      <c r="A8633" s="12" t="s">
        <v>18767</v>
      </c>
      <c r="B8633" s="13" t="s">
        <v>18768</v>
      </c>
      <c r="C8633" s="14" t="s">
        <v>18769</v>
      </c>
      <c r="D8633" s="1" t="str">
        <f>IFERROR(__xludf.DUMMYFUNCTION("GOOGLETRANSLATE(A8633 , ""auto"", ""ar"")"),"هذا ابني")</f>
        <v>هذا ابني</v>
      </c>
    </row>
    <row r="8634" ht="15.75" customHeight="1">
      <c r="A8634" s="12" t="s">
        <v>18770</v>
      </c>
      <c r="B8634" s="13" t="s">
        <v>18771</v>
      </c>
      <c r="C8634" s="14" t="s">
        <v>18772</v>
      </c>
      <c r="D8634" s="1" t="str">
        <f>IFERROR(__xludf.DUMMYFUNCTION("GOOGLETRANSLATE(A8634 , ""auto"", ""ar"")"),"هذه ابنتي")</f>
        <v>هذه ابنتي</v>
      </c>
    </row>
    <row r="8635" ht="15.75" customHeight="1">
      <c r="A8635" s="12" t="s">
        <v>18773</v>
      </c>
      <c r="B8635" s="13" t="s">
        <v>18774</v>
      </c>
      <c r="C8635" s="14" t="s">
        <v>18775</v>
      </c>
      <c r="D8635" s="1" t="str">
        <f>IFERROR(__xludf.DUMMYFUNCTION("GOOGLETRANSLATE(A8635 , ""auto"", ""ar"")"),"هذا أخي")</f>
        <v>هذا أخي</v>
      </c>
    </row>
    <row r="8636" ht="15.75" customHeight="1">
      <c r="A8636" s="12" t="s">
        <v>18776</v>
      </c>
      <c r="B8636" s="13" t="s">
        <v>18777</v>
      </c>
      <c r="C8636" s="14" t="s">
        <v>18778</v>
      </c>
      <c r="D8636" s="1" t="str">
        <f>IFERROR(__xludf.DUMMYFUNCTION("GOOGLETRANSLATE(A8636 , ""auto"", ""ar"")"),"هذه أختي")</f>
        <v>هذه أختي</v>
      </c>
    </row>
    <row r="8637" ht="15.75" customHeight="1">
      <c r="A8637" s="12" t="s">
        <v>18779</v>
      </c>
      <c r="B8637" s="13" t="s">
        <v>18780</v>
      </c>
      <c r="C8637" s="14" t="s">
        <v>18781</v>
      </c>
      <c r="D8637" s="1" t="str">
        <f>IFERROR(__xludf.DUMMYFUNCTION("GOOGLETRANSLATE(A8637 , ""auto"", ""ar"")"),"هذه حبيبتي")</f>
        <v>هذه حبيبتي</v>
      </c>
    </row>
    <row r="8638" ht="15.75" customHeight="1">
      <c r="A8638" s="12" t="s">
        <v>18782</v>
      </c>
      <c r="B8638" s="13" t="s">
        <v>18783</v>
      </c>
      <c r="C8638" s="14" t="s">
        <v>18784</v>
      </c>
      <c r="D8638" s="1" t="str">
        <f>IFERROR(__xludf.DUMMYFUNCTION("GOOGLETRANSLATE(A8638 , ""auto"", ""ar"")"),"هذا هو صديقي")</f>
        <v>هذا هو صديقي</v>
      </c>
    </row>
    <row r="8639" ht="15.75" customHeight="1">
      <c r="A8639" s="12" t="s">
        <v>18785</v>
      </c>
      <c r="B8639" s="13" t="s">
        <v>18786</v>
      </c>
      <c r="C8639" s="14" t="s">
        <v>18787</v>
      </c>
      <c r="D8639" s="1" t="str">
        <f>IFERROR(__xludf.DUMMYFUNCTION("GOOGLETRANSLATE(A8639 , ""auto"", ""ar"")"),"أين أنت السفر؟")</f>
        <v>أين أنت السفر؟</v>
      </c>
    </row>
    <row r="8640" ht="15.75" customHeight="1">
      <c r="A8640" s="12" t="s">
        <v>18788</v>
      </c>
      <c r="B8640" s="13" t="s">
        <v>18789</v>
      </c>
      <c r="C8640" s="14" t="s">
        <v>18790</v>
      </c>
      <c r="D8640" s="1" t="str">
        <f>IFERROR(__xludf.DUMMYFUNCTION("GOOGLETRANSLATE(A8640 , ""auto"", ""ar"")"),"أي بلد تحب؟")</f>
        <v>أي بلد تحب؟</v>
      </c>
    </row>
    <row r="8641" ht="15.75" customHeight="1">
      <c r="A8641" s="12" t="s">
        <v>18791</v>
      </c>
      <c r="B8641" s="13" t="s">
        <v>18792</v>
      </c>
      <c r="C8641" s="14" t="s">
        <v>18793</v>
      </c>
      <c r="D8641" s="1" t="str">
        <f>IFERROR(__xludf.DUMMYFUNCTION("GOOGLETRANSLATE(A8641 , ""auto"", ""ar"")"),"أنا أسافر إلى فرنسا")</f>
        <v>أنا أسافر إلى فرنسا</v>
      </c>
    </row>
    <row r="8642" ht="15.75" customHeight="1">
      <c r="A8642" s="12" t="s">
        <v>18794</v>
      </c>
      <c r="B8642" s="13" t="s">
        <v>18795</v>
      </c>
      <c r="C8642" s="14" t="s">
        <v>18796</v>
      </c>
      <c r="D8642" s="1" t="str">
        <f>IFERROR(__xludf.DUMMYFUNCTION("GOOGLETRANSLATE(A8642 , ""auto"", ""ar"")"),"أنا أسافر إلى تركيا")</f>
        <v>أنا أسافر إلى تركيا</v>
      </c>
    </row>
    <row r="8643" ht="15.75" customHeight="1">
      <c r="A8643" s="12" t="s">
        <v>18797</v>
      </c>
      <c r="B8643" s="13" t="s">
        <v>18798</v>
      </c>
      <c r="C8643" s="14" t="s">
        <v>18799</v>
      </c>
      <c r="D8643" s="1" t="str">
        <f>IFERROR(__xludf.DUMMYFUNCTION("GOOGLETRANSLATE(A8643 , ""auto"", ""ar"")"),"أنا أحب إيطاليا")</f>
        <v>أنا أحب إيطاليا</v>
      </c>
    </row>
    <row r="8644" ht="15.75" customHeight="1">
      <c r="A8644" s="12" t="s">
        <v>18800</v>
      </c>
      <c r="B8644" s="13" t="s">
        <v>18801</v>
      </c>
      <c r="C8644" s="14" t="s">
        <v>18802</v>
      </c>
      <c r="D8644" s="1" t="str">
        <f>IFERROR(__xludf.DUMMYFUNCTION("GOOGLETRANSLATE(A8644 , ""auto"", ""ar"")"),"المغرب جميل")</f>
        <v>المغرب جميل</v>
      </c>
    </row>
    <row r="8645" ht="15.75" customHeight="1">
      <c r="A8645" s="12" t="s">
        <v>18803</v>
      </c>
      <c r="B8645" s="13" t="s">
        <v>18804</v>
      </c>
      <c r="C8645" s="14" t="s">
        <v>18805</v>
      </c>
      <c r="D8645" s="1" t="str">
        <f>IFERROR(__xludf.DUMMYFUNCTION("GOOGLETRANSLATE(A8645 , ""auto"", ""ar"")"),"أريد شراء زيت الزيتون")</f>
        <v>أريد شراء زيت الزيتون</v>
      </c>
    </row>
    <row r="8646" ht="15.75" customHeight="1">
      <c r="A8646" s="12" t="s">
        <v>18806</v>
      </c>
      <c r="B8646" s="13" t="s">
        <v>18807</v>
      </c>
      <c r="C8646" s="14" t="s">
        <v>18808</v>
      </c>
      <c r="D8646" s="1" t="str">
        <f>IFERROR(__xludf.DUMMYFUNCTION("GOOGLETRANSLATE(A8646 , ""auto"", ""ar"")"),"أريد شراء زيت الأركان")</f>
        <v>أريد شراء زيت الأركان</v>
      </c>
    </row>
    <row r="8647" ht="15.75" customHeight="1">
      <c r="A8647" s="12" t="s">
        <v>18809</v>
      </c>
      <c r="B8647" s="13" t="s">
        <v>18810</v>
      </c>
      <c r="C8647" s="14" t="s">
        <v>18811</v>
      </c>
      <c r="D8647" s="1" t="str">
        <f>IFERROR(__xludf.DUMMYFUNCTION("GOOGLETRANSLATE(A8647 , ""auto"", ""ar"")"),"سأقوم بالتسوق الآن")</f>
        <v>سأقوم بالتسوق الآن</v>
      </c>
    </row>
    <row r="8648" ht="15.75" customHeight="1">
      <c r="A8648" s="12" t="s">
        <v>18812</v>
      </c>
      <c r="B8648" s="13" t="s">
        <v>18813</v>
      </c>
      <c r="C8648" s="14" t="s">
        <v>18814</v>
      </c>
      <c r="D8648" s="1" t="str">
        <f>IFERROR(__xludf.DUMMYFUNCTION("GOOGLETRANSLATE(A8648 , ""auto"", ""ar"")"),"الخضروات باهظة الثمن")</f>
        <v>الخضروات باهظة الثمن</v>
      </c>
    </row>
    <row r="8649" ht="15.75" customHeight="1">
      <c r="A8649" s="12" t="s">
        <v>18815</v>
      </c>
      <c r="B8649" s="13" t="s">
        <v>18816</v>
      </c>
      <c r="C8649" s="14" t="s">
        <v>18817</v>
      </c>
      <c r="D8649" s="1" t="str">
        <f>IFERROR(__xludf.DUMMYFUNCTION("GOOGLETRANSLATE(A8649 , ""auto"", ""ar"")"),"الخضروات رخيصة")</f>
        <v>الخضروات رخيصة</v>
      </c>
    </row>
    <row r="8650" ht="15.75" customHeight="1">
      <c r="A8650" s="12" t="s">
        <v>18818</v>
      </c>
      <c r="B8650" s="13" t="s">
        <v>18819</v>
      </c>
      <c r="C8650" s="14" t="s">
        <v>18820</v>
      </c>
      <c r="D8650" s="1" t="str">
        <f>IFERROR(__xludf.DUMMYFUNCTION("GOOGLETRANSLATE(A8650 , ""auto"", ""ar"")"),"أنا تنظيف المنزل")</f>
        <v>أنا تنظيف المنزل</v>
      </c>
    </row>
    <row r="8651" ht="15.75" customHeight="1">
      <c r="A8651" s="12" t="s">
        <v>18821</v>
      </c>
      <c r="B8651" s="13" t="s">
        <v>18822</v>
      </c>
      <c r="C8651" s="14" t="s">
        <v>18823</v>
      </c>
      <c r="D8651" s="1" t="str">
        <f>IFERROR(__xludf.DUMMYFUNCTION("GOOGLETRANSLATE(A8651 , ""auto"", ""ar"")"),"انا انظف غرفتي")</f>
        <v>انا انظف غرفتي</v>
      </c>
    </row>
    <row r="8652" ht="15.75" customHeight="1">
      <c r="A8652" s="12" t="s">
        <v>18824</v>
      </c>
      <c r="B8652" s="13" t="s">
        <v>18825</v>
      </c>
      <c r="C8652" s="14" t="s">
        <v>18826</v>
      </c>
      <c r="D8652" s="1" t="str">
        <f>IFERROR(__xludf.DUMMYFUNCTION("GOOGLETRANSLATE(A8652 , ""auto"", ""ar"")"),"أحضر لي كوبًا من الماء")</f>
        <v>أحضر لي كوبًا من الماء</v>
      </c>
    </row>
    <row r="8653" ht="15.75" customHeight="1">
      <c r="A8653" s="12" t="s">
        <v>18827</v>
      </c>
      <c r="B8653" s="13" t="s">
        <v>18828</v>
      </c>
      <c r="C8653" s="14" t="s">
        <v>18829</v>
      </c>
      <c r="D8653" s="1" t="str">
        <f>IFERROR(__xludf.DUMMYFUNCTION("GOOGLETRANSLATE(A8653 , ""auto"", ""ar"")"),"اريد طاجين")</f>
        <v>اريد طاجين</v>
      </c>
    </row>
    <row r="8654" ht="15.75" customHeight="1">
      <c r="A8654" s="12" t="s">
        <v>18830</v>
      </c>
      <c r="B8654" s="13" t="s">
        <v>18831</v>
      </c>
      <c r="C8654" s="14" t="s">
        <v>18832</v>
      </c>
      <c r="D8654" s="1" t="str">
        <f>IFERROR(__xludf.DUMMYFUNCTION("GOOGLETRANSLATE(A8654 , ""auto"", ""ar"")"),"غدا سأرى الطبيب")</f>
        <v>غدا سأرى الطبيب</v>
      </c>
    </row>
    <row r="8655" ht="15.75" customHeight="1">
      <c r="A8655" s="12" t="s">
        <v>18833</v>
      </c>
      <c r="B8655" s="13" t="s">
        <v>18834</v>
      </c>
      <c r="C8655" s="14" t="s">
        <v>18835</v>
      </c>
      <c r="D8655" s="1" t="str">
        <f>IFERROR(__xludf.DUMMYFUNCTION("GOOGLETRANSLATE(A8655 , ""auto"", ""ar"")"),"انخفضت بصري")</f>
        <v>انخفضت بصري</v>
      </c>
    </row>
    <row r="8656" ht="15.75" customHeight="1">
      <c r="A8656" s="12" t="s">
        <v>18836</v>
      </c>
      <c r="B8656" s="13" t="s">
        <v>18837</v>
      </c>
      <c r="C8656" s="14" t="s">
        <v>18838</v>
      </c>
      <c r="D8656" s="1" t="str">
        <f>IFERROR(__xludf.DUMMYFUNCTION("GOOGLETRANSLATE(A8656 , ""auto"", ""ar"")"),"لا أرى جيدًا")</f>
        <v>لا أرى جيدًا</v>
      </c>
    </row>
    <row r="8657" ht="15.75" customHeight="1">
      <c r="A8657" s="12" t="s">
        <v>18839</v>
      </c>
      <c r="B8657" s="13" t="s">
        <v>18840</v>
      </c>
      <c r="C8657" s="14" t="s">
        <v>18841</v>
      </c>
      <c r="D8657" s="1" t="str">
        <f>IFERROR(__xludf.DUMMYFUNCTION("GOOGLETRANSLATE(A8657 , ""auto"", ""ar"")"),"لم أسمع ما قلته")</f>
        <v>لم أسمع ما قلته</v>
      </c>
    </row>
    <row r="8658" ht="15.75" customHeight="1">
      <c r="A8658" s="12" t="s">
        <v>18842</v>
      </c>
      <c r="B8658" s="13" t="s">
        <v>18843</v>
      </c>
      <c r="C8658" s="14" t="s">
        <v>18844</v>
      </c>
      <c r="D8658" s="1" t="str">
        <f>IFERROR(__xludf.DUMMYFUNCTION("GOOGLETRANSLATE(A8658 , ""auto"", ""ar"")"),"لا أسمع جيدًا")</f>
        <v>لا أسمع جيدًا</v>
      </c>
    </row>
    <row r="8659" ht="15.75" customHeight="1">
      <c r="A8659" s="12" t="s">
        <v>18845</v>
      </c>
      <c r="B8659" s="13" t="s">
        <v>18846</v>
      </c>
      <c r="C8659" s="14" t="s">
        <v>18847</v>
      </c>
      <c r="D8659" s="1" t="str">
        <f>IFERROR(__xludf.DUMMYFUNCTION("GOOGLETRANSLATE(A8659 , ""auto"", ""ar"")"),"متى ستتزوج؟")</f>
        <v>متى ستتزوج؟</v>
      </c>
    </row>
    <row r="8660" ht="15.75" customHeight="1">
      <c r="A8660" s="12" t="s">
        <v>18845</v>
      </c>
      <c r="B8660" s="13" t="s">
        <v>18848</v>
      </c>
      <c r="C8660" s="14" t="s">
        <v>18849</v>
      </c>
      <c r="D8660" s="1" t="str">
        <f>IFERROR(__xludf.DUMMYFUNCTION("GOOGLETRANSLATE(A8660 , ""auto"", ""ar"")"),"متى ستتزوج؟")</f>
        <v>متى ستتزوج؟</v>
      </c>
    </row>
    <row r="8661" ht="15.75" customHeight="1">
      <c r="A8661" s="12" t="s">
        <v>18850</v>
      </c>
      <c r="B8661" s="13" t="s">
        <v>18851</v>
      </c>
      <c r="C8661" s="14" t="s">
        <v>18852</v>
      </c>
      <c r="D8661" s="1" t="str">
        <f>IFERROR(__xludf.DUMMYFUNCTION("GOOGLETRANSLATE(A8661 , ""auto"", ""ar"")"),"نحن مدعوون من قبل بعض الناس")</f>
        <v>نحن مدعوون من قبل بعض الناس</v>
      </c>
    </row>
    <row r="8662" ht="15.75" customHeight="1">
      <c r="A8662" s="12" t="s">
        <v>18853</v>
      </c>
      <c r="B8662" s="13" t="s">
        <v>18854</v>
      </c>
      <c r="C8662" s="14" t="s">
        <v>18855</v>
      </c>
      <c r="D8662" s="1" t="str">
        <f>IFERROR(__xludf.DUMMYFUNCTION("GOOGLETRANSLATE(A8662 , ""auto"", ""ar"")"),"أنا مدعو هذه الليلة")</f>
        <v>أنا مدعو هذه الليلة</v>
      </c>
    </row>
    <row r="8663" ht="15.75" customHeight="1">
      <c r="A8663" s="12" t="s">
        <v>18856</v>
      </c>
      <c r="B8663" s="13" t="s">
        <v>18857</v>
      </c>
      <c r="C8663" s="14" t="s">
        <v>18858</v>
      </c>
      <c r="D8663" s="1" t="str">
        <f>IFERROR(__xludf.DUMMYFUNCTION("GOOGLETRANSLATE(A8663 , ""auto"", ""ar"")"),"الحياة صعبة")</f>
        <v>الحياة صعبة</v>
      </c>
    </row>
    <row r="8664" ht="15.75" customHeight="1">
      <c r="A8664" s="12" t="s">
        <v>18859</v>
      </c>
      <c r="B8664" s="13" t="s">
        <v>18860</v>
      </c>
      <c r="C8664" s="14" t="s">
        <v>18861</v>
      </c>
      <c r="D8664" s="1" t="str">
        <f>IFERROR(__xludf.DUMMYFUNCTION("GOOGLETRANSLATE(A8664 , ""auto"", ""ar"")"),"استيقظت مبكرا")</f>
        <v>استيقظت مبكرا</v>
      </c>
    </row>
    <row r="8665" ht="15.75" customHeight="1">
      <c r="A8665" s="12" t="s">
        <v>18862</v>
      </c>
      <c r="B8665" s="13" t="s">
        <v>18863</v>
      </c>
      <c r="C8665" s="14" t="s">
        <v>18864</v>
      </c>
      <c r="D8665" s="1" t="str">
        <f>IFERROR(__xludf.DUMMYFUNCTION("GOOGLETRANSLATE(A8665 , ""auto"", ""ar"")"),"استيقظت متأخرا")</f>
        <v>استيقظت متأخرا</v>
      </c>
    </row>
    <row r="8666" ht="15.75" customHeight="1">
      <c r="A8666" s="12" t="s">
        <v>18865</v>
      </c>
      <c r="B8666" s="13" t="s">
        <v>18866</v>
      </c>
      <c r="C8666" s="14" t="s">
        <v>18867</v>
      </c>
      <c r="D8666" s="1" t="str">
        <f>IFERROR(__xludf.DUMMYFUNCTION("GOOGLETRANSLATE(A8666 , ""auto"", ""ar"")"),"أنا لا أستيقظ مبكرًا")</f>
        <v>أنا لا أستيقظ مبكرًا</v>
      </c>
    </row>
    <row r="8667" ht="15.75" customHeight="1">
      <c r="A8667" s="12" t="s">
        <v>18868</v>
      </c>
      <c r="B8667" s="13" t="s">
        <v>18869</v>
      </c>
      <c r="C8667" s="14" t="s">
        <v>18870</v>
      </c>
      <c r="D8667" s="1" t="str">
        <f>IFERROR(__xludf.DUMMYFUNCTION("GOOGLETRANSLATE(A8667 , ""auto"", ""ar"")"),"أحب البقاء مستيقظًا في الليل")</f>
        <v>أحب البقاء مستيقظًا في الليل</v>
      </c>
    </row>
    <row r="8668" ht="15.75" customHeight="1">
      <c r="A8668" s="12" t="s">
        <v>18871</v>
      </c>
      <c r="B8668" s="13" t="s">
        <v>18872</v>
      </c>
      <c r="C8668" s="14" t="s">
        <v>18873</v>
      </c>
      <c r="D8668" s="1" t="str">
        <f>IFERROR(__xludf.DUMMYFUNCTION("GOOGLETRANSLATE(A8668 , ""auto"", ""ar"")"),"عندى صداع")</f>
        <v>عندى صداع</v>
      </c>
    </row>
    <row r="8669" ht="15.75" customHeight="1">
      <c r="A8669" s="12" t="s">
        <v>18874</v>
      </c>
      <c r="B8669" s="13" t="s">
        <v>18875</v>
      </c>
      <c r="C8669" s="14" t="s">
        <v>18876</v>
      </c>
      <c r="D8669" s="1" t="str">
        <f>IFERROR(__xludf.DUMMYFUNCTION("GOOGLETRANSLATE(A8669 , ""auto"", ""ar"")"),"أنا أحب الصودا")</f>
        <v>أنا أحب الصودا</v>
      </c>
    </row>
    <row r="8670" ht="15.75" customHeight="1">
      <c r="A8670" s="12" t="s">
        <v>18877</v>
      </c>
      <c r="B8670" s="13" t="s">
        <v>18878</v>
      </c>
      <c r="C8670" s="14" t="s">
        <v>18879</v>
      </c>
      <c r="D8670" s="1" t="str">
        <f>IFERROR(__xludf.DUMMYFUNCTION("GOOGLETRANSLATE(A8670 , ""auto"", ""ar"")"),"هل شعرت بالخوف؟")</f>
        <v>هل شعرت بالخوف؟</v>
      </c>
    </row>
    <row r="8671" ht="15.75" customHeight="1">
      <c r="A8671" s="12" t="s">
        <v>18880</v>
      </c>
      <c r="B8671" s="13" t="s">
        <v>18881</v>
      </c>
      <c r="C8671" s="14" t="s">
        <v>18882</v>
      </c>
      <c r="D8671" s="1" t="str">
        <f>IFERROR(__xludf.DUMMYFUNCTION("GOOGLETRANSLATE(A8671 , ""auto"", ""ar"")"),"متى الزواج")</f>
        <v>متى الزواج</v>
      </c>
    </row>
    <row r="8672" ht="15.75" customHeight="1">
      <c r="A8672" s="12" t="s">
        <v>18883</v>
      </c>
      <c r="B8672" s="13" t="s">
        <v>18884</v>
      </c>
      <c r="C8672" s="14" t="s">
        <v>18885</v>
      </c>
      <c r="D8672" s="1" t="str">
        <f>IFERROR(__xludf.DUMMYFUNCTION("GOOGLETRANSLATE(A8672 , ""auto"", ""ar"")"),"انه يتحدث كثيرا")</f>
        <v>انه يتحدث كثيرا</v>
      </c>
    </row>
    <row r="8673" ht="15.75" customHeight="1">
      <c r="A8673" s="12" t="s">
        <v>18886</v>
      </c>
      <c r="B8673" s="13" t="s">
        <v>18887</v>
      </c>
      <c r="C8673" s="14" t="s">
        <v>18888</v>
      </c>
      <c r="D8673" s="1" t="str">
        <f>IFERROR(__xludf.DUMMYFUNCTION("GOOGLETRANSLATE(A8673 , ""auto"", ""ar"")"),"يتحدث بسرعة")</f>
        <v>يتحدث بسرعة</v>
      </c>
    </row>
    <row r="8674" ht="15.75" customHeight="1">
      <c r="A8674" s="12" t="s">
        <v>18889</v>
      </c>
      <c r="B8674" s="13" t="s">
        <v>18890</v>
      </c>
      <c r="C8674" s="14" t="s">
        <v>18891</v>
      </c>
      <c r="D8674" s="1" t="str">
        <f>IFERROR(__xludf.DUMMYFUNCTION("GOOGLETRANSLATE(A8674 , ""auto"", ""ar"")"),"يتحدث ببطء")</f>
        <v>يتحدث ببطء</v>
      </c>
    </row>
    <row r="8675" ht="15.75" customHeight="1">
      <c r="A8675" s="12" t="s">
        <v>18892</v>
      </c>
      <c r="B8675" s="13" t="s">
        <v>18893</v>
      </c>
      <c r="C8675" s="14" t="s">
        <v>18894</v>
      </c>
      <c r="D8675" s="1" t="str">
        <f>IFERROR(__xludf.DUMMYFUNCTION("GOOGLETRANSLATE(A8675 , ""auto"", ""ar"")"),"ماذا قال لك الطبيب؟")</f>
        <v>ماذا قال لك الطبيب؟</v>
      </c>
    </row>
    <row r="8676" ht="15.75" customHeight="1">
      <c r="A8676" s="12" t="s">
        <v>18895</v>
      </c>
      <c r="B8676" s="13" t="s">
        <v>18896</v>
      </c>
      <c r="C8676" s="14" t="s">
        <v>18897</v>
      </c>
      <c r="D8676" s="1" t="str">
        <f>IFERROR(__xludf.DUMMYFUNCTION("GOOGLETRANSLATE(A8676 , ""auto"", ""ar"")"),"ألست متعب؟")</f>
        <v>ألست متعب؟</v>
      </c>
    </row>
    <row r="8677" ht="15.75" customHeight="1">
      <c r="A8677" s="12" t="s">
        <v>18898</v>
      </c>
      <c r="B8677" s="13" t="s">
        <v>18899</v>
      </c>
      <c r="C8677" s="14" t="s">
        <v>18900</v>
      </c>
      <c r="D8677" s="1" t="str">
        <f>IFERROR(__xludf.DUMMYFUNCTION("GOOGLETRANSLATE(A8677 , ""auto"", ""ar"")"),"ما اللون الذي يعجبك؟")</f>
        <v>ما اللون الذي يعجبك؟</v>
      </c>
    </row>
    <row r="8678" ht="15.75" customHeight="1">
      <c r="A8678" s="12" t="s">
        <v>18901</v>
      </c>
      <c r="B8678" s="13" t="s">
        <v>18902</v>
      </c>
      <c r="C8678" s="14" t="s">
        <v>18903</v>
      </c>
      <c r="D8678" s="1" t="str">
        <f>IFERROR(__xludf.DUMMYFUNCTION("GOOGLETRANSLATE(A8678 , ""auto"", ""ar"")"),"في أي مدرسة درست فيها؟")</f>
        <v>في أي مدرسة درست فيها؟</v>
      </c>
    </row>
    <row r="8679" ht="15.75" customHeight="1">
      <c r="A8679" s="12" t="s">
        <v>18904</v>
      </c>
      <c r="B8679" s="13" t="s">
        <v>18905</v>
      </c>
      <c r="C8679" s="14" t="s">
        <v>18906</v>
      </c>
      <c r="D8679" s="1" t="str">
        <f>IFERROR(__xludf.DUMMYFUNCTION("GOOGLETRANSLATE(A8679 , ""auto"", ""ar"")"),"أنا أحب الأسود")</f>
        <v>أنا أحب الأسود</v>
      </c>
    </row>
    <row r="8680" ht="15.75" customHeight="1">
      <c r="A8680" s="12" t="s">
        <v>18907</v>
      </c>
      <c r="B8680" s="13" t="s">
        <v>18908</v>
      </c>
      <c r="C8680" s="14" t="s">
        <v>18909</v>
      </c>
      <c r="D8680" s="1" t="str">
        <f>IFERROR(__xludf.DUMMYFUNCTION("GOOGLETRANSLATE(A8680 , ""auto"", ""ar"")"),"أنا لا أحب الأسود")</f>
        <v>أنا لا أحب الأسود</v>
      </c>
    </row>
    <row r="8681" ht="15.75" customHeight="1">
      <c r="A8681" s="12" t="s">
        <v>18910</v>
      </c>
      <c r="B8681" s="13" t="s">
        <v>18911</v>
      </c>
      <c r="C8681" s="14" t="s">
        <v>18912</v>
      </c>
      <c r="D8681" s="1" t="str">
        <f>IFERROR(__xludf.DUMMYFUNCTION("GOOGLETRANSLATE(A8681 , ""auto"", ""ar"")"),"هل تحب اللون الأسود؟")</f>
        <v>هل تحب اللون الأسود؟</v>
      </c>
    </row>
    <row r="8682" ht="15.75" customHeight="1">
      <c r="A8682" s="12" t="s">
        <v>18913</v>
      </c>
      <c r="B8682" s="13" t="s">
        <v>18914</v>
      </c>
      <c r="C8682" s="14" t="s">
        <v>18915</v>
      </c>
      <c r="D8682" s="1" t="str">
        <f>IFERROR(__xludf.DUMMYFUNCTION("GOOGLETRANSLATE(A8682 , ""auto"", ""ar"")"),"أنا لا أعرف ماذا أقول")</f>
        <v>أنا لا أعرف ماذا أقول</v>
      </c>
    </row>
    <row r="8683" ht="15.75" customHeight="1">
      <c r="A8683" s="12" t="s">
        <v>18916</v>
      </c>
      <c r="B8683" s="13" t="s">
        <v>18917</v>
      </c>
      <c r="C8683" s="14" t="s">
        <v>18918</v>
      </c>
      <c r="D8683" s="1" t="str">
        <f>IFERROR(__xludf.DUMMYFUNCTION("GOOGLETRANSLATE(A8683 , ""auto"", ""ar"")"),"ليس لدي حظ")</f>
        <v>ليس لدي حظ</v>
      </c>
    </row>
    <row r="8684" ht="15.75" customHeight="1">
      <c r="A8684" s="12" t="s">
        <v>18919</v>
      </c>
      <c r="B8684" s="13" t="s">
        <v>18920</v>
      </c>
      <c r="C8684" s="14" t="s">
        <v>18921</v>
      </c>
      <c r="D8684" s="1" t="str">
        <f>IFERROR(__xludf.DUMMYFUNCTION("GOOGLETRANSLATE(A8684 , ""auto"", ""ar"")"),"أنا أعاني من حساسية")</f>
        <v>أنا أعاني من حساسية</v>
      </c>
    </row>
    <row r="8685" ht="15.75" customHeight="1">
      <c r="A8685" s="12" t="s">
        <v>18922</v>
      </c>
      <c r="B8685" s="13" t="s">
        <v>18923</v>
      </c>
      <c r="C8685" s="14" t="s">
        <v>18924</v>
      </c>
      <c r="D8685" s="1" t="str">
        <f>IFERROR(__xludf.DUMMYFUNCTION("GOOGLETRANSLATE(A8685 , ""auto"", ""ar"")"),"أنا لا آكل السمك")</f>
        <v>أنا لا آكل السمك</v>
      </c>
    </row>
    <row r="8686" ht="15.75" customHeight="1">
      <c r="A8686" s="12" t="s">
        <v>18677</v>
      </c>
      <c r="B8686" s="13" t="s">
        <v>18925</v>
      </c>
      <c r="C8686" s="14" t="s">
        <v>18926</v>
      </c>
      <c r="D8686" s="1" t="str">
        <f>IFERROR(__xludf.DUMMYFUNCTION("GOOGLETRANSLATE(A8686 , ""auto"", ""ar"")"),"أنا لا آكل الأرز")</f>
        <v>أنا لا آكل الأرز</v>
      </c>
    </row>
    <row r="8687" ht="15.75" customHeight="1">
      <c r="A8687" s="12" t="s">
        <v>18927</v>
      </c>
      <c r="B8687" s="13" t="s">
        <v>18928</v>
      </c>
      <c r="C8687" s="14" t="s">
        <v>18929</v>
      </c>
      <c r="D8687" s="1" t="str">
        <f>IFERROR(__xludf.DUMMYFUNCTION("GOOGLETRANSLATE(A8687 , ""auto"", ""ar"")"),"أنا لا أشرب الحليب")</f>
        <v>أنا لا أشرب الحليب</v>
      </c>
    </row>
    <row r="8688" ht="15.75" customHeight="1">
      <c r="A8688" s="12" t="s">
        <v>18930</v>
      </c>
      <c r="B8688" s="13" t="s">
        <v>18931</v>
      </c>
      <c r="C8688" s="14" t="s">
        <v>18932</v>
      </c>
      <c r="D8688" s="1" t="str">
        <f>IFERROR(__xludf.DUMMYFUNCTION("GOOGLETRANSLATE(A8688 , ""auto"", ""ar"")"),"انتهت صلاحية هذا الحليب")</f>
        <v>انتهت صلاحية هذا الحليب</v>
      </c>
    </row>
    <row r="8689" ht="15.75" customHeight="1">
      <c r="A8689" s="12" t="s">
        <v>18933</v>
      </c>
      <c r="B8689" s="13" t="s">
        <v>18934</v>
      </c>
      <c r="C8689" s="14" t="s">
        <v>18935</v>
      </c>
      <c r="D8689" s="1" t="str">
        <f>IFERROR(__xludf.DUMMYFUNCTION("GOOGLETRANSLATE(A8689 , ""auto"", ""ar"")"),"من أين أتيت؟")</f>
        <v>من أين أتيت؟</v>
      </c>
    </row>
    <row r="8690" ht="15.75" customHeight="1">
      <c r="A8690" s="12" t="s">
        <v>18936</v>
      </c>
      <c r="B8690" s="13" t="s">
        <v>18937</v>
      </c>
      <c r="C8690" s="14" t="s">
        <v>18938</v>
      </c>
      <c r="D8690" s="1" t="str">
        <f>IFERROR(__xludf.DUMMYFUNCTION("GOOGLETRANSLATE(A8690 , ""auto"", ""ar"")"),"عندي ألم في الأسنان")</f>
        <v>عندي ألم في الأسنان</v>
      </c>
    </row>
    <row r="8691" ht="15.75" customHeight="1">
      <c r="A8691" s="12" t="s">
        <v>18939</v>
      </c>
      <c r="B8691" s="13" t="s">
        <v>18940</v>
      </c>
      <c r="C8691" s="14" t="s">
        <v>18941</v>
      </c>
      <c r="D8691" s="1" t="str">
        <f>IFERROR(__xludf.DUMMYFUNCTION("GOOGLETRANSLATE(A8691 , ""auto"", ""ar"")"),"سيكون لدينا ضيوف")</f>
        <v>سيكون لدينا ضيوف</v>
      </c>
    </row>
    <row r="8692" ht="15.75" customHeight="1">
      <c r="A8692" s="12" t="s">
        <v>18942</v>
      </c>
      <c r="B8692" s="13" t="s">
        <v>18943</v>
      </c>
      <c r="C8692" s="14" t="s">
        <v>18944</v>
      </c>
      <c r="D8692" s="1" t="str">
        <f>IFERROR(__xludf.DUMMYFUNCTION("GOOGLETRANSLATE(A8692 , ""auto"", ""ar"")"),"هل أنت مجنون؟")</f>
        <v>هل أنت مجنون؟</v>
      </c>
    </row>
    <row r="8693" ht="15.75" customHeight="1">
      <c r="A8693" s="12" t="s">
        <v>18945</v>
      </c>
      <c r="B8693" s="13" t="s">
        <v>18946</v>
      </c>
      <c r="C8693" s="14" t="s">
        <v>18947</v>
      </c>
      <c r="D8693" s="1" t="str">
        <f>IFERROR(__xludf.DUMMYFUNCTION("GOOGLETRANSLATE(A8693 , ""auto"", ""ar"")"),"كنت جعلني غاضبا")</f>
        <v>كنت جعلني غاضبا</v>
      </c>
    </row>
    <row r="8694" ht="15.75" customHeight="1">
      <c r="A8694" s="12" t="s">
        <v>3153</v>
      </c>
      <c r="B8694" s="13" t="s">
        <v>18948</v>
      </c>
      <c r="C8694" s="14" t="s">
        <v>9232</v>
      </c>
      <c r="D8694" s="1" t="str">
        <f>IFERROR(__xludf.DUMMYFUNCTION("GOOGLETRANSLATE(A8694 , ""auto"", ""ar"")"),"يبتعد")</f>
        <v>يبتعد</v>
      </c>
    </row>
    <row r="8695" ht="15.75" customHeight="1">
      <c r="A8695" s="12" t="s">
        <v>18949</v>
      </c>
      <c r="B8695" s="13" t="s">
        <v>18950</v>
      </c>
      <c r="C8695" s="14" t="s">
        <v>18951</v>
      </c>
      <c r="D8695" s="1" t="str">
        <f>IFERROR(__xludf.DUMMYFUNCTION("GOOGLETRANSLATE(A8695 , ""auto"", ""ar"")"),"تعال الى هنا")</f>
        <v>تعال الى هنا</v>
      </c>
    </row>
    <row r="8696" ht="15.75" customHeight="1">
      <c r="A8696" s="12" t="s">
        <v>18952</v>
      </c>
      <c r="B8696" s="13" t="s">
        <v>18953</v>
      </c>
      <c r="C8696" s="14" t="s">
        <v>18954</v>
      </c>
      <c r="D8696" s="1" t="str">
        <f>IFERROR(__xludf.DUMMYFUNCTION("GOOGLETRANSLATE(A8696 , ""auto"", ""ar"")"),"فقط ابق هادئًا")</f>
        <v>فقط ابق هادئًا</v>
      </c>
    </row>
    <row r="8697" ht="15.75" customHeight="1">
      <c r="A8697" s="12" t="s">
        <v>18955</v>
      </c>
      <c r="B8697" s="13" t="s">
        <v>18956</v>
      </c>
      <c r="C8697" s="14" t="s">
        <v>18957</v>
      </c>
      <c r="D8697" s="1" t="str">
        <f>IFERROR(__xludf.DUMMYFUNCTION("GOOGLETRANSLATE(A8697 , ""auto"", ""ar"")"),"لا تجعلني غاضبًا")</f>
        <v>لا تجعلني غاضبًا</v>
      </c>
    </row>
    <row r="8698" ht="15.75" customHeight="1">
      <c r="A8698" s="12" t="s">
        <v>18958</v>
      </c>
      <c r="B8698" s="13" t="s">
        <v>18959</v>
      </c>
      <c r="C8698" s="14" t="s">
        <v>18960</v>
      </c>
      <c r="D8698" s="1" t="str">
        <f>IFERROR(__xludf.DUMMYFUNCTION("GOOGLETRANSLATE(A8698 , ""auto"", ""ar"")"),"لا تغضب")</f>
        <v>لا تغضب</v>
      </c>
    </row>
    <row r="8699" ht="15.75" customHeight="1">
      <c r="A8699" s="12" t="s">
        <v>18961</v>
      </c>
      <c r="B8699" s="13" t="s">
        <v>18962</v>
      </c>
      <c r="C8699" s="14" t="s">
        <v>18963</v>
      </c>
      <c r="D8699" s="1" t="str">
        <f>IFERROR(__xludf.DUMMYFUNCTION("GOOGLETRANSLATE(A8699 , ""auto"", ""ar"")"),"لم يعجبني ما قلته")</f>
        <v>لم يعجبني ما قلته</v>
      </c>
    </row>
    <row r="8700" ht="15.75" customHeight="1">
      <c r="A8700" s="12" t="s">
        <v>18964</v>
      </c>
      <c r="B8700" s="13" t="s">
        <v>18965</v>
      </c>
      <c r="C8700" s="14" t="s">
        <v>18966</v>
      </c>
      <c r="D8700" s="1" t="str">
        <f>IFERROR(__xludf.DUMMYFUNCTION("GOOGLETRANSLATE(A8700 , ""auto"", ""ar"")"),"يجب أن تعتذر")</f>
        <v>يجب أن تعتذر</v>
      </c>
    </row>
    <row r="8701" ht="15.75" customHeight="1">
      <c r="A8701" s="12" t="s">
        <v>18967</v>
      </c>
      <c r="B8701" s="13" t="s">
        <v>18968</v>
      </c>
      <c r="C8701" s="14" t="s">
        <v>18969</v>
      </c>
      <c r="D8701" s="1" t="str">
        <f>IFERROR(__xludf.DUMMYFUNCTION("GOOGLETRANSLATE(A8701 , ""auto"", ""ar"")"),"ماذا رأيت؟")</f>
        <v>ماذا رأيت؟</v>
      </c>
    </row>
    <row r="8702" ht="15.75" customHeight="1">
      <c r="A8702" s="12" t="s">
        <v>18970</v>
      </c>
      <c r="B8702" s="13" t="s">
        <v>18971</v>
      </c>
      <c r="C8702" s="14" t="s">
        <v>18972</v>
      </c>
      <c r="D8702" s="1" t="str">
        <f>IFERROR(__xludf.DUMMYFUNCTION("GOOGLETRANSLATE(A8702 , ""auto"", ""ar"")"),"ماذا سمعت؟")</f>
        <v>ماذا سمعت؟</v>
      </c>
    </row>
    <row r="8703" ht="15.75" customHeight="1">
      <c r="A8703" s="12" t="s">
        <v>18973</v>
      </c>
      <c r="B8703" s="13" t="s">
        <v>18974</v>
      </c>
      <c r="C8703" s="14" t="s">
        <v>18975</v>
      </c>
      <c r="D8703" s="1" t="str">
        <f>IFERROR(__xludf.DUMMYFUNCTION("GOOGLETRANSLATE(A8703 , ""auto"", ""ar"")"),"ما لم أقول لكم؟")</f>
        <v>ما لم أقول لكم؟</v>
      </c>
    </row>
    <row r="8704" ht="15.75" customHeight="1">
      <c r="A8704" s="12" t="s">
        <v>18976</v>
      </c>
      <c r="B8704" s="13" t="s">
        <v>18977</v>
      </c>
      <c r="C8704" s="14" t="s">
        <v>18978</v>
      </c>
      <c r="D8704" s="1" t="str">
        <f>IFERROR(__xludf.DUMMYFUNCTION("GOOGLETRANSLATE(A8704 , ""auto"", ""ar"")"),"ألا تخجل؟")</f>
        <v>ألا تخجل؟</v>
      </c>
    </row>
    <row r="8705" ht="15.75" customHeight="1">
      <c r="A8705" s="12" t="s">
        <v>18979</v>
      </c>
      <c r="B8705" s="13" t="s">
        <v>18980</v>
      </c>
      <c r="C8705" s="14" t="s">
        <v>18981</v>
      </c>
      <c r="D8705" s="1" t="str">
        <f>IFERROR(__xludf.DUMMYFUNCTION("GOOGLETRANSLATE(A8705 , ""auto"", ""ar"")"),"إنه ليس من شئني")</f>
        <v>إنه ليس من شئني</v>
      </c>
    </row>
    <row r="8706" ht="15.75" customHeight="1">
      <c r="A8706" s="12" t="s">
        <v>18982</v>
      </c>
      <c r="B8706" s="13" t="s">
        <v>18983</v>
      </c>
      <c r="C8706" s="14" t="s">
        <v>18984</v>
      </c>
      <c r="D8706" s="1" t="str">
        <f>IFERROR(__xludf.DUMMYFUNCTION("GOOGLETRANSLATE(A8706 , ""auto"", ""ar"")"),"هذا ليس من شأنك")</f>
        <v>هذا ليس من شأنك</v>
      </c>
    </row>
    <row r="8707" ht="15.75" customHeight="1">
      <c r="A8707" s="12" t="s">
        <v>18985</v>
      </c>
      <c r="B8707" s="13" t="s">
        <v>18986</v>
      </c>
      <c r="C8707" s="14" t="s">
        <v>18987</v>
      </c>
      <c r="D8707" s="1" t="str">
        <f>IFERROR(__xludf.DUMMYFUNCTION("GOOGLETRANSLATE(A8707 , ""auto"", ""ar"")"),"هذا ما أفكر فيه")</f>
        <v>هذا ما أفكر فيه</v>
      </c>
    </row>
    <row r="8708" ht="15.75" customHeight="1">
      <c r="A8708" s="12" t="s">
        <v>18988</v>
      </c>
      <c r="B8708" s="13" t="s">
        <v>18989</v>
      </c>
      <c r="C8708" s="14" t="s">
        <v>18990</v>
      </c>
      <c r="D8708" s="1" t="str">
        <f>IFERROR(__xludf.DUMMYFUNCTION("GOOGLETRANSLATE(A8708 , ""auto"", ""ar"")"),"مازلت افكر")</f>
        <v>مازلت افكر</v>
      </c>
    </row>
    <row r="8709" ht="15.75" customHeight="1">
      <c r="A8709" s="12" t="s">
        <v>18991</v>
      </c>
      <c r="B8709" s="13" t="s">
        <v>18992</v>
      </c>
      <c r="C8709" s="14" t="s">
        <v>18993</v>
      </c>
      <c r="D8709" s="1" t="str">
        <f>IFERROR(__xludf.DUMMYFUNCTION("GOOGLETRANSLATE(A8709 , ""auto"", ""ar"")"),"لدي قطة")</f>
        <v>لدي قطة</v>
      </c>
    </row>
    <row r="8710" ht="15.75" customHeight="1">
      <c r="A8710" s="12" t="s">
        <v>18991</v>
      </c>
      <c r="B8710" s="13" t="s">
        <v>18994</v>
      </c>
      <c r="C8710" s="14" t="s">
        <v>18995</v>
      </c>
      <c r="D8710" s="1" t="str">
        <f>IFERROR(__xludf.DUMMYFUNCTION("GOOGLETRANSLATE(A8710 , ""auto"", ""ar"")"),"لدي قطة")</f>
        <v>لدي قطة</v>
      </c>
    </row>
    <row r="8711" ht="15.75" customHeight="1">
      <c r="A8711" s="12" t="s">
        <v>18996</v>
      </c>
      <c r="B8711" s="13" t="s">
        <v>18997</v>
      </c>
      <c r="C8711" s="14" t="s">
        <v>18998</v>
      </c>
      <c r="D8711" s="1" t="str">
        <f>IFERROR(__xludf.DUMMYFUNCTION("GOOGLETRANSLATE(A8711 , ""auto"", ""ar"")"),"لدي كلب")</f>
        <v>لدي كلب</v>
      </c>
    </row>
    <row r="8712" ht="15.75" customHeight="1">
      <c r="A8712" s="12" t="s">
        <v>18999</v>
      </c>
      <c r="B8712" s="13" t="s">
        <v>19000</v>
      </c>
      <c r="C8712" s="14" t="s">
        <v>19001</v>
      </c>
      <c r="D8712" s="1" t="str">
        <f>IFERROR(__xludf.DUMMYFUNCTION("GOOGLETRANSLATE(A8712 , ""auto"", ""ar"")"),"أنا خائف من القطط")</f>
        <v>أنا خائف من القطط</v>
      </c>
    </row>
    <row r="8713" ht="15.75" customHeight="1">
      <c r="A8713" s="12" t="s">
        <v>19002</v>
      </c>
      <c r="B8713" s="13" t="s">
        <v>19003</v>
      </c>
      <c r="C8713" s="14" t="s">
        <v>19004</v>
      </c>
      <c r="D8713" s="1" t="str">
        <f>IFERROR(__xludf.DUMMYFUNCTION("GOOGLETRANSLATE(A8713 , ""auto"", ""ar"")"),"أنا خائف من الكلاب")</f>
        <v>أنا خائف من الكلاب</v>
      </c>
    </row>
    <row r="8714" ht="15.75" customHeight="1">
      <c r="A8714" s="12" t="s">
        <v>19005</v>
      </c>
      <c r="B8714" s="13" t="s">
        <v>19006</v>
      </c>
      <c r="C8714" s="14" t="s">
        <v>19007</v>
      </c>
      <c r="D8714" s="1" t="str">
        <f>IFERROR(__xludf.DUMMYFUNCTION("GOOGLETRANSLATE(A8714 , ""auto"", ""ar"")"),"هذا الكلب ودود")</f>
        <v>هذا الكلب ودود</v>
      </c>
    </row>
    <row r="8715" ht="15.75" customHeight="1">
      <c r="A8715" s="12" t="s">
        <v>19008</v>
      </c>
      <c r="B8715" s="13" t="s">
        <v>19009</v>
      </c>
      <c r="C8715" s="14" t="s">
        <v>19010</v>
      </c>
      <c r="D8715" s="1" t="str">
        <f>IFERROR(__xludf.DUMMYFUNCTION("GOOGLETRANSLATE(A8715 , ""auto"", ""ar"")"),"ليس لدي أي فكرة")</f>
        <v>ليس لدي أي فكرة</v>
      </c>
    </row>
    <row r="8716" ht="15.75" customHeight="1">
      <c r="A8716" s="12" t="s">
        <v>19011</v>
      </c>
      <c r="B8716" s="13" t="s">
        <v>19012</v>
      </c>
      <c r="C8716" s="14" t="s">
        <v>19013</v>
      </c>
      <c r="D8716" s="1" t="str">
        <f>IFERROR(__xludf.DUMMYFUNCTION("GOOGLETRANSLATE(A8716 , ""auto"", ""ar"")"),"لقد صبغت شعري")</f>
        <v>لقد صبغت شعري</v>
      </c>
    </row>
    <row r="8717" ht="15.75" customHeight="1">
      <c r="A8717" s="12" t="s">
        <v>19014</v>
      </c>
      <c r="B8717" s="13" t="s">
        <v>19015</v>
      </c>
      <c r="C8717" s="14" t="s">
        <v>19016</v>
      </c>
      <c r="D8717" s="1" t="str">
        <f>IFERROR(__xludf.DUMMYFUNCTION("GOOGLETRANSLATE(A8717 , ""auto"", ""ar"")"),"سأخبز كعكة")</f>
        <v>سأخبز كعكة</v>
      </c>
    </row>
    <row r="8718" ht="15.75" customHeight="1">
      <c r="A8718" s="12" t="s">
        <v>19017</v>
      </c>
      <c r="B8718" s="13" t="s">
        <v>19018</v>
      </c>
      <c r="C8718" s="14" t="s">
        <v>19019</v>
      </c>
      <c r="D8718" s="1" t="str">
        <f>IFERROR(__xludf.DUMMYFUNCTION("GOOGLETRANSLATE(A8718 , ""auto"", ""ar"")"),"سآخذ سيارة أجرة")</f>
        <v>سآخذ سيارة أجرة</v>
      </c>
    </row>
    <row r="8719" ht="15.75" customHeight="1">
      <c r="A8719" s="12" t="s">
        <v>19020</v>
      </c>
      <c r="B8719" s="13" t="s">
        <v>19021</v>
      </c>
      <c r="C8719" s="14" t="s">
        <v>19022</v>
      </c>
      <c r="D8719" s="1" t="str">
        <f>IFERROR(__xludf.DUMMYFUNCTION("GOOGLETRANSLATE(A8719 , ""auto"", ""ar"")"),"سآخذ حافلة")</f>
        <v>سآخذ حافلة</v>
      </c>
    </row>
    <row r="8720" ht="15.75" customHeight="1">
      <c r="A8720" s="12" t="s">
        <v>19023</v>
      </c>
      <c r="B8720" s="13" t="s">
        <v>19024</v>
      </c>
      <c r="C8720" s="14" t="s">
        <v>19025</v>
      </c>
      <c r="D8720" s="1" t="str">
        <f>IFERROR(__xludf.DUMMYFUNCTION("GOOGLETRANSLATE(A8720 , ""auto"", ""ar"")"),"الحافلة لم تأت")</f>
        <v>الحافلة لم تأت</v>
      </c>
    </row>
    <row r="8721" ht="15.75" customHeight="1">
      <c r="A8721" s="12" t="s">
        <v>19026</v>
      </c>
      <c r="B8721" s="13" t="s">
        <v>19027</v>
      </c>
      <c r="C8721" s="14" t="s">
        <v>19028</v>
      </c>
      <c r="D8721" s="1" t="str">
        <f>IFERROR(__xludf.DUMMYFUNCTION("GOOGLETRANSLATE(A8721 , ""auto"", ""ar"")"),"متى تصل الحافلة؟")</f>
        <v>متى تصل الحافلة؟</v>
      </c>
    </row>
    <row r="8722" ht="15.75" customHeight="1">
      <c r="A8722" s="12" t="s">
        <v>19029</v>
      </c>
      <c r="B8722" s="13" t="s">
        <v>19030</v>
      </c>
      <c r="C8722" s="14" t="s">
        <v>19031</v>
      </c>
      <c r="D8722" s="1" t="str">
        <f>IFERROR(__xludf.DUMMYFUNCTION("GOOGLETRANSLATE(A8722 , ""auto"", ""ar"")"),"أين تعيش؟")</f>
        <v>أين تعيش؟</v>
      </c>
    </row>
    <row r="8723" ht="15.75" customHeight="1">
      <c r="A8723" s="12" t="s">
        <v>19032</v>
      </c>
      <c r="B8723" s="13" t="s">
        <v>19033</v>
      </c>
      <c r="C8723" s="14" t="s">
        <v>19034</v>
      </c>
      <c r="D8723" s="1" t="str">
        <f>IFERROR(__xludf.DUMMYFUNCTION("GOOGLETRANSLATE(A8723 , ""auto"", ""ar"")"),"هل ستخرج؟")</f>
        <v>هل ستخرج؟</v>
      </c>
    </row>
    <row r="8724" ht="15.75" customHeight="1">
      <c r="A8724" s="12" t="s">
        <v>19035</v>
      </c>
      <c r="B8724" s="13" t="s">
        <v>19036</v>
      </c>
      <c r="C8724" s="14" t="s">
        <v>19037</v>
      </c>
      <c r="D8724" s="1" t="str">
        <f>IFERROR(__xludf.DUMMYFUNCTION("GOOGLETRANSLATE(A8724 , ""auto"", ""ar"")"),"أنا أشحن هاتفي")</f>
        <v>أنا أشحن هاتفي</v>
      </c>
    </row>
    <row r="8725" ht="15.75" customHeight="1">
      <c r="A8725" s="12" t="s">
        <v>19038</v>
      </c>
      <c r="B8725" s="13" t="s">
        <v>19039</v>
      </c>
      <c r="C8725" s="14" t="s">
        <v>19040</v>
      </c>
      <c r="D8725" s="1" t="str">
        <f>IFERROR(__xludf.DUMMYFUNCTION("GOOGLETRANSLATE(A8725 , ""auto"", ""ar"")"),"أنا مدرس فلسفة")</f>
        <v>أنا مدرس فلسفة</v>
      </c>
    </row>
    <row r="8726" ht="15.75" customHeight="1">
      <c r="A8726" s="12" t="s">
        <v>19041</v>
      </c>
      <c r="B8726" s="13" t="s">
        <v>19042</v>
      </c>
      <c r="C8726" s="14" t="s">
        <v>19043</v>
      </c>
      <c r="D8726" s="1" t="str">
        <f>IFERROR(__xludf.DUMMYFUNCTION("GOOGLETRANSLATE(A8726 , ""auto"", ""ar"")"),"أنا أعلم العربية")</f>
        <v>أنا أعلم العربية</v>
      </c>
    </row>
    <row r="8727" ht="15.75" customHeight="1">
      <c r="A8727" s="12" t="s">
        <v>19044</v>
      </c>
      <c r="B8727" s="13" t="s">
        <v>19045</v>
      </c>
      <c r="C8727" s="14" t="s">
        <v>19046</v>
      </c>
      <c r="D8727" s="1" t="str">
        <f>IFERROR(__xludf.DUMMYFUNCTION("GOOGLETRANSLATE(A8727 , ""auto"", ""ar"")"),"أنا مدرس الرياضيات")</f>
        <v>أنا مدرس الرياضيات</v>
      </c>
    </row>
    <row r="8728" ht="15.75" customHeight="1">
      <c r="A8728" s="12" t="s">
        <v>19047</v>
      </c>
      <c r="B8728" s="13" t="s">
        <v>19048</v>
      </c>
      <c r="C8728" s="14" t="s">
        <v>19049</v>
      </c>
      <c r="D8728" s="1" t="str">
        <f>IFERROR(__xludf.DUMMYFUNCTION("GOOGLETRANSLATE(A8728 , ""auto"", ""ar"")"),"أنا مدرس جامعي")</f>
        <v>أنا مدرس جامعي</v>
      </c>
    </row>
    <row r="8729" ht="15.75" customHeight="1">
      <c r="A8729" s="12" t="s">
        <v>19050</v>
      </c>
      <c r="B8729" s="13" t="s">
        <v>19051</v>
      </c>
      <c r="C8729" s="14" t="s">
        <v>19052</v>
      </c>
      <c r="D8729" s="1" t="str">
        <f>IFERROR(__xludf.DUMMYFUNCTION("GOOGLETRANSLATE(A8729 , ""auto"", ""ar"")"),"أنا لا أعمل الآن")</f>
        <v>أنا لا أعمل الآن</v>
      </c>
    </row>
    <row r="8730" ht="15.75" customHeight="1">
      <c r="A8730" s="12" t="s">
        <v>19053</v>
      </c>
      <c r="B8730" s="13" t="s">
        <v>19054</v>
      </c>
      <c r="C8730" s="14" t="s">
        <v>19055</v>
      </c>
      <c r="D8730" s="1" t="str">
        <f>IFERROR(__xludf.DUMMYFUNCTION("GOOGLETRANSLATE(A8730 , ""auto"", ""ar"")"),"لا بأس")</f>
        <v>لا بأس</v>
      </c>
    </row>
    <row r="8731" ht="15.75" customHeight="1">
      <c r="A8731" s="12" t="s">
        <v>19056</v>
      </c>
      <c r="B8731" s="13" t="s">
        <v>19057</v>
      </c>
      <c r="C8731" s="14" t="s">
        <v>19058</v>
      </c>
      <c r="D8731" s="1" t="str">
        <f>IFERROR(__xludf.DUMMYFUNCTION("GOOGLETRANSLATE(A8731 , ""auto"", ""ar"")"),"سأبقى في وقت متأخر الليلة")</f>
        <v>سأبقى في وقت متأخر الليلة</v>
      </c>
    </row>
    <row r="8732" ht="15.75" customHeight="1">
      <c r="A8732" s="12" t="s">
        <v>19059</v>
      </c>
      <c r="B8732" s="13" t="s">
        <v>19060</v>
      </c>
      <c r="C8732" s="14" t="s">
        <v>19061</v>
      </c>
      <c r="D8732" s="1" t="str">
        <f>IFERROR(__xludf.DUMMYFUNCTION("GOOGLETRANSLATE(A8732 , ""auto"", ""ar"")"),"اشتريت ملابس جديدة")</f>
        <v>اشتريت ملابس جديدة</v>
      </c>
    </row>
    <row r="8733" ht="15.75" customHeight="1">
      <c r="A8733" s="12" t="s">
        <v>19062</v>
      </c>
      <c r="B8733" s="13" t="s">
        <v>19063</v>
      </c>
      <c r="C8733" s="14" t="s">
        <v>19064</v>
      </c>
      <c r="D8733" s="1" t="str">
        <f>IFERROR(__xludf.DUMMYFUNCTION("GOOGLETRANSLATE(A8733 , ""auto"", ""ar"")"),"ليس لدي رخصة قيادة")</f>
        <v>ليس لدي رخصة قيادة</v>
      </c>
    </row>
    <row r="8734" ht="15.75" customHeight="1">
      <c r="A8734" s="12" t="s">
        <v>19065</v>
      </c>
      <c r="B8734" s="13" t="s">
        <v>19066</v>
      </c>
      <c r="C8734" s="14" t="s">
        <v>19067</v>
      </c>
      <c r="D8734" s="1" t="str">
        <f>IFERROR(__xludf.DUMMYFUNCTION("GOOGLETRANSLATE(A8734 , ""auto"", ""ar"")"),"لا أعرف كيف أقود السيارة")</f>
        <v>لا أعرف كيف أقود السيارة</v>
      </c>
    </row>
    <row r="8735" ht="15.75" customHeight="1">
      <c r="A8735" s="12" t="s">
        <v>19068</v>
      </c>
      <c r="B8735" s="13" t="s">
        <v>19069</v>
      </c>
      <c r="C8735" s="14" t="s">
        <v>19070</v>
      </c>
      <c r="D8735" s="1" t="str">
        <f>IFERROR(__xludf.DUMMYFUNCTION("GOOGLETRANSLATE(A8735 , ""auto"", ""ar"")"),"سيارتك جميلة")</f>
        <v>سيارتك جميلة</v>
      </c>
    </row>
    <row r="8736" ht="15.75" customHeight="1">
      <c r="A8736" s="12" t="s">
        <v>19071</v>
      </c>
      <c r="B8736" s="13" t="s">
        <v>19072</v>
      </c>
      <c r="C8736" s="14" t="s">
        <v>19073</v>
      </c>
      <c r="D8736" s="1" t="str">
        <f>IFERROR(__xludf.DUMMYFUNCTION("GOOGLETRANSLATE(A8736 , ""auto"", ""ar"")"),"كم اشتريت هذه السيارة؟")</f>
        <v>كم اشتريت هذه السيارة؟</v>
      </c>
    </row>
    <row r="8737" ht="15.75" customHeight="1">
      <c r="A8737" s="12" t="s">
        <v>19074</v>
      </c>
      <c r="B8737" s="13" t="s">
        <v>19075</v>
      </c>
      <c r="C8737" s="14" t="s">
        <v>19076</v>
      </c>
      <c r="D8737" s="1" t="str">
        <f>IFERROR(__xludf.DUMMYFUNCTION("GOOGLETRANSLATE(A8737 , ""auto"", ""ar"")"),"إنه مكلف للغاية")</f>
        <v>إنه مكلف للغاية</v>
      </c>
    </row>
    <row r="8738" ht="15.75" customHeight="1">
      <c r="A8738" s="12" t="s">
        <v>19077</v>
      </c>
      <c r="B8738" s="13" t="s">
        <v>19078</v>
      </c>
      <c r="C8738" s="14" t="s">
        <v>19079</v>
      </c>
      <c r="D8738" s="1" t="str">
        <f>IFERROR(__xludf.DUMMYFUNCTION("GOOGLETRANSLATE(A8738 , ""auto"", ""ar"")"),"إنها رخيصة جدا")</f>
        <v>إنها رخيصة جدا</v>
      </c>
    </row>
    <row r="8739" ht="15.75" customHeight="1">
      <c r="A8739" s="12" t="s">
        <v>19080</v>
      </c>
      <c r="B8739" s="13" t="s">
        <v>19081</v>
      </c>
      <c r="C8739" s="14" t="s">
        <v>19082</v>
      </c>
      <c r="D8739" s="1" t="str">
        <f>IFERROR(__xludf.DUMMYFUNCTION("GOOGLETRANSLATE(A8739 , ""auto"", ""ar"")"),"انا أكل الان")</f>
        <v>انا أكل الان</v>
      </c>
    </row>
    <row r="8740" ht="15.75" customHeight="1">
      <c r="A8740" s="12" t="s">
        <v>19083</v>
      </c>
      <c r="B8740" s="13" t="s">
        <v>19084</v>
      </c>
      <c r="C8740" s="14" t="s">
        <v>19085</v>
      </c>
      <c r="D8740" s="1" t="str">
        <f>IFERROR(__xludf.DUMMYFUNCTION("GOOGLETRANSLATE(A8740 , ""auto"", ""ar"")"),"انتظر حتى أنتهي")</f>
        <v>انتظر حتى أنتهي</v>
      </c>
    </row>
    <row r="8741" ht="15.75" customHeight="1">
      <c r="A8741" s="12" t="s">
        <v>19086</v>
      </c>
      <c r="B8741" s="13" t="s">
        <v>19087</v>
      </c>
      <c r="C8741" s="14" t="s">
        <v>19088</v>
      </c>
      <c r="D8741" s="1" t="str">
        <f>IFERROR(__xludf.DUMMYFUNCTION("GOOGLETRANSLATE(A8741 , ""auto"", ""ar"")"),"رمضان قريب")</f>
        <v>رمضان قريب</v>
      </c>
    </row>
    <row r="8742" ht="15.75" customHeight="1">
      <c r="A8742" s="12" t="s">
        <v>19089</v>
      </c>
      <c r="B8742" s="13" t="s">
        <v>19090</v>
      </c>
      <c r="C8742" s="14" t="s">
        <v>19091</v>
      </c>
      <c r="D8742" s="1" t="str">
        <f>IFERROR(__xludf.DUMMYFUNCTION("GOOGLETRANSLATE(A8742 , ""auto"", ""ar"")"),"هل ستستوعب؟")</f>
        <v>هل ستستوعب؟</v>
      </c>
    </row>
    <row r="8743" ht="15.75" customHeight="1">
      <c r="A8743" s="12" t="s">
        <v>19092</v>
      </c>
      <c r="B8743" s="13" t="s">
        <v>19093</v>
      </c>
      <c r="C8743" s="14" t="s">
        <v>19094</v>
      </c>
      <c r="D8743" s="1" t="str">
        <f>IFERROR(__xludf.DUMMYFUNCTION("GOOGLETRANSLATE(A8743 , ""auto"", ""ar"")"),"ماذا تفعل في رمضان؟")</f>
        <v>ماذا تفعل في رمضان؟</v>
      </c>
    </row>
    <row r="8744" ht="15.75" customHeight="1">
      <c r="A8744" s="12" t="s">
        <v>19095</v>
      </c>
      <c r="B8744" s="13" t="s">
        <v>19096</v>
      </c>
      <c r="C8744" s="14" t="s">
        <v>19097</v>
      </c>
      <c r="D8744" s="1" t="str">
        <f>IFERROR(__xludf.DUMMYFUNCTION("GOOGLETRANSLATE(A8744 , ""auto"", ""ar"")"),"انا اشعر بالخوف")</f>
        <v>انا اشعر بالخوف</v>
      </c>
    </row>
    <row r="8745" ht="15.75" customHeight="1">
      <c r="A8745" s="12" t="s">
        <v>19098</v>
      </c>
      <c r="B8745" s="13" t="s">
        <v>19099</v>
      </c>
      <c r="C8745" s="14" t="s">
        <v>19100</v>
      </c>
      <c r="D8745" s="1" t="str">
        <f>IFERROR(__xludf.DUMMYFUNCTION("GOOGLETRANSLATE(A8745 , ""auto"", ""ar"")"),"أشعر بالحرارة")</f>
        <v>أشعر بالحرارة</v>
      </c>
    </row>
    <row r="8746" ht="15.75" customHeight="1">
      <c r="A8746" s="12" t="s">
        <v>19101</v>
      </c>
      <c r="B8746" s="13" t="s">
        <v>19102</v>
      </c>
      <c r="C8746" s="14" t="s">
        <v>19103</v>
      </c>
      <c r="D8746" s="1" t="str">
        <f>IFERROR(__xludf.DUMMYFUNCTION("GOOGLETRANSLATE(A8746 , ""auto"", ""ar"")"),"ما هي درجة الحرارة اليوم؟")</f>
        <v>ما هي درجة الحرارة اليوم؟</v>
      </c>
    </row>
    <row r="8747" ht="15.75" customHeight="1">
      <c r="A8747" s="12" t="s">
        <v>19104</v>
      </c>
      <c r="B8747" s="13" t="s">
        <v>19105</v>
      </c>
      <c r="C8747" s="14" t="s">
        <v>19106</v>
      </c>
      <c r="D8747" s="1" t="str">
        <f>IFERROR(__xludf.DUMMYFUNCTION("GOOGLETRANSLATE(A8747 , ""auto"", ""ar"")"),"إنه بارد")</f>
        <v>إنه بارد</v>
      </c>
    </row>
    <row r="8748" ht="15.75" customHeight="1">
      <c r="A8748" s="12" t="s">
        <v>19107</v>
      </c>
      <c r="B8748" s="13" t="s">
        <v>19108</v>
      </c>
      <c r="C8748" s="14" t="s">
        <v>19109</v>
      </c>
      <c r="D8748" s="1" t="str">
        <f>IFERROR(__xludf.DUMMYFUNCTION("GOOGLETRANSLATE(A8748 , ""auto"", ""ar"")"),"الجو حار")</f>
        <v>الجو حار</v>
      </c>
    </row>
    <row r="8749" ht="15.75" customHeight="1">
      <c r="A8749" s="12" t="s">
        <v>19110</v>
      </c>
      <c r="B8749" s="13" t="s">
        <v>19111</v>
      </c>
      <c r="C8749" s="14" t="s">
        <v>19112</v>
      </c>
      <c r="D8749" s="1" t="str">
        <f>IFERROR(__xludf.DUMMYFUNCTION("GOOGLETRANSLATE(A8749 , ""auto"", ""ar"")"),"الجو مشمس جدا")</f>
        <v>الجو مشمس جدا</v>
      </c>
    </row>
    <row r="8750" ht="15.75" customHeight="1">
      <c r="A8750" s="12" t="s">
        <v>19113</v>
      </c>
      <c r="B8750" s="13" t="s">
        <v>19114</v>
      </c>
      <c r="C8750" s="14" t="s">
        <v>19115</v>
      </c>
      <c r="D8750" s="1" t="str">
        <f>IFERROR(__xludf.DUMMYFUNCTION("GOOGLETRANSLATE(A8750 , ""auto"", ""ar"")"),"كانت السماء تمطر الكثير")</f>
        <v>كانت السماء تمطر الكثير</v>
      </c>
    </row>
    <row r="8751" ht="15.75" customHeight="1">
      <c r="A8751" s="12" t="s">
        <v>19116</v>
      </c>
      <c r="B8751" s="13" t="s">
        <v>19117</v>
      </c>
      <c r="C8751" s="14" t="s">
        <v>19118</v>
      </c>
      <c r="D8751" s="1" t="str">
        <f>IFERROR(__xludf.DUMMYFUNCTION("GOOGLETRANSLATE(A8751 , ""auto"", ""ar"")"),"ليس لدي المزاج")</f>
        <v>ليس لدي المزاج</v>
      </c>
    </row>
    <row r="8752" ht="15.75" customHeight="1">
      <c r="A8752" s="12" t="s">
        <v>19119</v>
      </c>
      <c r="B8752" s="13" t="s">
        <v>19120</v>
      </c>
      <c r="C8752" s="14" t="s">
        <v>19121</v>
      </c>
      <c r="D8752" s="1" t="str">
        <f>IFERROR(__xludf.DUMMYFUNCTION("GOOGLETRANSLATE(A8752 , ""auto"", ""ar"")"),"الشاي ساخن")</f>
        <v>الشاي ساخن</v>
      </c>
    </row>
    <row r="8753" ht="15.75" customHeight="1">
      <c r="A8753" s="12" t="s">
        <v>19122</v>
      </c>
      <c r="B8753" s="13" t="s">
        <v>19123</v>
      </c>
      <c r="C8753" s="14" t="s">
        <v>19124</v>
      </c>
      <c r="D8753" s="1" t="str">
        <f>IFERROR(__xludf.DUMMYFUNCTION("GOOGLETRANSLATE(A8753 , ""auto"", ""ar"")"),"الشاي بارد")</f>
        <v>الشاي بارد</v>
      </c>
    </row>
    <row r="8754" ht="15.75" customHeight="1">
      <c r="A8754" s="12" t="s">
        <v>19125</v>
      </c>
      <c r="B8754" s="13" t="s">
        <v>19126</v>
      </c>
      <c r="C8754" s="14" t="s">
        <v>19127</v>
      </c>
      <c r="D8754" s="1" t="str">
        <f>IFERROR(__xludf.DUMMYFUNCTION("GOOGLETRANSLATE(A8754 , ""auto"", ""ar"")"),"تعال لتأكل")</f>
        <v>تعال لتأكل</v>
      </c>
    </row>
    <row r="8755" ht="15.75" customHeight="1">
      <c r="A8755" s="12" t="s">
        <v>7209</v>
      </c>
      <c r="B8755" s="13" t="s">
        <v>19128</v>
      </c>
      <c r="C8755" s="14" t="s">
        <v>19129</v>
      </c>
      <c r="D8755" s="1" t="str">
        <f>IFERROR(__xludf.DUMMYFUNCTION("GOOGLETRANSLATE(A8755 , ""auto"", ""ar"")"),"مرحباً")</f>
        <v>مرحباً</v>
      </c>
    </row>
    <row r="8756" ht="15.75" customHeight="1">
      <c r="A8756" s="12" t="s">
        <v>19130</v>
      </c>
      <c r="B8756" s="13" t="s">
        <v>19131</v>
      </c>
      <c r="C8756" s="14" t="s">
        <v>19132</v>
      </c>
      <c r="D8756" s="1" t="str">
        <f>IFERROR(__xludf.DUMMYFUNCTION("GOOGLETRANSLATE(A8756 , ""auto"", ""ar"")"),"هل شاهدت الأخبار؟")</f>
        <v>هل شاهدت الأخبار؟</v>
      </c>
    </row>
    <row r="8757" ht="15.75" customHeight="1">
      <c r="A8757" s="12" t="s">
        <v>19133</v>
      </c>
      <c r="B8757" s="13" t="s">
        <v>19134</v>
      </c>
      <c r="C8757" s="14" t="s">
        <v>19135</v>
      </c>
      <c r="D8757" s="1" t="str">
        <f>IFERROR(__xludf.DUMMYFUNCTION("GOOGLETRANSLATE(A8757 , ""auto"", ""ar"")"),"بارك الله في روحه")</f>
        <v>بارك الله في روحه</v>
      </c>
    </row>
    <row r="8758" ht="15.75" customHeight="1">
      <c r="A8758" s="12" t="s">
        <v>19136</v>
      </c>
      <c r="B8758" s="13" t="s">
        <v>19137</v>
      </c>
      <c r="C8758" s="14" t="s">
        <v>19138</v>
      </c>
      <c r="D8758" s="1" t="str">
        <f>IFERROR(__xludf.DUMMYFUNCTION("GOOGLETRANSLATE(A8758 , ""auto"", ""ar"")"),"أعطني نقودي")</f>
        <v>أعطني نقودي</v>
      </c>
    </row>
    <row r="8759" ht="15.75" customHeight="1">
      <c r="A8759" s="12" t="s">
        <v>19139</v>
      </c>
      <c r="B8759" s="13" t="s">
        <v>19140</v>
      </c>
      <c r="C8759" s="14" t="s">
        <v>19141</v>
      </c>
      <c r="D8759" s="1" t="str">
        <f>IFERROR(__xludf.DUMMYFUNCTION("GOOGLETRANSLATE(A8759 , ""auto"", ""ar"")"),"خد المال")</f>
        <v>خد المال</v>
      </c>
    </row>
    <row r="8760" ht="15.75" customHeight="1">
      <c r="A8760" s="12" t="s">
        <v>19142</v>
      </c>
      <c r="B8760" s="13" t="s">
        <v>19143</v>
      </c>
      <c r="C8760" s="14" t="s">
        <v>19144</v>
      </c>
      <c r="D8760" s="1" t="str">
        <f>IFERROR(__xludf.DUMMYFUNCTION("GOOGLETRANSLATE(A8760 , ""auto"", ""ar"")"),"كم تريد؟")</f>
        <v>كم تريد؟</v>
      </c>
    </row>
    <row r="8761" ht="15.75" customHeight="1">
      <c r="A8761" s="12" t="s">
        <v>19145</v>
      </c>
      <c r="B8761" s="13" t="s">
        <v>19146</v>
      </c>
      <c r="C8761" s="14" t="s">
        <v>19147</v>
      </c>
      <c r="D8761" s="1" t="str">
        <f>IFERROR(__xludf.DUMMYFUNCTION("GOOGLETRANSLATE(A8761 , ""auto"", ""ar"")"),"كم ثمن هذا؟")</f>
        <v>كم ثمن هذا؟</v>
      </c>
    </row>
    <row r="8762" ht="15.75" customHeight="1">
      <c r="A8762" s="12" t="s">
        <v>19148</v>
      </c>
      <c r="B8762" s="13" t="s">
        <v>19149</v>
      </c>
      <c r="C8762" s="14" t="s">
        <v>19150</v>
      </c>
      <c r="D8762" s="1" t="str">
        <f>IFERROR(__xludf.DUMMYFUNCTION("GOOGLETRANSLATE(A8762 , ""auto"", ""ar"")"),"لدي سر")</f>
        <v>لدي سر</v>
      </c>
    </row>
    <row r="8763" ht="15.75" customHeight="1">
      <c r="A8763" s="12" t="s">
        <v>19151</v>
      </c>
      <c r="B8763" s="13" t="s">
        <v>19152</v>
      </c>
      <c r="C8763" s="14" t="s">
        <v>19153</v>
      </c>
      <c r="D8763" s="1" t="str">
        <f>IFERROR(__xludf.DUMMYFUNCTION("GOOGLETRANSLATE(A8763 , ""auto"", ""ar"")"),"لا تخبر أحدا عن هذا")</f>
        <v>لا تخبر أحدا عن هذا</v>
      </c>
    </row>
    <row r="8764" ht="15.75" customHeight="1">
      <c r="A8764" s="12" t="s">
        <v>19154</v>
      </c>
      <c r="B8764" s="13" t="s">
        <v>19155</v>
      </c>
      <c r="C8764" s="14" t="s">
        <v>19156</v>
      </c>
      <c r="D8764" s="1" t="str">
        <f>IFERROR(__xludf.DUMMYFUNCTION("GOOGLETRANSLATE(A8764 , ""auto"", ""ar"")"),"حسنًا ، أعدك")</f>
        <v>حسنًا ، أعدك</v>
      </c>
    </row>
    <row r="8765" ht="15.75" customHeight="1">
      <c r="A8765" s="12" t="s">
        <v>19157</v>
      </c>
      <c r="B8765" s="13" t="s">
        <v>19158</v>
      </c>
      <c r="C8765" s="14" t="s">
        <v>19159</v>
      </c>
      <c r="D8765" s="1" t="str">
        <f>IFERROR(__xludf.DUMMYFUNCTION("GOOGLETRANSLATE(A8765 , ""auto"", ""ar"")"),"انت كاذب")</f>
        <v>انت كاذب</v>
      </c>
    </row>
    <row r="8766" ht="15.75" customHeight="1">
      <c r="A8766" s="12" t="s">
        <v>19160</v>
      </c>
      <c r="B8766" s="13" t="s">
        <v>19161</v>
      </c>
      <c r="C8766" s="14" t="s">
        <v>19162</v>
      </c>
      <c r="D8766" s="1" t="str">
        <f>IFERROR(__xludf.DUMMYFUNCTION("GOOGLETRANSLATE(A8766 , ""auto"", ""ar"")"),"لماذا تكذب؟")</f>
        <v>لماذا تكذب؟</v>
      </c>
    </row>
    <row r="8767" ht="15.75" customHeight="1">
      <c r="A8767" s="12" t="s">
        <v>19163</v>
      </c>
      <c r="B8767" s="13" t="s">
        <v>19164</v>
      </c>
      <c r="C8767" s="14" t="s">
        <v>19165</v>
      </c>
      <c r="D8767" s="1" t="str">
        <f>IFERROR(__xludf.DUMMYFUNCTION("GOOGLETRANSLATE(A8767 , ""auto"", ""ar"")"),"حصلت على حلاقة")</f>
        <v>حصلت على حلاقة</v>
      </c>
    </row>
    <row r="8768" ht="15.75" customHeight="1">
      <c r="A8768" s="12" t="s">
        <v>19166</v>
      </c>
      <c r="B8768" s="13" t="s">
        <v>19167</v>
      </c>
      <c r="C8768" s="14" t="s">
        <v>19168</v>
      </c>
      <c r="D8768" s="1" t="str">
        <f>IFERROR(__xludf.DUMMYFUNCTION("GOOGLETRANSLATE(A8768 , ""auto"", ""ar"")"),"ما زلت لم أتقاضى رواتب")</f>
        <v>ما زلت لم أتقاضى رواتب</v>
      </c>
    </row>
    <row r="8769" ht="15.75" customHeight="1">
      <c r="A8769" s="12" t="s">
        <v>19169</v>
      </c>
      <c r="B8769" s="13" t="s">
        <v>19170</v>
      </c>
      <c r="C8769" s="14" t="s">
        <v>19171</v>
      </c>
      <c r="D8769" s="1" t="str">
        <f>IFERROR(__xludf.DUMMYFUNCTION("GOOGLETRANSLATE(A8769 , ""auto"", ""ar"")"),"متى سوف تحصل على رواتب؟")</f>
        <v>متى سوف تحصل على رواتب؟</v>
      </c>
    </row>
    <row r="8770" ht="15.75" customHeight="1">
      <c r="A8770" s="12" t="s">
        <v>4766</v>
      </c>
      <c r="B8770" s="13" t="s">
        <v>19172</v>
      </c>
      <c r="C8770" s="14" t="s">
        <v>19173</v>
      </c>
      <c r="D8770" s="1" t="str">
        <f>IFERROR(__xludf.DUMMYFUNCTION("GOOGLETRANSLATE(A8770 , ""auto"", ""ar"")"),"الاثنين")</f>
        <v>الاثنين</v>
      </c>
    </row>
    <row r="8771" ht="15.75" customHeight="1">
      <c r="A8771" s="12" t="s">
        <v>6870</v>
      </c>
      <c r="B8771" s="13" t="s">
        <v>19174</v>
      </c>
      <c r="C8771" s="14" t="s">
        <v>6872</v>
      </c>
      <c r="D8771" s="1" t="str">
        <f>IFERROR(__xludf.DUMMYFUNCTION("GOOGLETRANSLATE(A8771 , ""auto"", ""ar"")"),"يوم الثلاثاء")</f>
        <v>يوم الثلاثاء</v>
      </c>
    </row>
    <row r="8772" ht="15.75" customHeight="1">
      <c r="A8772" s="12" t="s">
        <v>7193</v>
      </c>
      <c r="B8772" s="13" t="s">
        <v>19175</v>
      </c>
      <c r="C8772" s="14" t="s">
        <v>19176</v>
      </c>
      <c r="D8772" s="1" t="str">
        <f>IFERROR(__xludf.DUMMYFUNCTION("GOOGLETRANSLATE(A8772 , ""auto"", ""ar"")"),"الأربعاء")</f>
        <v>الأربعاء</v>
      </c>
    </row>
    <row r="8773" ht="15.75" customHeight="1">
      <c r="A8773" s="12" t="s">
        <v>6664</v>
      </c>
      <c r="B8773" s="13" t="s">
        <v>19177</v>
      </c>
      <c r="C8773" s="14" t="s">
        <v>19178</v>
      </c>
      <c r="D8773" s="1" t="str">
        <f>IFERROR(__xludf.DUMMYFUNCTION("GOOGLETRANSLATE(A8773 , ""auto"", ""ar"")"),"يوم الخميس")</f>
        <v>يوم الخميس</v>
      </c>
    </row>
    <row r="8774" ht="15.75" customHeight="1">
      <c r="A8774" s="12" t="s">
        <v>2934</v>
      </c>
      <c r="B8774" s="13" t="s">
        <v>19179</v>
      </c>
      <c r="C8774" s="14" t="s">
        <v>19180</v>
      </c>
      <c r="D8774" s="1" t="str">
        <f>IFERROR(__xludf.DUMMYFUNCTION("GOOGLETRANSLATE(A8774 , ""auto"", ""ar"")"),"جمعة")</f>
        <v>جمعة</v>
      </c>
    </row>
    <row r="8775" ht="15.75" customHeight="1">
      <c r="A8775" s="12" t="s">
        <v>5525</v>
      </c>
      <c r="B8775" s="13" t="s">
        <v>19181</v>
      </c>
      <c r="C8775" s="14" t="s">
        <v>5527</v>
      </c>
      <c r="D8775" s="1" t="str">
        <f>IFERROR(__xludf.DUMMYFUNCTION("GOOGLETRANSLATE(A8775 , ""auto"", ""ar"")"),"السبت")</f>
        <v>السبت</v>
      </c>
    </row>
    <row r="8776" ht="15.75" customHeight="1">
      <c r="A8776" s="12" t="s">
        <v>6331</v>
      </c>
      <c r="B8776" s="13" t="s">
        <v>19182</v>
      </c>
      <c r="C8776" s="14" t="s">
        <v>19183</v>
      </c>
      <c r="D8776" s="1" t="str">
        <f>IFERROR(__xludf.DUMMYFUNCTION("GOOGLETRANSLATE(A8776 , ""auto"", ""ar"")"),"الأحد")</f>
        <v>الأحد</v>
      </c>
    </row>
    <row r="8777" ht="15.75" customHeight="1">
      <c r="A8777" s="12" t="s">
        <v>19184</v>
      </c>
      <c r="B8777" s="13" t="s">
        <v>19185</v>
      </c>
      <c r="C8777" s="14" t="s">
        <v>19186</v>
      </c>
      <c r="D8777" s="1" t="str">
        <f>IFERROR(__xludf.DUMMYFUNCTION("GOOGLETRANSLATE(A8777 , ""auto"", ""ar"")"),"كل يوم")</f>
        <v>كل يوم</v>
      </c>
    </row>
    <row r="8778" ht="15.75" customHeight="1">
      <c r="A8778" s="12" t="s">
        <v>19187</v>
      </c>
      <c r="B8778" s="13" t="s">
        <v>19188</v>
      </c>
      <c r="C8778" s="14" t="s">
        <v>19189</v>
      </c>
      <c r="D8778" s="1" t="str">
        <f>IFERROR(__xludf.DUMMYFUNCTION("GOOGLETRANSLATE(A8778 , ""auto"", ""ar"")"),"كل اسبوع")</f>
        <v>كل اسبوع</v>
      </c>
    </row>
    <row r="8779" ht="15.75" customHeight="1">
      <c r="A8779" s="12" t="s">
        <v>19190</v>
      </c>
      <c r="B8779" s="13" t="s">
        <v>19191</v>
      </c>
      <c r="C8779" s="14" t="s">
        <v>19192</v>
      </c>
      <c r="D8779" s="1" t="str">
        <f>IFERROR(__xludf.DUMMYFUNCTION("GOOGLETRANSLATE(A8779 , ""auto"", ""ar"")"),"كل شهر")</f>
        <v>كل شهر</v>
      </c>
    </row>
    <row r="8780" ht="15.75" customHeight="1">
      <c r="A8780" s="12" t="s">
        <v>19193</v>
      </c>
      <c r="B8780" s="13" t="s">
        <v>19194</v>
      </c>
      <c r="C8780" s="14" t="s">
        <v>19195</v>
      </c>
      <c r="D8780" s="1" t="str">
        <f>IFERROR(__xludf.DUMMYFUNCTION("GOOGLETRANSLATE(A8780 , ""auto"", ""ar"")"),"كل عام")</f>
        <v>كل عام</v>
      </c>
    </row>
    <row r="8781" ht="15.75" customHeight="1">
      <c r="A8781" s="12" t="s">
        <v>19196</v>
      </c>
      <c r="B8781" s="13" t="s">
        <v>19197</v>
      </c>
      <c r="C8781" s="14" t="s">
        <v>19198</v>
      </c>
      <c r="D8781" s="1" t="str">
        <f>IFERROR(__xludf.DUMMYFUNCTION("GOOGLETRANSLATE(A8781 , ""auto"", ""ar"")"),"كل بعد ظهر")</f>
        <v>كل بعد ظهر</v>
      </c>
    </row>
    <row r="8782" ht="15.75" customHeight="1">
      <c r="A8782" s="12" t="s">
        <v>19199</v>
      </c>
      <c r="B8782" s="13" t="s">
        <v>19200</v>
      </c>
      <c r="C8782" s="14" t="s">
        <v>19201</v>
      </c>
      <c r="D8782" s="1" t="str">
        <f>IFERROR(__xludf.DUMMYFUNCTION("GOOGLETRANSLATE(A8782 , ""auto"", ""ar"")"),"كل صباح")</f>
        <v>كل صباح</v>
      </c>
    </row>
    <row r="8783" ht="15.75" customHeight="1">
      <c r="A8783" s="12" t="s">
        <v>19202</v>
      </c>
      <c r="B8783" s="13" t="s">
        <v>19203</v>
      </c>
      <c r="C8783" s="14" t="s">
        <v>19204</v>
      </c>
      <c r="D8783" s="1" t="str">
        <f>IFERROR(__xludf.DUMMYFUNCTION("GOOGLETRANSLATE(A8783 , ""auto"", ""ar"")"),"كل مساء")</f>
        <v>كل مساء</v>
      </c>
    </row>
    <row r="8784" ht="15.75" customHeight="1">
      <c r="A8784" s="12" t="s">
        <v>19205</v>
      </c>
      <c r="B8784" s="13" t="s">
        <v>19206</v>
      </c>
      <c r="C8784" s="14" t="s">
        <v>19207</v>
      </c>
      <c r="D8784" s="1" t="str">
        <f>IFERROR(__xludf.DUMMYFUNCTION("GOOGLETRANSLATE(A8784 , ""auto"", ""ar"")"),"كل اثنين")</f>
        <v>كل اثنين</v>
      </c>
    </row>
    <row r="8785" ht="15.75" customHeight="1">
      <c r="A8785" s="12" t="s">
        <v>19208</v>
      </c>
      <c r="B8785" s="13" t="s">
        <v>19209</v>
      </c>
      <c r="C8785" s="14" t="s">
        <v>19210</v>
      </c>
      <c r="D8785" s="1" t="str">
        <f>IFERROR(__xludf.DUMMYFUNCTION("GOOGLETRANSLATE(A8785 , ""auto"", ""ar"")"),"كل ثلاثاء")</f>
        <v>كل ثلاثاء</v>
      </c>
    </row>
    <row r="8786" ht="15.75" customHeight="1">
      <c r="A8786" s="12" t="s">
        <v>19211</v>
      </c>
      <c r="B8786" s="13" t="s">
        <v>19212</v>
      </c>
      <c r="C8786" s="14" t="s">
        <v>19213</v>
      </c>
      <c r="D8786" s="1" t="str">
        <f>IFERROR(__xludf.DUMMYFUNCTION("GOOGLETRANSLATE(A8786 , ""auto"", ""ar"")"),"كل أربعاء")</f>
        <v>كل أربعاء</v>
      </c>
    </row>
    <row r="8787" ht="15.75" customHeight="1">
      <c r="A8787" s="12" t="s">
        <v>19214</v>
      </c>
      <c r="B8787" s="13" t="s">
        <v>19215</v>
      </c>
      <c r="C8787" s="14" t="s">
        <v>19216</v>
      </c>
      <c r="D8787" s="1" t="str">
        <f>IFERROR(__xludf.DUMMYFUNCTION("GOOGLETRANSLATE(A8787 , ""auto"", ""ar"")"),"كل يوم خميس")</f>
        <v>كل يوم خميس</v>
      </c>
    </row>
    <row r="8788" ht="15.75" customHeight="1">
      <c r="A8788" s="12" t="s">
        <v>19217</v>
      </c>
      <c r="B8788" s="13" t="s">
        <v>19218</v>
      </c>
      <c r="C8788" s="14" t="s">
        <v>19219</v>
      </c>
      <c r="D8788" s="1" t="str">
        <f>IFERROR(__xludf.DUMMYFUNCTION("GOOGLETRANSLATE(A8788 , ""auto"", ""ar"")"),"كل جمعة")</f>
        <v>كل جمعة</v>
      </c>
    </row>
    <row r="8789" ht="15.75" customHeight="1">
      <c r="A8789" s="12" t="s">
        <v>19220</v>
      </c>
      <c r="B8789" s="13" t="s">
        <v>19221</v>
      </c>
      <c r="C8789" s="14" t="s">
        <v>19222</v>
      </c>
      <c r="D8789" s="1" t="str">
        <f>IFERROR(__xludf.DUMMYFUNCTION("GOOGLETRANSLATE(A8789 , ""auto"", ""ar"")"),"كل سبت")</f>
        <v>كل سبت</v>
      </c>
    </row>
    <row r="8790" ht="15.75" customHeight="1">
      <c r="A8790" s="12" t="s">
        <v>19223</v>
      </c>
      <c r="B8790" s="13" t="s">
        <v>19224</v>
      </c>
      <c r="C8790" s="14" t="s">
        <v>19225</v>
      </c>
      <c r="D8790" s="1" t="str">
        <f>IFERROR(__xludf.DUMMYFUNCTION("GOOGLETRANSLATE(A8790 , ""auto"", ""ar"")"),"كل احد")</f>
        <v>كل احد</v>
      </c>
    </row>
    <row r="8791" ht="15.75" customHeight="1">
      <c r="A8791" s="12" t="s">
        <v>19226</v>
      </c>
      <c r="B8791" s="13" t="s">
        <v>19227</v>
      </c>
      <c r="C8791" s="14" t="s">
        <v>19228</v>
      </c>
      <c r="D8791" s="1" t="str">
        <f>IFERROR(__xludf.DUMMYFUNCTION("GOOGLETRANSLATE(A8791 , ""auto"", ""ar"")"),"كل يوم اثنين و الثلاثاء")</f>
        <v>كل يوم اثنين و الثلاثاء</v>
      </c>
    </row>
    <row r="8792" ht="15.75" customHeight="1">
      <c r="A8792" s="12" t="s">
        <v>19229</v>
      </c>
      <c r="B8792" s="13" t="s">
        <v>19230</v>
      </c>
      <c r="C8792" s="14" t="s">
        <v>19231</v>
      </c>
      <c r="D8792" s="1" t="str">
        <f>IFERROR(__xludf.DUMMYFUNCTION("GOOGLETRANSLATE(A8792 , ""auto"", ""ar"")"),"هناك فرق")</f>
        <v>هناك فرق</v>
      </c>
    </row>
    <row r="8793" ht="15.75" customHeight="1">
      <c r="A8793" s="12" t="s">
        <v>19232</v>
      </c>
      <c r="B8793" s="13" t="s">
        <v>19233</v>
      </c>
      <c r="C8793" s="14" t="s">
        <v>19234</v>
      </c>
      <c r="D8793" s="1" t="str">
        <f>IFERROR(__xludf.DUMMYFUNCTION("GOOGLETRANSLATE(A8793 , ""auto"", ""ar"")"),"ليس هناك فرق")</f>
        <v>ليس هناك فرق</v>
      </c>
    </row>
    <row r="8794" ht="15.75" customHeight="1">
      <c r="A8794" s="12" t="s">
        <v>19235</v>
      </c>
      <c r="B8794" s="13" t="s">
        <v>19236</v>
      </c>
      <c r="C8794" s="14" t="s">
        <v>19237</v>
      </c>
      <c r="D8794" s="1" t="str">
        <f>IFERROR(__xludf.DUMMYFUNCTION("GOOGLETRANSLATE(A8794 , ""auto"", ""ar"")"),"أنت وسيم")</f>
        <v>أنت وسيم</v>
      </c>
    </row>
    <row r="8795" ht="15.75" customHeight="1">
      <c r="A8795" s="12" t="s">
        <v>19238</v>
      </c>
      <c r="B8795" s="13" t="s">
        <v>19239</v>
      </c>
      <c r="C8795" s="14" t="s">
        <v>19240</v>
      </c>
      <c r="D8795" s="1" t="str">
        <f>IFERROR(__xludf.DUMMYFUNCTION("GOOGLETRANSLATE(A8795 , ""auto"", ""ar"")"),"أنت جميل")</f>
        <v>أنت جميل</v>
      </c>
    </row>
    <row r="8796" ht="15.75" customHeight="1">
      <c r="A8796" s="12" t="s">
        <v>19241</v>
      </c>
      <c r="B8796" s="13" t="s">
        <v>19242</v>
      </c>
      <c r="C8796" s="14" t="s">
        <v>19243</v>
      </c>
      <c r="D8796" s="1" t="str">
        <f>IFERROR(__xludf.DUMMYFUNCTION("GOOGLETRANSLATE(A8796 , ""auto"", ""ar"")"),"هو متعجرف")</f>
        <v>هو متعجرف</v>
      </c>
    </row>
    <row r="8797" ht="15.75" customHeight="1">
      <c r="A8797" s="12" t="s">
        <v>19244</v>
      </c>
      <c r="B8797" s="13" t="s">
        <v>19245</v>
      </c>
      <c r="C8797" s="14" t="s">
        <v>19246</v>
      </c>
      <c r="D8797" s="1" t="str">
        <f>IFERROR(__xludf.DUMMYFUNCTION("GOOGLETRANSLATE(A8797 , ""auto"", ""ar"")"),"التواضع رائع")</f>
        <v>التواضع رائع</v>
      </c>
    </row>
    <row r="8798" ht="15.75" customHeight="1">
      <c r="A8798" s="12" t="s">
        <v>19247</v>
      </c>
      <c r="B8798" s="13" t="s">
        <v>19248</v>
      </c>
      <c r="C8798" s="14" t="s">
        <v>19249</v>
      </c>
      <c r="D8798" s="1" t="str">
        <f>IFERROR(__xludf.DUMMYFUNCTION("GOOGLETRANSLATE(A8798 , ""auto"", ""ar"")"),"أنا متواضع جدا")</f>
        <v>أنا متواضع جدا</v>
      </c>
    </row>
    <row r="8799" ht="15.75" customHeight="1">
      <c r="A8799" s="12" t="s">
        <v>19250</v>
      </c>
      <c r="B8799" s="13" t="s">
        <v>19251</v>
      </c>
      <c r="C8799" s="14" t="s">
        <v>19252</v>
      </c>
      <c r="D8799" s="1" t="str">
        <f>IFERROR(__xludf.DUMMYFUNCTION("GOOGLETRANSLATE(A8799 , ""auto"", ""ar"")"),"أنا متعجرف")</f>
        <v>أنا متعجرف</v>
      </c>
    </row>
    <row r="8800" ht="15.75" customHeight="1">
      <c r="A8800" s="12" t="s">
        <v>19253</v>
      </c>
      <c r="B8800" s="13" t="s">
        <v>19254</v>
      </c>
      <c r="C8800" s="14" t="s">
        <v>19255</v>
      </c>
      <c r="D8800" s="1" t="str">
        <f>IFERROR(__xludf.DUMMYFUNCTION("GOOGLETRANSLATE(A8800 , ""auto"", ""ar"")"),"هو صبور")</f>
        <v>هو صبور</v>
      </c>
    </row>
    <row r="8801" ht="15.75" customHeight="1">
      <c r="A8801" s="12" t="s">
        <v>19256</v>
      </c>
      <c r="B8801" s="13" t="s">
        <v>19257</v>
      </c>
      <c r="C8801" s="14" t="s">
        <v>19258</v>
      </c>
      <c r="D8801" s="1" t="str">
        <f>IFERROR(__xludf.DUMMYFUNCTION("GOOGLETRANSLATE(A8801 , ""auto"", ""ar"")"),"إنه ليس صبورًا")</f>
        <v>إنه ليس صبورًا</v>
      </c>
    </row>
    <row r="8802" ht="15.75" customHeight="1">
      <c r="A8802" s="12" t="s">
        <v>19259</v>
      </c>
      <c r="B8802" s="13" t="s">
        <v>19260</v>
      </c>
      <c r="C8802" s="14" t="s">
        <v>19261</v>
      </c>
      <c r="D8802" s="1" t="str">
        <f>IFERROR(__xludf.DUMMYFUNCTION("GOOGLETRANSLATE(A8802 , ""auto"", ""ar"")"),"الصبر رائع")</f>
        <v>الصبر رائع</v>
      </c>
    </row>
    <row r="8803" ht="15.75" customHeight="1">
      <c r="A8803" s="12" t="s">
        <v>19262</v>
      </c>
      <c r="B8803" s="13" t="s">
        <v>19263</v>
      </c>
      <c r="C8803" s="14" t="s">
        <v>19264</v>
      </c>
      <c r="D8803" s="1" t="str">
        <f>IFERROR(__xludf.DUMMYFUNCTION("GOOGLETRANSLATE(A8803 , ""auto"", ""ar"")"),"يلعب الفريق الوطني الآن")</f>
        <v>يلعب الفريق الوطني الآن</v>
      </c>
    </row>
    <row r="8804" ht="15.75" customHeight="1">
      <c r="A8804" s="12" t="s">
        <v>19265</v>
      </c>
      <c r="B8804" s="13" t="s">
        <v>19266</v>
      </c>
      <c r="C8804" s="14" t="s">
        <v>19267</v>
      </c>
      <c r="D8804" s="1" t="str">
        <f>IFERROR(__xludf.DUMMYFUNCTION("GOOGLETRANSLATE(A8804 , ""auto"", ""ar"")"),"فاز الفريق الوطني")</f>
        <v>فاز الفريق الوطني</v>
      </c>
    </row>
    <row r="8805" ht="15.75" customHeight="1">
      <c r="A8805" s="12" t="s">
        <v>19268</v>
      </c>
      <c r="B8805" s="13" t="s">
        <v>19269</v>
      </c>
      <c r="C8805" s="14" t="s">
        <v>19270</v>
      </c>
      <c r="D8805" s="1" t="str">
        <f>IFERROR(__xludf.DUMMYFUNCTION("GOOGLETRANSLATE(A8805 , ""auto"", ""ar"")"),"لا تشتريه")</f>
        <v>لا تشتريه</v>
      </c>
    </row>
    <row r="8806" ht="15.75" customHeight="1">
      <c r="A8806" s="12" t="s">
        <v>19271</v>
      </c>
      <c r="B8806" s="13" t="s">
        <v>19272</v>
      </c>
      <c r="C8806" s="14" t="s">
        <v>19273</v>
      </c>
      <c r="D8806" s="1" t="str">
        <f>IFERROR(__xludf.DUMMYFUNCTION("GOOGLETRANSLATE(A8806 , ""auto"", ""ar"")"),"لا تأكله")</f>
        <v>لا تأكله</v>
      </c>
    </row>
    <row r="8807" ht="15.75" customHeight="1">
      <c r="A8807" s="12" t="s">
        <v>19274</v>
      </c>
      <c r="B8807" s="13" t="s">
        <v>19275</v>
      </c>
      <c r="C8807" s="14" t="s">
        <v>19276</v>
      </c>
      <c r="D8807" s="1" t="str">
        <f>IFERROR(__xludf.DUMMYFUNCTION("GOOGLETRANSLATE(A8807 , ""auto"", ""ar"")"),"لا تشربها")</f>
        <v>لا تشربها</v>
      </c>
    </row>
    <row r="8808" ht="15.75" customHeight="1">
      <c r="A8808" s="12" t="s">
        <v>19277</v>
      </c>
      <c r="B8808" s="13" t="s">
        <v>19278</v>
      </c>
      <c r="C8808" s="14" t="s">
        <v>19279</v>
      </c>
      <c r="D8808" s="1" t="str">
        <f>IFERROR(__xludf.DUMMYFUNCTION("GOOGLETRANSLATE(A8808 , ""auto"", ""ar"")"),"لا تنام كثيرا")</f>
        <v>لا تنام كثيرا</v>
      </c>
    </row>
    <row r="8809" ht="15.75" customHeight="1">
      <c r="A8809" s="12" t="s">
        <v>19280</v>
      </c>
      <c r="B8809" s="13" t="s">
        <v>19281</v>
      </c>
      <c r="C8809" s="14" t="s">
        <v>19282</v>
      </c>
      <c r="D8809" s="1" t="str">
        <f>IFERROR(__xludf.DUMMYFUNCTION("GOOGLETRANSLATE(A8809 , ""auto"", ""ar"")"),"النوم لفترة طويلة ليس جيدًا")</f>
        <v>النوم لفترة طويلة ليس جيدًا</v>
      </c>
    </row>
    <row r="8810" ht="15.75" customHeight="1">
      <c r="A8810" s="12" t="s">
        <v>19283</v>
      </c>
      <c r="B8810" s="13" t="s">
        <v>19284</v>
      </c>
      <c r="C8810" s="14" t="s">
        <v>19285</v>
      </c>
      <c r="D8810" s="1" t="str">
        <f>IFERROR(__xludf.DUMMYFUNCTION("GOOGLETRANSLATE(A8810 , ""auto"", ""ar"")"),"قم بعمل ما")</f>
        <v>قم بعمل ما</v>
      </c>
    </row>
    <row r="8811" ht="15.75" customHeight="1">
      <c r="A8811" s="12" t="s">
        <v>19286</v>
      </c>
      <c r="B8811" s="13" t="s">
        <v>19287</v>
      </c>
      <c r="C8811" s="14" t="s">
        <v>19288</v>
      </c>
      <c r="D8811" s="1" t="str">
        <f>IFERROR(__xludf.DUMMYFUNCTION("GOOGLETRANSLATE(A8811 , ""auto"", ""ar"")"),"لا تفعل أي شيء")</f>
        <v>لا تفعل أي شيء</v>
      </c>
    </row>
    <row r="8812" ht="15.75" customHeight="1">
      <c r="A8812" s="12" t="s">
        <v>19289</v>
      </c>
      <c r="B8812" s="13" t="s">
        <v>19290</v>
      </c>
      <c r="C8812" s="14" t="s">
        <v>19291</v>
      </c>
      <c r="D8812" s="1" t="str">
        <f>IFERROR(__xludf.DUMMYFUNCTION("GOOGLETRANSLATE(A8812 , ""auto"", ""ar"")"),"لم أفعل أي شيء")</f>
        <v>لم أفعل أي شيء</v>
      </c>
    </row>
    <row r="8813" ht="15.75" customHeight="1">
      <c r="A8813" s="12" t="s">
        <v>19292</v>
      </c>
      <c r="B8813" s="13" t="s">
        <v>19293</v>
      </c>
      <c r="C8813" s="14" t="s">
        <v>19294</v>
      </c>
      <c r="D8813" s="1" t="str">
        <f>IFERROR(__xludf.DUMMYFUNCTION("GOOGLETRANSLATE(A8813 , ""auto"", ""ar"")"),"هذا غريب")</f>
        <v>هذا غريب</v>
      </c>
    </row>
    <row r="8814" ht="15.75" customHeight="1">
      <c r="A8814" s="12" t="s">
        <v>19295</v>
      </c>
      <c r="B8814" s="13" t="s">
        <v>19296</v>
      </c>
      <c r="C8814" s="14" t="s">
        <v>19297</v>
      </c>
      <c r="D8814" s="1" t="str">
        <f>IFERROR(__xludf.DUMMYFUNCTION("GOOGLETRANSLATE(A8814 , ""auto"", ""ar"")"),"اخلع حذائك")</f>
        <v>اخلع حذائك</v>
      </c>
    </row>
    <row r="8815" ht="15.75" customHeight="1">
      <c r="A8815" s="12" t="s">
        <v>19298</v>
      </c>
      <c r="B8815" s="13" t="s">
        <v>19299</v>
      </c>
      <c r="C8815" s="14" t="s">
        <v>19300</v>
      </c>
      <c r="D8815" s="1" t="str">
        <f>IFERROR(__xludf.DUMMYFUNCTION("GOOGLETRANSLATE(A8815 , ""auto"", ""ar"")"),"يمكنك الدخول مع حذائك")</f>
        <v>يمكنك الدخول مع حذائك</v>
      </c>
    </row>
    <row r="8816" ht="15.75" customHeight="1">
      <c r="A8816" s="12" t="s">
        <v>19301</v>
      </c>
      <c r="B8816" s="13" t="s">
        <v>19302</v>
      </c>
      <c r="C8816" s="14" t="s">
        <v>19303</v>
      </c>
      <c r="D8816" s="1" t="str">
        <f>IFERROR(__xludf.DUMMYFUNCTION("GOOGLETRANSLATE(A8816 , ""auto"", ""ar"")"),"نسيت أن أشرب الماء")</f>
        <v>نسيت أن أشرب الماء</v>
      </c>
    </row>
    <row r="8817" ht="15.75" customHeight="1">
      <c r="A8817" s="12" t="s">
        <v>19304</v>
      </c>
      <c r="B8817" s="13" t="s">
        <v>19305</v>
      </c>
      <c r="C8817" s="14" t="s">
        <v>19306</v>
      </c>
      <c r="D8817" s="1" t="str">
        <f>IFERROR(__xludf.DUMMYFUNCTION("GOOGLETRANSLATE(A8817 , ""auto"", ""ar"")"),"يجب أن تشرب الكثير من الماء")</f>
        <v>يجب أن تشرب الكثير من الماء</v>
      </c>
    </row>
    <row r="8818" ht="15.75" customHeight="1">
      <c r="A8818" s="12" t="s">
        <v>19307</v>
      </c>
      <c r="B8818" s="13" t="s">
        <v>19308</v>
      </c>
      <c r="C8818" s="14" t="s">
        <v>19309</v>
      </c>
      <c r="D8818" s="1" t="str">
        <f>IFERROR(__xludf.DUMMYFUNCTION("GOOGLETRANSLATE(A8818 , ""auto"", ""ar"")"),"يجب أن تأكل جيدا")</f>
        <v>يجب أن تأكل جيدا</v>
      </c>
    </row>
    <row r="8819" ht="15.75" customHeight="1">
      <c r="A8819" s="12" t="s">
        <v>19310</v>
      </c>
      <c r="B8819" s="13" t="s">
        <v>19311</v>
      </c>
      <c r="C8819" s="14" t="s">
        <v>19312</v>
      </c>
      <c r="D8819" s="1" t="str">
        <f>IFERROR(__xludf.DUMMYFUNCTION("GOOGLETRANSLATE(A8819 , ""auto"", ""ar"")"),"عيناك جميلتان")</f>
        <v>عيناك جميلتان</v>
      </c>
    </row>
    <row r="8820" ht="15.75" customHeight="1">
      <c r="A8820" s="12" t="s">
        <v>19313</v>
      </c>
      <c r="B8820" s="13" t="s">
        <v>19314</v>
      </c>
      <c r="C8820" s="14" t="s">
        <v>19315</v>
      </c>
      <c r="D8820" s="1" t="str">
        <f>IFERROR(__xludf.DUMMYFUNCTION("GOOGLETRANSLATE(A8820 , ""auto"", ""ar"")"),"شعرك جميل")</f>
        <v>شعرك جميل</v>
      </c>
    </row>
    <row r="8821" ht="15.75" customHeight="1">
      <c r="A8821" s="12" t="s">
        <v>19316</v>
      </c>
      <c r="B8821" s="13" t="s">
        <v>19317</v>
      </c>
      <c r="C8821" s="14" t="s">
        <v>19318</v>
      </c>
      <c r="D8821" s="1" t="str">
        <f>IFERROR(__xludf.DUMMYFUNCTION("GOOGLETRANSLATE(A8821 , ""auto"", ""ar"")"),"تبدو أصغر")</f>
        <v>تبدو أصغر</v>
      </c>
    </row>
    <row r="8822" ht="15.75" customHeight="1">
      <c r="A8822" s="12" t="s">
        <v>19319</v>
      </c>
      <c r="B8822" s="13" t="s">
        <v>19320</v>
      </c>
      <c r="C8822" s="14" t="s">
        <v>19321</v>
      </c>
      <c r="D8822" s="1" t="str">
        <f>IFERROR(__xludf.DUMMYFUNCTION("GOOGLETRANSLATE(A8822 , ""auto"", ""ar"")"),"تبدو أكبر سنا")</f>
        <v>تبدو أكبر سنا</v>
      </c>
    </row>
    <row r="8823" ht="15.75" customHeight="1">
      <c r="A8823" s="12" t="s">
        <v>19322</v>
      </c>
      <c r="B8823" s="13" t="s">
        <v>19323</v>
      </c>
      <c r="C8823" s="14" t="s">
        <v>19324</v>
      </c>
      <c r="D8823" s="1" t="str">
        <f>IFERROR(__xludf.DUMMYFUNCTION("GOOGLETRANSLATE(A8823 , ""auto"", ""ar"")"),"هل أبدو أكبر سنا؟")</f>
        <v>هل أبدو أكبر سنا؟</v>
      </c>
    </row>
    <row r="8824" ht="15.75" customHeight="1">
      <c r="A8824" s="12" t="s">
        <v>19325</v>
      </c>
      <c r="B8824" s="13" t="s">
        <v>19326</v>
      </c>
      <c r="C8824" s="14" t="s">
        <v>19327</v>
      </c>
      <c r="D8824" s="1" t="str">
        <f>IFERROR(__xludf.DUMMYFUNCTION("GOOGLETRANSLATE(A8824 , ""auto"", ""ar"")"),"إنه أكبرمني")</f>
        <v>إنه أكبرمني</v>
      </c>
    </row>
    <row r="8825" ht="15.75" customHeight="1">
      <c r="A8825" s="12" t="s">
        <v>19328</v>
      </c>
      <c r="B8825" s="13" t="s">
        <v>19329</v>
      </c>
      <c r="C8825" s="14" t="s">
        <v>19330</v>
      </c>
      <c r="D8825" s="1" t="str">
        <f>IFERROR(__xludf.DUMMYFUNCTION("GOOGLETRANSLATE(A8825 , ""auto"", ""ar"")"),"هو أصغر مني")</f>
        <v>هو أصغر مني</v>
      </c>
    </row>
    <row r="8826" ht="15.75" customHeight="1">
      <c r="A8826" s="12" t="s">
        <v>19331</v>
      </c>
      <c r="B8826" s="13" t="s">
        <v>19332</v>
      </c>
      <c r="C8826" s="14" t="s">
        <v>19333</v>
      </c>
      <c r="D8826" s="1" t="str">
        <f>IFERROR(__xludf.DUMMYFUNCTION("GOOGLETRANSLATE(A8826 , ""auto"", ""ar"")"),"شبكة Wi-Fi لا تعمل")</f>
        <v>شبكة Wi-Fi لا تعمل</v>
      </c>
    </row>
    <row r="8827" ht="15.75" customHeight="1">
      <c r="A8827" s="12" t="s">
        <v>19334</v>
      </c>
      <c r="B8827" s="13" t="s">
        <v>19335</v>
      </c>
      <c r="C8827" s="14" t="s">
        <v>19336</v>
      </c>
      <c r="D8827" s="1" t="str">
        <f>IFERROR(__xludf.DUMMYFUNCTION("GOOGLETRANSLATE(A8827 , ""auto"", ""ar"")"),"لقد نسيت دفع الرسوم الشهرية Wi-Fi")</f>
        <v>لقد نسيت دفع الرسوم الشهرية Wi-Fi</v>
      </c>
    </row>
    <row r="8828" ht="15.75" customHeight="1">
      <c r="A8828" s="12" t="s">
        <v>19337</v>
      </c>
      <c r="B8828" s="13" t="s">
        <v>19338</v>
      </c>
      <c r="C8828" s="14" t="s">
        <v>19339</v>
      </c>
      <c r="D8828" s="1" t="str">
        <f>IFERROR(__xludf.DUMMYFUNCTION("GOOGLETRANSLATE(A8828 , ""auto"", ""ar"")"),"Wi-Fi بطيئة")</f>
        <v>Wi-Fi بطيئة</v>
      </c>
    </row>
    <row r="8829" ht="15.75" customHeight="1">
      <c r="A8829" s="12" t="s">
        <v>19340</v>
      </c>
      <c r="B8829" s="13" t="s">
        <v>19341</v>
      </c>
      <c r="C8829" s="14" t="s">
        <v>19342</v>
      </c>
      <c r="D8829" s="1" t="str">
        <f>IFERROR(__xludf.DUMMYFUNCTION("GOOGLETRANSLATE(A8829 , ""auto"", ""ar"")"),"لدي رهاب جوي")</f>
        <v>لدي رهاب جوي</v>
      </c>
    </row>
    <row r="8830" ht="15.75" customHeight="1">
      <c r="A8830" s="12" t="s">
        <v>19343</v>
      </c>
      <c r="B8830" s="13" t="s">
        <v>19344</v>
      </c>
      <c r="C8830" s="14" t="s">
        <v>19345</v>
      </c>
      <c r="D8830" s="1" t="str">
        <f>IFERROR(__xludf.DUMMYFUNCTION("GOOGLETRANSLATE(A8830 , ""auto"", ""ar"")"),"فاتتني رحلة الطيران")</f>
        <v>فاتتني رحلة الطيران</v>
      </c>
    </row>
    <row r="8831" ht="15.75" customHeight="1">
      <c r="A8831" s="12" t="s">
        <v>19346</v>
      </c>
      <c r="B8831" s="13" t="s">
        <v>19347</v>
      </c>
      <c r="C8831" s="14" t="s">
        <v>19348</v>
      </c>
      <c r="D8831" s="1" t="str">
        <f>IFERROR(__xludf.DUMMYFUNCTION("GOOGLETRANSLATE(A8831 , ""auto"", ""ar"")"),"كم تدفع ثمن Wi-Fi؟")</f>
        <v>كم تدفع ثمن Wi-Fi؟</v>
      </c>
    </row>
    <row r="8832" ht="15.75" customHeight="1">
      <c r="A8832" s="12" t="s">
        <v>19349</v>
      </c>
      <c r="B8832" s="13" t="s">
        <v>19350</v>
      </c>
      <c r="C8832" s="14" t="s">
        <v>19351</v>
      </c>
      <c r="D8832" s="1" t="str">
        <f>IFERROR(__xludf.DUMMYFUNCTION("GOOGLETRANSLATE(A8832 , ""auto"", ""ar"")"),"كم قمت بحجز الرحلة؟")</f>
        <v>كم قمت بحجز الرحلة؟</v>
      </c>
    </row>
    <row r="8833" ht="15.75" customHeight="1">
      <c r="A8833" s="12" t="s">
        <v>19352</v>
      </c>
      <c r="B8833" s="13" t="s">
        <v>19353</v>
      </c>
      <c r="C8833" s="14" t="s">
        <v>19354</v>
      </c>
      <c r="D8833" s="1" t="str">
        <f>IFERROR(__xludf.DUMMYFUNCTION("GOOGLETRANSLATE(A8833 , ""auto"", ""ar"")"),"متى حجزت الرحلة؟")</f>
        <v>متى حجزت الرحلة؟</v>
      </c>
    </row>
    <row r="8834" ht="15.75" customHeight="1">
      <c r="A8834" s="12" t="s">
        <v>19355</v>
      </c>
      <c r="B8834" s="13" t="s">
        <v>19356</v>
      </c>
      <c r="C8834" s="14" t="s">
        <v>19357</v>
      </c>
      <c r="D8834" s="1" t="str">
        <f>IFERROR(__xludf.DUMMYFUNCTION("GOOGLETRANSLATE(A8834 , ""auto"", ""ar"")"),"هل استأجرت سيارة؟")</f>
        <v>هل استأجرت سيارة؟</v>
      </c>
    </row>
    <row r="8835" ht="15.75" customHeight="1">
      <c r="A8835" s="12" t="s">
        <v>19358</v>
      </c>
      <c r="B8835" s="13" t="s">
        <v>19359</v>
      </c>
      <c r="C8835" s="14" t="s">
        <v>19360</v>
      </c>
      <c r="D8835" s="1" t="str">
        <f>IFERROR(__xludf.DUMMYFUNCTION("GOOGLETRANSLATE(A8835 , ""auto"", ""ar"")"),"هل استأجرت منزل؟")</f>
        <v>هل استأجرت منزل؟</v>
      </c>
    </row>
    <row r="8836" ht="15.75" customHeight="1">
      <c r="A8836" s="12" t="s">
        <v>19361</v>
      </c>
      <c r="B8836" s="13" t="s">
        <v>19362</v>
      </c>
      <c r="C8836" s="14" t="s">
        <v>19363</v>
      </c>
      <c r="D8836" s="1" t="str">
        <f>IFERROR(__xludf.DUMMYFUNCTION("GOOGLETRANSLATE(A8836 , ""auto"", ""ar"")"),"هل اشتريت شقة؟")</f>
        <v>هل اشتريت شقة؟</v>
      </c>
    </row>
    <row r="8837" ht="15.75" customHeight="1">
      <c r="A8837" s="12" t="s">
        <v>19364</v>
      </c>
      <c r="B8837" s="13" t="s">
        <v>19365</v>
      </c>
      <c r="C8837" s="14" t="s">
        <v>19366</v>
      </c>
      <c r="D8837" s="1" t="str">
        <f>IFERROR(__xludf.DUMMYFUNCTION("GOOGLETRANSLATE(A8837 , ""auto"", ""ar"")"),"كم اشتريت منزلك؟")</f>
        <v>كم اشتريت منزلك؟</v>
      </c>
    </row>
    <row r="8838" ht="15.75" customHeight="1">
      <c r="A8838" s="12" t="s">
        <v>19367</v>
      </c>
      <c r="B8838" s="13" t="s">
        <v>19368</v>
      </c>
      <c r="C8838" s="14" t="s">
        <v>19369</v>
      </c>
      <c r="D8838" s="1" t="str">
        <f>IFERROR(__xludf.DUMMYFUNCTION("GOOGLETRANSLATE(A8838 , ""auto"", ""ar"")"),"هذا المنزل رخيص")</f>
        <v>هذا المنزل رخيص</v>
      </c>
    </row>
    <row r="8839" ht="15.75" customHeight="1">
      <c r="A8839" s="12" t="s">
        <v>19370</v>
      </c>
      <c r="B8839" s="13" t="s">
        <v>19371</v>
      </c>
      <c r="C8839" s="14" t="s">
        <v>19372</v>
      </c>
      <c r="D8839" s="1" t="str">
        <f>IFERROR(__xludf.DUMMYFUNCTION("GOOGLETRANSLATE(A8839 , ""auto"", ""ar"")"),"هذا المنزل مكلف")</f>
        <v>هذا المنزل مكلف</v>
      </c>
    </row>
    <row r="8840" ht="15.75" customHeight="1">
      <c r="A8840" s="12" t="s">
        <v>19373</v>
      </c>
      <c r="B8840" s="13" t="s">
        <v>19374</v>
      </c>
      <c r="C8840" s="14" t="s">
        <v>19375</v>
      </c>
      <c r="D8840" s="1" t="str">
        <f>IFERROR(__xludf.DUMMYFUNCTION("GOOGLETRANSLATE(A8840 , ""auto"", ""ar"")"),"أريد شراء منزل")</f>
        <v>أريد شراء منزل</v>
      </c>
    </row>
    <row r="8841" ht="15.75" customHeight="1">
      <c r="A8841" s="12" t="s">
        <v>19376</v>
      </c>
      <c r="B8841" s="13" t="s">
        <v>19377</v>
      </c>
      <c r="C8841" s="14" t="s">
        <v>19378</v>
      </c>
      <c r="D8841" s="1" t="str">
        <f>IFERROR(__xludf.DUMMYFUNCTION("GOOGLETRANSLATE(A8841 , ""auto"", ""ar"")"),"أريد شراء شقة")</f>
        <v>أريد شراء شقة</v>
      </c>
    </row>
    <row r="8842" ht="15.75" customHeight="1">
      <c r="A8842" s="12" t="s">
        <v>19379</v>
      </c>
      <c r="B8842" s="13" t="s">
        <v>19380</v>
      </c>
      <c r="C8842" s="14" t="s">
        <v>17656</v>
      </c>
      <c r="D8842" s="1" t="str">
        <f>IFERROR(__xludf.DUMMYFUNCTION("GOOGLETRANSLATE(A8842 , ""auto"", ""ar"")"),"هذا المنزل كبير")</f>
        <v>هذا المنزل كبير</v>
      </c>
    </row>
    <row r="8843" ht="15.75" customHeight="1">
      <c r="A8843" s="12" t="s">
        <v>19381</v>
      </c>
      <c r="B8843" s="13" t="s">
        <v>19382</v>
      </c>
      <c r="C8843" s="14" t="s">
        <v>19383</v>
      </c>
      <c r="D8843" s="1" t="str">
        <f>IFERROR(__xludf.DUMMYFUNCTION("GOOGLETRANSLATE(A8843 , ""auto"", ""ar"")"),"هذا المنزل صغير")</f>
        <v>هذا المنزل صغير</v>
      </c>
    </row>
    <row r="8844" ht="15.75" customHeight="1">
      <c r="A8844" s="12" t="s">
        <v>19384</v>
      </c>
      <c r="B8844" s="13" t="s">
        <v>19385</v>
      </c>
      <c r="C8844" s="14" t="s">
        <v>19386</v>
      </c>
      <c r="D8844" s="1" t="str">
        <f>IFERROR(__xludf.DUMMYFUNCTION("GOOGLETRANSLATE(A8844 , ""auto"", ""ar"")"),"ما الخطأ في عينيك؟")</f>
        <v>ما الخطأ في عينيك؟</v>
      </c>
    </row>
    <row r="8845" ht="15.75" customHeight="1">
      <c r="A8845" s="12" t="s">
        <v>19387</v>
      </c>
      <c r="B8845" s="13" t="s">
        <v>19388</v>
      </c>
      <c r="C8845" s="14" t="s">
        <v>19389</v>
      </c>
      <c r="D8845" s="1" t="str">
        <f>IFERROR(__xludf.DUMMYFUNCTION("GOOGLETRANSLATE(A8845 , ""auto"", ""ar"")"),"هل يؤذيك شيء ما؟")</f>
        <v>هل يؤذيك شيء ما؟</v>
      </c>
    </row>
    <row r="8846" ht="15.75" customHeight="1">
      <c r="A8846" s="12" t="s">
        <v>19390</v>
      </c>
      <c r="B8846" s="13" t="s">
        <v>19391</v>
      </c>
      <c r="C8846" s="14" t="s">
        <v>19392</v>
      </c>
      <c r="D8846" s="1" t="str">
        <f>IFERROR(__xludf.DUMMYFUNCTION("GOOGLETRANSLATE(A8846 , ""auto"", ""ar"")"),"أنا بخير")</f>
        <v>أنا بخير</v>
      </c>
    </row>
    <row r="8847" ht="15.75" customHeight="1">
      <c r="A8847" s="12" t="s">
        <v>19393</v>
      </c>
      <c r="B8847" s="13" t="s">
        <v>19394</v>
      </c>
      <c r="C8847" s="14" t="s">
        <v>19395</v>
      </c>
      <c r="D8847" s="1" t="str">
        <f>IFERROR(__xludf.DUMMYFUNCTION("GOOGLETRANSLATE(A8847 , ""auto"", ""ar"")"),"أشعر بالحماس")</f>
        <v>أشعر بالحماس</v>
      </c>
    </row>
    <row r="8848" ht="15.75" customHeight="1">
      <c r="A8848" s="12" t="s">
        <v>19396</v>
      </c>
      <c r="B8848" s="13" t="s">
        <v>18756</v>
      </c>
      <c r="C8848" s="14" t="s">
        <v>18757</v>
      </c>
      <c r="D8848" s="1" t="str">
        <f>IFERROR(__xludf.DUMMYFUNCTION("GOOGLETRANSLATE(A8848 , ""auto"", ""ar"")"),"أنا حامل")</f>
        <v>أنا حامل</v>
      </c>
    </row>
    <row r="8849" ht="15.75" customHeight="1">
      <c r="A8849" s="12" t="s">
        <v>19397</v>
      </c>
      <c r="B8849" s="13" t="s">
        <v>19398</v>
      </c>
      <c r="C8849" s="14" t="s">
        <v>19399</v>
      </c>
      <c r="D8849" s="1" t="str">
        <f>IFERROR(__xludf.DUMMYFUNCTION("GOOGLETRANSLATE(A8849 , ""auto"", ""ar"")"),"ابني شقي")</f>
        <v>ابني شقي</v>
      </c>
    </row>
    <row r="8850" ht="15.75" customHeight="1">
      <c r="A8850" s="12" t="s">
        <v>19400</v>
      </c>
      <c r="B8850" s="13" t="s">
        <v>19401</v>
      </c>
      <c r="C8850" s="14" t="s">
        <v>19402</v>
      </c>
      <c r="D8850" s="1" t="str">
        <f>IFERROR(__xludf.DUMMYFUNCTION("GOOGLETRANSLATE(A8850 , ""auto"", ""ar"")"),"ابني مريض")</f>
        <v>ابني مريض</v>
      </c>
    </row>
    <row r="8851" ht="15.75" customHeight="1">
      <c r="A8851" s="12" t="s">
        <v>19403</v>
      </c>
      <c r="B8851" s="13" t="s">
        <v>19404</v>
      </c>
      <c r="C8851" s="14" t="s">
        <v>19405</v>
      </c>
      <c r="D8851" s="1" t="str">
        <f>IFERROR(__xludf.DUMMYFUNCTION("GOOGLETRANSLATE(A8851 , ""auto"", ""ar"")"),"سأقود ابني إلى المدرسة")</f>
        <v>سأقود ابني إلى المدرسة</v>
      </c>
    </row>
    <row r="8852" ht="15.75" customHeight="1">
      <c r="A8852" s="12" t="s">
        <v>19406</v>
      </c>
      <c r="B8852" s="13" t="s">
        <v>19407</v>
      </c>
      <c r="C8852" s="14" t="s">
        <v>19408</v>
      </c>
      <c r="D8852" s="1" t="str">
        <f>IFERROR(__xludf.DUMMYFUNCTION("GOOGLETRANSLATE(A8852 , ""auto"", ""ar"")"),"هذا مستحيل")</f>
        <v>هذا مستحيل</v>
      </c>
    </row>
    <row r="8853" ht="15.75" customHeight="1">
      <c r="A8853" s="12" t="s">
        <v>19409</v>
      </c>
      <c r="B8853" s="13" t="s">
        <v>19410</v>
      </c>
      <c r="C8853" s="14" t="s">
        <v>19411</v>
      </c>
      <c r="D8853" s="1" t="str">
        <f>IFERROR(__xludf.DUMMYFUNCTION("GOOGLETRANSLATE(A8853 , ""auto"", ""ar"")"),"لا أستطيع أن أصدق")</f>
        <v>لا أستطيع أن أصدق</v>
      </c>
    </row>
    <row r="8854" ht="15.75" customHeight="1">
      <c r="A8854" s="12" t="s">
        <v>19412</v>
      </c>
      <c r="B8854" s="13" t="s">
        <v>19413</v>
      </c>
      <c r="C8854" s="14" t="s">
        <v>19414</v>
      </c>
      <c r="D8854" s="1" t="str">
        <f>IFERROR(__xludf.DUMMYFUNCTION("GOOGLETRANSLATE(A8854 , ""auto"", ""ar"")"),"قلبي يؤلمني")</f>
        <v>قلبي يؤلمني</v>
      </c>
    </row>
    <row r="8855" ht="15.75" customHeight="1">
      <c r="A8855" s="12" t="s">
        <v>19415</v>
      </c>
      <c r="B8855" s="13" t="s">
        <v>19416</v>
      </c>
      <c r="C8855" s="14" t="s">
        <v>19417</v>
      </c>
      <c r="D8855" s="1" t="str">
        <f>IFERROR(__xludf.DUMMYFUNCTION("GOOGLETRANSLATE(A8855 , ""auto"", ""ar"")"),"أنت لا تقدر بثمن")</f>
        <v>أنت لا تقدر بثمن</v>
      </c>
    </row>
    <row r="8856" ht="15.75" customHeight="1">
      <c r="A8856" s="12" t="s">
        <v>19418</v>
      </c>
      <c r="B8856" s="13" t="s">
        <v>19419</v>
      </c>
      <c r="C8856" s="14" t="s">
        <v>19420</v>
      </c>
      <c r="D8856" s="1" t="str">
        <f>IFERROR(__xludf.DUMMYFUNCTION("GOOGLETRANSLATE(A8856 , ""auto"", ""ar"")"),"لا أريد أن أفقدك")</f>
        <v>لا أريد أن أفقدك</v>
      </c>
    </row>
    <row r="8857" ht="15.75" customHeight="1">
      <c r="A8857" s="12" t="s">
        <v>19421</v>
      </c>
      <c r="B8857" s="13" t="s">
        <v>19422</v>
      </c>
      <c r="C8857" s="14" t="s">
        <v>19423</v>
      </c>
      <c r="D8857" s="1" t="str">
        <f>IFERROR(__xludf.DUMMYFUNCTION("GOOGLETRANSLATE(A8857 , ""auto"", ""ar"")"),"أنا أفعل الأطباق")</f>
        <v>أنا أفعل الأطباق</v>
      </c>
    </row>
    <row r="8858" ht="15.75" customHeight="1">
      <c r="A8858" s="12" t="s">
        <v>19424</v>
      </c>
      <c r="B8858" s="13" t="s">
        <v>19425</v>
      </c>
      <c r="C8858" s="14" t="s">
        <v>19426</v>
      </c>
      <c r="D8858" s="1" t="str">
        <f>IFERROR(__xludf.DUMMYFUNCTION("GOOGLETRANSLATE(A8858 , ""auto"", ""ar"")"),"أنا أغسل الملابس")</f>
        <v>أنا أغسل الملابس</v>
      </c>
    </row>
    <row r="8859" ht="15.75" customHeight="1">
      <c r="A8859" s="12" t="s">
        <v>19427</v>
      </c>
      <c r="B8859" s="13" t="s">
        <v>19428</v>
      </c>
      <c r="C8859" s="14" t="s">
        <v>19429</v>
      </c>
      <c r="D8859" s="1" t="str">
        <f>IFERROR(__xludf.DUMMYFUNCTION("GOOGLETRANSLATE(A8859 , ""auto"", ""ar"")"),"أنا أسلك الملابس")</f>
        <v>أنا أسلك الملابس</v>
      </c>
    </row>
    <row r="8860" ht="15.75" customHeight="1">
      <c r="A8860" s="12" t="s">
        <v>19430</v>
      </c>
      <c r="B8860" s="13" t="s">
        <v>19431</v>
      </c>
      <c r="C8860" s="14" t="s">
        <v>19432</v>
      </c>
      <c r="D8860" s="1" t="str">
        <f>IFERROR(__xludf.DUMMYFUNCTION("GOOGLETRANSLATE(A8860 , ""auto"", ""ar"")"),"الملابس قذرة")</f>
        <v>الملابس قذرة</v>
      </c>
    </row>
    <row r="8861" ht="15.75" customHeight="1">
      <c r="A8861" s="12" t="s">
        <v>19433</v>
      </c>
      <c r="B8861" s="13" t="s">
        <v>19434</v>
      </c>
      <c r="C8861" s="14" t="s">
        <v>19435</v>
      </c>
      <c r="D8861" s="1" t="str">
        <f>IFERROR(__xludf.DUMMYFUNCTION("GOOGLETRANSLATE(A8861 , ""auto"", ""ar"")"),"لم يتبق الشاي")</f>
        <v>لم يتبق الشاي</v>
      </c>
    </row>
    <row r="8862" ht="15.75" customHeight="1">
      <c r="A8862" s="12" t="s">
        <v>19436</v>
      </c>
      <c r="B8862" s="13" t="s">
        <v>19437</v>
      </c>
      <c r="C8862" s="14" t="s">
        <v>19438</v>
      </c>
      <c r="D8862" s="1" t="str">
        <f>IFERROR(__xludf.DUMMYFUNCTION("GOOGLETRANSLATE(A8862 , ""auto"", ""ar"")"),"منزلك بعيد عني")</f>
        <v>منزلك بعيد عني</v>
      </c>
    </row>
    <row r="8863" ht="15.75" customHeight="1">
      <c r="A8863" s="12" t="s">
        <v>19439</v>
      </c>
      <c r="B8863" s="13" t="s">
        <v>19440</v>
      </c>
      <c r="C8863" s="14" t="s">
        <v>19441</v>
      </c>
      <c r="D8863" s="1" t="str">
        <f>IFERROR(__xludf.DUMMYFUNCTION("GOOGLETRANSLATE(A8863 , ""auto"", ""ar"")"),"قل لي كل شيء")</f>
        <v>قل لي كل شيء</v>
      </c>
    </row>
    <row r="8864" ht="15.75" customHeight="1">
      <c r="A8864" s="12" t="s">
        <v>19442</v>
      </c>
      <c r="B8864" s="13" t="s">
        <v>19443</v>
      </c>
      <c r="C8864" s="14" t="s">
        <v>19444</v>
      </c>
      <c r="D8864" s="1" t="str">
        <f>IFERROR(__xludf.DUMMYFUNCTION("GOOGLETRANSLATE(A8864 , ""auto"", ""ar"")"),"أخبرني الحقيقة")</f>
        <v>أخبرني الحقيقة</v>
      </c>
    </row>
    <row r="8865" ht="15.75" customHeight="1">
      <c r="A8865" s="12" t="s">
        <v>19445</v>
      </c>
      <c r="B8865" s="13" t="s">
        <v>19446</v>
      </c>
      <c r="C8865" s="14" t="s">
        <v>19447</v>
      </c>
      <c r="D8865" s="1" t="str">
        <f>IFERROR(__xludf.DUMMYFUNCTION("GOOGLETRANSLATE(A8865 , ""auto"", ""ar"")"),"هل لديك خبز ساخن؟")</f>
        <v>هل لديك خبز ساخن؟</v>
      </c>
    </row>
    <row r="8866" ht="15.75" customHeight="1">
      <c r="A8866" s="12" t="s">
        <v>19448</v>
      </c>
      <c r="B8866" s="13" t="s">
        <v>19449</v>
      </c>
      <c r="C8866" s="14" t="s">
        <v>19450</v>
      </c>
      <c r="D8866" s="1" t="str">
        <f>IFERROR(__xludf.DUMMYFUNCTION("GOOGLETRANSLATE(A8866 , ""auto"", ""ar"")"),"أريد ماء بارد")</f>
        <v>أريد ماء بارد</v>
      </c>
    </row>
    <row r="8867" ht="15.75" customHeight="1">
      <c r="A8867" s="12" t="s">
        <v>19451</v>
      </c>
      <c r="B8867" s="13" t="s">
        <v>19452</v>
      </c>
      <c r="C8867" s="14" t="s">
        <v>19453</v>
      </c>
      <c r="D8867" s="1" t="str">
        <f>IFERROR(__xludf.DUMMYFUNCTION("GOOGLETRANSLATE(A8867 , ""auto"", ""ar"")"),"أقوم بحل واجبي")</f>
        <v>أقوم بحل واجبي</v>
      </c>
    </row>
    <row r="8868" ht="15.75" customHeight="1">
      <c r="A8868" s="12" t="s">
        <v>19454</v>
      </c>
      <c r="B8868" s="13" t="s">
        <v>19455</v>
      </c>
      <c r="C8868" s="14" t="s">
        <v>19456</v>
      </c>
      <c r="D8868" s="1" t="str">
        <f>IFERROR(__xludf.DUMMYFUNCTION("GOOGLETRANSLATE(A8868 , ""auto"", ""ar"")"),"سأذهب بالقطار")</f>
        <v>سأذهب بالقطار</v>
      </c>
    </row>
    <row r="8869" ht="15.75" customHeight="1">
      <c r="A8869" s="12" t="s">
        <v>19457</v>
      </c>
      <c r="B8869" s="13" t="s">
        <v>19458</v>
      </c>
      <c r="C8869" s="14" t="s">
        <v>19459</v>
      </c>
      <c r="D8869" s="1" t="str">
        <f>IFERROR(__xludf.DUMMYFUNCTION("GOOGLETRANSLATE(A8869 , ""auto"", ""ar"")"),"حدث لي حادث")</f>
        <v>حدث لي حادث</v>
      </c>
    </row>
    <row r="8870" ht="15.75" customHeight="1">
      <c r="A8870" s="12" t="s">
        <v>19460</v>
      </c>
      <c r="B8870" s="13" t="s">
        <v>19461</v>
      </c>
      <c r="C8870" s="14" t="s">
        <v>19462</v>
      </c>
      <c r="D8870" s="1" t="str">
        <f>IFERROR(__xludf.DUMMYFUNCTION("GOOGLETRANSLATE(A8870 , ""auto"", ""ar"")"),"اقسم بالله")</f>
        <v>اقسم بالله</v>
      </c>
    </row>
    <row r="8871" ht="15.75" customHeight="1">
      <c r="A8871" s="12" t="s">
        <v>19463</v>
      </c>
      <c r="B8871" s="13" t="s">
        <v>19464</v>
      </c>
      <c r="C8871" s="14" t="s">
        <v>19465</v>
      </c>
      <c r="D8871" s="1" t="str">
        <f>IFERROR(__xludf.DUMMYFUNCTION("GOOGLETRANSLATE(A8871 , ""auto"", ""ar"")"),"أنا أحب هذا التنورة")</f>
        <v>أنا أحب هذا التنورة</v>
      </c>
    </row>
    <row r="8872" ht="15.75" customHeight="1">
      <c r="A8872" s="12" t="s">
        <v>19466</v>
      </c>
      <c r="B8872" s="13" t="s">
        <v>19467</v>
      </c>
      <c r="C8872" s="14" t="s">
        <v>19468</v>
      </c>
      <c r="D8872" s="1" t="str">
        <f>IFERROR(__xludf.DUMMYFUNCTION("GOOGLETRANSLATE(A8872 , ""auto"", ""ar"")"),"هذا التنورة قصيرة")</f>
        <v>هذا التنورة قصيرة</v>
      </c>
    </row>
    <row r="8873" ht="15.75" customHeight="1">
      <c r="A8873" s="12" t="s">
        <v>19469</v>
      </c>
      <c r="B8873" s="13" t="s">
        <v>19470</v>
      </c>
      <c r="C8873" s="14" t="s">
        <v>19471</v>
      </c>
      <c r="D8873" s="1" t="str">
        <f>IFERROR(__xludf.DUMMYFUNCTION("GOOGLETRANSLATE(A8873 , ""auto"", ""ar"")"),"هو طويل")</f>
        <v>هو طويل</v>
      </c>
    </row>
    <row r="8874" ht="15.75" customHeight="1">
      <c r="A8874" s="12" t="s">
        <v>19472</v>
      </c>
      <c r="B8874" s="13" t="s">
        <v>19473</v>
      </c>
      <c r="C8874" s="14" t="s">
        <v>19474</v>
      </c>
      <c r="D8874" s="1" t="str">
        <f>IFERROR(__xludf.DUMMYFUNCTION("GOOGLETRANSLATE(A8874 , ""auto"", ""ar"")"),"هو أطول مني")</f>
        <v>هو أطول مني</v>
      </c>
    </row>
    <row r="8875" ht="15.75" customHeight="1">
      <c r="A8875" s="12" t="s">
        <v>19475</v>
      </c>
      <c r="B8875" s="13" t="s">
        <v>19476</v>
      </c>
      <c r="C8875" s="14" t="s">
        <v>19477</v>
      </c>
      <c r="D8875" s="1" t="str">
        <f>IFERROR(__xludf.DUMMYFUNCTION("GOOGLETRANSLATE(A8875 , ""auto"", ""ar"")"),"انه قصير")</f>
        <v>انه قصير</v>
      </c>
    </row>
    <row r="8876" ht="15.75" customHeight="1">
      <c r="A8876" s="12" t="s">
        <v>19478</v>
      </c>
      <c r="B8876" s="13" t="s">
        <v>19479</v>
      </c>
      <c r="C8876" s="14" t="s">
        <v>19480</v>
      </c>
      <c r="D8876" s="1" t="str">
        <f>IFERROR(__xludf.DUMMYFUNCTION("GOOGLETRANSLATE(A8876 , ""auto"", ""ar"")"),"إنه أقصر مني")</f>
        <v>إنه أقصر مني</v>
      </c>
    </row>
    <row r="8877" ht="15.75" customHeight="1">
      <c r="A8877" s="12" t="s">
        <v>19481</v>
      </c>
      <c r="B8877" s="13" t="s">
        <v>19482</v>
      </c>
      <c r="C8877" s="14" t="s">
        <v>19483</v>
      </c>
      <c r="D8877" s="1" t="str">
        <f>IFERROR(__xludf.DUMMYFUNCTION("GOOGLETRANSLATE(A8877 , ""auto"", ""ar"")"),"اشتريت الجزر")</f>
        <v>اشتريت الجزر</v>
      </c>
    </row>
    <row r="8878" ht="15.75" customHeight="1">
      <c r="A8878" s="12" t="s">
        <v>19484</v>
      </c>
      <c r="B8878" s="13" t="s">
        <v>19485</v>
      </c>
      <c r="C8878" s="14" t="s">
        <v>19486</v>
      </c>
      <c r="D8878" s="1" t="str">
        <f>IFERROR(__xludf.DUMMYFUNCTION("GOOGLETRANSLATE(A8878 , ""auto"", ""ar"")"),"هذا القلم لي")</f>
        <v>هذا القلم لي</v>
      </c>
    </row>
    <row r="8879" ht="15.75" customHeight="1">
      <c r="A8879" s="12" t="s">
        <v>19487</v>
      </c>
      <c r="B8879" s="13" t="s">
        <v>19488</v>
      </c>
      <c r="C8879" s="14" t="s">
        <v>19489</v>
      </c>
      <c r="D8879" s="1" t="str">
        <f>IFERROR(__xludf.DUMMYFUNCTION("GOOGLETRANSLATE(A8879 , ""auto"", ""ar"")"),"ذهبت إلى البنك")</f>
        <v>ذهبت إلى البنك</v>
      </c>
    </row>
    <row r="8880" ht="15.75" customHeight="1">
      <c r="A8880" s="12" t="s">
        <v>19490</v>
      </c>
      <c r="B8880" s="13" t="s">
        <v>19491</v>
      </c>
      <c r="C8880" s="14" t="s">
        <v>19492</v>
      </c>
      <c r="D8880" s="1" t="str">
        <f>IFERROR(__xludf.DUMMYFUNCTION("GOOGLETRANSLATE(A8880 , ""auto"", ""ar"")"),"فتحت حساب مصرفي")</f>
        <v>فتحت حساب مصرفي</v>
      </c>
    </row>
    <row r="8881" ht="15.75" customHeight="1">
      <c r="A8881" s="12" t="s">
        <v>19493</v>
      </c>
      <c r="B8881" s="13" t="s">
        <v>19494</v>
      </c>
      <c r="C8881" s="14" t="s">
        <v>19495</v>
      </c>
      <c r="D8881" s="1" t="str">
        <f>IFERROR(__xludf.DUMMYFUNCTION("GOOGLETRANSLATE(A8881 , ""auto"", ""ar"")"),"البنك مغلق")</f>
        <v>البنك مغلق</v>
      </c>
    </row>
    <row r="8882" ht="15.75" customHeight="1">
      <c r="A8882" s="12" t="s">
        <v>19496</v>
      </c>
      <c r="B8882" s="13" t="s">
        <v>19497</v>
      </c>
      <c r="C8882" s="14" t="s">
        <v>19498</v>
      </c>
      <c r="D8882" s="1" t="str">
        <f>IFERROR(__xludf.DUMMYFUNCTION("GOOGLETRANSLATE(A8882 , ""auto"", ""ar"")"),"سأزور صديقي")</f>
        <v>سأزور صديقي</v>
      </c>
    </row>
    <row r="8883" ht="15.75" customHeight="1">
      <c r="A8883" s="12" t="s">
        <v>19499</v>
      </c>
      <c r="B8883" s="13" t="s">
        <v>19500</v>
      </c>
      <c r="C8883" s="14" t="s">
        <v>19501</v>
      </c>
      <c r="D8883" s="1" t="str">
        <f>IFERROR(__xludf.DUMMYFUNCTION("GOOGLETRANSLATE(A8883 , ""auto"", ""ar"")"),"انا نجحت")</f>
        <v>انا نجحت</v>
      </c>
    </row>
    <row r="8884" ht="15.75" customHeight="1">
      <c r="A8884" s="12" t="s">
        <v>19502</v>
      </c>
      <c r="B8884" s="13" t="s">
        <v>19503</v>
      </c>
      <c r="C8884" s="14" t="s">
        <v>19504</v>
      </c>
      <c r="D8884" s="1" t="str">
        <f>IFERROR(__xludf.DUMMYFUNCTION("GOOGLETRANSLATE(A8884 , ""auto"", ""ar"")"),"تخرجت")</f>
        <v>تخرجت</v>
      </c>
    </row>
    <row r="8885" ht="15.75" customHeight="1">
      <c r="A8885" s="12" t="s">
        <v>19505</v>
      </c>
      <c r="B8885" s="13" t="s">
        <v>19506</v>
      </c>
      <c r="C8885" s="14" t="s">
        <v>19507</v>
      </c>
      <c r="D8885" s="1" t="str">
        <f>IFERROR(__xludf.DUMMYFUNCTION("GOOGLETRANSLATE(A8885 , ""auto"", ""ar"")"),"لم أسجل جيدا")</f>
        <v>لم أسجل جيدا</v>
      </c>
    </row>
    <row r="8886" ht="15.75" customHeight="1">
      <c r="A8886" s="12" t="s">
        <v>19508</v>
      </c>
      <c r="B8886" s="13" t="s">
        <v>19509</v>
      </c>
      <c r="C8886" s="14" t="s">
        <v>19510</v>
      </c>
      <c r="D8886" s="1" t="str">
        <f>IFERROR(__xludf.DUMMYFUNCTION("GOOGLETRANSLATE(A8886 , ""auto"", ""ar"")"),"لقد سجلت جيدًا")</f>
        <v>لقد سجلت جيدًا</v>
      </c>
    </row>
    <row r="8887" ht="15.75" customHeight="1">
      <c r="A8887" s="12" t="s">
        <v>19511</v>
      </c>
      <c r="B8887" s="13" t="s">
        <v>19512</v>
      </c>
      <c r="C8887" s="14" t="s">
        <v>19513</v>
      </c>
      <c r="D8887" s="1" t="str">
        <f>IFERROR(__xludf.DUMMYFUNCTION("GOOGLETRANSLATE(A8887 , ""auto"", ""ar"")"),"أنا أتكلم ثلاث لغات")</f>
        <v>أنا أتكلم ثلاث لغات</v>
      </c>
    </row>
    <row r="8888" ht="15.75" customHeight="1">
      <c r="A8888" s="12" t="s">
        <v>19514</v>
      </c>
      <c r="B8888" s="13" t="s">
        <v>19515</v>
      </c>
      <c r="C8888" s="14" t="s">
        <v>19516</v>
      </c>
      <c r="D8888" s="1" t="str">
        <f>IFERROR(__xludf.DUMMYFUNCTION("GOOGLETRANSLATE(A8888 , ""auto"", ""ar"")"),"أنا لا أتحدث العربية")</f>
        <v>أنا لا أتحدث العربية</v>
      </c>
    </row>
    <row r="8889" ht="15.75" customHeight="1">
      <c r="A8889" s="12" t="s">
        <v>19517</v>
      </c>
      <c r="B8889" s="13" t="s">
        <v>19518</v>
      </c>
      <c r="C8889" s="14" t="s">
        <v>19519</v>
      </c>
      <c r="D8889" s="1" t="str">
        <f>IFERROR(__xludf.DUMMYFUNCTION("GOOGLETRANSLATE(A8889 , ""auto"", ""ar"")"),"اليوم طويل")</f>
        <v>اليوم طويل</v>
      </c>
    </row>
    <row r="8890" ht="15.75" customHeight="1">
      <c r="A8890" s="12" t="s">
        <v>19520</v>
      </c>
      <c r="B8890" s="13" t="s">
        <v>19521</v>
      </c>
      <c r="C8890" s="14" t="s">
        <v>19522</v>
      </c>
      <c r="D8890" s="1" t="str">
        <f>IFERROR(__xludf.DUMMYFUNCTION("GOOGLETRANSLATE(A8890 , ""auto"", ""ar"")"),"الليلة طويلة")</f>
        <v>الليلة طويلة</v>
      </c>
    </row>
    <row r="8891" ht="15.75" customHeight="1">
      <c r="A8891" s="12" t="s">
        <v>19523</v>
      </c>
      <c r="B8891" s="13" t="s">
        <v>19524</v>
      </c>
      <c r="C8891" s="14" t="s">
        <v>19525</v>
      </c>
      <c r="D8891" s="1" t="str">
        <f>IFERROR(__xludf.DUMMYFUNCTION("GOOGLETRANSLATE(A8891 , ""auto"", ""ar"")"),"لماذا تصرخ؟")</f>
        <v>لماذا تصرخ؟</v>
      </c>
    </row>
    <row r="8892" ht="15.75" customHeight="1">
      <c r="A8892" s="12" t="s">
        <v>19526</v>
      </c>
      <c r="B8892" s="13" t="s">
        <v>19527</v>
      </c>
      <c r="C8892" s="14" t="s">
        <v>19528</v>
      </c>
      <c r="D8892" s="1" t="str">
        <f>IFERROR(__xludf.DUMMYFUNCTION("GOOGLETRANSLATE(A8892 , ""auto"", ""ar"")"),"ارفع صوتك")</f>
        <v>ارفع صوتك</v>
      </c>
    </row>
    <row r="8893" ht="15.75" customHeight="1">
      <c r="A8893" s="12" t="s">
        <v>19529</v>
      </c>
      <c r="B8893" s="13" t="s">
        <v>19530</v>
      </c>
      <c r="C8893" s="14" t="s">
        <v>19531</v>
      </c>
      <c r="D8893" s="1" t="str">
        <f>IFERROR(__xludf.DUMMYFUNCTION("GOOGLETRANSLATE(A8893 , ""auto"", ""ar"")"),"ارفع يديك")</f>
        <v>ارفع يديك</v>
      </c>
    </row>
    <row r="8894" ht="15.75" customHeight="1">
      <c r="A8894" s="12" t="s">
        <v>19532</v>
      </c>
      <c r="B8894" s="13" t="s">
        <v>19533</v>
      </c>
      <c r="C8894" s="14" t="s">
        <v>19534</v>
      </c>
      <c r="D8894" s="1" t="str">
        <f>IFERROR(__xludf.DUMMYFUNCTION("GOOGLETRANSLATE(A8894 , ""auto"", ""ar"")"),"اغلق عينيك")</f>
        <v>اغلق عينيك</v>
      </c>
    </row>
    <row r="8895" ht="15.75" customHeight="1">
      <c r="A8895" s="12" t="s">
        <v>19535</v>
      </c>
      <c r="B8895" s="13" t="s">
        <v>19536</v>
      </c>
      <c r="C8895" s="14" t="s">
        <v>19537</v>
      </c>
      <c r="D8895" s="1" t="str">
        <f>IFERROR(__xludf.DUMMYFUNCTION("GOOGLETRANSLATE(A8895 , ""auto"", ""ar"")"),"افتح عينيك")</f>
        <v>افتح عينيك</v>
      </c>
    </row>
    <row r="8896" ht="15.75" customHeight="1">
      <c r="A8896" s="12" t="s">
        <v>19538</v>
      </c>
      <c r="B8896" s="13" t="s">
        <v>19539</v>
      </c>
      <c r="C8896" s="14" t="s">
        <v>19540</v>
      </c>
      <c r="D8896" s="1" t="str">
        <f>IFERROR(__xludf.DUMMYFUNCTION("GOOGLETRANSLATE(A8896 , ""auto"", ""ar"")"),"إذا كنت معنا فقط")</f>
        <v>إذا كنت معنا فقط</v>
      </c>
    </row>
    <row r="8897" ht="15.75" customHeight="1">
      <c r="A8897" s="12" t="s">
        <v>19541</v>
      </c>
      <c r="B8897" s="13" t="s">
        <v>19542</v>
      </c>
      <c r="C8897" s="14" t="s">
        <v>19543</v>
      </c>
      <c r="D8897" s="1" t="str">
        <f>IFERROR(__xludf.DUMMYFUNCTION("GOOGLETRANSLATE(A8897 , ""auto"", ""ar"")"),"اطفئ الضوء")</f>
        <v>اطفئ الضوء</v>
      </c>
    </row>
    <row r="8898" ht="15.75" customHeight="1">
      <c r="A8898" s="12" t="s">
        <v>19544</v>
      </c>
      <c r="B8898" s="13" t="s">
        <v>19545</v>
      </c>
      <c r="C8898" s="14" t="s">
        <v>19546</v>
      </c>
      <c r="D8898" s="1" t="str">
        <f>IFERROR(__xludf.DUMMYFUNCTION("GOOGLETRANSLATE(A8898 , ""auto"", ""ar"")"),"اشعل ضوء")</f>
        <v>اشعل ضوء</v>
      </c>
    </row>
    <row r="8899" ht="15.75" customHeight="1">
      <c r="A8899" s="12" t="s">
        <v>19547</v>
      </c>
      <c r="B8899" s="13" t="s">
        <v>19548</v>
      </c>
      <c r="C8899" s="14" t="s">
        <v>19549</v>
      </c>
      <c r="D8899" s="1" t="str">
        <f>IFERROR(__xludf.DUMMYFUNCTION("GOOGLETRANSLATE(A8899 , ""auto"", ""ar"")"),"افتح الباب")</f>
        <v>افتح الباب</v>
      </c>
    </row>
    <row r="8900" ht="15.75" customHeight="1">
      <c r="A8900" s="12" t="s">
        <v>19550</v>
      </c>
      <c r="B8900" s="13" t="s">
        <v>19551</v>
      </c>
      <c r="C8900" s="14" t="s">
        <v>19552</v>
      </c>
      <c r="D8900" s="1" t="str">
        <f>IFERROR(__xludf.DUMMYFUNCTION("GOOGLETRANSLATE(A8900 , ""auto"", ""ar"")"),"أغلق الباب")</f>
        <v>أغلق الباب</v>
      </c>
    </row>
    <row r="8901" ht="15.75" customHeight="1">
      <c r="A8901" s="12" t="s">
        <v>19553</v>
      </c>
      <c r="B8901" s="13" t="s">
        <v>19554</v>
      </c>
      <c r="C8901" s="14" t="s">
        <v>19555</v>
      </c>
      <c r="D8901" s="1" t="str">
        <f>IFERROR(__xludf.DUMMYFUNCTION("GOOGLETRANSLATE(A8901 , ""auto"", ""ar"")"),"وقعت من على الدرج")</f>
        <v>وقعت من على الدرج</v>
      </c>
    </row>
    <row r="8902" ht="15.75" customHeight="1">
      <c r="A8902" s="12" t="s">
        <v>19556</v>
      </c>
      <c r="B8902" s="13" t="s">
        <v>19557</v>
      </c>
      <c r="C8902" s="14" t="s">
        <v>19558</v>
      </c>
      <c r="D8902" s="1" t="str">
        <f>IFERROR(__xludf.DUMMYFUNCTION("GOOGLETRANSLATE(A8902 , ""auto"", ""ar"")"),"أنا ذاهب إلى الطابق العلوي")</f>
        <v>أنا ذاهب إلى الطابق العلوي</v>
      </c>
    </row>
    <row r="8903" ht="15.75" customHeight="1">
      <c r="A8903" s="12" t="s">
        <v>19559</v>
      </c>
      <c r="B8903" s="13" t="s">
        <v>19560</v>
      </c>
      <c r="C8903" s="14" t="s">
        <v>19561</v>
      </c>
      <c r="D8903" s="1" t="str">
        <f>IFERROR(__xludf.DUMMYFUNCTION("GOOGLETRANSLATE(A8903 , ""auto"", ""ar"")"),"أنا ذاهب إلى الطابق السفلي")</f>
        <v>أنا ذاهب إلى الطابق السفلي</v>
      </c>
    </row>
    <row r="8904" ht="15.75" customHeight="1">
      <c r="A8904" s="12" t="s">
        <v>19562</v>
      </c>
      <c r="B8904" s="13" t="s">
        <v>19563</v>
      </c>
      <c r="C8904" s="14" t="s">
        <v>19564</v>
      </c>
      <c r="D8904" s="1" t="str">
        <f>IFERROR(__xludf.DUMMYFUNCTION("GOOGLETRANSLATE(A8904 , ""auto"", ""ar"")"),"أنا في غرفة نومي")</f>
        <v>أنا في غرفة نومي</v>
      </c>
    </row>
    <row r="8905" ht="15.75" customHeight="1">
      <c r="A8905" s="12" t="s">
        <v>19565</v>
      </c>
      <c r="B8905" s="13" t="s">
        <v>19566</v>
      </c>
      <c r="C8905" s="14" t="s">
        <v>19567</v>
      </c>
      <c r="D8905" s="1" t="str">
        <f>IFERROR(__xludf.DUMMYFUNCTION("GOOGLETRANSLATE(A8905 , ""auto"", ""ar"")"),"اشتريت قميص")</f>
        <v>اشتريت قميص</v>
      </c>
    </row>
    <row r="8906" ht="15.75" customHeight="1">
      <c r="A8906" s="12" t="s">
        <v>19568</v>
      </c>
      <c r="B8906" s="13" t="s">
        <v>19569</v>
      </c>
      <c r="C8906" s="14" t="s">
        <v>19570</v>
      </c>
      <c r="D8906" s="1" t="str">
        <f>IFERROR(__xludf.DUMMYFUNCTION("GOOGLETRANSLATE(A8906 , ""auto"", ""ar"")"),"لم يعجبني هذا اللون")</f>
        <v>لم يعجبني هذا اللون</v>
      </c>
    </row>
    <row r="8907" ht="15.75" customHeight="1">
      <c r="A8907" s="12" t="s">
        <v>19571</v>
      </c>
      <c r="B8907" s="13" t="s">
        <v>19572</v>
      </c>
      <c r="C8907" s="14" t="s">
        <v>19573</v>
      </c>
      <c r="D8907" s="1" t="str">
        <f>IFERROR(__xludf.DUMMYFUNCTION("GOOGLETRANSLATE(A8907 , ""auto"", ""ar"")"),"لم أجد مقاسي")</f>
        <v>لم أجد مقاسي</v>
      </c>
    </row>
    <row r="8908" ht="15.75" customHeight="1">
      <c r="A8908" s="12" t="s">
        <v>19574</v>
      </c>
      <c r="B8908" s="13" t="s">
        <v>19575</v>
      </c>
      <c r="C8908" s="14" t="s">
        <v>19576</v>
      </c>
      <c r="D8908" s="1" t="str">
        <f>IFERROR(__xludf.DUMMYFUNCTION("GOOGLETRANSLATE(A8908 , ""auto"", ""ar"")"),"يأكل كثيرا")</f>
        <v>يأكل كثيرا</v>
      </c>
    </row>
    <row r="8909" ht="15.75" customHeight="1">
      <c r="A8909" s="12" t="s">
        <v>19577</v>
      </c>
      <c r="B8909" s="13" t="s">
        <v>19578</v>
      </c>
      <c r="C8909" s="14" t="s">
        <v>19579</v>
      </c>
      <c r="D8909" s="1" t="str">
        <f>IFERROR(__xludf.DUMMYFUNCTION("GOOGLETRANSLATE(A8909 , ""auto"", ""ar"")"),"لقد نسيت ما قلته لي")</f>
        <v>لقد نسيت ما قلته لي</v>
      </c>
    </row>
    <row r="8910" ht="15.75" customHeight="1">
      <c r="A8910" s="12" t="s">
        <v>19580</v>
      </c>
      <c r="B8910" s="13" t="s">
        <v>19581</v>
      </c>
      <c r="C8910" s="14" t="s">
        <v>19582</v>
      </c>
      <c r="D8910" s="1" t="str">
        <f>IFERROR(__xludf.DUMMYFUNCTION("GOOGLETRANSLATE(A8910 , ""auto"", ""ar"")"),"اليوم عيد ميلادي")</f>
        <v>اليوم عيد ميلادي</v>
      </c>
    </row>
    <row r="8911" ht="15.75" customHeight="1">
      <c r="A8911" s="12" t="s">
        <v>19583</v>
      </c>
      <c r="B8911" s="13" t="s">
        <v>19584</v>
      </c>
      <c r="C8911" s="14" t="s">
        <v>19585</v>
      </c>
      <c r="D8911" s="1" t="str">
        <f>IFERROR(__xludf.DUMMYFUNCTION("GOOGLETRANSLATE(A8911 , ""auto"", ""ar"")"),"أنا في المطار")</f>
        <v>أنا في المطار</v>
      </c>
    </row>
    <row r="8912" ht="15.75" customHeight="1">
      <c r="A8912" s="12" t="s">
        <v>19586</v>
      </c>
      <c r="B8912" s="13" t="s">
        <v>19587</v>
      </c>
      <c r="C8912" s="14" t="s">
        <v>19588</v>
      </c>
      <c r="D8912" s="1" t="str">
        <f>IFERROR(__xludf.DUMMYFUNCTION("GOOGLETRANSLATE(A8912 , ""auto"", ""ar"")"),"أنا في صالة الألعاب الرياضية")</f>
        <v>أنا في صالة الألعاب الرياضية</v>
      </c>
    </row>
    <row r="8913" ht="15.75" customHeight="1">
      <c r="A8913" s="12" t="s">
        <v>19589</v>
      </c>
      <c r="B8913" s="13" t="s">
        <v>19590</v>
      </c>
      <c r="C8913" s="14" t="s">
        <v>19591</v>
      </c>
      <c r="D8913" s="1" t="str">
        <f>IFERROR(__xludf.DUMMYFUNCTION("GOOGLETRANSLATE(A8913 , ""auto"", ""ar"")"),"أذهب في نزهة على الأقدام كل صباح")</f>
        <v>أذهب في نزهة على الأقدام كل صباح</v>
      </c>
    </row>
    <row r="8914" ht="15.75" customHeight="1">
      <c r="A8914" s="12" t="s">
        <v>19592</v>
      </c>
      <c r="B8914" s="13" t="s">
        <v>19593</v>
      </c>
      <c r="C8914" s="14" t="s">
        <v>19594</v>
      </c>
      <c r="D8914" s="1" t="str">
        <f>IFERROR(__xludf.DUMMYFUNCTION("GOOGLETRANSLATE(A8914 , ""auto"", ""ar"")"),"هذه البطانية دافئة")</f>
        <v>هذه البطانية دافئة</v>
      </c>
    </row>
    <row r="8915" ht="15.75" customHeight="1">
      <c r="A8915" s="12" t="s">
        <v>19595</v>
      </c>
      <c r="B8915" s="13" t="s">
        <v>19596</v>
      </c>
      <c r="C8915" s="14" t="s">
        <v>19597</v>
      </c>
      <c r="D8915" s="1" t="str">
        <f>IFERROR(__xludf.DUMMYFUNCTION("GOOGLETRANSLATE(A8915 , ""auto"", ""ar"")"),"انا اريد الجبن")</f>
        <v>انا اريد الجبن</v>
      </c>
    </row>
    <row r="8916" ht="15.75" customHeight="1">
      <c r="A8916" s="12" t="s">
        <v>19598</v>
      </c>
      <c r="B8916" s="13" t="s">
        <v>19599</v>
      </c>
      <c r="C8916" s="14" t="s">
        <v>19600</v>
      </c>
      <c r="D8916" s="1" t="str">
        <f>IFERROR(__xludf.DUMMYFUNCTION("GOOGLETRANSLATE(A8916 , ""auto"", ""ar"")"),"هذه الوسادة ليست مريحة")</f>
        <v>هذه الوسادة ليست مريحة</v>
      </c>
    </row>
    <row r="8917" ht="15.75" customHeight="1">
      <c r="A8917" s="12" t="s">
        <v>19601</v>
      </c>
      <c r="B8917" s="13" t="s">
        <v>19602</v>
      </c>
      <c r="C8917" s="14" t="s">
        <v>19603</v>
      </c>
      <c r="D8917" s="1" t="str">
        <f>IFERROR(__xludf.DUMMYFUNCTION("GOOGLETRANSLATE(A8917 , ""auto"", ""ar"")"),"اين تنام؟")</f>
        <v>اين تنام؟</v>
      </c>
    </row>
    <row r="8918" ht="15.75" customHeight="1">
      <c r="A8918" s="12" t="s">
        <v>19604</v>
      </c>
      <c r="B8918" s="13" t="s">
        <v>19605</v>
      </c>
      <c r="C8918" s="14" t="s">
        <v>19606</v>
      </c>
      <c r="D8918" s="1" t="str">
        <f>IFERROR(__xludf.DUMMYFUNCTION("GOOGLETRANSLATE(A8918 , ""auto"", ""ar"")"),"هل تدخن؟")</f>
        <v>هل تدخن؟</v>
      </c>
    </row>
    <row r="8919" ht="15.75" customHeight="1">
      <c r="A8919" s="12" t="s">
        <v>19607</v>
      </c>
      <c r="B8919" s="13" t="s">
        <v>19608</v>
      </c>
      <c r="C8919" s="14" t="s">
        <v>19609</v>
      </c>
      <c r="D8919" s="1" t="str">
        <f>IFERROR(__xludf.DUMMYFUNCTION("GOOGLETRANSLATE(A8919 , ""auto"", ""ar"")"),"التدخين ليس جيدًا للصحة")</f>
        <v>التدخين ليس جيدًا للصحة</v>
      </c>
    </row>
    <row r="8920" ht="15.75" customHeight="1">
      <c r="A8920" s="12" t="s">
        <v>19610</v>
      </c>
      <c r="B8920" s="13" t="s">
        <v>19611</v>
      </c>
      <c r="C8920" s="14" t="s">
        <v>19612</v>
      </c>
      <c r="D8920" s="1" t="str">
        <f>IFERROR(__xludf.DUMMYFUNCTION("GOOGLETRANSLATE(A8920 , ""auto"", ""ar"")"),"انا ذاهب الى المسجد")</f>
        <v>انا ذاهب الى المسجد</v>
      </c>
    </row>
    <row r="8921" ht="15.75" customHeight="1">
      <c r="A8921" s="12" t="s">
        <v>19610</v>
      </c>
      <c r="B8921" s="13" t="s">
        <v>19613</v>
      </c>
      <c r="C8921" s="14" t="s">
        <v>19614</v>
      </c>
      <c r="D8921" s="1" t="str">
        <f>IFERROR(__xludf.DUMMYFUNCTION("GOOGLETRANSLATE(A8921 , ""auto"", ""ar"")"),"انا ذاهب الى المسجد")</f>
        <v>انا ذاهب الى المسجد</v>
      </c>
    </row>
    <row r="8922" ht="15.75" customHeight="1">
      <c r="A8922" s="12" t="s">
        <v>19615</v>
      </c>
      <c r="B8922" s="13" t="s">
        <v>19616</v>
      </c>
      <c r="C8922" s="14" t="s">
        <v>19617</v>
      </c>
      <c r="D8922" s="1" t="str">
        <f>IFERROR(__xludf.DUMMYFUNCTION("GOOGLETRANSLATE(A8922 , ""auto"", ""ar"")"),"سأذهب للصلاة")</f>
        <v>سأذهب للصلاة</v>
      </c>
    </row>
    <row r="8923" ht="15.75" customHeight="1">
      <c r="A8923" s="12" t="s">
        <v>19618</v>
      </c>
      <c r="B8923" s="13" t="s">
        <v>19619</v>
      </c>
      <c r="C8923" s="14" t="s">
        <v>19620</v>
      </c>
      <c r="D8923" s="1" t="str">
        <f>IFERROR(__xludf.DUMMYFUNCTION("GOOGLETRANSLATE(A8923 , ""auto"", ""ar"")"),"لقد نسيت أن أصلي")</f>
        <v>لقد نسيت أن أصلي</v>
      </c>
    </row>
    <row r="8924" ht="15.75" customHeight="1">
      <c r="A8924" s="12" t="s">
        <v>19621</v>
      </c>
      <c r="B8924" s="13" t="s">
        <v>19622</v>
      </c>
      <c r="C8924" s="14" t="s">
        <v>19623</v>
      </c>
      <c r="D8924" s="1" t="str">
        <f>IFERROR(__xludf.DUMMYFUNCTION("GOOGLETRANSLATE(A8924 , ""auto"", ""ar"")"),"التعليم مهم")</f>
        <v>التعليم مهم</v>
      </c>
    </row>
    <row r="8925" ht="15.75" customHeight="1">
      <c r="A8925" s="12" t="s">
        <v>19624</v>
      </c>
      <c r="B8925" s="13" t="s">
        <v>19625</v>
      </c>
      <c r="C8925" s="14" t="s">
        <v>19626</v>
      </c>
      <c r="D8925" s="1" t="str">
        <f>IFERROR(__xludf.DUMMYFUNCTION("GOOGLETRANSLATE(A8925 , ""auto"", ""ar"")"),"لم أنتهي من دراستي")</f>
        <v>لم أنتهي من دراستي</v>
      </c>
    </row>
    <row r="8926" ht="15.75" customHeight="1">
      <c r="A8926" s="12" t="s">
        <v>19627</v>
      </c>
      <c r="B8926" s="13" t="s">
        <v>19628</v>
      </c>
      <c r="C8926" s="14" t="s">
        <v>19629</v>
      </c>
      <c r="D8926" s="1" t="str">
        <f>IFERROR(__xludf.DUMMYFUNCTION("GOOGLETRANSLATE(A8926 , ""auto"", ""ar"")"),"لو كنت في مكاني")</f>
        <v>لو كنت في مكاني</v>
      </c>
    </row>
    <row r="8927" ht="15.75" customHeight="1">
      <c r="A8927" s="12" t="s">
        <v>19630</v>
      </c>
      <c r="B8927" s="13" t="s">
        <v>19631</v>
      </c>
      <c r="C8927" s="14" t="s">
        <v>19632</v>
      </c>
      <c r="D8927" s="1" t="str">
        <f>IFERROR(__xludf.DUMMYFUNCTION("GOOGLETRANSLATE(A8927 , ""auto"", ""ar"")"),"أنا أحسدك.")</f>
        <v>أنا أحسدك.</v>
      </c>
    </row>
    <row r="8928" ht="15.75" customHeight="1">
      <c r="A8928" s="12" t="s">
        <v>19633</v>
      </c>
      <c r="B8928" s="13" t="s">
        <v>19634</v>
      </c>
      <c r="C8928" s="14" t="s">
        <v>19635</v>
      </c>
      <c r="D8928" s="1" t="str">
        <f>IFERROR(__xludf.DUMMYFUNCTION("GOOGLETRANSLATE(A8928 , ""auto"", ""ar"")"),"انت محظوظ")</f>
        <v>انت محظوظ</v>
      </c>
    </row>
    <row r="8929" ht="15.75" customHeight="1">
      <c r="A8929" s="12" t="s">
        <v>19636</v>
      </c>
      <c r="B8929" s="13" t="s">
        <v>18917</v>
      </c>
      <c r="C8929" s="14" t="s">
        <v>18918</v>
      </c>
      <c r="D8929" s="1" t="str">
        <f>IFERROR(__xludf.DUMMYFUNCTION("GOOGLETRANSLATE(A8929 , ""auto"", ""ar"")"),"أنا لست محظوظا")</f>
        <v>أنا لست محظوظا</v>
      </c>
    </row>
    <row r="8930" ht="15.75" customHeight="1">
      <c r="A8930" s="12" t="s">
        <v>19637</v>
      </c>
      <c r="B8930" s="13" t="s">
        <v>19638</v>
      </c>
      <c r="C8930" s="14" t="s">
        <v>19639</v>
      </c>
      <c r="D8930" s="1" t="str">
        <f>IFERROR(__xludf.DUMMYFUNCTION("GOOGLETRANSLATE(A8930 , ""auto"", ""ar"")"),"هذا غير منطقي")</f>
        <v>هذا غير منطقي</v>
      </c>
    </row>
    <row r="8931" ht="15.75" customHeight="1">
      <c r="A8931" s="12" t="s">
        <v>19640</v>
      </c>
      <c r="B8931" s="13" t="s">
        <v>19641</v>
      </c>
      <c r="C8931" s="14" t="s">
        <v>19642</v>
      </c>
      <c r="D8931" s="1" t="str">
        <f>IFERROR(__xludf.DUMMYFUNCTION("GOOGLETRANSLATE(A8931 , ""auto"", ""ar"")"),"هل أكلت الفواكه؟")</f>
        <v>هل أكلت الفواكه؟</v>
      </c>
    </row>
    <row r="8932" ht="15.75" customHeight="1">
      <c r="A8932" s="12" t="s">
        <v>19643</v>
      </c>
      <c r="B8932" s="13" t="s">
        <v>19644</v>
      </c>
      <c r="C8932" s="14" t="s">
        <v>19645</v>
      </c>
      <c r="D8932" s="1" t="str">
        <f>IFERROR(__xludf.DUMMYFUNCTION("GOOGLETRANSLATE(A8932 , ""auto"", ""ar"")"),"الخضروات جيدة للصحة")</f>
        <v>الخضروات جيدة للصحة</v>
      </c>
    </row>
    <row r="8933" ht="15.75" customHeight="1">
      <c r="A8933" s="12" t="s">
        <v>19646</v>
      </c>
      <c r="B8933" s="13" t="s">
        <v>19647</v>
      </c>
      <c r="C8933" s="14" t="s">
        <v>19648</v>
      </c>
      <c r="D8933" s="1" t="str">
        <f>IFERROR(__xludf.DUMMYFUNCTION("GOOGLETRANSLATE(A8933 , ""auto"", ""ar"")"),"لم أشرب القهوة اليوم")</f>
        <v>لم أشرب القهوة اليوم</v>
      </c>
    </row>
    <row r="8934" ht="15.75" customHeight="1">
      <c r="A8934" s="12" t="s">
        <v>19649</v>
      </c>
      <c r="B8934" s="13" t="s">
        <v>19650</v>
      </c>
      <c r="C8934" s="14" t="s">
        <v>19651</v>
      </c>
      <c r="D8934" s="1" t="str">
        <f>IFERROR(__xludf.DUMMYFUNCTION("GOOGLETRANSLATE(A8934 , ""auto"", ""ar"")"),"ما الذي تبحث عنه؟")</f>
        <v>ما الذي تبحث عنه؟</v>
      </c>
    </row>
    <row r="8935" ht="15.75" customHeight="1">
      <c r="A8935" s="12" t="s">
        <v>19652</v>
      </c>
      <c r="B8935" s="13" t="s">
        <v>19653</v>
      </c>
      <c r="C8935" s="14" t="s">
        <v>19654</v>
      </c>
      <c r="D8935" s="1" t="str">
        <f>IFERROR(__xludf.DUMMYFUNCTION("GOOGLETRANSLATE(A8935 , ""auto"", ""ar"")"),"أنا لا أبحث عن أي شيء")</f>
        <v>أنا لا أبحث عن أي شيء</v>
      </c>
    </row>
    <row r="8936" ht="15.75" customHeight="1">
      <c r="A8936" s="12" t="s">
        <v>19655</v>
      </c>
      <c r="B8936" s="13" t="s">
        <v>19656</v>
      </c>
      <c r="C8936" s="14" t="s">
        <v>19657</v>
      </c>
      <c r="D8936" s="1" t="str">
        <f>IFERROR(__xludf.DUMMYFUNCTION("GOOGLETRANSLATE(A8936 , ""auto"", ""ar"")"),"كان لدي حجة معه")</f>
        <v>كان لدي حجة معه</v>
      </c>
    </row>
    <row r="8937" ht="15.75" customHeight="1">
      <c r="A8937" s="12" t="s">
        <v>19658</v>
      </c>
      <c r="B8937" s="13" t="s">
        <v>19659</v>
      </c>
      <c r="C8937" s="14" t="s">
        <v>19660</v>
      </c>
      <c r="D8937" s="1" t="str">
        <f>IFERROR(__xludf.DUMMYFUNCTION("GOOGLETRANSLATE(A8937 , ""auto"", ""ar"")"),"لم أعد أتحدث معه")</f>
        <v>لم أعد أتحدث معه</v>
      </c>
    </row>
    <row r="8938" ht="15.75" customHeight="1">
      <c r="A8938" s="12" t="s">
        <v>19661</v>
      </c>
      <c r="B8938" s="13" t="s">
        <v>19662</v>
      </c>
      <c r="C8938" s="14" t="s">
        <v>19663</v>
      </c>
      <c r="D8938" s="1" t="str">
        <f>IFERROR(__xludf.DUMMYFUNCTION("GOOGLETRANSLATE(A8938 , ""auto"", ""ar"")"),"لم أتناول أي شيء منذ الصباح")</f>
        <v>لم أتناول أي شيء منذ الصباح</v>
      </c>
    </row>
    <row r="8939" ht="15.75" customHeight="1">
      <c r="A8939" s="12" t="s">
        <v>19664</v>
      </c>
      <c r="B8939" s="13" t="s">
        <v>19665</v>
      </c>
      <c r="C8939" s="14" t="s">
        <v>19666</v>
      </c>
      <c r="D8939" s="1" t="str">
        <f>IFERROR(__xludf.DUMMYFUNCTION("GOOGLETRANSLATE(A8939 , ""auto"", ""ar"")"),"هذا هو الخبر السار")</f>
        <v>هذا هو الخبر السار</v>
      </c>
    </row>
    <row r="8940" ht="15.75" customHeight="1">
      <c r="A8940" s="12" t="s">
        <v>19667</v>
      </c>
      <c r="B8940" s="13" t="s">
        <v>19668</v>
      </c>
      <c r="C8940" s="14" t="s">
        <v>19669</v>
      </c>
      <c r="D8940" s="1" t="str">
        <f>IFERROR(__xludf.DUMMYFUNCTION("GOOGLETRANSLATE(A8940 , ""auto"", ""ar"")"),"انت جعلتني سعيد")</f>
        <v>انت جعلتني سعيد</v>
      </c>
    </row>
    <row r="8941" ht="15.75" customHeight="1">
      <c r="A8941" s="12" t="s">
        <v>19670</v>
      </c>
      <c r="B8941" s="13" t="s">
        <v>19671</v>
      </c>
      <c r="C8941" s="14" t="s">
        <v>19672</v>
      </c>
      <c r="D8941" s="1" t="str">
        <f>IFERROR(__xludf.DUMMYFUNCTION("GOOGLETRANSLATE(A8941 , ""auto"", ""ar"")"),"هل قرات هذا الكتاب؟")</f>
        <v>هل قرات هذا الكتاب؟</v>
      </c>
    </row>
    <row r="8942" ht="15.75" customHeight="1">
      <c r="A8942" s="12" t="s">
        <v>19673</v>
      </c>
      <c r="B8942" s="13" t="s">
        <v>19674</v>
      </c>
      <c r="C8942" s="14" t="s">
        <v>19675</v>
      </c>
      <c r="D8942" s="1" t="str">
        <f>IFERROR(__xludf.DUMMYFUNCTION("GOOGLETRANSLATE(A8942 , ""auto"", ""ar"")"),"لم أقرأ هذا الكتاب")</f>
        <v>لم أقرأ هذا الكتاب</v>
      </c>
    </row>
    <row r="8943" ht="15.75" customHeight="1">
      <c r="A8943" s="12" t="s">
        <v>19676</v>
      </c>
      <c r="B8943" s="13" t="s">
        <v>19677</v>
      </c>
      <c r="C8943" s="14" t="s">
        <v>19678</v>
      </c>
      <c r="D8943" s="1" t="str">
        <f>IFERROR(__xludf.DUMMYFUNCTION("GOOGLETRANSLATE(A8943 , ""auto"", ""ar"")"),"هذا الفيلم ممل")</f>
        <v>هذا الفيلم ممل</v>
      </c>
    </row>
    <row r="8944" ht="15.75" customHeight="1">
      <c r="A8944" s="12" t="s">
        <v>19679</v>
      </c>
      <c r="B8944" s="13" t="s">
        <v>19680</v>
      </c>
      <c r="C8944" s="14" t="s">
        <v>19681</v>
      </c>
      <c r="D8944" s="1" t="str">
        <f>IFERROR(__xludf.DUMMYFUNCTION("GOOGLETRANSLATE(A8944 , ""auto"", ""ar"")"),"لم يعجبني هذا الفيلم")</f>
        <v>لم يعجبني هذا الفيلم</v>
      </c>
    </row>
    <row r="8945" ht="15.75" customHeight="1">
      <c r="A8945" s="12" t="s">
        <v>19682</v>
      </c>
      <c r="B8945" s="13" t="s">
        <v>19683</v>
      </c>
      <c r="C8945" s="14" t="s">
        <v>19684</v>
      </c>
      <c r="D8945" s="1" t="str">
        <f>IFERROR(__xludf.DUMMYFUNCTION("GOOGLETRANSLATE(A8945 , ""auto"", ""ar"")"),"ما اسم ابنك؟")</f>
        <v>ما اسم ابنك؟</v>
      </c>
    </row>
    <row r="8946" ht="15.75" customHeight="1">
      <c r="A8946" s="12" t="s">
        <v>19685</v>
      </c>
      <c r="B8946" s="13" t="s">
        <v>19686</v>
      </c>
      <c r="C8946" s="14" t="s">
        <v>19687</v>
      </c>
      <c r="D8946" s="1" t="str">
        <f>IFERROR(__xludf.DUMMYFUNCTION("GOOGLETRANSLATE(A8946 , ""auto"", ""ar"")"),"ما اسم ابنتك؟")</f>
        <v>ما اسم ابنتك؟</v>
      </c>
    </row>
    <row r="8947" ht="15.75" customHeight="1">
      <c r="A8947" s="12" t="s">
        <v>19688</v>
      </c>
      <c r="B8947" s="13" t="s">
        <v>19689</v>
      </c>
      <c r="C8947" s="14" t="s">
        <v>19690</v>
      </c>
      <c r="D8947" s="1" t="str">
        <f>IFERROR(__xludf.DUMMYFUNCTION("GOOGLETRANSLATE(A8947 , ""auto"", ""ar"")"),"كم مضى على زواجك؟")</f>
        <v>كم مضى على زواجك؟</v>
      </c>
    </row>
    <row r="8948" ht="15.75" customHeight="1">
      <c r="A8948" s="12" t="s">
        <v>19691</v>
      </c>
      <c r="B8948" s="13" t="s">
        <v>19692</v>
      </c>
      <c r="C8948" s="14" t="s">
        <v>19693</v>
      </c>
      <c r="D8948" s="1" t="str">
        <f>IFERROR(__xludf.DUMMYFUNCTION("GOOGLETRANSLATE(A8948 , ""auto"", ""ar"")"),"لا أريد أن أتزوج")</f>
        <v>لا أريد أن أتزوج</v>
      </c>
    </row>
    <row r="8949" ht="15.75" customHeight="1">
      <c r="A8949" s="12" t="s">
        <v>19694</v>
      </c>
      <c r="B8949" s="13" t="s">
        <v>19695</v>
      </c>
      <c r="C8949" s="14" t="s">
        <v>19696</v>
      </c>
      <c r="D8949" s="1" t="str">
        <f>IFERROR(__xludf.DUMMYFUNCTION("GOOGLETRANSLATE(A8949 , ""auto"", ""ar"")"),"هل رأيت ما رأيته؟")</f>
        <v>هل رأيت ما رأيته؟</v>
      </c>
    </row>
    <row r="8950" ht="15.75" customHeight="1">
      <c r="A8950" s="12" t="s">
        <v>19697</v>
      </c>
      <c r="B8950" s="13" t="s">
        <v>19698</v>
      </c>
      <c r="C8950" s="14" t="s">
        <v>19699</v>
      </c>
      <c r="D8950" s="1" t="str">
        <f>IFERROR(__xludf.DUMMYFUNCTION("GOOGLETRANSLATE(A8950 , ""auto"", ""ar"")"),"هل سمعت ما سمعت؟")</f>
        <v>هل سمعت ما سمعت؟</v>
      </c>
    </row>
    <row r="8951" ht="15.75" customHeight="1">
      <c r="A8951" s="12" t="s">
        <v>19700</v>
      </c>
      <c r="B8951" s="13" t="s">
        <v>19701</v>
      </c>
      <c r="C8951" s="14" t="s">
        <v>19702</v>
      </c>
      <c r="D8951" s="1" t="str">
        <f>IFERROR(__xludf.DUMMYFUNCTION("GOOGLETRANSLATE(A8951 , ""auto"", ""ar"")"),"أنت لست شخصًا جيدًا")</f>
        <v>أنت لست شخصًا جيدًا</v>
      </c>
    </row>
    <row r="8952" ht="15.75" customHeight="1">
      <c r="A8952" s="12" t="s">
        <v>19703</v>
      </c>
      <c r="B8952" s="13" t="s">
        <v>19704</v>
      </c>
      <c r="C8952" s="14" t="s">
        <v>19705</v>
      </c>
      <c r="D8952" s="1" t="str">
        <f>IFERROR(__xludf.DUMMYFUNCTION("GOOGLETRANSLATE(A8952 , ""auto"", ""ar"")"),"انت شخص جيد")</f>
        <v>انت شخص جيد</v>
      </c>
    </row>
    <row r="8953" ht="15.75" customHeight="1">
      <c r="A8953" s="12" t="s">
        <v>19706</v>
      </c>
      <c r="B8953" s="13" t="s">
        <v>19707</v>
      </c>
      <c r="C8953" s="14" t="s">
        <v>19708</v>
      </c>
      <c r="D8953" s="1" t="str">
        <f>IFERROR(__xludf.DUMMYFUNCTION("GOOGLETRANSLATE(A8953 , ""auto"", ""ar"")"),"هل لاحظت أي شيء؟")</f>
        <v>هل لاحظت أي شيء؟</v>
      </c>
    </row>
    <row r="8954" ht="15.75" customHeight="1">
      <c r="A8954" s="12" t="s">
        <v>19709</v>
      </c>
      <c r="B8954" s="13" t="s">
        <v>19710</v>
      </c>
      <c r="C8954" s="14" t="s">
        <v>19711</v>
      </c>
      <c r="D8954" s="1" t="str">
        <f>IFERROR(__xludf.DUMMYFUNCTION("GOOGLETRANSLATE(A8954 , ""auto"", ""ar"")"),"لم ألاحظ أي شيء")</f>
        <v>لم ألاحظ أي شيء</v>
      </c>
    </row>
    <row r="8955" ht="15.75" customHeight="1">
      <c r="A8955" s="12" t="s">
        <v>19712</v>
      </c>
      <c r="B8955" s="13" t="s">
        <v>19713</v>
      </c>
      <c r="C8955" s="14" t="s">
        <v>19714</v>
      </c>
      <c r="D8955" s="1" t="str">
        <f>IFERROR(__xludf.DUMMYFUNCTION("GOOGLETRANSLATE(A8955 , ""auto"", ""ar"")"),"المتجر مغلق")</f>
        <v>المتجر مغلق</v>
      </c>
    </row>
    <row r="8956" ht="15.75" customHeight="1">
      <c r="A8956" s="12" t="s">
        <v>19715</v>
      </c>
      <c r="B8956" s="13" t="s">
        <v>19716</v>
      </c>
      <c r="C8956" s="14" t="s">
        <v>19717</v>
      </c>
      <c r="D8956" s="1" t="str">
        <f>IFERROR(__xludf.DUMMYFUNCTION("GOOGLETRANSLATE(A8956 , ""auto"", ""ar"")"),"المتجر مفتوح")</f>
        <v>المتجر مفتوح</v>
      </c>
    </row>
    <row r="8957" ht="15.75" customHeight="1">
      <c r="A8957" s="12" t="s">
        <v>19718</v>
      </c>
      <c r="B8957" s="13" t="s">
        <v>19719</v>
      </c>
      <c r="C8957" s="14" t="s">
        <v>19720</v>
      </c>
      <c r="D8957" s="1" t="str">
        <f>IFERROR(__xludf.DUMMYFUNCTION("GOOGLETRANSLATE(A8957 , ""auto"", ""ar"")"),"متى تفتحون؟")</f>
        <v>متى تفتحون؟</v>
      </c>
    </row>
    <row r="8958" ht="15.75" customHeight="1">
      <c r="A8958" s="12" t="s">
        <v>19721</v>
      </c>
      <c r="B8958" s="13" t="s">
        <v>19722</v>
      </c>
      <c r="C8958" s="14" t="s">
        <v>19723</v>
      </c>
      <c r="D8958" s="1" t="str">
        <f>IFERROR(__xludf.DUMMYFUNCTION("GOOGLETRANSLATE(A8958 , ""auto"", ""ar"")"),"متى تغلق؟")</f>
        <v>متى تغلق؟</v>
      </c>
    </row>
    <row r="8959" ht="15.75" customHeight="1">
      <c r="A8959" s="12" t="s">
        <v>19724</v>
      </c>
      <c r="B8959" s="13" t="s">
        <v>19725</v>
      </c>
      <c r="C8959" s="14" t="s">
        <v>19726</v>
      </c>
      <c r="D8959" s="1" t="str">
        <f>IFERROR(__xludf.DUMMYFUNCTION("GOOGLETRANSLATE(A8959 , ""auto"", ""ar"")"),"أنا فقدت محفظتى")</f>
        <v>أنا فقدت محفظتى</v>
      </c>
    </row>
    <row r="8960" ht="15.75" customHeight="1">
      <c r="A8960" s="12" t="s">
        <v>19727</v>
      </c>
      <c r="B8960" s="13" t="s">
        <v>19728</v>
      </c>
      <c r="C8960" s="14" t="s">
        <v>19729</v>
      </c>
      <c r="D8960" s="1" t="str">
        <f>IFERROR(__xludf.DUMMYFUNCTION("GOOGLETRANSLATE(A8960 , ""auto"", ""ar"")"),"أين هي محفظتي؟")</f>
        <v>أين هي محفظتي؟</v>
      </c>
    </row>
    <row r="8961" ht="15.75" customHeight="1">
      <c r="A8961" s="12" t="s">
        <v>19730</v>
      </c>
      <c r="B8961" s="13" t="s">
        <v>19731</v>
      </c>
      <c r="C8961" s="14" t="s">
        <v>19732</v>
      </c>
      <c r="D8961" s="1" t="str">
        <f>IFERROR(__xludf.DUMMYFUNCTION("GOOGLETRANSLATE(A8961 , ""auto"", ""ar"")"),"هذا الدواء جيد")</f>
        <v>هذا الدواء جيد</v>
      </c>
    </row>
    <row r="8962" ht="15.75" customHeight="1">
      <c r="A8962" s="12" t="s">
        <v>19733</v>
      </c>
      <c r="B8962" s="13" t="s">
        <v>19734</v>
      </c>
      <c r="C8962" s="14" t="s">
        <v>19735</v>
      </c>
      <c r="D8962" s="1" t="str">
        <f>IFERROR(__xludf.DUMMYFUNCTION("GOOGLETRANSLATE(A8962 , ""auto"", ""ar"")"),"لدي آلام الظهر")</f>
        <v>لدي آلام الظهر</v>
      </c>
    </row>
    <row r="8963" ht="15.75" customHeight="1">
      <c r="A8963" s="12" t="s">
        <v>19736</v>
      </c>
      <c r="B8963" s="13" t="s">
        <v>19737</v>
      </c>
      <c r="C8963" s="14" t="s">
        <v>19738</v>
      </c>
      <c r="D8963" s="1" t="str">
        <f>IFERROR(__xludf.DUMMYFUNCTION("GOOGLETRANSLATE(A8963 , ""auto"", ""ar"")"),"اشتريت صندل")</f>
        <v>اشتريت صندل</v>
      </c>
    </row>
    <row r="8964" ht="15.75" customHeight="1">
      <c r="A8964" s="12" t="s">
        <v>19739</v>
      </c>
      <c r="B8964" s="13" t="s">
        <v>19740</v>
      </c>
      <c r="C8964" s="14" t="s">
        <v>19741</v>
      </c>
      <c r="D8964" s="1" t="str">
        <f>IFERROR(__xludf.DUMMYFUNCTION("GOOGLETRANSLATE(A8964 , ""auto"", ""ar"")"),"هذا اليدين جيد")</f>
        <v>هذا اليدين جيد</v>
      </c>
    </row>
    <row r="8965" ht="15.75" customHeight="1">
      <c r="A8965" s="12" t="s">
        <v>19742</v>
      </c>
      <c r="B8965" s="13" t="s">
        <v>19743</v>
      </c>
      <c r="C8965" s="14" t="s">
        <v>19744</v>
      </c>
      <c r="D8965" s="1" t="str">
        <f>IFERROR(__xludf.DUMMYFUNCTION("GOOGLETRANSLATE(A8965 , ""auto"", ""ar"")"),"مياه الصنبور متوقفة")</f>
        <v>مياه الصنبور متوقفة</v>
      </c>
    </row>
    <row r="8966" ht="15.75" customHeight="1">
      <c r="A8966" s="12" t="s">
        <v>19745</v>
      </c>
      <c r="B8966" s="13" t="s">
        <v>19746</v>
      </c>
      <c r="C8966" s="14" t="s">
        <v>19747</v>
      </c>
      <c r="D8966" s="1" t="str">
        <f>IFERROR(__xludf.DUMMYFUNCTION("GOOGLETRANSLATE(A8966 , ""auto"", ""ar"")"),"خرجت الكهرباء")</f>
        <v>خرجت الكهرباء</v>
      </c>
    </row>
    <row r="8967" ht="15.75" customHeight="1">
      <c r="A8967" s="12" t="s">
        <v>19748</v>
      </c>
      <c r="B8967" s="13" t="s">
        <v>19749</v>
      </c>
      <c r="C8967" s="14" t="s">
        <v>19750</v>
      </c>
      <c r="D8967" s="1" t="str">
        <f>IFERROR(__xludf.DUMMYFUNCTION("GOOGLETRANSLATE(A8967 , ""auto"", ""ar"")"),"عجة مع البيض والطماطم")</f>
        <v>عجة مع البيض والطماطم</v>
      </c>
    </row>
    <row r="8968" ht="15.75" customHeight="1">
      <c r="A8968" s="12" t="s">
        <v>19751</v>
      </c>
      <c r="B8968" s="13" t="s">
        <v>19752</v>
      </c>
      <c r="C8968" s="14" t="s">
        <v>19753</v>
      </c>
      <c r="D8968" s="1" t="str">
        <f>IFERROR(__xludf.DUMMYFUNCTION("GOOGLETRANSLATE(A8968 , ""auto"", ""ar"")"),"غدا هو العيد")</f>
        <v>غدا هو العيد</v>
      </c>
    </row>
    <row r="8969" ht="15.75" customHeight="1">
      <c r="A8969" s="12" t="s">
        <v>19754</v>
      </c>
      <c r="B8969" s="13" t="s">
        <v>19755</v>
      </c>
      <c r="C8969" s="14" t="s">
        <v>19756</v>
      </c>
      <c r="D8969" s="1" t="str">
        <f>IFERROR(__xludf.DUMMYFUNCTION("GOOGLETRANSLATE(A8969 , ""auto"", ""ar"")"),"أنا أضع بعض المكياج")</f>
        <v>أنا أضع بعض المكياج</v>
      </c>
    </row>
    <row r="8970" ht="15.75" customHeight="1">
      <c r="A8970" s="12" t="s">
        <v>19757</v>
      </c>
      <c r="B8970" s="13" t="s">
        <v>19758</v>
      </c>
      <c r="C8970" s="14" t="s">
        <v>19759</v>
      </c>
      <c r="D8970" s="1" t="str">
        <f>IFERROR(__xludf.DUMMYFUNCTION("GOOGLETRANSLATE(A8970 , ""auto"", ""ar"")"),"لا تنظر إلي")</f>
        <v>لا تنظر إلي</v>
      </c>
    </row>
    <row r="8971" ht="15.75" customHeight="1">
      <c r="A8971" s="12" t="s">
        <v>19760</v>
      </c>
      <c r="B8971" s="13" t="s">
        <v>19761</v>
      </c>
      <c r="C8971" s="14" t="s">
        <v>19762</v>
      </c>
      <c r="D8971" s="1" t="str">
        <f>IFERROR(__xludf.DUMMYFUNCTION("GOOGLETRANSLATE(A8971 , ""auto"", ""ar"")"),"لماذا تنظر إلي؟")</f>
        <v>لماذا تنظر إلي؟</v>
      </c>
    </row>
    <row r="8972" ht="15.75" customHeight="1">
      <c r="A8972" s="12" t="s">
        <v>4351</v>
      </c>
      <c r="B8972" s="13" t="s">
        <v>19763</v>
      </c>
      <c r="C8972" s="14" t="s">
        <v>19764</v>
      </c>
      <c r="D8972" s="1" t="str">
        <f>IFERROR(__xludf.DUMMYFUNCTION("GOOGLETRANSLATE(A8972 , ""auto"", ""ar"")"),"اصطفوا")</f>
        <v>اصطفوا</v>
      </c>
    </row>
    <row r="8973" ht="15.75" customHeight="1">
      <c r="A8973" s="12" t="s">
        <v>19765</v>
      </c>
      <c r="B8973" s="13" t="s">
        <v>19766</v>
      </c>
      <c r="C8973" s="14" t="s">
        <v>19767</v>
      </c>
      <c r="D8973" s="1" t="str">
        <f>IFERROR(__xludf.DUMMYFUNCTION("GOOGLETRANSLATE(A8973 , ""auto"", ""ar"")"),"اشتريت معطفا")</f>
        <v>اشتريت معطفا</v>
      </c>
    </row>
    <row r="8974" ht="15.75" customHeight="1">
      <c r="A8974" s="12" t="s">
        <v>19768</v>
      </c>
      <c r="B8974" s="13" t="s">
        <v>19769</v>
      </c>
      <c r="C8974" s="14" t="s">
        <v>19770</v>
      </c>
      <c r="D8974" s="1" t="str">
        <f>IFERROR(__xludf.DUMMYFUNCTION("GOOGLETRANSLATE(A8974 , ""auto"", ""ar"")"),"أخذ أموالي")</f>
        <v>أخذ أموالي</v>
      </c>
    </row>
    <row r="8975" ht="15.75" customHeight="1">
      <c r="A8975" s="12" t="s">
        <v>19771</v>
      </c>
      <c r="B8975" s="13" t="s">
        <v>19772</v>
      </c>
      <c r="C8975" s="14" t="s">
        <v>19773</v>
      </c>
      <c r="D8975" s="1" t="str">
        <f>IFERROR(__xludf.DUMMYFUNCTION("GOOGLETRANSLATE(A8975 , ""auto"", ""ar"")"),"إنه لص")</f>
        <v>إنه لص</v>
      </c>
    </row>
    <row r="8976" ht="15.75" customHeight="1">
      <c r="A8976" s="12" t="s">
        <v>19774</v>
      </c>
      <c r="B8976" s="13" t="s">
        <v>19775</v>
      </c>
      <c r="C8976" s="14" t="s">
        <v>19776</v>
      </c>
      <c r="D8976" s="1" t="str">
        <f>IFERROR(__xludf.DUMMYFUNCTION("GOOGLETRANSLATE(A8976 , ""auto"", ""ar"")"),"لا تذهب إلى هذا المكان")</f>
        <v>لا تذهب إلى هذا المكان</v>
      </c>
    </row>
    <row r="8977" ht="15.75" customHeight="1">
      <c r="A8977" s="12" t="s">
        <v>13320</v>
      </c>
      <c r="B8977" s="13" t="s">
        <v>19777</v>
      </c>
      <c r="C8977" s="14" t="s">
        <v>19778</v>
      </c>
      <c r="D8977" s="1" t="str">
        <f>IFERROR(__xludf.DUMMYFUNCTION("GOOGLETRANSLATE(A8977 , ""auto"", ""ar"")"),"المكان يزداد ظلام")</f>
        <v>المكان يزداد ظلام</v>
      </c>
    </row>
    <row r="8978" ht="15.75" customHeight="1">
      <c r="A8978" s="12" t="s">
        <v>19779</v>
      </c>
      <c r="B8978" s="13" t="s">
        <v>19780</v>
      </c>
      <c r="C8978" s="14" t="s">
        <v>19781</v>
      </c>
      <c r="D8978" s="1" t="str">
        <f>IFERROR(__xludf.DUMMYFUNCTION("GOOGLETRANSLATE(A8978 , ""auto"", ""ar"")"),"لدي اخبار سيئة لك")</f>
        <v>لدي اخبار سيئة لك</v>
      </c>
    </row>
    <row r="8979" ht="15.75" customHeight="1">
      <c r="A8979" s="12" t="s">
        <v>19782</v>
      </c>
      <c r="B8979" s="13" t="s">
        <v>19783</v>
      </c>
      <c r="C8979" s="14" t="s">
        <v>19784</v>
      </c>
      <c r="D8979" s="1" t="str">
        <f>IFERROR(__xludf.DUMMYFUNCTION("GOOGLETRANSLATE(A8979 , ""auto"", ""ar"")"),"أنا أحاول")</f>
        <v>أنا أحاول</v>
      </c>
    </row>
    <row r="8980" ht="15.75" customHeight="1">
      <c r="A8980" s="12" t="s">
        <v>19785</v>
      </c>
      <c r="B8980" s="13" t="s">
        <v>19786</v>
      </c>
      <c r="C8980" s="14" t="s">
        <v>19787</v>
      </c>
      <c r="D8980" s="1" t="str">
        <f>IFERROR(__xludf.DUMMYFUNCTION("GOOGLETRANSLATE(A8980 , ""auto"", ""ar"")"),"هل تقدم خصمًا؟")</f>
        <v>هل تقدم خصمًا؟</v>
      </c>
    </row>
    <row r="8981" ht="15.75" customHeight="1">
      <c r="A8981" s="12" t="s">
        <v>19788</v>
      </c>
      <c r="B8981" s="13" t="s">
        <v>17923</v>
      </c>
      <c r="C8981" s="14" t="s">
        <v>17924</v>
      </c>
      <c r="D8981" s="1" t="str">
        <f>IFERROR(__xludf.DUMMYFUNCTION("GOOGLETRANSLATE(A8981 , ""auto"", ""ar"")"),"اتجه للأمام مباشرة")</f>
        <v>اتجه للأمام مباشرة</v>
      </c>
    </row>
    <row r="8982" ht="15.75" customHeight="1">
      <c r="A8982" s="12" t="s">
        <v>19789</v>
      </c>
      <c r="B8982" s="13" t="s">
        <v>19790</v>
      </c>
      <c r="C8982" s="14" t="s">
        <v>19791</v>
      </c>
      <c r="D8982" s="1" t="str">
        <f>IFERROR(__xludf.DUMMYFUNCTION("GOOGLETRANSLATE(A8982 , ""auto"", ""ar"")"),"انعطف يمينا")</f>
        <v>انعطف يمينا</v>
      </c>
    </row>
    <row r="8983" ht="15.75" customHeight="1">
      <c r="A8983" s="12" t="s">
        <v>19792</v>
      </c>
      <c r="B8983" s="13" t="s">
        <v>19793</v>
      </c>
      <c r="C8983" s="14" t="s">
        <v>19794</v>
      </c>
      <c r="D8983" s="1" t="str">
        <f>IFERROR(__xludf.DUMMYFUNCTION("GOOGLETRANSLATE(A8983 , ""auto"", ""ar"")"),"انعطف لليسار")</f>
        <v>انعطف لليسار</v>
      </c>
    </row>
    <row r="8984" ht="15.75" customHeight="1">
      <c r="A8984" s="12" t="s">
        <v>19795</v>
      </c>
      <c r="B8984" s="13" t="s">
        <v>19796</v>
      </c>
      <c r="C8984" s="14" t="s">
        <v>19797</v>
      </c>
      <c r="D8984" s="1" t="str">
        <f>IFERROR(__xludf.DUMMYFUNCTION("GOOGLETRANSLATE(A8984 , ""auto"", ""ar"")"),"انها بجانب")</f>
        <v>انها بجانب</v>
      </c>
    </row>
    <row r="8985" ht="15.75" customHeight="1">
      <c r="A8985" s="12" t="s">
        <v>19798</v>
      </c>
      <c r="B8985" s="13" t="s">
        <v>19799</v>
      </c>
      <c r="C8985" s="14" t="s">
        <v>19800</v>
      </c>
      <c r="D8985" s="1" t="str">
        <f>IFERROR(__xludf.DUMMYFUNCTION("GOOGLETRANSLATE(A8985 , ""auto"", ""ar"")"),"أعبر الطريق")</f>
        <v>أعبر الطريق</v>
      </c>
    </row>
    <row r="8986" ht="15.75" customHeight="1">
      <c r="A8986" s="12" t="s">
        <v>19801</v>
      </c>
      <c r="B8986" s="13" t="s">
        <v>19802</v>
      </c>
      <c r="C8986" s="14" t="s">
        <v>19803</v>
      </c>
      <c r="D8986" s="1" t="str">
        <f>IFERROR(__xludf.DUMMYFUNCTION("GOOGLETRANSLATE(A8986 , ""auto"", ""ar"")"),"يوم آخر")</f>
        <v>يوم آخر</v>
      </c>
    </row>
    <row r="8987" ht="15.75" customHeight="1">
      <c r="A8987" s="12" t="s">
        <v>15618</v>
      </c>
      <c r="B8987" s="13" t="s">
        <v>19804</v>
      </c>
      <c r="C8987" s="14" t="s">
        <v>19805</v>
      </c>
      <c r="D8987" s="1" t="str">
        <f>IFERROR(__xludf.DUMMYFUNCTION("GOOGLETRANSLATE(A8987 , ""auto"", ""ar"")"),"وقت اخر")</f>
        <v>وقت اخر</v>
      </c>
    </row>
    <row r="8988" ht="15.75" customHeight="1">
      <c r="A8988" s="12" t="s">
        <v>19806</v>
      </c>
      <c r="B8988" s="13" t="s">
        <v>19807</v>
      </c>
      <c r="C8988" s="14" t="s">
        <v>19808</v>
      </c>
      <c r="D8988" s="1" t="str">
        <f>IFERROR(__xludf.DUMMYFUNCTION("GOOGLETRANSLATE(A8988 , ""auto"", ""ar"")"),"انها ليست فكرة جيدة")</f>
        <v>انها ليست فكرة جيدة</v>
      </c>
    </row>
    <row r="8989" ht="15.75" customHeight="1">
      <c r="A8989" s="12" t="s">
        <v>19809</v>
      </c>
      <c r="B8989" s="13" t="s">
        <v>19810</v>
      </c>
      <c r="C8989" s="14" t="s">
        <v>13187</v>
      </c>
      <c r="D8989" s="1" t="str">
        <f>IFERROR(__xludf.DUMMYFUNCTION("GOOGLETRANSLATE(A8989 , ""auto"", ""ar"")"),"فكرة جيدة")</f>
        <v>فكرة جيدة</v>
      </c>
    </row>
    <row r="8990" ht="15.75" customHeight="1">
      <c r="A8990" s="12" t="s">
        <v>19811</v>
      </c>
      <c r="B8990" s="13" t="s">
        <v>19812</v>
      </c>
      <c r="C8990" s="14" t="s">
        <v>19813</v>
      </c>
      <c r="D8990" s="1" t="str">
        <f>IFERROR(__xludf.DUMMYFUNCTION("GOOGLETRANSLATE(A8990 , ""auto"", ""ar"")"),"أنا أحترمك")</f>
        <v>أنا أحترمك</v>
      </c>
    </row>
    <row r="8991" ht="15.75" customHeight="1">
      <c r="A8991" s="12" t="s">
        <v>19814</v>
      </c>
      <c r="B8991" s="13" t="s">
        <v>19815</v>
      </c>
      <c r="C8991" s="14" t="s">
        <v>19816</v>
      </c>
      <c r="D8991" s="1" t="str">
        <f>IFERROR(__xludf.DUMMYFUNCTION("GOOGLETRANSLATE(A8991 , ""auto"", ""ar"")"),"أنت مصدر إلهام لي")</f>
        <v>أنت مصدر إلهام لي</v>
      </c>
    </row>
    <row r="8992" ht="15.75" customHeight="1">
      <c r="A8992" s="12" t="s">
        <v>19817</v>
      </c>
      <c r="B8992" s="13" t="s">
        <v>19818</v>
      </c>
      <c r="C8992" s="14" t="s">
        <v>19819</v>
      </c>
      <c r="D8992" s="1" t="str">
        <f>IFERROR(__xludf.DUMMYFUNCTION("GOOGLETRANSLATE(A8992 , ""auto"", ""ar"")"),"افتقد الضحكة الخاص بك")</f>
        <v>افتقد الضحكة الخاص بك</v>
      </c>
    </row>
    <row r="8993" ht="15.75" customHeight="1">
      <c r="A8993" s="12" t="s">
        <v>19820</v>
      </c>
      <c r="B8993" s="13" t="s">
        <v>19821</v>
      </c>
      <c r="C8993" s="14" t="s">
        <v>19822</v>
      </c>
      <c r="D8993" s="1" t="str">
        <f>IFERROR(__xludf.DUMMYFUNCTION("GOOGLETRANSLATE(A8993 , ""auto"", ""ar"")"),"اريد مدى الحياة معك")</f>
        <v>اريد مدى الحياة معك</v>
      </c>
    </row>
    <row r="8994" ht="15.75" customHeight="1">
      <c r="A8994" s="12" t="s">
        <v>19823</v>
      </c>
      <c r="B8994" s="13" t="s">
        <v>19824</v>
      </c>
      <c r="C8994" s="14" t="s">
        <v>19825</v>
      </c>
      <c r="D8994" s="1" t="str">
        <f>IFERROR(__xludf.DUMMYFUNCTION("GOOGLETRANSLATE(A8994 , ""auto"", ""ar"")"),"هل لديك موعد؟")</f>
        <v>هل لديك موعد؟</v>
      </c>
    </row>
    <row r="8995" ht="15.75" customHeight="1">
      <c r="A8995" s="12" t="s">
        <v>19826</v>
      </c>
      <c r="B8995" s="13" t="s">
        <v>19827</v>
      </c>
      <c r="C8995" s="14" t="s">
        <v>19828</v>
      </c>
      <c r="D8995" s="1" t="str">
        <f>IFERROR(__xludf.DUMMYFUNCTION("GOOGLETRANSLATE(A8995 , ""auto"", ""ar"")"),"غرفتك في الطابق الثاني")</f>
        <v>غرفتك في الطابق الثاني</v>
      </c>
    </row>
    <row r="8996" ht="15.75" customHeight="1">
      <c r="A8996" s="12" t="s">
        <v>19829</v>
      </c>
      <c r="B8996" s="13" t="s">
        <v>19830</v>
      </c>
      <c r="C8996" s="14" t="s">
        <v>19831</v>
      </c>
      <c r="D8996" s="1" t="str">
        <f>IFERROR(__xludf.DUMMYFUNCTION("GOOGLETRANSLATE(A8996 , ""auto"", ""ar"")"),"شكرا لك على البقاء معي")</f>
        <v>شكرا لك على البقاء معي</v>
      </c>
    </row>
    <row r="8997" ht="15.75" customHeight="1">
      <c r="A8997" s="12" t="s">
        <v>19832</v>
      </c>
      <c r="B8997" s="13" t="s">
        <v>19833</v>
      </c>
      <c r="C8997" s="14" t="s">
        <v>19834</v>
      </c>
      <c r="D8997" s="1" t="str">
        <f>IFERROR(__xludf.DUMMYFUNCTION("GOOGLETRANSLATE(A8997 , ""auto"", ""ar"")"),"الغرفة صغيرة")</f>
        <v>الغرفة صغيرة</v>
      </c>
    </row>
    <row r="8998" ht="15.75" customHeight="1">
      <c r="A8998" s="12" t="s">
        <v>19835</v>
      </c>
      <c r="B8998" s="13" t="s">
        <v>19836</v>
      </c>
      <c r="C8998" s="14" t="s">
        <v>19837</v>
      </c>
      <c r="D8998" s="1" t="str">
        <f>IFERROR(__xludf.DUMMYFUNCTION("GOOGLETRANSLATE(A8998 , ""auto"", ""ar"")"),"الغرفة كبيرة")</f>
        <v>الغرفة كبيرة</v>
      </c>
    </row>
    <row r="8999" ht="15.75" customHeight="1">
      <c r="A8999" s="12" t="s">
        <v>19838</v>
      </c>
      <c r="B8999" s="13" t="s">
        <v>19839</v>
      </c>
      <c r="C8999" s="14" t="s">
        <v>19840</v>
      </c>
      <c r="D8999" s="1" t="str">
        <f>IFERROR(__xludf.DUMMYFUNCTION("GOOGLETRANSLATE(A8999 , ""auto"", ""ar"")"),"لا تنسى")</f>
        <v>لا تنسى</v>
      </c>
    </row>
    <row r="9000" ht="15.75" customHeight="1">
      <c r="A9000" s="12" t="s">
        <v>19841</v>
      </c>
      <c r="B9000" s="13" t="s">
        <v>19842</v>
      </c>
      <c r="C9000" s="14" t="s">
        <v>19843</v>
      </c>
      <c r="D9000" s="1" t="str">
        <f>IFERROR(__xludf.DUMMYFUNCTION("GOOGLETRANSLATE(A9000 , ""auto"", ""ar"")"),"لم أنسى")</f>
        <v>لم أنسى</v>
      </c>
    </row>
    <row r="9001" ht="15.75" customHeight="1">
      <c r="A9001" s="12" t="s">
        <v>19844</v>
      </c>
      <c r="B9001" s="13" t="s">
        <v>19845</v>
      </c>
      <c r="C9001" s="14" t="s">
        <v>19846</v>
      </c>
      <c r="D9001" s="1" t="str">
        <f>IFERROR(__xludf.DUMMYFUNCTION("GOOGLETRANSLATE(A9001 , ""auto"", ""ar"")"),"لم أنساك")</f>
        <v>لم أنساك</v>
      </c>
    </row>
    <row r="9002" ht="15.75" customHeight="1">
      <c r="A9002" s="12" t="s">
        <v>19847</v>
      </c>
      <c r="B9002" s="13" t="s">
        <v>19848</v>
      </c>
      <c r="C9002" s="14" t="s">
        <v>19849</v>
      </c>
      <c r="D9002" s="1" t="str">
        <f>IFERROR(__xludf.DUMMYFUNCTION("GOOGLETRANSLATE(A9002 , ""auto"", ""ar"")"),"هل يمكنني ان اراك الان؟")</f>
        <v>هل يمكنني ان اراك الان؟</v>
      </c>
    </row>
    <row r="9003" ht="15.75" customHeight="1">
      <c r="A9003" s="12" t="s">
        <v>19850</v>
      </c>
      <c r="B9003" s="13" t="s">
        <v>19851</v>
      </c>
      <c r="C9003" s="14" t="s">
        <v>19852</v>
      </c>
      <c r="D9003" s="1" t="str">
        <f>IFERROR(__xludf.DUMMYFUNCTION("GOOGLETRANSLATE(A9003 , ""auto"", ""ar"")"),"اريد ان اراك الان")</f>
        <v>اريد ان اراك الان</v>
      </c>
    </row>
    <row r="9004" ht="15.75" customHeight="1">
      <c r="A9004" s="12" t="s">
        <v>19853</v>
      </c>
      <c r="B9004" s="13" t="s">
        <v>19854</v>
      </c>
      <c r="C9004" s="14" t="s">
        <v>19855</v>
      </c>
      <c r="D9004" s="1" t="str">
        <f>IFERROR(__xludf.DUMMYFUNCTION("GOOGLETRANSLATE(A9004 , ""auto"", ""ar"")"),"هل يمكنني الدخول؟")</f>
        <v>هل يمكنني الدخول؟</v>
      </c>
    </row>
    <row r="9005" ht="15.75" customHeight="1">
      <c r="A9005" s="12" t="s">
        <v>19856</v>
      </c>
      <c r="B9005" s="13" t="s">
        <v>19857</v>
      </c>
      <c r="C9005" s="14" t="s">
        <v>19858</v>
      </c>
      <c r="D9005" s="1" t="str">
        <f>IFERROR(__xludf.DUMMYFUNCTION("GOOGLETRANSLATE(A9005 , ""auto"", ""ar"")"),"هل أستطيع الخروج؟")</f>
        <v>هل أستطيع الخروج؟</v>
      </c>
    </row>
    <row r="9006" ht="15.75" customHeight="1">
      <c r="A9006" s="12" t="s">
        <v>19859</v>
      </c>
      <c r="B9006" s="13" t="s">
        <v>19860</v>
      </c>
      <c r="C9006" s="14" t="s">
        <v>19861</v>
      </c>
      <c r="D9006" s="1" t="str">
        <f>IFERROR(__xludf.DUMMYFUNCTION("GOOGLETRANSLATE(A9006 , ""auto"", ""ar"")"),"أي كتاب؟")</f>
        <v>أي كتاب؟</v>
      </c>
    </row>
    <row r="9007" ht="15.75" customHeight="1">
      <c r="A9007" s="12" t="s">
        <v>19862</v>
      </c>
      <c r="B9007" s="13" t="s">
        <v>19863</v>
      </c>
      <c r="C9007" s="14" t="s">
        <v>19864</v>
      </c>
      <c r="D9007" s="1" t="str">
        <f>IFERROR(__xludf.DUMMYFUNCTION("GOOGLETRANSLATE(A9007 , ""auto"", ""ar"")"),"أي فيلم؟")</f>
        <v>أي فيلم؟</v>
      </c>
    </row>
    <row r="9008" ht="15.75" customHeight="1">
      <c r="A9008" s="12" t="s">
        <v>19865</v>
      </c>
      <c r="B9008" s="13" t="s">
        <v>19866</v>
      </c>
      <c r="C9008" s="14" t="s">
        <v>19867</v>
      </c>
      <c r="D9008" s="1" t="str">
        <f>IFERROR(__xludf.DUMMYFUNCTION("GOOGLETRANSLATE(A9008 , ""auto"", ""ar"")"),"اي مدينة؟")</f>
        <v>اي مدينة؟</v>
      </c>
    </row>
    <row r="9009" ht="15.75" customHeight="1">
      <c r="A9009" s="12" t="s">
        <v>19868</v>
      </c>
      <c r="B9009" s="13" t="s">
        <v>19869</v>
      </c>
      <c r="C9009" s="14" t="s">
        <v>19870</v>
      </c>
      <c r="D9009" s="1" t="str">
        <f>IFERROR(__xludf.DUMMYFUNCTION("GOOGLETRANSLATE(A9009 , ""auto"", ""ar"")"),"اين المطبخ؟")</f>
        <v>اين المطبخ؟</v>
      </c>
    </row>
    <row r="9010" ht="15.75" customHeight="1">
      <c r="A9010" s="12" t="s">
        <v>19871</v>
      </c>
      <c r="B9010" s="13" t="s">
        <v>19872</v>
      </c>
      <c r="C9010" s="14" t="s">
        <v>19873</v>
      </c>
      <c r="D9010" s="1" t="str">
        <f>IFERROR(__xludf.DUMMYFUNCTION("GOOGLETRANSLATE(A9010 , ""auto"", ""ar"")"),"ما الذي تفعله هنا؟")</f>
        <v>ما الذي تفعله هنا؟</v>
      </c>
    </row>
    <row r="9011" ht="15.75" customHeight="1">
      <c r="A9011" s="12" t="s">
        <v>19874</v>
      </c>
      <c r="B9011" s="13" t="s">
        <v>19875</v>
      </c>
      <c r="C9011" s="14" t="s">
        <v>19876</v>
      </c>
      <c r="D9011" s="1" t="str">
        <f>IFERROR(__xludf.DUMMYFUNCTION("GOOGLETRANSLATE(A9011 , ""auto"", ""ar"")"),"كل شيء يسير على ما يرام")</f>
        <v>كل شيء يسير على ما يرام</v>
      </c>
    </row>
    <row r="9012" ht="15.75" customHeight="1">
      <c r="A9012" s="12" t="s">
        <v>19877</v>
      </c>
      <c r="B9012" s="13" t="s">
        <v>19878</v>
      </c>
      <c r="C9012" s="14" t="s">
        <v>19879</v>
      </c>
      <c r="D9012" s="1" t="str">
        <f>IFERROR(__xludf.DUMMYFUNCTION("GOOGLETRANSLATE(A9012 , ""auto"", ""ar"")"),"هل تعمل مثل هذا؟")</f>
        <v>هل تعمل مثل هذا؟</v>
      </c>
    </row>
    <row r="9013" ht="15.75" customHeight="1">
      <c r="A9013" s="12" t="s">
        <v>19880</v>
      </c>
      <c r="B9013" s="13" t="s">
        <v>19881</v>
      </c>
      <c r="C9013" s="14" t="s">
        <v>19882</v>
      </c>
      <c r="D9013" s="1" t="str">
        <f>IFERROR(__xludf.DUMMYFUNCTION("GOOGLETRANSLATE(A9013 , ""auto"", ""ar"")"),"أنا أفهمك")</f>
        <v>أنا أفهمك</v>
      </c>
    </row>
    <row r="9014" ht="15.75" customHeight="1">
      <c r="A9014" s="12" t="s">
        <v>19883</v>
      </c>
      <c r="B9014" s="13" t="s">
        <v>19884</v>
      </c>
      <c r="C9014" s="14" t="s">
        <v>19885</v>
      </c>
      <c r="D9014" s="1" t="str">
        <f>IFERROR(__xludf.DUMMYFUNCTION("GOOGLETRANSLATE(A9014 , ""auto"", ""ar"")"),"هذا خطأي")</f>
        <v>هذا خطأي</v>
      </c>
    </row>
    <row r="9015" ht="15.75" customHeight="1">
      <c r="A9015" s="12" t="s">
        <v>19886</v>
      </c>
      <c r="B9015" s="13" t="s">
        <v>19887</v>
      </c>
      <c r="C9015" s="14" t="s">
        <v>19888</v>
      </c>
      <c r="D9015" s="1" t="str">
        <f>IFERROR(__xludf.DUMMYFUNCTION("GOOGLETRANSLATE(A9015 , ""auto"", ""ar"")"),"انا احلم بك")</f>
        <v>انا احلم بك</v>
      </c>
    </row>
    <row r="9016" ht="15.75" customHeight="1">
      <c r="A9016" s="12" t="s">
        <v>19889</v>
      </c>
      <c r="B9016" s="13" t="s">
        <v>19890</v>
      </c>
      <c r="C9016" s="14" t="s">
        <v>19891</v>
      </c>
      <c r="D9016" s="1" t="str">
        <f>IFERROR(__xludf.DUMMYFUNCTION("GOOGLETRANSLATE(A9016 , ""auto"", ""ar"")"),"إننى أعبدك")</f>
        <v>إننى أعبدك</v>
      </c>
    </row>
    <row r="9017" ht="15.75" customHeight="1">
      <c r="A9017" s="12" t="s">
        <v>19892</v>
      </c>
      <c r="B9017" s="13" t="s">
        <v>19893</v>
      </c>
      <c r="C9017" s="14" t="s">
        <v>19894</v>
      </c>
      <c r="D9017" s="1" t="str">
        <f>IFERROR(__xludf.DUMMYFUNCTION("GOOGLETRANSLATE(A9017 , ""auto"", ""ar"")"),"أريدك")</f>
        <v>أريدك</v>
      </c>
    </row>
    <row r="9018" ht="15.75" customHeight="1">
      <c r="A9018" s="12" t="s">
        <v>19895</v>
      </c>
      <c r="B9018" s="13" t="s">
        <v>19896</v>
      </c>
      <c r="C9018" s="14" t="s">
        <v>19897</v>
      </c>
      <c r="D9018" s="1" t="str">
        <f>IFERROR(__xludf.DUMMYFUNCTION("GOOGLETRANSLATE(A9018 , ""auto"", ""ar"")"),"من تعرف؟")</f>
        <v>من تعرف؟</v>
      </c>
    </row>
    <row r="9019" ht="15.75" customHeight="1">
      <c r="A9019" s="12" t="s">
        <v>19898</v>
      </c>
      <c r="B9019" s="13" t="s">
        <v>19899</v>
      </c>
      <c r="C9019" s="14" t="s">
        <v>19900</v>
      </c>
      <c r="D9019" s="1" t="str">
        <f>IFERROR(__xludf.DUMMYFUNCTION("GOOGLETRANSLATE(A9019 , ""auto"", ""ar"")"),"دعني أتحقق")</f>
        <v>دعني أتحقق</v>
      </c>
    </row>
    <row r="9020" ht="15.75" customHeight="1">
      <c r="A9020" s="12" t="s">
        <v>19901</v>
      </c>
      <c r="B9020" s="13" t="s">
        <v>19902</v>
      </c>
      <c r="C9020" s="14" t="s">
        <v>19903</v>
      </c>
      <c r="D9020" s="1" t="str">
        <f>IFERROR(__xludf.DUMMYFUNCTION("GOOGLETRANSLATE(A9020 , ""auto"", ""ar"")"),"خذها ببساطة")</f>
        <v>خذها ببساطة</v>
      </c>
    </row>
    <row r="9021" ht="15.75" customHeight="1">
      <c r="A9021" s="12" t="s">
        <v>19904</v>
      </c>
      <c r="B9021" s="13" t="s">
        <v>19905</v>
      </c>
      <c r="C9021" s="14" t="s">
        <v>19906</v>
      </c>
      <c r="D9021" s="1" t="str">
        <f>IFERROR(__xludf.DUMMYFUNCTION("GOOGLETRANSLATE(A9021 , ""auto"", ""ar"")"),"أنا انتهيت")</f>
        <v>أنا انتهيت</v>
      </c>
    </row>
    <row r="9022" ht="15.75" customHeight="1">
      <c r="A9022" s="12" t="s">
        <v>19907</v>
      </c>
      <c r="B9022" s="13" t="s">
        <v>19908</v>
      </c>
      <c r="C9022" s="14" t="s">
        <v>19909</v>
      </c>
      <c r="D9022" s="1" t="str">
        <f>IFERROR(__xludf.DUMMYFUNCTION("GOOGLETRANSLATE(A9022 , ""auto"", ""ar"")"),"ولم لا؟")</f>
        <v>ولم لا؟</v>
      </c>
    </row>
    <row r="9023" ht="15.75" customHeight="1">
      <c r="A9023" s="12" t="s">
        <v>19910</v>
      </c>
      <c r="B9023" s="13" t="s">
        <v>19911</v>
      </c>
      <c r="C9023" s="14" t="s">
        <v>19912</v>
      </c>
      <c r="D9023" s="1" t="str">
        <f>IFERROR(__xludf.DUMMYFUNCTION("GOOGLETRANSLATE(A9023 , ""auto"", ""ar"")"),"كما تحب")</f>
        <v>كما تحب</v>
      </c>
    </row>
    <row r="9024" ht="15.75" customHeight="1">
      <c r="A9024" s="12" t="s">
        <v>19913</v>
      </c>
      <c r="B9024" s="13" t="s">
        <v>19914</v>
      </c>
      <c r="C9024" s="14" t="s">
        <v>19915</v>
      </c>
      <c r="D9024" s="1" t="str">
        <f>IFERROR(__xludf.DUMMYFUNCTION("GOOGLETRANSLATE(A9024 , ""auto"", ""ar"")"),"كيف يمكنني مساعدك؟")</f>
        <v>كيف يمكنني مساعدك؟</v>
      </c>
    </row>
    <row r="9025" ht="15.75" customHeight="1">
      <c r="A9025" s="12" t="s">
        <v>19916</v>
      </c>
      <c r="B9025" s="13" t="s">
        <v>19917</v>
      </c>
      <c r="C9025" s="14" t="s">
        <v>19918</v>
      </c>
      <c r="D9025" s="1" t="str">
        <f>IFERROR(__xludf.DUMMYFUNCTION("GOOGLETRANSLATE(A9025 , ""auto"", ""ar"")"),"كيف الحياة؟")</f>
        <v>كيف الحياة؟</v>
      </c>
    </row>
    <row r="9026" ht="15.75" customHeight="1">
      <c r="A9026" s="12" t="s">
        <v>19919</v>
      </c>
      <c r="B9026" s="13" t="s">
        <v>19920</v>
      </c>
      <c r="C9026" s="14" t="s">
        <v>19921</v>
      </c>
      <c r="D9026" s="1" t="str">
        <f>IFERROR(__xludf.DUMMYFUNCTION("GOOGLETRANSLATE(A9026 , ""auto"", ""ar"")"),"ما آخر ما توصلت اليه؟")</f>
        <v>ما آخر ما توصلت اليه؟</v>
      </c>
    </row>
    <row r="9027" ht="15.75" customHeight="1">
      <c r="A9027" s="12" t="s">
        <v>19922</v>
      </c>
      <c r="B9027" s="13" t="s">
        <v>19923</v>
      </c>
      <c r="C9027" s="14" t="s">
        <v>19924</v>
      </c>
      <c r="D9027" s="1" t="str">
        <f>IFERROR(__xludf.DUMMYFUNCTION("GOOGLETRANSLATE(A9027 , ""auto"", ""ar"")"),"لدي الكثير")</f>
        <v>لدي الكثير</v>
      </c>
    </row>
    <row r="9028" ht="15.75" customHeight="1">
      <c r="A9028" s="12" t="s">
        <v>19925</v>
      </c>
      <c r="B9028" s="13" t="s">
        <v>19926</v>
      </c>
      <c r="C9028" s="14" t="s">
        <v>19927</v>
      </c>
      <c r="D9028" s="1" t="str">
        <f>IFERROR(__xludf.DUMMYFUNCTION("GOOGLETRANSLATE(A9028 , ""auto"", ""ar"")"),"لدي القليل")</f>
        <v>لدي القليل</v>
      </c>
    </row>
    <row r="9029" ht="15.75" customHeight="1">
      <c r="A9029" s="12" t="s">
        <v>19928</v>
      </c>
      <c r="B9029" s="13" t="s">
        <v>19929</v>
      </c>
      <c r="C9029" s="14" t="s">
        <v>19930</v>
      </c>
      <c r="D9029" s="1" t="str">
        <f>IFERROR(__xludf.DUMMYFUNCTION("GOOGLETRANSLATE(A9029 , ""auto"", ""ar"")"),"أنت أولاً")</f>
        <v>أنت أولاً</v>
      </c>
    </row>
    <row r="9030" ht="15.75" customHeight="1">
      <c r="A9030" s="12" t="s">
        <v>19931</v>
      </c>
      <c r="B9030" s="13" t="s">
        <v>19932</v>
      </c>
      <c r="C9030" s="14" t="s">
        <v>19933</v>
      </c>
      <c r="D9030" s="1" t="str">
        <f>IFERROR(__xludf.DUMMYFUNCTION("GOOGLETRANSLATE(A9030 , ""auto"", ""ar"")"),"أنت مجنون")</f>
        <v>أنت مجنون</v>
      </c>
    </row>
    <row r="9031" ht="15.75" customHeight="1">
      <c r="A9031" s="12" t="s">
        <v>19934</v>
      </c>
      <c r="B9031" s="13" t="s">
        <v>19935</v>
      </c>
      <c r="C9031" s="14" t="s">
        <v>19936</v>
      </c>
      <c r="D9031" s="1" t="str">
        <f>IFERROR(__xludf.DUMMYFUNCTION("GOOGLETRANSLATE(A9031 , ""auto"", ""ar"")"),"ثق بي")</f>
        <v>ثق بي</v>
      </c>
    </row>
    <row r="9032" ht="15.75" customHeight="1">
      <c r="A9032" s="12" t="s">
        <v>19937</v>
      </c>
      <c r="B9032" s="13" t="s">
        <v>19938</v>
      </c>
      <c r="C9032" s="14" t="s">
        <v>19939</v>
      </c>
      <c r="D9032" s="1" t="str">
        <f>IFERROR(__xludf.DUMMYFUNCTION("GOOGLETRANSLATE(A9032 , ""auto"", ""ar"")"),"اسد لي خدمة")</f>
        <v>اسد لي خدمة</v>
      </c>
    </row>
    <row r="9033" ht="15.75" customHeight="1">
      <c r="A9033" s="12" t="s">
        <v>19940</v>
      </c>
      <c r="B9033" s="13" t="s">
        <v>19941</v>
      </c>
      <c r="C9033" s="14" t="s">
        <v>19942</v>
      </c>
      <c r="D9033" s="1" t="str">
        <f>IFERROR(__xludf.DUMMYFUNCTION("GOOGLETRANSLATE(A9033 , ""auto"", ""ar"")"),"أهو لك؟")</f>
        <v>أهو لك؟</v>
      </c>
    </row>
    <row r="9034" ht="15.75" customHeight="1">
      <c r="A9034" s="12" t="s">
        <v>19943</v>
      </c>
      <c r="B9034" s="13" t="s">
        <v>19944</v>
      </c>
      <c r="C9034" s="14" t="s">
        <v>19945</v>
      </c>
      <c r="D9034" s="1" t="str">
        <f>IFERROR(__xludf.DUMMYFUNCTION("GOOGLETRANSLATE(A9034 , ""auto"", ""ar"")"),"كلاهما يعجبني")</f>
        <v>كلاهما يعجبني</v>
      </c>
    </row>
    <row r="9035" ht="15.75" customHeight="1">
      <c r="A9035" s="12" t="s">
        <v>19946</v>
      </c>
      <c r="B9035" s="13" t="s">
        <v>19947</v>
      </c>
      <c r="C9035" s="14" t="s">
        <v>19948</v>
      </c>
      <c r="D9035" s="1" t="str">
        <f>IFERROR(__xludf.DUMMYFUNCTION("GOOGLETRANSLATE(A9035 , ""auto"", ""ar"")"),"لا أستطيع أن آكل")</f>
        <v>لا أستطيع أن آكل</v>
      </c>
    </row>
    <row r="9036" ht="15.75" customHeight="1">
      <c r="A9036" s="12" t="s">
        <v>19949</v>
      </c>
      <c r="B9036" s="13" t="s">
        <v>19950</v>
      </c>
      <c r="C9036" s="14" t="s">
        <v>19951</v>
      </c>
      <c r="D9036" s="1" t="str">
        <f>IFERROR(__xludf.DUMMYFUNCTION("GOOGLETRANSLATE(A9036 , ""auto"", ""ar"")"),"لا أستطيع الشرب")</f>
        <v>لا أستطيع الشرب</v>
      </c>
    </row>
    <row r="9037" ht="15.75" customHeight="1">
      <c r="A9037" s="12" t="s">
        <v>19952</v>
      </c>
      <c r="B9037" s="13" t="s">
        <v>19953</v>
      </c>
      <c r="C9037" s="14" t="s">
        <v>19954</v>
      </c>
      <c r="D9037" s="1" t="str">
        <f>IFERROR(__xludf.DUMMYFUNCTION("GOOGLETRANSLATE(A9037 , ""auto"", ""ar"")"),"انظر اليه")</f>
        <v>انظر اليه</v>
      </c>
    </row>
    <row r="9038" ht="15.75" customHeight="1">
      <c r="A9038" s="12" t="s">
        <v>19955</v>
      </c>
      <c r="B9038" s="13" t="s">
        <v>19956</v>
      </c>
      <c r="C9038" s="14" t="s">
        <v>19957</v>
      </c>
      <c r="D9038" s="1" t="str">
        <f>IFERROR(__xludf.DUMMYFUNCTION("GOOGLETRANSLATE(A9038 , ""auto"", ""ar"")"),"إذا سألتني")</f>
        <v>إذا سألتني</v>
      </c>
    </row>
    <row r="9039" ht="15.75" customHeight="1">
      <c r="A9039" s="12" t="s">
        <v>19958</v>
      </c>
      <c r="B9039" s="13" t="s">
        <v>19959</v>
      </c>
      <c r="C9039" s="14" t="s">
        <v>19960</v>
      </c>
      <c r="D9039" s="1" t="str">
        <f>IFERROR(__xludf.DUMMYFUNCTION("GOOGLETRANSLATE(A9039 , ""auto"", ""ar"")"),"افهمنى")</f>
        <v>افهمنى</v>
      </c>
    </row>
    <row r="9040" ht="15.75" customHeight="1">
      <c r="A9040" s="12" t="s">
        <v>19961</v>
      </c>
      <c r="B9040" s="13" t="s">
        <v>19962</v>
      </c>
      <c r="C9040" s="14" t="s">
        <v>19963</v>
      </c>
      <c r="D9040" s="1" t="str">
        <f>IFERROR(__xludf.DUMMYFUNCTION("GOOGLETRANSLATE(A9040 , ""auto"", ""ar"")"),"في رأيي")</f>
        <v>في رأيي</v>
      </c>
    </row>
    <row r="9041" ht="15.75" customHeight="1">
      <c r="A9041" s="12" t="s">
        <v>19964</v>
      </c>
      <c r="B9041" s="13" t="s">
        <v>19965</v>
      </c>
      <c r="C9041" s="14" t="s">
        <v>19966</v>
      </c>
      <c r="D9041" s="1" t="str">
        <f>IFERROR(__xludf.DUMMYFUNCTION("GOOGLETRANSLATE(A9041 , ""auto"", ""ar"")"),"أظن")</f>
        <v>أظن</v>
      </c>
    </row>
    <row r="9042" ht="15.75" customHeight="1">
      <c r="A9042" s="12" t="s">
        <v>9530</v>
      </c>
      <c r="B9042" s="13" t="s">
        <v>19967</v>
      </c>
      <c r="C9042" s="14" t="s">
        <v>19968</v>
      </c>
      <c r="D9042" s="1" t="str">
        <f>IFERROR(__xludf.DUMMYFUNCTION("GOOGLETRANSLATE(A9042 , ""auto"", ""ar"")"),"لست متأكد")</f>
        <v>لست متأكد</v>
      </c>
    </row>
    <row r="9043" ht="15.75" customHeight="1">
      <c r="A9043" s="12" t="s">
        <v>19969</v>
      </c>
      <c r="B9043" s="13" t="s">
        <v>19970</v>
      </c>
      <c r="C9043" s="14" t="s">
        <v>19971</v>
      </c>
      <c r="D9043" s="1" t="str">
        <f>IFERROR(__xludf.DUMMYFUNCTION("GOOGLETRANSLATE(A9043 , ""auto"", ""ar"")"),"أنا متأكد")</f>
        <v>أنا متأكد</v>
      </c>
    </row>
    <row r="9044" ht="15.75" customHeight="1">
      <c r="A9044" s="12" t="s">
        <v>19972</v>
      </c>
      <c r="B9044" s="13" t="s">
        <v>19973</v>
      </c>
      <c r="C9044" s="14" t="s">
        <v>19974</v>
      </c>
      <c r="D9044" s="1" t="str">
        <f>IFERROR(__xludf.DUMMYFUNCTION("GOOGLETRANSLATE(A9044 , ""auto"", ""ar"")"),"أستيقظ في الخامسة صباحًا.")</f>
        <v>أستيقظ في الخامسة صباحًا.</v>
      </c>
    </row>
    <row r="9045" ht="15.75" customHeight="1">
      <c r="A9045" s="12" t="s">
        <v>19975</v>
      </c>
      <c r="B9045" s="13" t="s">
        <v>19976</v>
      </c>
      <c r="C9045" s="14" t="s">
        <v>19977</v>
      </c>
      <c r="D9045" s="1" t="str">
        <f>IFERROR(__xludf.DUMMYFUNCTION("GOOGLETRANSLATE(A9045 , ""auto"", ""ar"")"),"أنا أشرب الحساء")</f>
        <v>أنا أشرب الحساء</v>
      </c>
    </row>
    <row r="9046" ht="15.75" customHeight="1">
      <c r="A9046" s="12" t="s">
        <v>19978</v>
      </c>
      <c r="B9046" s="13" t="s">
        <v>17566</v>
      </c>
      <c r="C9046" s="14" t="s">
        <v>17567</v>
      </c>
      <c r="D9046" s="1" t="str">
        <f>IFERROR(__xludf.DUMMYFUNCTION("GOOGLETRANSLATE(A9046 , ""auto"", ""ar"")"),"الطعام لذيذ")</f>
        <v>الطعام لذيذ</v>
      </c>
    </row>
    <row r="9047" ht="15.75" customHeight="1">
      <c r="A9047" s="12" t="s">
        <v>19979</v>
      </c>
      <c r="B9047" s="13" t="s">
        <v>19980</v>
      </c>
      <c r="C9047" s="14" t="s">
        <v>19981</v>
      </c>
      <c r="D9047" s="1" t="str">
        <f>IFERROR(__xludf.DUMMYFUNCTION("GOOGLETRANSLATE(A9047 , ""auto"", ""ar"")"),"الطعام ليس لذيذ")</f>
        <v>الطعام ليس لذيذ</v>
      </c>
    </row>
    <row r="9048" ht="15.75" customHeight="1">
      <c r="A9048" s="12" t="s">
        <v>19982</v>
      </c>
      <c r="B9048" s="13" t="s">
        <v>19983</v>
      </c>
      <c r="C9048" s="14" t="s">
        <v>19984</v>
      </c>
      <c r="D9048" s="1" t="str">
        <f>IFERROR(__xludf.DUMMYFUNCTION("GOOGLETRANSLATE(A9048 , ""auto"", ""ar"")"),"اين الطعام؟")</f>
        <v>اين الطعام؟</v>
      </c>
    </row>
    <row r="9049" ht="15.75" customHeight="1">
      <c r="A9049" s="12" t="s">
        <v>19985</v>
      </c>
      <c r="B9049" s="13" t="s">
        <v>19986</v>
      </c>
      <c r="C9049" s="14" t="s">
        <v>19987</v>
      </c>
      <c r="D9049" s="1" t="str">
        <f>IFERROR(__xludf.DUMMYFUNCTION("GOOGLETRANSLATE(A9049 , ""auto"", ""ar"")"),"لماذا تعتقد مثل هذا؟")</f>
        <v>لماذا تعتقد مثل هذا؟</v>
      </c>
    </row>
    <row r="9050" ht="15.75" customHeight="1">
      <c r="A9050" s="12" t="s">
        <v>19988</v>
      </c>
      <c r="B9050" s="13" t="s">
        <v>19989</v>
      </c>
      <c r="C9050" s="14" t="s">
        <v>19990</v>
      </c>
      <c r="D9050" s="1" t="str">
        <f>IFERROR(__xludf.DUMMYFUNCTION("GOOGLETRANSLATE(A9050 , ""auto"", ""ar"")"),"لماذا تقول هذا؟")</f>
        <v>لماذا تقول هذا؟</v>
      </c>
    </row>
    <row r="9051" ht="15.75" customHeight="1">
      <c r="A9051" s="12" t="s">
        <v>19991</v>
      </c>
      <c r="B9051" s="13" t="s">
        <v>19992</v>
      </c>
      <c r="C9051" s="14" t="s">
        <v>19993</v>
      </c>
      <c r="D9051" s="1" t="str">
        <f>IFERROR(__xludf.DUMMYFUNCTION("GOOGLETRANSLATE(A9051 , ""auto"", ""ar"")"),"يجب ألا تقول هذا")</f>
        <v>يجب ألا تقول هذا</v>
      </c>
    </row>
    <row r="9052" ht="15.75" customHeight="1">
      <c r="A9052" s="12" t="s">
        <v>19994</v>
      </c>
      <c r="B9052" s="13" t="s">
        <v>19995</v>
      </c>
      <c r="C9052" s="14" t="s">
        <v>19996</v>
      </c>
      <c r="D9052" s="1" t="str">
        <f>IFERROR(__xludf.DUMMYFUNCTION("GOOGLETRANSLATE(A9052 , ""auto"", ""ar"")"),"أنا لا آكل الجمبري")</f>
        <v>أنا لا آكل الجمبري</v>
      </c>
    </row>
    <row r="9053" ht="15.75" customHeight="1">
      <c r="A9053" s="12" t="s">
        <v>19997</v>
      </c>
      <c r="B9053" s="13" t="s">
        <v>19998</v>
      </c>
      <c r="C9053" s="14" t="s">
        <v>19999</v>
      </c>
      <c r="D9053" s="1" t="str">
        <f>IFERROR(__xludf.DUMMYFUNCTION("GOOGLETRANSLATE(A9053 , ""auto"", ""ar"")"),"الشاطئ فارغ")</f>
        <v>الشاطئ فارغ</v>
      </c>
    </row>
    <row r="9054" ht="15.75" customHeight="1">
      <c r="A9054" s="12" t="s">
        <v>20000</v>
      </c>
      <c r="B9054" s="13" t="s">
        <v>20001</v>
      </c>
      <c r="C9054" s="14" t="s">
        <v>20002</v>
      </c>
      <c r="D9054" s="1" t="str">
        <f>IFERROR(__xludf.DUMMYFUNCTION("GOOGLETRANSLATE(A9054 , ""auto"", ""ar"")"),"إنه أمريكي")</f>
        <v>إنه أمريكي</v>
      </c>
    </row>
    <row r="9055" ht="15.75" customHeight="1">
      <c r="A9055" s="12" t="s">
        <v>20003</v>
      </c>
      <c r="B9055" s="13" t="s">
        <v>20004</v>
      </c>
      <c r="C9055" s="14" t="s">
        <v>20005</v>
      </c>
      <c r="D9055" s="1" t="str">
        <f>IFERROR(__xludf.DUMMYFUNCTION("GOOGLETRANSLATE(A9055 , ""auto"", ""ar"")"),"إنه إيطالي")</f>
        <v>إنه إيطالي</v>
      </c>
    </row>
    <row r="9056" ht="15.75" customHeight="1">
      <c r="A9056" s="12" t="s">
        <v>20006</v>
      </c>
      <c r="B9056" s="13" t="s">
        <v>20007</v>
      </c>
      <c r="C9056" s="14" t="s">
        <v>20008</v>
      </c>
      <c r="D9056" s="1" t="str">
        <f>IFERROR(__xludf.DUMMYFUNCTION("GOOGLETRANSLATE(A9056 , ""auto"", ""ar"")"),"انه عجوز")</f>
        <v>انه عجوز</v>
      </c>
    </row>
    <row r="9057" ht="15.75" customHeight="1">
      <c r="A9057" s="12" t="s">
        <v>20009</v>
      </c>
      <c r="B9057" s="13" t="s">
        <v>20010</v>
      </c>
      <c r="C9057" s="14" t="s">
        <v>20011</v>
      </c>
      <c r="D9057" s="1" t="str">
        <f>IFERROR(__xludf.DUMMYFUNCTION("GOOGLETRANSLATE(A9057 , ""auto"", ""ar"")"),"أي يوم تريد؟")</f>
        <v>أي يوم تريد؟</v>
      </c>
    </row>
    <row r="9058" ht="15.75" customHeight="1">
      <c r="A9058" s="12" t="s">
        <v>20012</v>
      </c>
      <c r="B9058" s="13" t="s">
        <v>20013</v>
      </c>
      <c r="C9058" s="14" t="s">
        <v>20014</v>
      </c>
      <c r="D9058" s="1" t="str">
        <f>IFERROR(__xludf.DUMMYFUNCTION("GOOGLETRANSLATE(A9058 , ""auto"", ""ar"")"),"في أي يوم تريد")</f>
        <v>في أي يوم تريد</v>
      </c>
    </row>
    <row r="9059" ht="15.75" customHeight="1">
      <c r="A9059" s="12" t="s">
        <v>20015</v>
      </c>
      <c r="B9059" s="13" t="s">
        <v>20016</v>
      </c>
      <c r="C9059" s="14" t="s">
        <v>20017</v>
      </c>
      <c r="D9059" s="1" t="str">
        <f>IFERROR(__xludf.DUMMYFUNCTION("GOOGLETRANSLATE(A9059 , ""auto"", ""ar"")"),"ملعقة كبيرة")</f>
        <v>ملعقة كبيرة</v>
      </c>
    </row>
    <row r="9060" ht="15.75" customHeight="1">
      <c r="A9060" s="12" t="s">
        <v>20018</v>
      </c>
      <c r="B9060" s="13" t="s">
        <v>20019</v>
      </c>
      <c r="C9060" s="14" t="s">
        <v>20020</v>
      </c>
      <c r="D9060" s="1" t="str">
        <f>IFERROR(__xludf.DUMMYFUNCTION("GOOGLETRANSLATE(A9060 , ""auto"", ""ar"")"),"ملعقة صغيرة")</f>
        <v>ملعقة صغيرة</v>
      </c>
    </row>
    <row r="9061" ht="15.75" customHeight="1">
      <c r="A9061" s="12" t="s">
        <v>20021</v>
      </c>
      <c r="B9061" s="13" t="s">
        <v>20022</v>
      </c>
      <c r="C9061" s="14" t="s">
        <v>20023</v>
      </c>
      <c r="D9061" s="1" t="str">
        <f>IFERROR(__xludf.DUMMYFUNCTION("GOOGLETRANSLATE(A9061 , ""auto"", ""ar"")"),"طبق كبير")</f>
        <v>طبق كبير</v>
      </c>
    </row>
    <row r="9062" ht="15.75" customHeight="1">
      <c r="A9062" s="12" t="s">
        <v>20024</v>
      </c>
      <c r="B9062" s="13" t="s">
        <v>20025</v>
      </c>
      <c r="C9062" s="14" t="s">
        <v>20026</v>
      </c>
      <c r="D9062" s="1" t="str">
        <f>IFERROR(__xludf.DUMMYFUNCTION("GOOGLETRANSLATE(A9062 , ""auto"", ""ar"")"),"طبق صغير")</f>
        <v>طبق صغير</v>
      </c>
    </row>
    <row r="9063" ht="15.75" customHeight="1">
      <c r="A9063" s="12" t="s">
        <v>20027</v>
      </c>
      <c r="B9063" s="13" t="s">
        <v>20028</v>
      </c>
      <c r="C9063" s="14" t="s">
        <v>20029</v>
      </c>
      <c r="D9063" s="1" t="str">
        <f>IFERROR(__xludf.DUMMYFUNCTION("GOOGLETRANSLATE(A9063 , ""auto"", ""ar"")"),"أعطني شوكة")</f>
        <v>أعطني شوكة</v>
      </c>
    </row>
    <row r="9064" ht="15.75" customHeight="1">
      <c r="A9064" s="12" t="s">
        <v>20030</v>
      </c>
      <c r="B9064" s="13" t="s">
        <v>20031</v>
      </c>
      <c r="C9064" s="14" t="s">
        <v>20032</v>
      </c>
      <c r="D9064" s="1" t="str">
        <f>IFERROR(__xludf.DUMMYFUNCTION("GOOGLETRANSLATE(A9064 , ""auto"", ""ar"")"),"فتاة جميلة")</f>
        <v>فتاة جميلة</v>
      </c>
    </row>
    <row r="9065" ht="15.75" customHeight="1">
      <c r="A9065" s="12" t="s">
        <v>20033</v>
      </c>
      <c r="B9065" s="13" t="s">
        <v>20034</v>
      </c>
      <c r="C9065" s="14" t="s">
        <v>20035</v>
      </c>
      <c r="D9065" s="1" t="str">
        <f>IFERROR(__xludf.DUMMYFUNCTION("GOOGLETRANSLATE(A9065 , ""auto"", ""ar"")"),"فتى وسيم")</f>
        <v>فتى وسيم</v>
      </c>
    </row>
    <row r="9066" ht="15.75" customHeight="1">
      <c r="A9066" s="12" t="s">
        <v>20036</v>
      </c>
      <c r="B9066" s="13" t="s">
        <v>20037</v>
      </c>
      <c r="C9066" s="14" t="s">
        <v>20038</v>
      </c>
      <c r="D9066" s="1" t="str">
        <f>IFERROR(__xludf.DUMMYFUNCTION("GOOGLETRANSLATE(A9066 , ""auto"", ""ar"")"),"أرتدي العدسات اللاصقة")</f>
        <v>أرتدي العدسات اللاصقة</v>
      </c>
    </row>
    <row r="9067" ht="15.75" customHeight="1">
      <c r="A9067" s="12" t="s">
        <v>20039</v>
      </c>
      <c r="B9067" s="13" t="s">
        <v>20040</v>
      </c>
      <c r="C9067" s="14" t="s">
        <v>20041</v>
      </c>
      <c r="D9067" s="1" t="str">
        <f>IFERROR(__xludf.DUMMYFUNCTION("GOOGLETRANSLATE(A9067 , ""auto"", ""ar"")"),"الساعة متوقفة")</f>
        <v>الساعة متوقفة</v>
      </c>
    </row>
    <row r="9068" ht="15.75" customHeight="1">
      <c r="A9068" s="12" t="s">
        <v>20042</v>
      </c>
      <c r="B9068" s="13" t="s">
        <v>20043</v>
      </c>
      <c r="C9068" s="14" t="s">
        <v>20044</v>
      </c>
      <c r="D9068" s="1" t="str">
        <f>IFERROR(__xludf.DUMMYFUNCTION("GOOGLETRANSLATE(A9068 , ""auto"", ""ar"")"),"هل هذا انت؟")</f>
        <v>هل هذا انت؟</v>
      </c>
    </row>
    <row r="9069" ht="15.75" customHeight="1">
      <c r="A9069" s="12" t="s">
        <v>20045</v>
      </c>
      <c r="B9069" s="13" t="s">
        <v>20046</v>
      </c>
      <c r="C9069" s="14" t="s">
        <v>20047</v>
      </c>
      <c r="D9069" s="1" t="str">
        <f>IFERROR(__xludf.DUMMYFUNCTION("GOOGLETRANSLATE(A9069 , ""auto"", ""ar"")"),"هل هذه صورتك؟")</f>
        <v>هل هذه صورتك؟</v>
      </c>
    </row>
    <row r="9070" ht="15.75" customHeight="1">
      <c r="A9070" s="12" t="s">
        <v>20048</v>
      </c>
      <c r="B9070" s="13" t="s">
        <v>20049</v>
      </c>
      <c r="C9070" s="14" t="s">
        <v>20050</v>
      </c>
      <c r="D9070" s="1" t="str">
        <f>IFERROR(__xludf.DUMMYFUNCTION("GOOGLETRANSLATE(A9070 , ""auto"", ""ar"")"),"أعطني لأرى")</f>
        <v>أعطني لأرى</v>
      </c>
    </row>
    <row r="9071" ht="15.75" customHeight="1">
      <c r="A9071" s="12" t="s">
        <v>20051</v>
      </c>
      <c r="B9071" s="13" t="s">
        <v>20052</v>
      </c>
      <c r="C9071" s="14" t="s">
        <v>20053</v>
      </c>
      <c r="D9071" s="1" t="str">
        <f>IFERROR(__xludf.DUMMYFUNCTION("GOOGLETRANSLATE(A9071 , ""auto"", ""ar"")"),"أين الصورة؟")</f>
        <v>أين الصورة؟</v>
      </c>
    </row>
    <row r="9072" ht="15.75" customHeight="1">
      <c r="A9072" s="12" t="s">
        <v>20054</v>
      </c>
      <c r="B9072" s="13" t="s">
        <v>20055</v>
      </c>
      <c r="C9072" s="14" t="s">
        <v>20056</v>
      </c>
      <c r="D9072" s="1" t="str">
        <f>IFERROR(__xludf.DUMMYFUNCTION("GOOGLETRANSLATE(A9072 , ""auto"", ""ar"")"),"لقد قطعت الصورة")</f>
        <v>لقد قطعت الصورة</v>
      </c>
    </row>
    <row r="9073" ht="15.75" customHeight="1">
      <c r="A9073" s="12" t="s">
        <v>20057</v>
      </c>
      <c r="B9073" s="13" t="s">
        <v>20058</v>
      </c>
      <c r="C9073" s="14" t="s">
        <v>20059</v>
      </c>
      <c r="D9073" s="1" t="str">
        <f>IFERROR(__xludf.DUMMYFUNCTION("GOOGLETRANSLATE(A9073 , ""auto"", ""ar"")"),"ماذا!")</f>
        <v>ماذا!</v>
      </c>
    </row>
    <row r="9074" ht="15.75" customHeight="1">
      <c r="A9074" s="12" t="s">
        <v>20060</v>
      </c>
      <c r="B9074" s="13" t="s">
        <v>20061</v>
      </c>
      <c r="C9074" s="14" t="s">
        <v>20062</v>
      </c>
      <c r="D9074" s="1" t="str">
        <f>IFERROR(__xludf.DUMMYFUNCTION("GOOGLETRANSLATE(A9074 , ""auto"", ""ar"")"),"مستحيل")</f>
        <v>مستحيل</v>
      </c>
    </row>
    <row r="9075" ht="15.75" customHeight="1">
      <c r="A9075" s="12" t="s">
        <v>20063</v>
      </c>
      <c r="B9075" s="13" t="s">
        <v>20064</v>
      </c>
      <c r="C9075" s="14" t="s">
        <v>20065</v>
      </c>
      <c r="D9075" s="1" t="str">
        <f>IFERROR(__xludf.DUMMYFUNCTION("GOOGLETRANSLATE(A9075 , ""auto"", ""ar"")"),"هذا أمر خطير")</f>
        <v>هذا أمر خطير</v>
      </c>
    </row>
    <row r="9076" ht="15.75" customHeight="1">
      <c r="A9076" s="12" t="s">
        <v>20066</v>
      </c>
      <c r="B9076" s="13" t="s">
        <v>20067</v>
      </c>
      <c r="C9076" s="14" t="s">
        <v>20068</v>
      </c>
      <c r="D9076" s="1" t="str">
        <f>IFERROR(__xludf.DUMMYFUNCTION("GOOGLETRANSLATE(A9076 , ""auto"", ""ar"")"),"إذا كنت فقط هادئًا")</f>
        <v>إذا كنت فقط هادئًا</v>
      </c>
    </row>
    <row r="9077" ht="15.75" customHeight="1">
      <c r="A9077" s="12" t="s">
        <v>20069</v>
      </c>
      <c r="B9077" s="13" t="s">
        <v>20070</v>
      </c>
      <c r="C9077" s="14" t="s">
        <v>20071</v>
      </c>
      <c r="D9077" s="1" t="str">
        <f>IFERROR(__xludf.DUMMYFUNCTION("GOOGLETRANSLATE(A9077 , ""auto"", ""ar"")"),"لماذا لا تتكلم؟")</f>
        <v>لماذا لا تتكلم؟</v>
      </c>
    </row>
    <row r="9078" ht="15.75" customHeight="1">
      <c r="A9078" s="12" t="s">
        <v>20072</v>
      </c>
      <c r="B9078" s="13" t="s">
        <v>20073</v>
      </c>
      <c r="C9078" s="14" t="s">
        <v>20074</v>
      </c>
      <c r="D9078" s="1" t="str">
        <f>IFERROR(__xludf.DUMMYFUNCTION("GOOGLETRANSLATE(A9078 , ""auto"", ""ar"")"),"لماذا لا تضحك؟")</f>
        <v>لماذا لا تضحك؟</v>
      </c>
    </row>
    <row r="9079" ht="15.75" customHeight="1">
      <c r="A9079" s="12" t="s">
        <v>20075</v>
      </c>
      <c r="B9079" s="13" t="s">
        <v>20076</v>
      </c>
      <c r="C9079" s="14" t="s">
        <v>20077</v>
      </c>
      <c r="D9079" s="1" t="str">
        <f>IFERROR(__xludf.DUMMYFUNCTION("GOOGLETRANSLATE(A9079 , ""auto"", ""ar"")"),"أين هذا؟")</f>
        <v>أين هذا؟</v>
      </c>
    </row>
    <row r="9080" ht="15.75" customHeight="1">
      <c r="A9080" s="12" t="s">
        <v>20078</v>
      </c>
      <c r="B9080" s="13" t="s">
        <v>20079</v>
      </c>
      <c r="C9080" s="14" t="s">
        <v>20080</v>
      </c>
      <c r="D9080" s="1" t="str">
        <f>IFERROR(__xludf.DUMMYFUNCTION("GOOGLETRANSLATE(A9080 , ""auto"", ""ar"")"),"عندما يكون هذا؟")</f>
        <v>عندما يكون هذا؟</v>
      </c>
    </row>
    <row r="9081" ht="15.75" customHeight="1">
      <c r="A9081" s="12" t="s">
        <v>20081</v>
      </c>
      <c r="B9081" s="13" t="s">
        <v>20082</v>
      </c>
      <c r="C9081" s="14" t="s">
        <v>20083</v>
      </c>
      <c r="D9081" s="1" t="str">
        <f>IFERROR(__xludf.DUMMYFUNCTION("GOOGLETRANSLATE(A9081 , ""auto"", ""ar"")"),"سيصيبني الجنون")</f>
        <v>سيصيبني الجنون</v>
      </c>
    </row>
    <row r="9082" ht="15.75" customHeight="1">
      <c r="A9082" s="12" t="s">
        <v>20084</v>
      </c>
      <c r="B9082" s="13" t="s">
        <v>20085</v>
      </c>
      <c r="C9082" s="14" t="s">
        <v>20086</v>
      </c>
      <c r="D9082" s="1" t="str">
        <f>IFERROR(__xludf.DUMMYFUNCTION("GOOGLETRANSLATE(A9082 , ""auto"", ""ar"")"),"سنموت جميعًا")</f>
        <v>سنموت جميعًا</v>
      </c>
    </row>
    <row r="9083" ht="15.75" customHeight="1">
      <c r="A9083" s="12" t="s">
        <v>20087</v>
      </c>
      <c r="B9083" s="13" t="s">
        <v>20088</v>
      </c>
      <c r="C9083" s="14" t="s">
        <v>20089</v>
      </c>
      <c r="D9083" s="1" t="str">
        <f>IFERROR(__xludf.DUMMYFUNCTION("GOOGLETRANSLATE(A9083 , ""auto"", ""ar"")"),"أين هذا المطعم؟")</f>
        <v>أين هذا المطعم؟</v>
      </c>
    </row>
    <row r="9084" ht="15.75" customHeight="1">
      <c r="A9084" s="12" t="s">
        <v>20090</v>
      </c>
      <c r="B9084" s="13" t="s">
        <v>20091</v>
      </c>
      <c r="C9084" s="14" t="s">
        <v>20092</v>
      </c>
      <c r="D9084" s="1" t="str">
        <f>IFERROR(__xludf.DUMMYFUNCTION("GOOGLETRANSLATE(A9084 , ""auto"", ""ar"")"),"الزجاج فارغ")</f>
        <v>الزجاج فارغ</v>
      </c>
    </row>
    <row r="9085" ht="15.75" customHeight="1">
      <c r="A9085" s="12" t="s">
        <v>20093</v>
      </c>
      <c r="B9085" s="13" t="s">
        <v>20094</v>
      </c>
      <c r="C9085" s="14" t="s">
        <v>20095</v>
      </c>
      <c r="D9085" s="1" t="str">
        <f>IFERROR(__xludf.DUMMYFUNCTION("GOOGLETRANSLATE(A9085 , ""auto"", ""ar"")"),"شعري طويل")</f>
        <v>شعري طويل</v>
      </c>
    </row>
    <row r="9086" ht="15.75" customHeight="1">
      <c r="A9086" s="12" t="s">
        <v>20096</v>
      </c>
      <c r="B9086" s="13" t="s">
        <v>20097</v>
      </c>
      <c r="C9086" s="14" t="s">
        <v>20098</v>
      </c>
      <c r="D9086" s="1" t="str">
        <f>IFERROR(__xludf.DUMMYFUNCTION("GOOGLETRANSLATE(A9086 , ""auto"", ""ar"")"),"أنا أبحث عن جواربي")</f>
        <v>أنا أبحث عن جواربي</v>
      </c>
    </row>
    <row r="9087" ht="15.75" customHeight="1">
      <c r="A9087" s="12" t="s">
        <v>20099</v>
      </c>
      <c r="B9087" s="13" t="s">
        <v>20100</v>
      </c>
      <c r="C9087" s="14" t="s">
        <v>20101</v>
      </c>
      <c r="D9087" s="1" t="str">
        <f>IFERROR(__xludf.DUMMYFUNCTION("GOOGLETRANSLATE(A9087 , ""auto"", ""ar"")"),"لم أجد جواربي")</f>
        <v>لم أجد جواربي</v>
      </c>
    </row>
    <row r="9088" ht="15.75" customHeight="1">
      <c r="A9088" s="12" t="s">
        <v>20102</v>
      </c>
      <c r="B9088" s="13" t="s">
        <v>20103</v>
      </c>
      <c r="C9088" s="14" t="s">
        <v>20104</v>
      </c>
      <c r="D9088" s="1" t="str">
        <f>IFERROR(__xludf.DUMMYFUNCTION("GOOGLETRANSLATE(A9088 , ""auto"", ""ar"")"),"هل رأيت جواربي؟")</f>
        <v>هل رأيت جواربي؟</v>
      </c>
    </row>
    <row r="9089" ht="15.75" customHeight="1">
      <c r="A9089" s="12" t="s">
        <v>20105</v>
      </c>
      <c r="B9089" s="13" t="s">
        <v>20106</v>
      </c>
      <c r="C9089" s="14" t="s">
        <v>20107</v>
      </c>
      <c r="D9089" s="1" t="str">
        <f>IFERROR(__xludf.DUMMYFUNCTION("GOOGLETRANSLATE(A9089 , ""auto"", ""ar"")"),"هذا T.V جميل")</f>
        <v>هذا T.V جميل</v>
      </c>
    </row>
    <row r="9090" ht="15.75" customHeight="1">
      <c r="A9090" s="12" t="s">
        <v>20108</v>
      </c>
      <c r="B9090" s="13" t="s">
        <v>20109</v>
      </c>
      <c r="C9090" s="14" t="s">
        <v>20110</v>
      </c>
      <c r="D9090" s="1" t="str">
        <f>IFERROR(__xludf.DUMMYFUNCTION("GOOGLETRANSLATE(A9090 , ""auto"", ""ar"")"),"أنا أتعلم كيفية الطهي")</f>
        <v>أنا أتعلم كيفية الطهي</v>
      </c>
    </row>
    <row r="9091" ht="15.75" customHeight="1">
      <c r="A9091" s="12" t="s">
        <v>20111</v>
      </c>
      <c r="B9091" s="13" t="s">
        <v>20112</v>
      </c>
      <c r="C9091" s="14" t="s">
        <v>20113</v>
      </c>
      <c r="D9091" s="1" t="str">
        <f>IFERROR(__xludf.DUMMYFUNCTION("GOOGLETRANSLATE(A9091 , ""auto"", ""ar"")"),"أنا أطبخ جيدًا")</f>
        <v>أنا أطبخ جيدًا</v>
      </c>
    </row>
    <row r="9092" ht="15.75" customHeight="1">
      <c r="A9092" s="12" t="s">
        <v>20114</v>
      </c>
      <c r="B9092" s="13" t="s">
        <v>20115</v>
      </c>
      <c r="C9092" s="14" t="s">
        <v>20116</v>
      </c>
      <c r="D9092" s="1" t="str">
        <f>IFERROR(__xludf.DUMMYFUNCTION("GOOGLETRANSLATE(A9092 , ""auto"", ""ar"")"),"القيادة صعبة")</f>
        <v>القيادة صعبة</v>
      </c>
    </row>
    <row r="9093" ht="15.75" customHeight="1">
      <c r="A9093" s="12" t="s">
        <v>20117</v>
      </c>
      <c r="B9093" s="13" t="s">
        <v>20118</v>
      </c>
      <c r="C9093" s="14" t="s">
        <v>20119</v>
      </c>
      <c r="D9093" s="1" t="str">
        <f>IFERROR(__xludf.DUMMYFUNCTION("GOOGLETRANSLATE(A9093 , ""auto"", ""ar"")"),"قمت بتشغيل الموقد")</f>
        <v>قمت بتشغيل الموقد</v>
      </c>
    </row>
    <row r="9094" ht="15.75" customHeight="1">
      <c r="A9094" s="12" t="s">
        <v>20120</v>
      </c>
      <c r="B9094" s="13" t="s">
        <v>20121</v>
      </c>
      <c r="C9094" s="14" t="s">
        <v>20122</v>
      </c>
      <c r="D9094" s="1" t="str">
        <f>IFERROR(__xludf.DUMMYFUNCTION("GOOGLETRANSLATE(A9094 , ""auto"", ""ar"")"),"إيقاف تشغيل موقد")</f>
        <v>إيقاف تشغيل موقد</v>
      </c>
    </row>
    <row r="9095" ht="15.75" customHeight="1">
      <c r="A9095" s="12" t="s">
        <v>20123</v>
      </c>
      <c r="B9095" s="13" t="s">
        <v>20124</v>
      </c>
      <c r="C9095" s="14" t="s">
        <v>20125</v>
      </c>
      <c r="D9095" s="1" t="str">
        <f>IFERROR(__xludf.DUMMYFUNCTION("GOOGLETRANSLATE(A9095 , ""auto"", ""ar"")"),"اشعل الفرن")</f>
        <v>اشعل الفرن</v>
      </c>
    </row>
    <row r="9096" ht="15.75" customHeight="1">
      <c r="A9096" s="12" t="s">
        <v>20126</v>
      </c>
      <c r="B9096" s="13" t="s">
        <v>20127</v>
      </c>
      <c r="C9096" s="14" t="s">
        <v>20128</v>
      </c>
      <c r="D9096" s="1" t="str">
        <f>IFERROR(__xludf.DUMMYFUNCTION("GOOGLETRANSLATE(A9096 , ""auto"", ""ar"")"),"إصبعي يؤلمني")</f>
        <v>إصبعي يؤلمني</v>
      </c>
    </row>
    <row r="9097" ht="15.75" customHeight="1">
      <c r="A9097" s="12" t="s">
        <v>20129</v>
      </c>
      <c r="B9097" s="13" t="s">
        <v>20130</v>
      </c>
      <c r="C9097" s="14" t="s">
        <v>20131</v>
      </c>
      <c r="D9097" s="1" t="str">
        <f>IFERROR(__xludf.DUMMYFUNCTION("GOOGLETRANSLATE(A9097 , ""auto"", ""ar"")"),"أنا لست بخير")</f>
        <v>أنا لست بخير</v>
      </c>
    </row>
    <row r="9098" ht="15.75" customHeight="1">
      <c r="A9098" s="12" t="s">
        <v>20132</v>
      </c>
      <c r="B9098" s="13" t="s">
        <v>20133</v>
      </c>
      <c r="C9098" s="14" t="s">
        <v>20134</v>
      </c>
      <c r="D9098" s="1" t="str">
        <f>IFERROR(__xludf.DUMMYFUNCTION("GOOGLETRANSLATE(A9098 , ""auto"", ""ar"")"),"تبدو بخير")</f>
        <v>تبدو بخير</v>
      </c>
    </row>
    <row r="9099" ht="15.75" customHeight="1">
      <c r="A9099" s="12" t="s">
        <v>20135</v>
      </c>
      <c r="B9099" s="13" t="s">
        <v>20136</v>
      </c>
      <c r="C9099" s="14" t="s">
        <v>20137</v>
      </c>
      <c r="D9099" s="1" t="str">
        <f>IFERROR(__xludf.DUMMYFUNCTION("GOOGLETRANSLATE(A9099 , ""auto"", ""ar"")"),"أحب هذا")</f>
        <v>أحب هذا</v>
      </c>
    </row>
    <row r="9100" ht="15.75" customHeight="1">
      <c r="A9100" s="12" t="s">
        <v>20138</v>
      </c>
      <c r="B9100" s="13" t="s">
        <v>20139</v>
      </c>
      <c r="C9100" s="14" t="s">
        <v>20140</v>
      </c>
      <c r="D9100" s="1" t="str">
        <f>IFERROR(__xludf.DUMMYFUNCTION("GOOGLETRANSLATE(A9100 , ""auto"", ""ar"")"),"لم يعجبني هذا")</f>
        <v>لم يعجبني هذا</v>
      </c>
    </row>
    <row r="9101" ht="15.75" customHeight="1">
      <c r="A9101" s="12" t="s">
        <v>20141</v>
      </c>
      <c r="B9101" s="13" t="s">
        <v>20142</v>
      </c>
      <c r="C9101" s="14" t="s">
        <v>20143</v>
      </c>
      <c r="D9101" s="1" t="str">
        <f>IFERROR(__xludf.DUMMYFUNCTION("GOOGLETRANSLATE(A9101 , ""auto"", ""ar"")"),"أنا أحترم نفسي")</f>
        <v>أنا أحترم نفسي</v>
      </c>
    </row>
    <row r="9102" ht="15.75" customHeight="1">
      <c r="A9102" s="12" t="s">
        <v>20144</v>
      </c>
      <c r="B9102" s="13" t="s">
        <v>20145</v>
      </c>
      <c r="C9102" s="14" t="s">
        <v>20146</v>
      </c>
      <c r="D9102" s="1" t="str">
        <f>IFERROR(__xludf.DUMMYFUNCTION("GOOGLETRANSLATE(A9102 , ""auto"", ""ar"")"),"احب عملك")</f>
        <v>احب عملك</v>
      </c>
    </row>
    <row r="9103" ht="15.75" customHeight="1">
      <c r="A9103" s="12" t="s">
        <v>20147</v>
      </c>
      <c r="B9103" s="13" t="s">
        <v>20148</v>
      </c>
      <c r="C9103" s="14" t="s">
        <v>20149</v>
      </c>
      <c r="D9103" s="1" t="str">
        <f>IFERROR(__xludf.DUMMYFUNCTION("GOOGLETRANSLATE(A9103 , ""auto"", ""ar"")"),"فرصة عظيمة")</f>
        <v>فرصة عظيمة</v>
      </c>
    </row>
    <row r="9104" ht="15.75" customHeight="1">
      <c r="A9104" s="12" t="s">
        <v>20150</v>
      </c>
      <c r="B9104" s="13" t="s">
        <v>20151</v>
      </c>
      <c r="C9104" s="14" t="s">
        <v>20152</v>
      </c>
      <c r="D9104" s="1" t="str">
        <f>IFERROR(__xludf.DUMMYFUNCTION("GOOGLETRANSLATE(A9104 , ""auto"", ""ar"")"),"لقد تركني وحدي")</f>
        <v>لقد تركني وحدي</v>
      </c>
    </row>
    <row r="9105" ht="15.75" customHeight="1">
      <c r="A9105" s="12" t="s">
        <v>20153</v>
      </c>
      <c r="B9105" s="13" t="s">
        <v>20154</v>
      </c>
      <c r="C9105" s="14" t="s">
        <v>20155</v>
      </c>
      <c r="D9105" s="1" t="str">
        <f>IFERROR(__xludf.DUMMYFUNCTION("GOOGLETRANSLATE(A9105 , ""auto"", ""ar"")"),"عاد مرة أخرى")</f>
        <v>عاد مرة أخرى</v>
      </c>
    </row>
    <row r="9106" ht="15.75" customHeight="1">
      <c r="A9106" s="12" t="s">
        <v>20156</v>
      </c>
      <c r="B9106" s="13" t="s">
        <v>20157</v>
      </c>
      <c r="C9106" s="14" t="s">
        <v>20158</v>
      </c>
      <c r="D9106" s="1" t="str">
        <f>IFERROR(__xludf.DUMMYFUNCTION("GOOGLETRANSLATE(A9106 , ""auto"", ""ar"")"),"لا مشكلة")</f>
        <v>لا مشكلة</v>
      </c>
    </row>
    <row r="9107" ht="15.75" customHeight="1">
      <c r="A9107" s="12" t="s">
        <v>20159</v>
      </c>
      <c r="B9107" s="13" t="s">
        <v>20160</v>
      </c>
      <c r="C9107" s="14" t="s">
        <v>20161</v>
      </c>
      <c r="D9107" s="1" t="str">
        <f>IFERROR(__xludf.DUMMYFUNCTION("GOOGLETRANSLATE(A9107 , ""auto"", ""ar"")"),"لقد انفصلنا")</f>
        <v>لقد انفصلنا</v>
      </c>
    </row>
    <row r="9108" ht="15.75" customHeight="1">
      <c r="A9108" s="12" t="s">
        <v>4979</v>
      </c>
      <c r="B9108" s="13" t="s">
        <v>20162</v>
      </c>
      <c r="C9108" s="14" t="s">
        <v>20163</v>
      </c>
      <c r="D9108" s="1" t="str">
        <f>IFERROR(__xludf.DUMMYFUNCTION("GOOGLETRANSLATE(A9108 , ""auto"", ""ar"")"),"أبداً")</f>
        <v>أبداً</v>
      </c>
    </row>
    <row r="9109" ht="15.75" customHeight="1">
      <c r="A9109" s="12" t="s">
        <v>20164</v>
      </c>
      <c r="B9109" s="13" t="s">
        <v>20165</v>
      </c>
      <c r="C9109" s="14" t="s">
        <v>20166</v>
      </c>
      <c r="D9109" s="1" t="str">
        <f>IFERROR(__xludf.DUMMYFUNCTION("GOOGLETRANSLATE(A9109 , ""auto"", ""ar"")"),"أحرقت يدي")</f>
        <v>أحرقت يدي</v>
      </c>
    </row>
    <row r="9110" ht="15.75" customHeight="1">
      <c r="A9110" s="12" t="s">
        <v>20167</v>
      </c>
      <c r="B9110" s="13" t="s">
        <v>20168</v>
      </c>
      <c r="C9110" s="14" t="s">
        <v>20169</v>
      </c>
      <c r="D9110" s="1" t="str">
        <f>IFERROR(__xludf.DUMMYFUNCTION("GOOGLETRANSLATE(A9110 , ""auto"", ""ar"")"),"انا نائم")</f>
        <v>انا نائم</v>
      </c>
    </row>
    <row r="9111" ht="15.75" customHeight="1">
      <c r="A9111" s="12" t="s">
        <v>20170</v>
      </c>
      <c r="B9111" s="13" t="s">
        <v>20171</v>
      </c>
      <c r="C9111" s="14" t="s">
        <v>20172</v>
      </c>
      <c r="D9111" s="1" t="str">
        <f>IFERROR(__xludf.DUMMYFUNCTION("GOOGLETRANSLATE(A9111 , ""auto"", ""ar"")"),"انا مستيقظ")</f>
        <v>انا مستيقظ</v>
      </c>
    </row>
    <row r="9112" ht="15.75" customHeight="1">
      <c r="A9112" s="12" t="s">
        <v>20173</v>
      </c>
      <c r="B9112" s="13" t="s">
        <v>20174</v>
      </c>
      <c r="C9112" s="14" t="s">
        <v>20175</v>
      </c>
      <c r="D9112" s="1" t="str">
        <f>IFERROR(__xludf.DUMMYFUNCTION("GOOGLETRANSLATE(A9112 , ""auto"", ""ar"")"),"أنا أعمل في المساء")</f>
        <v>أنا أعمل في المساء</v>
      </c>
    </row>
    <row r="9113" ht="15.75" customHeight="1">
      <c r="A9113" s="12" t="s">
        <v>20176</v>
      </c>
      <c r="B9113" s="13" t="s">
        <v>20177</v>
      </c>
      <c r="C9113" s="14" t="s">
        <v>20178</v>
      </c>
      <c r="D9113" s="1" t="str">
        <f>IFERROR(__xludf.DUMMYFUNCTION("GOOGLETRANSLATE(A9113 , ""auto"", ""ar"")"),"أنا أعمل في الصباح")</f>
        <v>أنا أعمل في الصباح</v>
      </c>
    </row>
    <row r="9114" ht="15.75" customHeight="1">
      <c r="A9114" s="12" t="s">
        <v>20179</v>
      </c>
      <c r="B9114" s="13" t="s">
        <v>20180</v>
      </c>
      <c r="C9114" s="14" t="s">
        <v>20181</v>
      </c>
      <c r="D9114" s="1" t="str">
        <f>IFERROR(__xludf.DUMMYFUNCTION("GOOGLETRANSLATE(A9114 , ""auto"", ""ar"")"),"أنا لا أعمل اليوم")</f>
        <v>أنا لا أعمل اليوم</v>
      </c>
    </row>
    <row r="9115" ht="15.75" customHeight="1">
      <c r="A9115" s="12" t="s">
        <v>20182</v>
      </c>
      <c r="B9115" s="13" t="s">
        <v>20183</v>
      </c>
      <c r="C9115" s="14" t="s">
        <v>20184</v>
      </c>
      <c r="D9115" s="1" t="str">
        <f>IFERROR(__xludf.DUMMYFUNCTION("GOOGLETRANSLATE(A9115 , ""auto"", ""ar"")"),"ماذا حدث بينك وبينه؟")</f>
        <v>ماذا حدث بينك وبينه؟</v>
      </c>
    </row>
    <row r="9116" ht="15.75" customHeight="1">
      <c r="A9116" s="12" t="s">
        <v>20185</v>
      </c>
      <c r="B9116" s="13" t="s">
        <v>20186</v>
      </c>
      <c r="C9116" s="14" t="s">
        <v>20187</v>
      </c>
      <c r="D9116" s="1" t="str">
        <f>IFERROR(__xludf.DUMMYFUNCTION("GOOGLETRANSLATE(A9116 , ""auto"", ""ar"")"),"لدي دراجة نارية")</f>
        <v>لدي دراجة نارية</v>
      </c>
    </row>
    <row r="9117" ht="15.75" customHeight="1">
      <c r="A9117" s="12" t="s">
        <v>20188</v>
      </c>
      <c r="B9117" s="13" t="s">
        <v>20189</v>
      </c>
      <c r="C9117" s="14" t="s">
        <v>20190</v>
      </c>
      <c r="D9117" s="1" t="str">
        <f>IFERROR(__xludf.DUMMYFUNCTION("GOOGLETRANSLATE(A9117 , ""auto"", ""ar"")"),"اشتريت دراجة نارية جديدة")</f>
        <v>اشتريت دراجة نارية جديدة</v>
      </c>
    </row>
    <row r="9118" ht="15.75" customHeight="1">
      <c r="A9118" s="12" t="s">
        <v>20191</v>
      </c>
      <c r="B9118" s="13" t="s">
        <v>20192</v>
      </c>
      <c r="C9118" s="14" t="s">
        <v>20193</v>
      </c>
      <c r="D9118" s="1" t="str">
        <f>IFERROR(__xludf.DUMMYFUNCTION("GOOGLETRANSLATE(A9118 , ""auto"", ""ar"")"),"ضع السكين")</f>
        <v>ضع السكين</v>
      </c>
    </row>
    <row r="9119" ht="15.75" customHeight="1">
      <c r="A9119" s="12" t="s">
        <v>20194</v>
      </c>
      <c r="B9119" s="13" t="s">
        <v>20195</v>
      </c>
      <c r="C9119" s="14" t="s">
        <v>20196</v>
      </c>
      <c r="D9119" s="1" t="str">
        <f>IFERROR(__xludf.DUMMYFUNCTION("GOOGLETRANSLATE(A9119 , ""auto"", ""ar"")"),"لا تلعب بالسكين")</f>
        <v>لا تلعب بالسكين</v>
      </c>
    </row>
    <row r="9120" ht="15.75" customHeight="1">
      <c r="A9120" s="12" t="s">
        <v>20197</v>
      </c>
      <c r="B9120" s="13" t="s">
        <v>20198</v>
      </c>
      <c r="C9120" s="14" t="s">
        <v>20199</v>
      </c>
      <c r="D9120" s="1" t="str">
        <f>IFERROR(__xludf.DUMMYFUNCTION("GOOGLETRANSLATE(A9120 , ""auto"", ""ar"")"),"افتح النافذة")</f>
        <v>افتح النافذة</v>
      </c>
    </row>
    <row r="9121" ht="15.75" customHeight="1">
      <c r="A9121" s="12" t="s">
        <v>20200</v>
      </c>
      <c r="B9121" s="13" t="s">
        <v>20201</v>
      </c>
      <c r="C9121" s="14" t="s">
        <v>20202</v>
      </c>
      <c r="D9121" s="1" t="str">
        <f>IFERROR(__xludf.DUMMYFUNCTION("GOOGLETRANSLATE(A9121 , ""auto"", ""ar"")"),"أغلق النافذة")</f>
        <v>أغلق النافذة</v>
      </c>
    </row>
    <row r="9122" ht="15.75" customHeight="1">
      <c r="A9122" s="12" t="s">
        <v>20203</v>
      </c>
      <c r="B9122" s="13" t="s">
        <v>20204</v>
      </c>
      <c r="C9122" s="14" t="s">
        <v>20205</v>
      </c>
      <c r="D9122" s="1" t="str">
        <f>IFERROR(__xludf.DUMMYFUNCTION("GOOGLETRANSLATE(A9122 , ""auto"", ""ar"")"),"النافذة كبيرة")</f>
        <v>النافذة كبيرة</v>
      </c>
    </row>
    <row r="9123" ht="15.75" customHeight="1">
      <c r="A9123" s="12" t="s">
        <v>20206</v>
      </c>
      <c r="B9123" s="13" t="s">
        <v>20207</v>
      </c>
      <c r="C9123" s="14" t="s">
        <v>20208</v>
      </c>
      <c r="D9123" s="1" t="str">
        <f>IFERROR(__xludf.DUMMYFUNCTION("GOOGLETRANSLATE(A9123 , ""auto"", ""ar"")"),"لا توجد شرفة في المنزل")</f>
        <v>لا توجد شرفة في المنزل</v>
      </c>
    </row>
    <row r="9124" ht="15.75" customHeight="1">
      <c r="A9124" s="12" t="s">
        <v>20209</v>
      </c>
      <c r="B9124" s="13" t="s">
        <v>20210</v>
      </c>
      <c r="C9124" s="14" t="s">
        <v>20211</v>
      </c>
      <c r="D9124" s="1" t="str">
        <f>IFERROR(__xludf.DUMMYFUNCTION("GOOGLETRANSLATE(A9124 , ""auto"", ""ar"")"),"يدخن في الشرفة")</f>
        <v>يدخن في الشرفة</v>
      </c>
    </row>
    <row r="9125" ht="15.75" customHeight="1">
      <c r="A9125" s="12" t="s">
        <v>20212</v>
      </c>
      <c r="B9125" s="13" t="s">
        <v>20213</v>
      </c>
      <c r="C9125" s="14" t="s">
        <v>20214</v>
      </c>
      <c r="D9125" s="1" t="str">
        <f>IFERROR(__xludf.DUMMYFUNCTION("GOOGLETRANSLATE(A9125 , ""auto"", ""ar"")"),"يدخن كثيرا")</f>
        <v>يدخن كثيرا</v>
      </c>
    </row>
    <row r="9126" ht="15.75" customHeight="1">
      <c r="A9126" s="12" t="s">
        <v>20215</v>
      </c>
      <c r="B9126" s="13" t="s">
        <v>20216</v>
      </c>
      <c r="C9126" s="14" t="s">
        <v>20217</v>
      </c>
      <c r="D9126" s="1" t="str">
        <f>IFERROR(__xludf.DUMMYFUNCTION("GOOGLETRANSLATE(A9126 , ""auto"", ""ar"")"),"إنه الذي يبدأ")</f>
        <v>إنه الذي يبدأ</v>
      </c>
    </row>
    <row r="9127" ht="15.75" customHeight="1">
      <c r="A9127" s="12" t="s">
        <v>20218</v>
      </c>
      <c r="B9127" s="13" t="s">
        <v>20219</v>
      </c>
      <c r="C9127" s="14" t="s">
        <v>20220</v>
      </c>
      <c r="D9127" s="1" t="str">
        <f>IFERROR(__xludf.DUMMYFUNCTION("GOOGLETRANSLATE(A9127 , ""auto"", ""ar"")"),"هو Overthinks")</f>
        <v>هو Overthinks</v>
      </c>
    </row>
    <row r="9128" ht="15.75" customHeight="1">
      <c r="A9128" s="12" t="s">
        <v>20221</v>
      </c>
      <c r="B9128" s="13" t="s">
        <v>20222</v>
      </c>
      <c r="C9128" s="14" t="s">
        <v>20223</v>
      </c>
      <c r="D9128" s="1" t="str">
        <f>IFERROR(__xludf.DUMMYFUNCTION("GOOGLETRANSLATE(A9128 , ""auto"", ""ar"")"),"التفكير الزائد عن اللازم")</f>
        <v>التفكير الزائد عن اللازم</v>
      </c>
    </row>
    <row r="9129" ht="15.75" customHeight="1">
      <c r="A9129" s="12" t="s">
        <v>20224</v>
      </c>
      <c r="B9129" s="13" t="s">
        <v>20225</v>
      </c>
      <c r="C9129" s="14" t="s">
        <v>20226</v>
      </c>
      <c r="D9129" s="1" t="str">
        <f>IFERROR(__xludf.DUMMYFUNCTION("GOOGLETRANSLATE(A9129 , ""auto"", ""ar"")"),"لدي مشكلة")</f>
        <v>لدي مشكلة</v>
      </c>
    </row>
    <row r="9130" ht="15.75" customHeight="1">
      <c r="A9130" s="12" t="s">
        <v>20227</v>
      </c>
      <c r="B9130" s="13" t="s">
        <v>20228</v>
      </c>
      <c r="C9130" s="14" t="s">
        <v>20229</v>
      </c>
      <c r="D9130" s="1" t="str">
        <f>IFERROR(__xludf.DUMMYFUNCTION("GOOGLETRANSLATE(A9130 , ""auto"", ""ar"")"),"مشكلة كبيرة")</f>
        <v>مشكلة كبيرة</v>
      </c>
    </row>
    <row r="9131" ht="15.75" customHeight="1">
      <c r="A9131" s="12" t="s">
        <v>20230</v>
      </c>
      <c r="B9131" s="13" t="s">
        <v>20231</v>
      </c>
      <c r="C9131" s="14" t="s">
        <v>20232</v>
      </c>
      <c r="D9131" s="1" t="str">
        <f>IFERROR(__xludf.DUMMYFUNCTION("GOOGLETRANSLATE(A9131 , ""auto"", ""ar"")"),"هو في السجن")</f>
        <v>هو في السجن</v>
      </c>
    </row>
    <row r="9132" ht="15.75" customHeight="1">
      <c r="A9132" s="12" t="s">
        <v>20233</v>
      </c>
      <c r="B9132" s="13" t="s">
        <v>20234</v>
      </c>
      <c r="C9132" s="14" t="s">
        <v>20235</v>
      </c>
      <c r="D9132" s="1" t="str">
        <f>IFERROR(__xludf.DUMMYFUNCTION("GOOGLETRANSLATE(A9132 , ""auto"", ""ar"")"),"المنشفة نظيفة")</f>
        <v>المنشفة نظيفة</v>
      </c>
    </row>
    <row r="9133" ht="15.75" customHeight="1">
      <c r="A9133" s="12" t="s">
        <v>20236</v>
      </c>
      <c r="B9133" s="13" t="s">
        <v>20237</v>
      </c>
      <c r="C9133" s="14" t="s">
        <v>20238</v>
      </c>
      <c r="D9133" s="1" t="str">
        <f>IFERROR(__xludf.DUMMYFUNCTION("GOOGLETRANSLATE(A9133 , ""auto"", ""ar"")"),"المنشفة قذرة")</f>
        <v>المنشفة قذرة</v>
      </c>
    </row>
    <row r="9134" ht="15.75" customHeight="1">
      <c r="A9134" s="12" t="s">
        <v>20239</v>
      </c>
      <c r="B9134" s="13" t="s">
        <v>20240</v>
      </c>
      <c r="C9134" s="14" t="s">
        <v>20241</v>
      </c>
      <c r="D9134" s="1" t="str">
        <f>IFERROR(__xludf.DUMMYFUNCTION("GOOGLETRANSLATE(A9134 , ""auto"", ""ar"")"),"الطعام لا يكفي")</f>
        <v>الطعام لا يكفي</v>
      </c>
    </row>
    <row r="9135" ht="15.75" customHeight="1">
      <c r="A9135" s="12" t="s">
        <v>20242</v>
      </c>
      <c r="B9135" s="13" t="s">
        <v>20243</v>
      </c>
      <c r="C9135" s="14" t="s">
        <v>20244</v>
      </c>
      <c r="D9135" s="1" t="str">
        <f>IFERROR(__xludf.DUMMYFUNCTION("GOOGLETRANSLATE(A9135 , ""auto"", ""ar"")"),"هذا لا يكفي")</f>
        <v>هذا لا يكفي</v>
      </c>
    </row>
    <row r="9136" ht="15.75" customHeight="1">
      <c r="A9136" s="12" t="s">
        <v>20245</v>
      </c>
      <c r="B9136" s="13" t="s">
        <v>20246</v>
      </c>
      <c r="C9136" s="14" t="s">
        <v>20247</v>
      </c>
      <c r="D9136" s="1" t="str">
        <f>IFERROR(__xludf.DUMMYFUNCTION("GOOGLETRANSLATE(A9136 , ""auto"", ""ar"")"),"نحن كثيرون")</f>
        <v>نحن كثيرون</v>
      </c>
    </row>
    <row r="9137" ht="15.75" customHeight="1">
      <c r="A9137" s="12" t="s">
        <v>20248</v>
      </c>
      <c r="B9137" s="13" t="s">
        <v>20249</v>
      </c>
      <c r="C9137" s="14" t="s">
        <v>20250</v>
      </c>
      <c r="D9137" s="1" t="str">
        <f>IFERROR(__xludf.DUMMYFUNCTION("GOOGLETRANSLATE(A9137 , ""auto"", ""ar"")"),"هذا ليس مضحكا")</f>
        <v>هذا ليس مضحكا</v>
      </c>
    </row>
    <row r="9138" ht="15.75" customHeight="1">
      <c r="A9138" s="12" t="s">
        <v>20251</v>
      </c>
      <c r="B9138" s="13" t="s">
        <v>20252</v>
      </c>
      <c r="C9138" s="14" t="s">
        <v>20253</v>
      </c>
      <c r="D9138" s="1" t="str">
        <f>IFERROR(__xludf.DUMMYFUNCTION("GOOGLETRANSLATE(A9138 , ""auto"", ""ar"")"),"هو دائما يبكي")</f>
        <v>هو دائما يبكي</v>
      </c>
    </row>
    <row r="9139" ht="15.75" customHeight="1">
      <c r="A9139" s="12" t="s">
        <v>20254</v>
      </c>
      <c r="B9139" s="13" t="s">
        <v>20255</v>
      </c>
      <c r="C9139" s="14" t="s">
        <v>20256</v>
      </c>
      <c r="D9139" s="1" t="str">
        <f>IFERROR(__xludf.DUMMYFUNCTION("GOOGLETRANSLATE(A9139 , ""auto"", ""ar"")"),"أنا آكل كعكة")</f>
        <v>أنا آكل كعكة</v>
      </c>
    </row>
    <row r="9140" ht="15.75" customHeight="1">
      <c r="A9140" s="12" t="s">
        <v>20257</v>
      </c>
      <c r="B9140" s="13" t="s">
        <v>20258</v>
      </c>
      <c r="C9140" s="14" t="s">
        <v>20259</v>
      </c>
      <c r="D9140" s="1" t="str">
        <f>IFERROR(__xludf.DUMMYFUNCTION("GOOGLETRANSLATE(A9140 , ""auto"", ""ar"")"),"تعال لتناول الطعام معي")</f>
        <v>تعال لتناول الطعام معي</v>
      </c>
    </row>
    <row r="9141" ht="15.75" customHeight="1">
      <c r="A9141" s="12" t="s">
        <v>20260</v>
      </c>
      <c r="B9141" s="13" t="s">
        <v>20261</v>
      </c>
      <c r="C9141" s="14" t="s">
        <v>20262</v>
      </c>
      <c r="D9141" s="1" t="str">
        <f>IFERROR(__xludf.DUMMYFUNCTION("GOOGLETRANSLATE(A9141 , ""auto"", ""ar"")"),"لا تأكل معي")</f>
        <v>لا تأكل معي</v>
      </c>
    </row>
    <row r="9142" ht="15.75" customHeight="1">
      <c r="A9142" s="12" t="s">
        <v>20263</v>
      </c>
      <c r="B9142" s="13" t="s">
        <v>20264</v>
      </c>
      <c r="C9142" s="14" t="s">
        <v>20265</v>
      </c>
      <c r="D9142" s="1" t="str">
        <f>IFERROR(__xludf.DUMMYFUNCTION("GOOGLETRANSLATE(A9142 , ""auto"", ""ar"")"),"لا تفكر في هذا")</f>
        <v>لا تفكر في هذا</v>
      </c>
    </row>
    <row r="9143" ht="15.75" customHeight="1">
      <c r="A9143" s="12" t="s">
        <v>20266</v>
      </c>
      <c r="B9143" s="13" t="s">
        <v>20267</v>
      </c>
      <c r="C9143" s="14" t="s">
        <v>20268</v>
      </c>
      <c r="D9143" s="1" t="str">
        <f>IFERROR(__xludf.DUMMYFUNCTION("GOOGLETRANSLATE(A9143 , ""auto"", ""ar"")"),"لا تفكر بهذه الطريقة")</f>
        <v>لا تفكر بهذه الطريقة</v>
      </c>
    </row>
    <row r="9144" ht="15.75" customHeight="1">
      <c r="A9144" s="12" t="s">
        <v>20269</v>
      </c>
      <c r="B9144" s="13" t="s">
        <v>20270</v>
      </c>
      <c r="C9144" s="14" t="s">
        <v>20271</v>
      </c>
      <c r="D9144" s="1" t="str">
        <f>IFERROR(__xludf.DUMMYFUNCTION("GOOGLETRANSLATE(A9144 , ""auto"", ""ar"")"),"الإفراط في التفكير ليس جيدًا")</f>
        <v>الإفراط في التفكير ليس جيدًا</v>
      </c>
    </row>
    <row r="9145" ht="15.75" customHeight="1">
      <c r="A9145" s="12" t="s">
        <v>20272</v>
      </c>
      <c r="B9145" s="13" t="s">
        <v>20273</v>
      </c>
      <c r="C9145" s="14" t="s">
        <v>20274</v>
      </c>
      <c r="D9145" s="1" t="str">
        <f>IFERROR(__xludf.DUMMYFUNCTION("GOOGLETRANSLATE(A9145 , ""auto"", ""ar"")"),"الطقس عاصف")</f>
        <v>الطقس عاصف</v>
      </c>
    </row>
    <row r="9146" ht="15.75" customHeight="1">
      <c r="A9146" s="12" t="s">
        <v>20275</v>
      </c>
      <c r="B9146" s="13" t="s">
        <v>20276</v>
      </c>
      <c r="C9146" s="14" t="s">
        <v>20277</v>
      </c>
      <c r="D9146" s="1" t="str">
        <f>IFERROR(__xludf.DUMMYFUNCTION("GOOGLETRANSLATE(A9146 , ""auto"", ""ar"")"),"إنها تثلج")</f>
        <v>إنها تثلج</v>
      </c>
    </row>
    <row r="9147" ht="15.75" customHeight="1">
      <c r="A9147" s="12" t="s">
        <v>20278</v>
      </c>
      <c r="B9147" s="13" t="s">
        <v>20279</v>
      </c>
      <c r="C9147" s="14" t="s">
        <v>20280</v>
      </c>
      <c r="D9147" s="1" t="str">
        <f>IFERROR(__xludf.DUMMYFUNCTION("GOOGLETRANSLATE(A9147 , ""auto"", ""ar"")"),"رأيت قرد")</f>
        <v>رأيت قرد</v>
      </c>
    </row>
    <row r="9148" ht="15.75" customHeight="1">
      <c r="A9148" s="12" t="s">
        <v>20281</v>
      </c>
      <c r="B9148" s="13" t="s">
        <v>20282</v>
      </c>
      <c r="C9148" s="14" t="s">
        <v>20283</v>
      </c>
      <c r="D9148" s="1" t="str">
        <f>IFERROR(__xludf.DUMMYFUNCTION("GOOGLETRANSLATE(A9148 , ""auto"", ""ar"")"),"ذهبت إلى حديقة الحيوان")</f>
        <v>ذهبت إلى حديقة الحيوان</v>
      </c>
    </row>
    <row r="9149" ht="15.75" customHeight="1">
      <c r="A9149" s="12" t="s">
        <v>20284</v>
      </c>
      <c r="B9149" s="13" t="s">
        <v>20285</v>
      </c>
      <c r="C9149" s="14" t="s">
        <v>20286</v>
      </c>
      <c r="D9149" s="1" t="str">
        <f>IFERROR(__xludf.DUMMYFUNCTION("GOOGLETRANSLATE(A9149 , ""auto"", ""ar"")"),"أسود أطلس")</f>
        <v>أسود أطلس</v>
      </c>
    </row>
    <row r="9150" ht="15.75" customHeight="1">
      <c r="A9150" s="12" t="s">
        <v>20287</v>
      </c>
      <c r="B9150" s="13" t="s">
        <v>20288</v>
      </c>
      <c r="C9150" s="14" t="s">
        <v>20289</v>
      </c>
      <c r="D9150" s="1" t="str">
        <f>IFERROR(__xludf.DUMMYFUNCTION("GOOGLETRANSLATE(A9150 , ""auto"", ""ar"")"),"الثلاجة لا تعمل")</f>
        <v>الثلاجة لا تعمل</v>
      </c>
    </row>
    <row r="9151" ht="15.75" customHeight="1">
      <c r="A9151" s="12" t="s">
        <v>20290</v>
      </c>
      <c r="B9151" s="13" t="s">
        <v>20291</v>
      </c>
      <c r="C9151" s="14" t="s">
        <v>20292</v>
      </c>
      <c r="D9151" s="1" t="str">
        <f>IFERROR(__xludf.DUMMYFUNCTION("GOOGLETRANSLATE(A9151 , ""auto"", ""ar"")"),"انظر هناك")</f>
        <v>انظر هناك</v>
      </c>
    </row>
    <row r="9152" ht="15.75" customHeight="1">
      <c r="A9152" s="12" t="s">
        <v>20293</v>
      </c>
      <c r="B9152" s="13" t="s">
        <v>20294</v>
      </c>
      <c r="C9152" s="14" t="s">
        <v>20295</v>
      </c>
      <c r="D9152" s="1" t="str">
        <f>IFERROR(__xludf.DUMMYFUNCTION("GOOGLETRANSLATE(A9152 , ""auto"", ""ar"")"),"انها ليست بعيدة")</f>
        <v>انها ليست بعيدة</v>
      </c>
    </row>
    <row r="9153" ht="15.75" customHeight="1">
      <c r="A9153" s="12" t="s">
        <v>20296</v>
      </c>
      <c r="B9153" s="13" t="s">
        <v>20297</v>
      </c>
      <c r="C9153" s="14" t="s">
        <v>20298</v>
      </c>
      <c r="D9153" s="1" t="str">
        <f>IFERROR(__xludf.DUMMYFUNCTION("GOOGLETRANSLATE(A9153 , ""auto"", ""ar"")"),"انها ليست قريبة")</f>
        <v>انها ليست قريبة</v>
      </c>
    </row>
    <row r="9154" ht="15.75" customHeight="1">
      <c r="A9154" s="12" t="s">
        <v>20299</v>
      </c>
      <c r="B9154" s="13" t="s">
        <v>20300</v>
      </c>
      <c r="C9154" s="14" t="s">
        <v>20301</v>
      </c>
      <c r="D9154" s="1" t="str">
        <f>IFERROR(__xludf.DUMMYFUNCTION("GOOGLETRANSLATE(A9154 , ""auto"", ""ar"")"),"قال لي كل شيء")</f>
        <v>قال لي كل شيء</v>
      </c>
    </row>
    <row r="9155" ht="15.75" customHeight="1">
      <c r="A9155" s="12" t="s">
        <v>20302</v>
      </c>
      <c r="B9155" s="13" t="s">
        <v>20303</v>
      </c>
      <c r="C9155" s="14" t="s">
        <v>20304</v>
      </c>
      <c r="D9155" s="1" t="str">
        <f>IFERROR(__xludf.DUMMYFUNCTION("GOOGLETRANSLATE(A9155 , ""auto"", ""ar"")"),"يقول لي كل شيء")</f>
        <v>يقول لي كل شيء</v>
      </c>
    </row>
    <row r="9156" ht="15.75" customHeight="1">
      <c r="A9156" s="12" t="s">
        <v>20305</v>
      </c>
      <c r="B9156" s="13" t="s">
        <v>20306</v>
      </c>
      <c r="C9156" s="14" t="s">
        <v>20307</v>
      </c>
      <c r="D9156" s="1" t="str">
        <f>IFERROR(__xludf.DUMMYFUNCTION("GOOGLETRANSLATE(A9156 , ""auto"", ""ar"")"),"لا يخبرني بأي شيء")</f>
        <v>لا يخبرني بأي شيء</v>
      </c>
    </row>
    <row r="9157" ht="15.75" customHeight="1">
      <c r="A9157" s="12" t="s">
        <v>20308</v>
      </c>
      <c r="B9157" s="13" t="s">
        <v>20309</v>
      </c>
      <c r="C9157" s="14" t="s">
        <v>20310</v>
      </c>
      <c r="D9157" s="1" t="str">
        <f>IFERROR(__xludf.DUMMYFUNCTION("GOOGLETRANSLATE(A9157 , ""auto"", ""ar"")"),"الخبز متموج")</f>
        <v>الخبز متموج</v>
      </c>
    </row>
    <row r="9158" ht="15.75" customHeight="1">
      <c r="A9158" s="12" t="s">
        <v>20311</v>
      </c>
      <c r="B9158" s="13" t="s">
        <v>20312</v>
      </c>
      <c r="C9158" s="14" t="s">
        <v>20313</v>
      </c>
      <c r="D9158" s="1" t="str">
        <f>IFERROR(__xludf.DUMMYFUNCTION("GOOGLETRANSLATE(A9158 , ""auto"", ""ar"")"),"قهوة مع الحليب")</f>
        <v>قهوة مع الحليب</v>
      </c>
    </row>
    <row r="9159" ht="15.75" customHeight="1">
      <c r="A9159" s="12" t="s">
        <v>20314</v>
      </c>
      <c r="B9159" s="13" t="s">
        <v>20315</v>
      </c>
      <c r="C9159" s="14" t="s">
        <v>20316</v>
      </c>
      <c r="D9159" s="1" t="str">
        <f>IFERROR(__xludf.DUMMYFUNCTION("GOOGLETRANSLATE(A9159 , ""auto"", ""ar"")"),"هذا الحليب حلو")</f>
        <v>هذا الحليب حلو</v>
      </c>
    </row>
    <row r="9160" ht="15.75" customHeight="1">
      <c r="A9160" s="12" t="s">
        <v>20317</v>
      </c>
      <c r="B9160" s="13" t="s">
        <v>20318</v>
      </c>
      <c r="C9160" s="14" t="s">
        <v>20319</v>
      </c>
      <c r="D9160" s="1" t="str">
        <f>IFERROR(__xludf.DUMMYFUNCTION("GOOGLETRANSLATE(A9160 , ""auto"", ""ar"")"),"هل أضفت السكر؟")</f>
        <v>هل أضفت السكر؟</v>
      </c>
    </row>
    <row r="9161" ht="15.75" customHeight="1">
      <c r="A9161" s="12" t="s">
        <v>20320</v>
      </c>
      <c r="B9161" s="13" t="s">
        <v>20321</v>
      </c>
      <c r="C9161" s="14" t="s">
        <v>20322</v>
      </c>
      <c r="D9161" s="1" t="str">
        <f>IFERROR(__xludf.DUMMYFUNCTION("GOOGLETRANSLATE(A9161 , ""auto"", ""ar"")"),"لم أضيف السكر")</f>
        <v>لم أضيف السكر</v>
      </c>
    </row>
    <row r="9162" ht="15.75" customHeight="1">
      <c r="A9162" s="12" t="s">
        <v>20323</v>
      </c>
      <c r="B9162" s="13" t="s">
        <v>20324</v>
      </c>
      <c r="C9162" s="14" t="s">
        <v>20325</v>
      </c>
      <c r="D9162" s="1" t="str">
        <f>IFERROR(__xludf.DUMMYFUNCTION("GOOGLETRANSLATE(A9162 , ""auto"", ""ar"")"),"يجب عليك ذهب")</f>
        <v>يجب عليك ذهب</v>
      </c>
    </row>
    <row r="9163" ht="15.75" customHeight="1">
      <c r="A9163" s="12" t="s">
        <v>20326</v>
      </c>
      <c r="B9163" s="13" t="s">
        <v>20327</v>
      </c>
      <c r="C9163" s="14" t="s">
        <v>20328</v>
      </c>
      <c r="D9163" s="1" t="str">
        <f>IFERROR(__xludf.DUMMYFUNCTION("GOOGLETRANSLATE(A9163 , ""auto"", ""ar"")"),"لم يحدث شيء")</f>
        <v>لم يحدث شيء</v>
      </c>
    </row>
    <row r="9164" ht="15.75" customHeight="1">
      <c r="A9164" s="12" t="s">
        <v>20329</v>
      </c>
      <c r="B9164" s="13" t="s">
        <v>20330</v>
      </c>
      <c r="C9164" s="14" t="s">
        <v>20331</v>
      </c>
      <c r="D9164" s="1" t="str">
        <f>IFERROR(__xludf.DUMMYFUNCTION("GOOGLETRANSLATE(A9164 , ""auto"", ""ar"")"),"هذه كارثة")</f>
        <v>هذه كارثة</v>
      </c>
    </row>
    <row r="9165" ht="15.75" customHeight="1">
      <c r="A9165" s="12" t="s">
        <v>20332</v>
      </c>
      <c r="B9165" s="13" t="s">
        <v>20333</v>
      </c>
      <c r="C9165" s="14" t="s">
        <v>20334</v>
      </c>
      <c r="D9165" s="1" t="str">
        <f>IFERROR(__xludf.DUMMYFUNCTION("GOOGLETRANSLATE(A9165 , ""auto"", ""ar"")"),"أنا أشجعك")</f>
        <v>أنا أشجعك</v>
      </c>
    </row>
    <row r="9166" ht="15.75" customHeight="1">
      <c r="A9166" s="12" t="s">
        <v>20335</v>
      </c>
      <c r="B9166" s="13" t="s">
        <v>20336</v>
      </c>
      <c r="C9166" s="14" t="s">
        <v>20337</v>
      </c>
      <c r="D9166" s="1" t="str">
        <f>IFERROR(__xludf.DUMMYFUNCTION("GOOGLETRANSLATE(A9166 , ""auto"", ""ar"")"),"أنا لا أشجعك")</f>
        <v>أنا لا أشجعك</v>
      </c>
    </row>
    <row r="9167" ht="15.75" customHeight="1">
      <c r="A9167" s="12" t="s">
        <v>20338</v>
      </c>
      <c r="B9167" s="13" t="s">
        <v>20339</v>
      </c>
      <c r="C9167" s="14" t="s">
        <v>20340</v>
      </c>
      <c r="D9167" s="1" t="str">
        <f>IFERROR(__xludf.DUMMYFUNCTION("GOOGLETRANSLATE(A9167 , ""auto"", ""ar"")"),"أنا لا أفعل هذا")</f>
        <v>أنا لا أفعل هذا</v>
      </c>
    </row>
    <row r="9168" ht="15.75" customHeight="1">
      <c r="A9168" s="12" t="s">
        <v>20341</v>
      </c>
      <c r="B9168" s="13" t="s">
        <v>20342</v>
      </c>
      <c r="C9168" s="14" t="s">
        <v>20343</v>
      </c>
      <c r="D9168" s="1" t="str">
        <f>IFERROR(__xludf.DUMMYFUNCTION("GOOGLETRANSLATE(A9168 , ""auto"", ""ar"")"),"أفعل هذا")</f>
        <v>أفعل هذا</v>
      </c>
    </row>
    <row r="9169" ht="15.75" customHeight="1">
      <c r="A9169" s="12" t="s">
        <v>20344</v>
      </c>
      <c r="B9169" s="13" t="s">
        <v>20345</v>
      </c>
      <c r="C9169" s="14" t="s">
        <v>20346</v>
      </c>
      <c r="D9169" s="1" t="str">
        <f>IFERROR(__xludf.DUMMYFUNCTION("GOOGLETRANSLATE(A9169 , ""auto"", ""ar"")"),"مثله")</f>
        <v>مثله</v>
      </c>
    </row>
    <row r="9170" ht="15.75" customHeight="1">
      <c r="A9170" s="12" t="s">
        <v>20347</v>
      </c>
      <c r="B9170" s="13" t="s">
        <v>20348</v>
      </c>
      <c r="C9170" s="14" t="s">
        <v>20349</v>
      </c>
      <c r="D9170" s="1" t="str">
        <f>IFERROR(__xludf.DUMMYFUNCTION("GOOGLETRANSLATE(A9170 , ""auto"", ""ar"")"),"ليس كذلك")</f>
        <v>ليس كذلك</v>
      </c>
    </row>
    <row r="9171" ht="15.75" customHeight="1">
      <c r="A9171" s="12" t="s">
        <v>20350</v>
      </c>
      <c r="B9171" s="13" t="s">
        <v>20351</v>
      </c>
      <c r="C9171" s="14" t="s">
        <v>3934</v>
      </c>
      <c r="D9171" s="1" t="str">
        <f>IFERROR(__xludf.DUMMYFUNCTION("GOOGLETRANSLATE(A9171 , ""auto"", ""ar"")"),"هو نفسه")</f>
        <v>هو نفسه</v>
      </c>
    </row>
    <row r="9172" ht="15.75" customHeight="1">
      <c r="A9172" s="12" t="s">
        <v>20352</v>
      </c>
      <c r="B9172" s="13" t="s">
        <v>20353</v>
      </c>
      <c r="C9172" s="14" t="s">
        <v>20354</v>
      </c>
      <c r="D9172" s="1" t="str">
        <f>IFERROR(__xludf.DUMMYFUNCTION("GOOGLETRANSLATE(A9172 , ""auto"", ""ar"")"),"سرق محفظتي")</f>
        <v>سرق محفظتي</v>
      </c>
    </row>
    <row r="9173" ht="15.75" customHeight="1">
      <c r="A9173" s="12" t="s">
        <v>20355</v>
      </c>
      <c r="B9173" s="13" t="s">
        <v>20356</v>
      </c>
      <c r="C9173" s="14" t="s">
        <v>20357</v>
      </c>
      <c r="D9173" s="1" t="str">
        <f>IFERROR(__xludf.DUMMYFUNCTION("GOOGLETRANSLATE(A9173 , ""auto"", ""ar"")"),"قضيت الكثير من المال")</f>
        <v>قضيت الكثير من المال</v>
      </c>
    </row>
    <row r="9174" ht="15.75" customHeight="1">
      <c r="A9174" s="12" t="s">
        <v>20358</v>
      </c>
      <c r="B9174" s="13" t="s">
        <v>20359</v>
      </c>
      <c r="C9174" s="14" t="s">
        <v>20360</v>
      </c>
      <c r="D9174" s="1" t="str">
        <f>IFERROR(__xludf.DUMMYFUNCTION("GOOGLETRANSLATE(A9174 , ""auto"", ""ar"")"),"لقد كلفني الكثير من المال")</f>
        <v>لقد كلفني الكثير من المال</v>
      </c>
    </row>
    <row r="9175" ht="15.75" customHeight="1">
      <c r="A9175" s="12" t="s">
        <v>20361</v>
      </c>
      <c r="B9175" s="13" t="s">
        <v>20362</v>
      </c>
      <c r="C9175" s="14" t="s">
        <v>20363</v>
      </c>
      <c r="D9175" s="1" t="str">
        <f>IFERROR(__xludf.DUMMYFUNCTION("GOOGLETRANSLATE(A9175 , ""auto"", ""ar"")"),"لم يكلفني الكثير من المال")</f>
        <v>لم يكلفني الكثير من المال</v>
      </c>
    </row>
    <row r="9176" ht="15.75" customHeight="1">
      <c r="A9176" s="12" t="s">
        <v>20364</v>
      </c>
      <c r="B9176" s="13" t="s">
        <v>20365</v>
      </c>
      <c r="C9176" s="14" t="s">
        <v>20366</v>
      </c>
      <c r="D9176" s="1" t="str">
        <f>IFERROR(__xludf.DUMMYFUNCTION("GOOGLETRANSLATE(A9176 , ""auto"", ""ar"")"),"أنا دائما آتي إلى هنا")</f>
        <v>أنا دائما آتي إلى هنا</v>
      </c>
    </row>
    <row r="9177" ht="15.75" customHeight="1">
      <c r="A9177" s="12" t="s">
        <v>20367</v>
      </c>
      <c r="B9177" s="13" t="s">
        <v>20368</v>
      </c>
      <c r="C9177" s="14" t="s">
        <v>20369</v>
      </c>
      <c r="D9177" s="1" t="str">
        <f>IFERROR(__xludf.DUMMYFUNCTION("GOOGLETRANSLATE(A9177 , ""auto"", ""ar"")"),"انا احب هذا المكان")</f>
        <v>انا احب هذا المكان</v>
      </c>
    </row>
    <row r="9178" ht="15.75" customHeight="1">
      <c r="A9178" s="12" t="s">
        <v>20370</v>
      </c>
      <c r="B9178" s="13" t="s">
        <v>20371</v>
      </c>
      <c r="C9178" s="14" t="s">
        <v>20372</v>
      </c>
      <c r="D9178" s="1" t="str">
        <f>IFERROR(__xludf.DUMMYFUNCTION("GOOGLETRANSLATE(A9178 , ""auto"", ""ar"")"),"لا أحب هذا المكان")</f>
        <v>لا أحب هذا المكان</v>
      </c>
    </row>
    <row r="9179" ht="15.75" customHeight="1">
      <c r="A9179" s="12" t="s">
        <v>20373</v>
      </c>
      <c r="B9179" s="13" t="s">
        <v>20374</v>
      </c>
      <c r="C9179" s="14" t="s">
        <v>20375</v>
      </c>
      <c r="D9179" s="1" t="str">
        <f>IFERROR(__xludf.DUMMYFUNCTION("GOOGLETRANSLATE(A9179 , ""auto"", ""ar"")"),"هذا المكان هو جميل")</f>
        <v>هذا المكان هو جميل</v>
      </c>
    </row>
    <row r="9180" ht="15.75" customHeight="1">
      <c r="A9180" s="12" t="s">
        <v>8592</v>
      </c>
      <c r="B9180" s="13" t="s">
        <v>20376</v>
      </c>
      <c r="C9180" s="14" t="s">
        <v>20377</v>
      </c>
      <c r="D9180" s="1" t="str">
        <f>IFERROR(__xludf.DUMMYFUNCTION("GOOGLETRANSLATE(A9180 , ""auto"", ""ar"")"),"اريد الراحة")</f>
        <v>اريد الراحة</v>
      </c>
    </row>
    <row r="9181" ht="15.75" customHeight="1">
      <c r="A9181" s="12" t="s">
        <v>20378</v>
      </c>
      <c r="B9181" s="13" t="s">
        <v>20379</v>
      </c>
      <c r="C9181" s="14" t="s">
        <v>20380</v>
      </c>
      <c r="D9181" s="1" t="str">
        <f>IFERROR(__xludf.DUMMYFUNCTION("GOOGLETRANSLATE(A9181 , ""auto"", ""ar"")"),"سوف آخذ قيلولة")</f>
        <v>سوف آخذ قيلولة</v>
      </c>
    </row>
    <row r="9182" ht="15.75" customHeight="1">
      <c r="A9182" s="12" t="s">
        <v>20381</v>
      </c>
      <c r="B9182" s="13" t="s">
        <v>20382</v>
      </c>
      <c r="C9182" s="14" t="s">
        <v>20383</v>
      </c>
      <c r="D9182" s="1" t="str">
        <f>IFERROR(__xludf.DUMMYFUNCTION("GOOGLETRANSLATE(A9182 , ""auto"", ""ar"")"),"تناولت غداء متأخر")</f>
        <v>تناولت غداء متأخر</v>
      </c>
    </row>
    <row r="9183" ht="15.75" customHeight="1">
      <c r="A9183" s="12" t="s">
        <v>20384</v>
      </c>
      <c r="B9183" s="13" t="s">
        <v>20385</v>
      </c>
      <c r="C9183" s="14" t="s">
        <v>20386</v>
      </c>
      <c r="D9183" s="1" t="str">
        <f>IFERROR(__xludf.DUMMYFUNCTION("GOOGLETRANSLATE(A9183 , ""auto"", ""ar"")"),"تناولت غدائي مبكرًا")</f>
        <v>تناولت غدائي مبكرًا</v>
      </c>
    </row>
    <row r="9184" ht="15.75" customHeight="1">
      <c r="A9184" s="12" t="s">
        <v>20387</v>
      </c>
      <c r="B9184" s="13" t="s">
        <v>20388</v>
      </c>
      <c r="C9184" s="14" t="s">
        <v>20389</v>
      </c>
      <c r="D9184" s="1" t="str">
        <f>IFERROR(__xludf.DUMMYFUNCTION("GOOGLETRANSLATE(A9184 , ""auto"", ""ar"")"),"تناولت غدائي بسرعة")</f>
        <v>تناولت غدائي بسرعة</v>
      </c>
    </row>
    <row r="9185" ht="15.75" customHeight="1">
      <c r="A9185" s="12" t="s">
        <v>20390</v>
      </c>
      <c r="B9185" s="13" t="s">
        <v>20391</v>
      </c>
      <c r="C9185" s="14" t="s">
        <v>20392</v>
      </c>
      <c r="D9185" s="1" t="str">
        <f>IFERROR(__xludf.DUMMYFUNCTION("GOOGLETRANSLATE(A9185 , ""auto"", ""ar"")"),"يأكل ببطء")</f>
        <v>يأكل ببطء</v>
      </c>
    </row>
    <row r="9186" ht="15.75" customHeight="1">
      <c r="A9186" s="12" t="s">
        <v>20393</v>
      </c>
      <c r="B9186" s="13" t="s">
        <v>20394</v>
      </c>
      <c r="C9186" s="14" t="s">
        <v>20395</v>
      </c>
      <c r="D9186" s="1" t="str">
        <f>IFERROR(__xludf.DUMMYFUNCTION("GOOGLETRANSLATE(A9186 , ""auto"", ""ar"")"),"يأكل بسرعة")</f>
        <v>يأكل بسرعة</v>
      </c>
    </row>
    <row r="9187" ht="15.75" customHeight="1">
      <c r="A9187" s="12" t="s">
        <v>20396</v>
      </c>
      <c r="B9187" s="13" t="s">
        <v>10364</v>
      </c>
      <c r="C9187" s="14" t="s">
        <v>9703</v>
      </c>
      <c r="D9187" s="1" t="str">
        <f>IFERROR(__xludf.DUMMYFUNCTION("GOOGLETRANSLATE(A9187 , ""auto"", ""ar"")"),"ساعدني من فضلك")</f>
        <v>ساعدني من فضلك</v>
      </c>
    </row>
    <row r="9188" ht="15.75" customHeight="1">
      <c r="A9188" s="12" t="s">
        <v>20397</v>
      </c>
      <c r="B9188" s="13" t="s">
        <v>20398</v>
      </c>
      <c r="C9188" s="14" t="s">
        <v>20399</v>
      </c>
      <c r="D9188" s="1" t="str">
        <f>IFERROR(__xludf.DUMMYFUNCTION("GOOGLETRANSLATE(A9188 , ""auto"", ""ar"")"),"لا تساعدني")</f>
        <v>لا تساعدني</v>
      </c>
    </row>
    <row r="9189" ht="15.75" customHeight="1">
      <c r="A9189" s="12" t="s">
        <v>20400</v>
      </c>
      <c r="B9189" s="13" t="s">
        <v>20401</v>
      </c>
      <c r="C9189" s="14" t="s">
        <v>20402</v>
      </c>
      <c r="D9189" s="1" t="str">
        <f>IFERROR(__xludf.DUMMYFUNCTION("GOOGLETRANSLATE(A9189 , ""auto"", ""ar"")"),"إنه يتحدث عني")</f>
        <v>إنه يتحدث عني</v>
      </c>
    </row>
    <row r="9190" ht="15.75" customHeight="1">
      <c r="A9190" s="12" t="s">
        <v>20403</v>
      </c>
      <c r="B9190" s="13" t="s">
        <v>20404</v>
      </c>
      <c r="C9190" s="14" t="s">
        <v>20405</v>
      </c>
      <c r="D9190" s="1" t="str">
        <f>IFERROR(__xludf.DUMMYFUNCTION("GOOGLETRANSLATE(A9190 , ""auto"", ""ar"")"),"أنا أستمع إلى الراديو")</f>
        <v>أنا أستمع إلى الراديو</v>
      </c>
    </row>
    <row r="9191" ht="15.75" customHeight="1">
      <c r="A9191" s="12" t="s">
        <v>20406</v>
      </c>
      <c r="B9191" s="13" t="s">
        <v>20407</v>
      </c>
      <c r="C9191" s="14" t="s">
        <v>20408</v>
      </c>
      <c r="D9191" s="1" t="str">
        <f>IFERROR(__xludf.DUMMYFUNCTION("GOOGLETRANSLATE(A9191 , ""auto"", ""ar"")"),"اقسم")</f>
        <v>اقسم</v>
      </c>
    </row>
    <row r="9192" ht="15.75" customHeight="1">
      <c r="A9192" s="12" t="s">
        <v>20409</v>
      </c>
      <c r="B9192" s="13" t="s">
        <v>20410</v>
      </c>
      <c r="C9192" s="14" t="s">
        <v>20411</v>
      </c>
      <c r="D9192" s="1" t="str">
        <f>IFERROR(__xludf.DUMMYFUNCTION("GOOGLETRANSLATE(A9192 , ""auto"", ""ar"")"),"أنا زراعة النباتات")</f>
        <v>أنا زراعة النباتات</v>
      </c>
    </row>
    <row r="9193" ht="15.75" customHeight="1">
      <c r="A9193" s="12" t="s">
        <v>20412</v>
      </c>
      <c r="B9193" s="13" t="s">
        <v>20413</v>
      </c>
      <c r="C9193" s="14" t="s">
        <v>20414</v>
      </c>
      <c r="D9193" s="1" t="str">
        <f>IFERROR(__xludf.DUMMYFUNCTION("GOOGLETRANSLATE(A9193 , ""auto"", ""ar"")"),"سأتصل سيارة أجرة")</f>
        <v>سأتصل سيارة أجرة</v>
      </c>
    </row>
    <row r="9194" ht="15.75" customHeight="1">
      <c r="A9194" s="12" t="s">
        <v>20415</v>
      </c>
      <c r="B9194" s="13" t="s">
        <v>20416</v>
      </c>
      <c r="C9194" s="14" t="s">
        <v>20417</v>
      </c>
      <c r="D9194" s="1" t="str">
        <f>IFERROR(__xludf.DUMMYFUNCTION("GOOGLETRANSLATE(A9194 , ""auto"", ""ar"")"),"أنا في انتظار أن يأتي")</f>
        <v>أنا في انتظار أن يأتي</v>
      </c>
    </row>
    <row r="9195" ht="15.75" customHeight="1">
      <c r="A9195" s="12" t="s">
        <v>20418</v>
      </c>
      <c r="B9195" s="13" t="s">
        <v>20419</v>
      </c>
      <c r="C9195" s="14" t="s">
        <v>20420</v>
      </c>
      <c r="D9195" s="1" t="str">
        <f>IFERROR(__xludf.DUMMYFUNCTION("GOOGLETRANSLATE(A9195 , ""auto"", ""ar"")"),"ما زال لم يأت")</f>
        <v>ما زال لم يأت</v>
      </c>
    </row>
    <row r="9196" ht="15.75" customHeight="1">
      <c r="A9196" s="12" t="s">
        <v>20421</v>
      </c>
      <c r="B9196" s="13" t="s">
        <v>20422</v>
      </c>
      <c r="C9196" s="14" t="s">
        <v>20423</v>
      </c>
      <c r="D9196" s="1" t="str">
        <f>IFERROR(__xludf.DUMMYFUNCTION("GOOGLETRANSLATE(A9196 , ""auto"", ""ar"")"),"سأعاقبك")</f>
        <v>سأعاقبك</v>
      </c>
    </row>
    <row r="9197" ht="15.75" customHeight="1">
      <c r="A9197" s="12" t="s">
        <v>20424</v>
      </c>
      <c r="B9197" s="13" t="s">
        <v>20425</v>
      </c>
      <c r="C9197" s="14" t="s">
        <v>20426</v>
      </c>
      <c r="D9197" s="1" t="str">
        <f>IFERROR(__xludf.DUMMYFUNCTION("GOOGLETRANSLATE(A9197 , ""auto"", ""ar"")"),"لا تعاقبني")</f>
        <v>لا تعاقبني</v>
      </c>
    </row>
    <row r="9198" ht="15.75" customHeight="1">
      <c r="A9198" s="12" t="s">
        <v>20427</v>
      </c>
      <c r="B9198" s="13" t="s">
        <v>20428</v>
      </c>
      <c r="C9198" s="14" t="s">
        <v>20429</v>
      </c>
      <c r="D9198" s="1" t="str">
        <f>IFERROR(__xludf.DUMMYFUNCTION("GOOGLETRANSLATE(A9198 , ""auto"", ""ar"")"),"هذه عقوبة")</f>
        <v>هذه عقوبة</v>
      </c>
    </row>
    <row r="9199" ht="15.75" customHeight="1">
      <c r="A9199" s="12" t="s">
        <v>20430</v>
      </c>
      <c r="B9199" s="13" t="s">
        <v>20431</v>
      </c>
      <c r="C9199" s="14" t="s">
        <v>20432</v>
      </c>
      <c r="D9199" s="1" t="str">
        <f>IFERROR(__xludf.DUMMYFUNCTION("GOOGLETRANSLATE(A9199 , ""auto"", ""ar"")"),"لماذا تعاقبني؟")</f>
        <v>لماذا تعاقبني؟</v>
      </c>
    </row>
    <row r="9200" ht="15.75" customHeight="1">
      <c r="A9200" s="12" t="s">
        <v>20433</v>
      </c>
      <c r="B9200" s="13" t="s">
        <v>20434</v>
      </c>
      <c r="C9200" s="14" t="s">
        <v>20435</v>
      </c>
      <c r="D9200" s="1" t="str">
        <f>IFERROR(__xludf.DUMMYFUNCTION("GOOGLETRANSLATE(A9200 , ""auto"", ""ar"")"),"لماذا انت تتعامل معي هكذا؟")</f>
        <v>لماذا انت تتعامل معي هكذا؟</v>
      </c>
    </row>
    <row r="9201" ht="15.75" customHeight="1">
      <c r="A9201" s="12" t="s">
        <v>20436</v>
      </c>
      <c r="B9201" s="13" t="s">
        <v>20437</v>
      </c>
      <c r="C9201" s="14" t="s">
        <v>20438</v>
      </c>
      <c r="D9201" s="1" t="str">
        <f>IFERROR(__xludf.DUMMYFUNCTION("GOOGLETRANSLATE(A9201 , ""auto"", ""ar"")"),"عليك أن تغير الطريقة التي تعامل بها الآخرين")</f>
        <v>عليك أن تغير الطريقة التي تعامل بها الآخرين</v>
      </c>
    </row>
    <row r="9202" ht="15.75" customHeight="1">
      <c r="A9202" s="12" t="s">
        <v>20439</v>
      </c>
      <c r="B9202" s="13" t="s">
        <v>20440</v>
      </c>
      <c r="C9202" s="14" t="s">
        <v>20441</v>
      </c>
      <c r="D9202" s="1" t="str">
        <f>IFERROR(__xludf.DUMMYFUNCTION("GOOGLETRANSLATE(A9202 , ""auto"", ""ar"")"),"أنت صارم جدا")</f>
        <v>أنت صارم جدا</v>
      </c>
    </row>
    <row r="9203" ht="15.75" customHeight="1">
      <c r="A9203" s="12" t="s">
        <v>20442</v>
      </c>
      <c r="B9203" s="13" t="s">
        <v>20443</v>
      </c>
      <c r="C9203" s="14" t="s">
        <v>20444</v>
      </c>
      <c r="D9203" s="1" t="str">
        <f>IFERROR(__xludf.DUMMYFUNCTION("GOOGLETRANSLATE(A9203 , ""auto"", ""ar"")"),"أنت حساس جدا")</f>
        <v>أنت حساس جدا</v>
      </c>
    </row>
    <row r="9204" ht="15.75" customHeight="1">
      <c r="A9204" s="12" t="s">
        <v>20445</v>
      </c>
      <c r="B9204" s="13" t="s">
        <v>20446</v>
      </c>
      <c r="C9204" s="14" t="s">
        <v>20447</v>
      </c>
      <c r="D9204" s="1" t="str">
        <f>IFERROR(__xludf.DUMMYFUNCTION("GOOGLETRANSLATE(A9204 , ""auto"", ""ar"")"),"انت رومانسي جدا")</f>
        <v>انت رومانسي جدا</v>
      </c>
    </row>
    <row r="9205" ht="15.75" customHeight="1">
      <c r="A9205" s="12" t="s">
        <v>20448</v>
      </c>
      <c r="B9205" s="13" t="s">
        <v>20449</v>
      </c>
      <c r="C9205" s="14" t="s">
        <v>20450</v>
      </c>
      <c r="D9205" s="1" t="str">
        <f>IFERROR(__xludf.DUMMYFUNCTION("GOOGLETRANSLATE(A9205 , ""auto"", ""ar"")"),"احب الكلام معك")</f>
        <v>احب الكلام معك</v>
      </c>
    </row>
    <row r="9206" ht="15.75" customHeight="1">
      <c r="A9206" s="12" t="s">
        <v>20451</v>
      </c>
      <c r="B9206" s="13" t="s">
        <v>20452</v>
      </c>
      <c r="C9206" s="14" t="s">
        <v>20453</v>
      </c>
      <c r="D9206" s="1" t="str">
        <f>IFERROR(__xludf.DUMMYFUNCTION("GOOGLETRANSLATE(A9206 , ""auto"", ""ar"")"),"أحب الاستماع إليك")</f>
        <v>أحب الاستماع إليك</v>
      </c>
    </row>
    <row r="9207" ht="15.75" customHeight="1">
      <c r="A9207" s="12" t="s">
        <v>20454</v>
      </c>
      <c r="B9207" s="13" t="s">
        <v>20455</v>
      </c>
      <c r="C9207" s="14" t="s">
        <v>20456</v>
      </c>
      <c r="D9207" s="1" t="str">
        <f>IFERROR(__xludf.DUMMYFUNCTION("GOOGLETRANSLATE(A9207 , ""auto"", ""ar"")"),"أكره الاستماع إليه")</f>
        <v>أكره الاستماع إليه</v>
      </c>
    </row>
    <row r="9208" ht="15.75" customHeight="1">
      <c r="A9208" s="12" t="s">
        <v>20457</v>
      </c>
      <c r="B9208" s="13" t="s">
        <v>20458</v>
      </c>
      <c r="C9208" s="14" t="s">
        <v>20459</v>
      </c>
      <c r="D9208" s="1" t="str">
        <f>IFERROR(__xludf.DUMMYFUNCTION("GOOGLETRANSLATE(A9208 , ""auto"", ""ar"")"),"أنا دائما أستمع إليه")</f>
        <v>أنا دائما أستمع إليه</v>
      </c>
    </row>
    <row r="9209" ht="15.75" customHeight="1">
      <c r="A9209" s="12" t="s">
        <v>20460</v>
      </c>
      <c r="B9209" s="13" t="s">
        <v>20461</v>
      </c>
      <c r="C9209" s="14" t="s">
        <v>20462</v>
      </c>
      <c r="D9209" s="1" t="str">
        <f>IFERROR(__xludf.DUMMYFUNCTION("GOOGLETRANSLATE(A9209 , ""auto"", ""ar"")"),"ينصحني دائمًا")</f>
        <v>ينصحني دائمًا</v>
      </c>
    </row>
    <row r="9210" ht="15.75" customHeight="1">
      <c r="A9210" s="12" t="s">
        <v>20463</v>
      </c>
      <c r="B9210" s="13" t="s">
        <v>20464</v>
      </c>
      <c r="C9210" s="14" t="s">
        <v>20465</v>
      </c>
      <c r="D9210" s="1" t="str">
        <f>IFERROR(__xludf.DUMMYFUNCTION("GOOGLETRANSLATE(A9210 , ""auto"", ""ar"")"),"كان دائما يتحدث معي")</f>
        <v>كان دائما يتحدث معي</v>
      </c>
    </row>
    <row r="9211" ht="15.75" customHeight="1">
      <c r="A9211" s="12" t="s">
        <v>20466</v>
      </c>
      <c r="B9211" s="13" t="s">
        <v>20467</v>
      </c>
      <c r="C9211" s="14" t="s">
        <v>20468</v>
      </c>
      <c r="D9211" s="1" t="str">
        <f>IFERROR(__xludf.DUMMYFUNCTION("GOOGLETRANSLATE(A9211 , ""auto"", ""ar"")"),"هو دائما يستمع لي")</f>
        <v>هو دائما يستمع لي</v>
      </c>
    </row>
    <row r="9212" ht="15.75" customHeight="1">
      <c r="A9212" s="12" t="s">
        <v>20469</v>
      </c>
      <c r="B9212" s="13" t="s">
        <v>20470</v>
      </c>
      <c r="C9212" s="14" t="s">
        <v>20471</v>
      </c>
      <c r="D9212" s="1" t="str">
        <f>IFERROR(__xludf.DUMMYFUNCTION("GOOGLETRANSLATE(A9212 , ""auto"", ""ar"")"),"لا يستمع إلي")</f>
        <v>لا يستمع إلي</v>
      </c>
    </row>
    <row r="9213" ht="15.75" customHeight="1">
      <c r="A9213" s="12" t="s">
        <v>20472</v>
      </c>
      <c r="B9213" s="13" t="s">
        <v>20473</v>
      </c>
      <c r="C9213" s="14" t="s">
        <v>20474</v>
      </c>
      <c r="D9213" s="1" t="str">
        <f>IFERROR(__xludf.DUMMYFUNCTION("GOOGLETRANSLATE(A9213 , ""auto"", ""ar"")"),"يبتسم دائمًا للآخرين")</f>
        <v>يبتسم دائمًا للآخرين</v>
      </c>
    </row>
    <row r="9214" ht="15.75" customHeight="1">
      <c r="A9214" s="12" t="s">
        <v>20475</v>
      </c>
      <c r="B9214" s="13" t="s">
        <v>20476</v>
      </c>
      <c r="C9214" s="14" t="s">
        <v>20477</v>
      </c>
      <c r="D9214" s="1" t="str">
        <f>IFERROR(__xludf.DUMMYFUNCTION("GOOGLETRANSLATE(A9214 , ""auto"", ""ar"")"),"لا يبتسم للآخرين")</f>
        <v>لا يبتسم للآخرين</v>
      </c>
    </row>
    <row r="9215" ht="15.75" customHeight="1">
      <c r="A9215" s="12" t="s">
        <v>20478</v>
      </c>
      <c r="B9215" s="13" t="s">
        <v>20479</v>
      </c>
      <c r="C9215" s="14" t="s">
        <v>20480</v>
      </c>
      <c r="D9215" s="1" t="str">
        <f>IFERROR(__xludf.DUMMYFUNCTION("GOOGLETRANSLATE(A9215 , ""auto"", ""ar"")"),"سأكون صادق معك")</f>
        <v>سأكون صادق معك</v>
      </c>
    </row>
    <row r="9216" ht="15.75" customHeight="1">
      <c r="A9216" s="12" t="s">
        <v>20481</v>
      </c>
      <c r="B9216" s="13" t="s">
        <v>20482</v>
      </c>
      <c r="C9216" s="14" t="s">
        <v>20483</v>
      </c>
      <c r="D9216" s="1" t="str">
        <f>IFERROR(__xludf.DUMMYFUNCTION("GOOGLETRANSLATE(A9216 , ""auto"", ""ar"")"),"لا يجب أن تفعل هذا")</f>
        <v>لا يجب أن تفعل هذا</v>
      </c>
    </row>
    <row r="9217" ht="15.75" customHeight="1">
      <c r="A9217" s="12" t="s">
        <v>20484</v>
      </c>
      <c r="B9217" s="13" t="s">
        <v>20485</v>
      </c>
      <c r="C9217" s="14" t="s">
        <v>20486</v>
      </c>
      <c r="D9217" s="1" t="str">
        <f>IFERROR(__xludf.DUMMYFUNCTION("GOOGLETRANSLATE(A9217 , ""auto"", ""ar"")"),"يلعب كرة القدم بشكل جيد للغاية")</f>
        <v>يلعب كرة القدم بشكل جيد للغاية</v>
      </c>
    </row>
    <row r="9218" ht="15.75" customHeight="1">
      <c r="A9218" s="12" t="s">
        <v>20487</v>
      </c>
      <c r="B9218" s="13" t="s">
        <v>20488</v>
      </c>
      <c r="C9218" s="14" t="s">
        <v>20489</v>
      </c>
      <c r="D9218" s="1" t="str">
        <f>IFERROR(__xludf.DUMMYFUNCTION("GOOGLETRANSLATE(A9218 , ""auto"", ""ar"")"),"متى تبدأ لعبة كرة القدم؟")</f>
        <v>متى تبدأ لعبة كرة القدم؟</v>
      </c>
    </row>
    <row r="9219" ht="15.75" customHeight="1">
      <c r="A9219" s="12" t="s">
        <v>20490</v>
      </c>
      <c r="B9219" s="13" t="s">
        <v>20491</v>
      </c>
      <c r="C9219" s="14" t="s">
        <v>20492</v>
      </c>
      <c r="D9219" s="1" t="str">
        <f>IFERROR(__xludf.DUMMYFUNCTION("GOOGLETRANSLATE(A9219 , ""auto"", ""ar"")"),"لدي حب الشباب")</f>
        <v>لدي حب الشباب</v>
      </c>
    </row>
    <row r="9220" ht="15.75" customHeight="1">
      <c r="A9220" s="12" t="s">
        <v>20493</v>
      </c>
      <c r="B9220" s="13" t="s">
        <v>20494</v>
      </c>
      <c r="C9220" s="14" t="s">
        <v>20495</v>
      </c>
      <c r="D9220" s="1" t="str">
        <f>IFERROR(__xludf.DUMMYFUNCTION("GOOGLETRANSLATE(A9220 , ""auto"", ""ar"")"),"سأعتني بنفسي")</f>
        <v>سأعتني بنفسي</v>
      </c>
    </row>
    <row r="9221" ht="15.75" customHeight="1">
      <c r="A9221" s="12" t="s">
        <v>20496</v>
      </c>
      <c r="B9221" s="13" t="s">
        <v>20497</v>
      </c>
      <c r="C9221" s="14" t="s">
        <v>20498</v>
      </c>
      <c r="D9221" s="1" t="str">
        <f>IFERROR(__xludf.DUMMYFUNCTION("GOOGLETRANSLATE(A9221 , ""auto"", ""ar"")"),"الحياة قصيرة")</f>
        <v>الحياة قصيرة</v>
      </c>
    </row>
    <row r="9222" ht="15.75" customHeight="1">
      <c r="A9222" s="12" t="s">
        <v>20499</v>
      </c>
      <c r="B9222" s="13" t="s">
        <v>20500</v>
      </c>
      <c r="C9222" s="14" t="s">
        <v>20501</v>
      </c>
      <c r="D9222" s="1" t="str">
        <f>IFERROR(__xludf.DUMMYFUNCTION("GOOGLETRANSLATE(A9222 , ""auto"", ""ar"")"),"لدي أمل")</f>
        <v>لدي أمل</v>
      </c>
    </row>
    <row r="9223" ht="15.75" customHeight="1">
      <c r="A9223" s="12" t="s">
        <v>20502</v>
      </c>
      <c r="B9223" s="13" t="s">
        <v>20503</v>
      </c>
      <c r="C9223" s="14" t="s">
        <v>20504</v>
      </c>
      <c r="D9223" s="1" t="str">
        <f>IFERROR(__xludf.DUMMYFUNCTION("GOOGLETRANSLATE(A9223 , ""auto"", ""ar"")"),"ليس لدي أمل")</f>
        <v>ليس لدي أمل</v>
      </c>
    </row>
    <row r="9224" ht="15.75" customHeight="1">
      <c r="A9224" s="12" t="s">
        <v>20505</v>
      </c>
      <c r="B9224" s="13" t="s">
        <v>20506</v>
      </c>
      <c r="C9224" s="14" t="s">
        <v>20507</v>
      </c>
      <c r="D9224" s="1" t="str">
        <f>IFERROR(__xludf.DUMMYFUNCTION("GOOGLETRANSLATE(A9224 , ""auto"", ""ar"")"),"مات أمس")</f>
        <v>مات أمس</v>
      </c>
    </row>
    <row r="9225" ht="15.75" customHeight="1">
      <c r="A9225" s="12" t="s">
        <v>20508</v>
      </c>
      <c r="B9225" s="13" t="s">
        <v>20509</v>
      </c>
      <c r="C9225" s="14" t="s">
        <v>20510</v>
      </c>
      <c r="D9225" s="1" t="str">
        <f>IFERROR(__xludf.DUMMYFUNCTION("GOOGLETRANSLATE(A9225 , ""auto"", ""ar"")"),"زوجته جميلة")</f>
        <v>زوجته جميلة</v>
      </c>
    </row>
    <row r="9226" ht="15.75" customHeight="1">
      <c r="A9226" s="12" t="s">
        <v>20511</v>
      </c>
      <c r="B9226" s="13" t="s">
        <v>20512</v>
      </c>
      <c r="C9226" s="14" t="s">
        <v>20513</v>
      </c>
      <c r="D9226" s="1" t="str">
        <f>IFERROR(__xludf.DUMMYFUNCTION("GOOGLETRANSLATE(A9226 , ""auto"", ""ar"")"),"زوجته قديمة")</f>
        <v>زوجته قديمة</v>
      </c>
    </row>
    <row r="9227" ht="15.75" customHeight="1">
      <c r="A9227" s="12" t="s">
        <v>20514</v>
      </c>
      <c r="B9227" s="13" t="s">
        <v>20515</v>
      </c>
      <c r="C9227" s="14" t="s">
        <v>20516</v>
      </c>
      <c r="D9227" s="1" t="str">
        <f>IFERROR(__xludf.DUMMYFUNCTION("GOOGLETRANSLATE(A9227 , ""auto"", ""ar"")"),"سأغني أغنية")</f>
        <v>سأغني أغنية</v>
      </c>
    </row>
    <row r="9228" ht="15.75" customHeight="1">
      <c r="A9228" s="12" t="s">
        <v>20517</v>
      </c>
      <c r="B9228" s="13" t="s">
        <v>20518</v>
      </c>
      <c r="C9228" s="14" t="s">
        <v>20519</v>
      </c>
      <c r="D9228" s="1" t="str">
        <f>IFERROR(__xludf.DUMMYFUNCTION("GOOGLETRANSLATE(A9228 , ""auto"", ""ar"")"),"هل يمكنك غناء أغنية من فضلك؟")</f>
        <v>هل يمكنك غناء أغنية من فضلك؟</v>
      </c>
    </row>
    <row r="9229" ht="15.75" customHeight="1">
      <c r="A9229" s="12" t="s">
        <v>20520</v>
      </c>
      <c r="B9229" s="13" t="s">
        <v>20521</v>
      </c>
      <c r="C9229" s="14" t="s">
        <v>20522</v>
      </c>
      <c r="D9229" s="1" t="str">
        <f>IFERROR(__xludf.DUMMYFUNCTION("GOOGLETRANSLATE(A9229 , ""auto"", ""ar"")"),"لا أستطيع تحمل بعد الآن")</f>
        <v>لا أستطيع تحمل بعد الآن</v>
      </c>
    </row>
    <row r="9230" ht="15.75" customHeight="1">
      <c r="A9230" s="12" t="s">
        <v>20523</v>
      </c>
      <c r="B9230" s="13" t="s">
        <v>20524</v>
      </c>
      <c r="C9230" s="14" t="s">
        <v>20525</v>
      </c>
      <c r="D9230" s="1" t="str">
        <f>IFERROR(__xludf.DUMMYFUNCTION("GOOGLETRANSLATE(A9230 , ""auto"", ""ar"")"),"لدي الكثير من الديون")</f>
        <v>لدي الكثير من الديون</v>
      </c>
    </row>
    <row r="9231" ht="15.75" customHeight="1">
      <c r="A9231" s="12" t="s">
        <v>20526</v>
      </c>
      <c r="B9231" s="13" t="s">
        <v>20527</v>
      </c>
      <c r="C9231" s="14" t="s">
        <v>20528</v>
      </c>
      <c r="D9231" s="1" t="str">
        <f>IFERROR(__xludf.DUMMYFUNCTION("GOOGLETRANSLATE(A9231 , ""auto"", ""ar"")"),"أشرب الكثير من الشاي")</f>
        <v>أشرب الكثير من الشاي</v>
      </c>
    </row>
    <row r="9232" ht="15.75" customHeight="1">
      <c r="A9232" s="12" t="s">
        <v>20529</v>
      </c>
      <c r="B9232" s="13" t="s">
        <v>20530</v>
      </c>
      <c r="C9232" s="14" t="s">
        <v>20531</v>
      </c>
      <c r="D9232" s="1" t="str">
        <f>IFERROR(__xludf.DUMMYFUNCTION("GOOGLETRANSLATE(A9232 , ""auto"", ""ar"")"),"لقد اكتسبت الوزن")</f>
        <v>لقد اكتسبت الوزن</v>
      </c>
    </row>
    <row r="9233" ht="15.75" customHeight="1">
      <c r="A9233" s="12" t="s">
        <v>20532</v>
      </c>
      <c r="B9233" s="13" t="s">
        <v>20533</v>
      </c>
      <c r="C9233" s="14" t="s">
        <v>20534</v>
      </c>
      <c r="D9233" s="1" t="str">
        <f>IFERROR(__xludf.DUMMYFUNCTION("GOOGLETRANSLATE(A9233 , ""auto"", ""ar"")"),"لقد فقدت وزنا")</f>
        <v>لقد فقدت وزنا</v>
      </c>
    </row>
    <row r="9234" ht="15.75" customHeight="1">
      <c r="A9234" s="12" t="s">
        <v>20535</v>
      </c>
      <c r="B9234" s="13" t="s">
        <v>20536</v>
      </c>
      <c r="C9234" s="14" t="s">
        <v>20537</v>
      </c>
      <c r="D9234" s="1" t="str">
        <f>IFERROR(__xludf.DUMMYFUNCTION("GOOGLETRANSLATE(A9234 , ""auto"", ""ar"")"),"لم أعد آكل جيدًا بعد الآن")</f>
        <v>لم أعد آكل جيدًا بعد الآن</v>
      </c>
    </row>
    <row r="9235" ht="15.75" customHeight="1">
      <c r="A9235" s="12" t="s">
        <v>20538</v>
      </c>
      <c r="B9235" s="13" t="s">
        <v>20539</v>
      </c>
      <c r="C9235" s="14" t="s">
        <v>20540</v>
      </c>
      <c r="D9235" s="1" t="str">
        <f>IFERROR(__xludf.DUMMYFUNCTION("GOOGLETRANSLATE(A9235 , ""auto"", ""ar"")"),"لم أعد آكل كثيرًا بعد الآن")</f>
        <v>لم أعد آكل كثيرًا بعد الآن</v>
      </c>
    </row>
    <row r="9236" ht="15.75" customHeight="1">
      <c r="A9236" s="12" t="s">
        <v>20541</v>
      </c>
      <c r="B9236" s="13" t="s">
        <v>20542</v>
      </c>
      <c r="C9236" s="14" t="s">
        <v>20543</v>
      </c>
      <c r="D9236" s="1" t="str">
        <f>IFERROR(__xludf.DUMMYFUNCTION("GOOGLETRANSLATE(A9236 , ""auto"", ""ar"")"),"أين كتابي؟")</f>
        <v>أين كتابي؟</v>
      </c>
    </row>
    <row r="9237" ht="15.75" customHeight="1">
      <c r="A9237" s="12" t="s">
        <v>20544</v>
      </c>
      <c r="B9237" s="13" t="s">
        <v>20545</v>
      </c>
      <c r="C9237" s="14" t="s">
        <v>20546</v>
      </c>
      <c r="D9237" s="1" t="str">
        <f>IFERROR(__xludf.DUMMYFUNCTION("GOOGLETRANSLATE(A9237 , ""auto"", ""ar"")"),"تم إغلاق المكتبة")</f>
        <v>تم إغلاق المكتبة</v>
      </c>
    </row>
    <row r="9238" ht="15.75" customHeight="1">
      <c r="A9238" s="12" t="s">
        <v>20547</v>
      </c>
      <c r="B9238" s="13" t="s">
        <v>20548</v>
      </c>
      <c r="C9238" s="14" t="s">
        <v>20549</v>
      </c>
      <c r="D9238" s="1" t="str">
        <f>IFERROR(__xludf.DUMMYFUNCTION("GOOGLETRANSLATE(A9238 , ""auto"", ""ar"")"),"المكتبة مفتوحة")</f>
        <v>المكتبة مفتوحة</v>
      </c>
    </row>
    <row r="9239" ht="15.75" customHeight="1">
      <c r="A9239" s="12" t="s">
        <v>19292</v>
      </c>
      <c r="B9239" s="13" t="s">
        <v>20550</v>
      </c>
      <c r="C9239" s="14" t="s">
        <v>20551</v>
      </c>
      <c r="D9239" s="1" t="str">
        <f>IFERROR(__xludf.DUMMYFUNCTION("GOOGLETRANSLATE(A9239 , ""auto"", ""ar"")"),"هذا غريب")</f>
        <v>هذا غريب</v>
      </c>
    </row>
    <row r="9240" ht="15.75" customHeight="1">
      <c r="A9240" s="12" t="s">
        <v>20552</v>
      </c>
      <c r="B9240" s="13" t="s">
        <v>20553</v>
      </c>
      <c r="C9240" s="14" t="s">
        <v>20554</v>
      </c>
      <c r="D9240" s="1" t="str">
        <f>IFERROR(__xludf.DUMMYFUNCTION("GOOGLETRANSLATE(A9240 , ""auto"", ""ar"")"),"مات والدي")</f>
        <v>مات والدي</v>
      </c>
    </row>
    <row r="9241" ht="15.75" customHeight="1">
      <c r="A9241" s="12" t="s">
        <v>20555</v>
      </c>
      <c r="B9241" s="13" t="s">
        <v>20556</v>
      </c>
      <c r="C9241" s="14" t="s">
        <v>20557</v>
      </c>
      <c r="D9241" s="1" t="str">
        <f>IFERROR(__xludf.DUMMYFUNCTION("GOOGLETRANSLATE(A9241 , ""auto"", ""ar"")"),"والدي ميت")</f>
        <v>والدي ميت</v>
      </c>
    </row>
    <row r="9242" ht="15.75" customHeight="1">
      <c r="A9242" s="12" t="s">
        <v>20558</v>
      </c>
      <c r="B9242" s="13" t="s">
        <v>20559</v>
      </c>
      <c r="C9242" s="14" t="s">
        <v>20560</v>
      </c>
      <c r="D9242" s="1" t="str">
        <f>IFERROR(__xludf.DUMMYFUNCTION("GOOGLETRANSLATE(A9242 , ""auto"", ""ar"")"),"مات والدي عندما كنت طفلاً")</f>
        <v>مات والدي عندما كنت طفلاً</v>
      </c>
    </row>
    <row r="9243" ht="15.75" customHeight="1">
      <c r="A9243" s="12" t="s">
        <v>20561</v>
      </c>
      <c r="B9243" s="13" t="s">
        <v>20562</v>
      </c>
      <c r="C9243" s="14" t="s">
        <v>20563</v>
      </c>
      <c r="D9243" s="1" t="str">
        <f>IFERROR(__xludf.DUMMYFUNCTION("GOOGLETRANSLATE(A9243 , ""auto"", ""ar"")"),"زفاف اخي")</f>
        <v>زفاف اخي</v>
      </c>
    </row>
    <row r="9244" ht="15.75" customHeight="1">
      <c r="A9244" s="12" t="s">
        <v>20564</v>
      </c>
      <c r="B9244" s="13" t="s">
        <v>20565</v>
      </c>
      <c r="C9244" s="14" t="s">
        <v>20566</v>
      </c>
      <c r="D9244" s="1" t="str">
        <f>IFERROR(__xludf.DUMMYFUNCTION("GOOGLETRANSLATE(A9244 , ""auto"", ""ar"")"),"لديه شخصية جذابة")</f>
        <v>لديه شخصية جذابة</v>
      </c>
    </row>
    <row r="9245" ht="15.75" customHeight="1">
      <c r="A9245" s="12" t="s">
        <v>20567</v>
      </c>
      <c r="B9245" s="13" t="s">
        <v>20568</v>
      </c>
      <c r="C9245" s="14" t="s">
        <v>20569</v>
      </c>
      <c r="D9245" s="1" t="str">
        <f>IFERROR(__xludf.DUMMYFUNCTION("GOOGLETRANSLATE(A9245 , ""auto"", ""ar"")"),"أردت أن تقابلك أنت وله بعضنا البعض")</f>
        <v>أردت أن تقابلك أنت وله بعضنا البعض</v>
      </c>
    </row>
    <row r="9246" ht="15.75" customHeight="1">
      <c r="A9246" s="12" t="s">
        <v>20570</v>
      </c>
      <c r="B9246" s="13" t="s">
        <v>20571</v>
      </c>
      <c r="C9246" s="14" t="s">
        <v>20572</v>
      </c>
      <c r="D9246" s="1" t="str">
        <f>IFERROR(__xludf.DUMMYFUNCTION("GOOGLETRANSLATE(A9246 , ""auto"", ""ar"")"),"السرير مريح")</f>
        <v>السرير مريح</v>
      </c>
    </row>
    <row r="9247" ht="15.75" customHeight="1">
      <c r="A9247" s="12" t="s">
        <v>20573</v>
      </c>
      <c r="B9247" s="13" t="s">
        <v>20574</v>
      </c>
      <c r="C9247" s="14" t="s">
        <v>20575</v>
      </c>
      <c r="D9247" s="1" t="str">
        <f>IFERROR(__xludf.DUMMYFUNCTION("GOOGLETRANSLATE(A9247 , ""auto"", ""ar"")"),"الأريكة كبيرة")</f>
        <v>الأريكة كبيرة</v>
      </c>
    </row>
    <row r="9248" ht="15.75" customHeight="1">
      <c r="A9248" s="12" t="s">
        <v>20576</v>
      </c>
      <c r="B9248" s="13" t="s">
        <v>20577</v>
      </c>
      <c r="C9248" s="14" t="s">
        <v>20578</v>
      </c>
      <c r="D9248" s="1" t="str">
        <f>IFERROR(__xludf.DUMMYFUNCTION("GOOGLETRANSLATE(A9248 , ""auto"", ""ar"")"),"الكرسي مكسور")</f>
        <v>الكرسي مكسور</v>
      </c>
    </row>
    <row r="9249" ht="15.75" customHeight="1">
      <c r="A9249" s="12" t="s">
        <v>20579</v>
      </c>
      <c r="B9249" s="13" t="s">
        <v>20580</v>
      </c>
      <c r="C9249" s="14" t="s">
        <v>20581</v>
      </c>
      <c r="D9249" s="1" t="str">
        <f>IFERROR(__xludf.DUMMYFUNCTION("GOOGLETRANSLATE(A9249 , ""auto"", ""ar"")"),"الجدول مستدير")</f>
        <v>الجدول مستدير</v>
      </c>
    </row>
    <row r="9250" ht="15.75" customHeight="1">
      <c r="A9250" s="12" t="s">
        <v>20582</v>
      </c>
      <c r="B9250" s="13" t="s">
        <v>20583</v>
      </c>
      <c r="C9250" s="14" t="s">
        <v>20584</v>
      </c>
      <c r="D9250" s="1" t="str">
        <f>IFERROR(__xludf.DUMMYFUNCTION("GOOGLETRANSLATE(A9250 , ""auto"", ""ar"")"),"الأثاث قديم")</f>
        <v>الأثاث قديم</v>
      </c>
    </row>
    <row r="9251" ht="15.75" customHeight="1">
      <c r="A9251" s="12" t="s">
        <v>20585</v>
      </c>
      <c r="B9251" s="13" t="s">
        <v>20586</v>
      </c>
      <c r="C9251" s="14" t="s">
        <v>20587</v>
      </c>
      <c r="D9251" s="1" t="str">
        <f>IFERROR(__xludf.DUMMYFUNCTION("GOOGLETRANSLATE(A9251 , ""auto"", ""ar"")"),"الجدار قذر")</f>
        <v>الجدار قذر</v>
      </c>
    </row>
    <row r="9252" ht="15.75" customHeight="1">
      <c r="A9252" s="12" t="s">
        <v>20588</v>
      </c>
      <c r="B9252" s="13" t="s">
        <v>20589</v>
      </c>
      <c r="C9252" s="14" t="s">
        <v>20590</v>
      </c>
      <c r="D9252" s="1" t="str">
        <f>IFERROR(__xludf.DUMMYFUNCTION("GOOGLETRANSLATE(A9252 , ""auto"", ""ar"")"),"المصباح أصفر")</f>
        <v>المصباح أصفر</v>
      </c>
    </row>
    <row r="9253" ht="15.75" customHeight="1">
      <c r="A9253" s="12" t="s">
        <v>20591</v>
      </c>
      <c r="B9253" s="13" t="s">
        <v>20592</v>
      </c>
      <c r="C9253" s="14" t="s">
        <v>20593</v>
      </c>
      <c r="D9253" s="1" t="str">
        <f>IFERROR(__xludf.DUMMYFUNCTION("GOOGLETRANSLATE(A9253 , ""auto"", ""ar"")"),"عيناه سوداء")</f>
        <v>عيناه سوداء</v>
      </c>
    </row>
    <row r="9254" ht="15.75" customHeight="1">
      <c r="A9254" s="12" t="s">
        <v>20594</v>
      </c>
      <c r="B9254" s="13" t="s">
        <v>20595</v>
      </c>
      <c r="C9254" s="14" t="s">
        <v>20596</v>
      </c>
      <c r="D9254" s="1" t="str">
        <f>IFERROR(__xludf.DUMMYFUNCTION("GOOGLETRANSLATE(A9254 , ""auto"", ""ar"")"),"لدي دوائر مظلمة تحت عيون")</f>
        <v>لدي دوائر مظلمة تحت عيون</v>
      </c>
    </row>
    <row r="9255" ht="15.75" customHeight="1">
      <c r="A9255" s="12" t="s">
        <v>20597</v>
      </c>
      <c r="B9255" s="13" t="s">
        <v>20598</v>
      </c>
      <c r="C9255" s="14" t="s">
        <v>20599</v>
      </c>
      <c r="D9255" s="1" t="str">
        <f>IFERROR(__xludf.DUMMYFUNCTION("GOOGLETRANSLATE(A9255 , ""auto"", ""ar"")"),"بشرتي حساسة")</f>
        <v>بشرتي حساسة</v>
      </c>
    </row>
    <row r="9256" ht="15.75" customHeight="1">
      <c r="A9256" s="12" t="s">
        <v>20600</v>
      </c>
      <c r="B9256" s="13" t="s">
        <v>20601</v>
      </c>
      <c r="C9256" s="14" t="s">
        <v>20602</v>
      </c>
      <c r="D9256" s="1" t="str">
        <f>IFERROR(__xludf.DUMMYFUNCTION("GOOGLETRANSLATE(A9256 , ""auto"", ""ar"")"),"أنا دائما أضع أحمر الشفاه الأحمر")</f>
        <v>أنا دائما أضع أحمر الشفاه الأحمر</v>
      </c>
    </row>
    <row r="9257" ht="15.75" customHeight="1">
      <c r="A9257" s="12" t="s">
        <v>20603</v>
      </c>
      <c r="B9257" s="13" t="s">
        <v>20604</v>
      </c>
      <c r="C9257" s="14" t="s">
        <v>20605</v>
      </c>
      <c r="D9257" s="1" t="str">
        <f>IFERROR(__xludf.DUMMYFUNCTION("GOOGLETRANSLATE(A9257 , ""auto"", ""ar"")"),"شعري تالف")</f>
        <v>شعري تالف</v>
      </c>
    </row>
    <row r="9258" ht="15.75" customHeight="1">
      <c r="A9258" s="12" t="s">
        <v>20606</v>
      </c>
      <c r="B9258" s="13" t="s">
        <v>20607</v>
      </c>
      <c r="C9258" s="14" t="s">
        <v>20608</v>
      </c>
      <c r="D9258" s="1" t="str">
        <f>IFERROR(__xludf.DUMMYFUNCTION("GOOGLETRANSLATE(A9258 , ""auto"", ""ar"")"),"أسناني بيضاء")</f>
        <v>أسناني بيضاء</v>
      </c>
    </row>
    <row r="9259" ht="15.75" customHeight="1">
      <c r="A9259" s="12" t="s">
        <v>20609</v>
      </c>
      <c r="B9259" s="13" t="s">
        <v>20610</v>
      </c>
      <c r="C9259" s="14" t="s">
        <v>20611</v>
      </c>
      <c r="D9259" s="1" t="str">
        <f>IFERROR(__xludf.DUMMYFUNCTION("GOOGLETRANSLATE(A9259 , ""auto"", ""ar"")"),"أسناني سوداء")</f>
        <v>أسناني سوداء</v>
      </c>
    </row>
    <row r="9260" ht="15.75" customHeight="1">
      <c r="A9260" s="12" t="s">
        <v>20612</v>
      </c>
      <c r="B9260" s="13" t="s">
        <v>20613</v>
      </c>
      <c r="C9260" s="14" t="s">
        <v>20614</v>
      </c>
      <c r="D9260" s="1" t="str">
        <f>IFERROR(__xludf.DUMMYFUNCTION("GOOGLETRANSLATE(A9260 , ""auto"", ""ar"")"),"هو دائما في حالة سكر")</f>
        <v>هو دائما في حالة سكر</v>
      </c>
    </row>
    <row r="9261" ht="15.75" customHeight="1">
      <c r="A9261" s="12" t="s">
        <v>20615</v>
      </c>
      <c r="B9261" s="13" t="s">
        <v>20616</v>
      </c>
      <c r="C9261" s="14" t="s">
        <v>20617</v>
      </c>
      <c r="D9261" s="1" t="str">
        <f>IFERROR(__xludf.DUMMYFUNCTION("GOOGLETRANSLATE(A9261 , ""auto"", ""ar"")"),"يذهب إلى عمله في حالة سكر")</f>
        <v>يذهب إلى عمله في حالة سكر</v>
      </c>
    </row>
    <row r="9262" ht="15.75" customHeight="1">
      <c r="A9262" s="12" t="s">
        <v>20618</v>
      </c>
      <c r="B9262" s="13" t="s">
        <v>20619</v>
      </c>
      <c r="C9262" s="14" t="s">
        <v>20620</v>
      </c>
      <c r="D9262" s="1" t="str">
        <f>IFERROR(__xludf.DUMMYFUNCTION("GOOGLETRANSLATE(A9262 , ""auto"", ""ar"")"),"اشعربالأسف عليه")</f>
        <v>اشعربالأسف عليه</v>
      </c>
    </row>
    <row r="9263" ht="15.75" customHeight="1">
      <c r="A9263" s="12" t="s">
        <v>20621</v>
      </c>
      <c r="B9263" s="13" t="s">
        <v>20622</v>
      </c>
      <c r="C9263" s="14" t="s">
        <v>20623</v>
      </c>
      <c r="D9263" s="1" t="str">
        <f>IFERROR(__xludf.DUMMYFUNCTION("GOOGLETRANSLATE(A9263 , ""auto"", ""ar"")"),"لدي العديد من الألعاب")</f>
        <v>لدي العديد من الألعاب</v>
      </c>
    </row>
    <row r="9264" ht="15.75" customHeight="1">
      <c r="A9264" s="12" t="s">
        <v>20624</v>
      </c>
      <c r="B9264" s="13" t="s">
        <v>20625</v>
      </c>
      <c r="C9264" s="14" t="s">
        <v>20626</v>
      </c>
      <c r="D9264" s="1" t="str">
        <f>IFERROR(__xludf.DUMMYFUNCTION("GOOGLETRANSLATE(A9264 , ""auto"", ""ar"")"),"ليس لدي ألعاب")</f>
        <v>ليس لدي ألعاب</v>
      </c>
    </row>
    <row r="9265" ht="15.75" customHeight="1">
      <c r="A9265" s="12" t="s">
        <v>20627</v>
      </c>
      <c r="B9265" s="13" t="s">
        <v>20628</v>
      </c>
      <c r="C9265" s="14" t="s">
        <v>20629</v>
      </c>
      <c r="D9265" s="1" t="str">
        <f>IFERROR(__xludf.DUMMYFUNCTION("GOOGLETRANSLATE(A9265 , ""auto"", ""ar"")"),"لدي دمىان")</f>
        <v>لدي دمىان</v>
      </c>
    </row>
    <row r="9266" ht="15.75" customHeight="1">
      <c r="A9266" s="12" t="s">
        <v>20630</v>
      </c>
      <c r="B9266" s="13" t="s">
        <v>20631</v>
      </c>
      <c r="C9266" s="14" t="s">
        <v>20632</v>
      </c>
      <c r="D9266" s="1" t="str">
        <f>IFERROR(__xludf.DUMMYFUNCTION("GOOGLETRANSLATE(A9266 , ""auto"", ""ar"")"),"لقد قطعت البصل")</f>
        <v>لقد قطعت البصل</v>
      </c>
    </row>
    <row r="9267" ht="15.75" customHeight="1">
      <c r="A9267" s="12" t="s">
        <v>20633</v>
      </c>
      <c r="B9267" s="13" t="s">
        <v>20634</v>
      </c>
      <c r="C9267" s="14" t="s">
        <v>20635</v>
      </c>
      <c r="D9267" s="1" t="str">
        <f>IFERROR(__xludf.DUMMYFUNCTION("GOOGLETRANSLATE(A9267 , ""auto"", ""ar"")"),"أنا مغلي الماء")</f>
        <v>أنا مغلي الماء</v>
      </c>
    </row>
    <row r="9268" ht="15.75" customHeight="1">
      <c r="A9268" s="12" t="s">
        <v>20636</v>
      </c>
      <c r="B9268" s="13" t="s">
        <v>20637</v>
      </c>
      <c r="C9268" s="14" t="s">
        <v>20638</v>
      </c>
      <c r="D9268" s="1" t="str">
        <f>IFERROR(__xludf.DUMMYFUNCTION("GOOGLETRANSLATE(A9268 , ""auto"", ""ar"")"),"الزيت ساخن")</f>
        <v>الزيت ساخن</v>
      </c>
    </row>
    <row r="9269" ht="15.75" customHeight="1">
      <c r="A9269" s="12" t="s">
        <v>20639</v>
      </c>
      <c r="B9269" s="13" t="s">
        <v>20640</v>
      </c>
      <c r="C9269" s="14" t="s">
        <v>20641</v>
      </c>
      <c r="D9269" s="1" t="str">
        <f>IFERROR(__xludf.DUMMYFUNCTION("GOOGLETRANSLATE(A9269 , ""auto"", ""ar"")"),"ليس لدي جليد")</f>
        <v>ليس لدي جليد</v>
      </c>
    </row>
    <row r="9270" ht="15.75" customHeight="1">
      <c r="A9270" s="12" t="s">
        <v>2945</v>
      </c>
      <c r="B9270" s="13" t="s">
        <v>20642</v>
      </c>
      <c r="C9270" s="14" t="s">
        <v>20643</v>
      </c>
      <c r="D9270" s="1" t="str">
        <f>IFERROR(__xludf.DUMMYFUNCTION("GOOGLETRANSLATE(A9270 , ""auto"", ""ar"")"),"سمك مقلى")</f>
        <v>سمك مقلى</v>
      </c>
    </row>
    <row r="9271" ht="15.75" customHeight="1">
      <c r="A9271" s="12" t="s">
        <v>20644</v>
      </c>
      <c r="B9271" s="13" t="s">
        <v>20645</v>
      </c>
      <c r="C9271" s="14" t="s">
        <v>20646</v>
      </c>
      <c r="D9271" s="1" t="str">
        <f>IFERROR(__xludf.DUMMYFUNCTION("GOOGLETRANSLATE(A9271 , ""auto"", ""ar"")"),"لحم مفروم")</f>
        <v>لحم مفروم</v>
      </c>
    </row>
    <row r="9272" ht="15.75" customHeight="1">
      <c r="A9272" s="12" t="s">
        <v>20647</v>
      </c>
      <c r="B9272" s="13" t="s">
        <v>20648</v>
      </c>
      <c r="C9272" s="14" t="s">
        <v>20649</v>
      </c>
      <c r="D9272" s="1" t="str">
        <f>IFERROR(__xludf.DUMMYFUNCTION("GOOGLETRANSLATE(A9272 , ""auto"", ""ar"")"),"دجاج مقلي")</f>
        <v>دجاج مقلي</v>
      </c>
    </row>
    <row r="9273" ht="15.75" customHeight="1">
      <c r="A9273" s="12" t="s">
        <v>20650</v>
      </c>
      <c r="B9273" s="13" t="s">
        <v>20651</v>
      </c>
      <c r="C9273" s="14" t="s">
        <v>20652</v>
      </c>
      <c r="D9273" s="1" t="str">
        <f>IFERROR(__xludf.DUMMYFUNCTION("GOOGLETRANSLATE(A9273 , ""auto"", ""ar"")"),"أين سمعت هذا؟")</f>
        <v>أين سمعت هذا؟</v>
      </c>
    </row>
    <row r="9274" ht="15.75" customHeight="1">
      <c r="A9274" s="12" t="s">
        <v>20653</v>
      </c>
      <c r="B9274" s="13" t="s">
        <v>20654</v>
      </c>
      <c r="C9274" s="14" t="s">
        <v>20655</v>
      </c>
      <c r="D9274" s="1" t="str">
        <f>IFERROR(__xludf.DUMMYFUNCTION("GOOGLETRANSLATE(A9274 , ""auto"", ""ar"")"),"لم أعد أرى جيدًا بعد الآن")</f>
        <v>لم أعد أرى جيدًا بعد الآن</v>
      </c>
    </row>
    <row r="9275" ht="15.75" customHeight="1">
      <c r="A9275" s="12" t="s">
        <v>20656</v>
      </c>
      <c r="B9275" s="13" t="s">
        <v>20657</v>
      </c>
      <c r="C9275" s="14" t="s">
        <v>20658</v>
      </c>
      <c r="D9275" s="1" t="str">
        <f>IFERROR(__xludf.DUMMYFUNCTION("GOOGLETRANSLATE(A9275 , ""auto"", ""ar"")"),"لا أستطيع أن أرى")</f>
        <v>لا أستطيع أن أرى</v>
      </c>
    </row>
    <row r="9276" ht="15.75" customHeight="1">
      <c r="A9276" s="12" t="s">
        <v>20659</v>
      </c>
      <c r="B9276" s="13" t="s">
        <v>20660</v>
      </c>
      <c r="C9276" s="14" t="s">
        <v>20661</v>
      </c>
      <c r="D9276" s="1" t="str">
        <f>IFERROR(__xludf.DUMMYFUNCTION("GOOGLETRANSLATE(A9276 , ""auto"", ""ar"")"),"أمي الطبخ")</f>
        <v>أمي الطبخ</v>
      </c>
    </row>
    <row r="9277" ht="15.75" customHeight="1">
      <c r="A9277" s="12" t="s">
        <v>20662</v>
      </c>
      <c r="B9277" s="13" t="s">
        <v>20663</v>
      </c>
      <c r="C9277" s="14" t="s">
        <v>20664</v>
      </c>
      <c r="D9277" s="1" t="str">
        <f>IFERROR(__xludf.DUMMYFUNCTION("GOOGLETRANSLATE(A9277 , ""auto"", ""ar"")"),"لقد تلقيت راتبي")</f>
        <v>لقد تلقيت راتبي</v>
      </c>
    </row>
    <row r="9278" ht="15.75" customHeight="1">
      <c r="A9278" s="12" t="s">
        <v>20665</v>
      </c>
      <c r="B9278" s="13" t="s">
        <v>20666</v>
      </c>
      <c r="C9278" s="14" t="s">
        <v>20667</v>
      </c>
      <c r="D9278" s="1" t="str">
        <f>IFERROR(__xludf.DUMMYFUNCTION("GOOGLETRANSLATE(A9278 , ""auto"", ""ar"")"),"قاموا بخصم مبلغ من راتبي")</f>
        <v>قاموا بخصم مبلغ من راتبي</v>
      </c>
    </row>
    <row r="9279" ht="15.75" customHeight="1">
      <c r="A9279" s="12" t="s">
        <v>20668</v>
      </c>
      <c r="B9279" s="13" t="s">
        <v>20669</v>
      </c>
      <c r="C9279" s="14" t="s">
        <v>20670</v>
      </c>
      <c r="D9279" s="1" t="str">
        <f>IFERROR(__xludf.DUMMYFUNCTION("GOOGLETRANSLATE(A9279 , ""auto"", ""ar"")"),"الراتب غير مكتمل")</f>
        <v>الراتب غير مكتمل</v>
      </c>
    </row>
    <row r="9280" ht="15.75" customHeight="1">
      <c r="A9280" s="12" t="s">
        <v>20671</v>
      </c>
      <c r="B9280" s="13" t="s">
        <v>20672</v>
      </c>
      <c r="C9280" s="14" t="s">
        <v>20673</v>
      </c>
      <c r="D9280" s="1" t="str">
        <f>IFERROR(__xludf.DUMMYFUNCTION("GOOGLETRANSLATE(A9280 , ""auto"", ""ar"")"),"الراتب لا يكفي")</f>
        <v>الراتب لا يكفي</v>
      </c>
    </row>
    <row r="9281" ht="15.75" customHeight="1">
      <c r="A9281" s="12" t="s">
        <v>20674</v>
      </c>
      <c r="B9281" s="13" t="s">
        <v>20675</v>
      </c>
      <c r="C9281" s="14" t="s">
        <v>20676</v>
      </c>
      <c r="D9281" s="1" t="str">
        <f>IFERROR(__xludf.DUMMYFUNCTION("GOOGLETRANSLATE(A9281 , ""auto"", ""ar"")"),"كم هو راتبك؟")</f>
        <v>كم هو راتبك؟</v>
      </c>
    </row>
    <row r="9282" ht="15.75" customHeight="1">
      <c r="A9282" s="12" t="s">
        <v>20677</v>
      </c>
      <c r="B9282" s="13" t="s">
        <v>20678</v>
      </c>
      <c r="C9282" s="14" t="s">
        <v>20679</v>
      </c>
      <c r="D9282" s="1" t="str">
        <f>IFERROR(__xludf.DUMMYFUNCTION("GOOGLETRANSLATE(A9282 , ""auto"", ""ar"")"),"ماذا فعلت مع راتبك؟")</f>
        <v>ماذا فعلت مع راتبك؟</v>
      </c>
    </row>
    <row r="9283" ht="15.75" customHeight="1">
      <c r="A9283" s="12" t="s">
        <v>20680</v>
      </c>
      <c r="B9283" s="13" t="s">
        <v>20681</v>
      </c>
      <c r="C9283" s="14" t="s">
        <v>20682</v>
      </c>
      <c r="D9283" s="1" t="str">
        <f>IFERROR(__xludf.DUMMYFUNCTION("GOOGLETRANSLATE(A9283 , ""auto"", ""ar"")"),"أين قضيت راتبك؟")</f>
        <v>أين قضيت راتبك؟</v>
      </c>
    </row>
    <row r="9284" ht="15.75" customHeight="1">
      <c r="A9284" s="12" t="s">
        <v>20683</v>
      </c>
      <c r="B9284" s="13" t="s">
        <v>20684</v>
      </c>
      <c r="C9284" s="14" t="s">
        <v>20685</v>
      </c>
      <c r="D9284" s="1" t="str">
        <f>IFERROR(__xludf.DUMMYFUNCTION("GOOGLETRANSLATE(A9284 , ""auto"", ""ar"")"),"أنا أعمل بدوام كامل")</f>
        <v>أنا أعمل بدوام كامل</v>
      </c>
    </row>
    <row r="9285" ht="15.75" customHeight="1">
      <c r="A9285" s="12" t="s">
        <v>20686</v>
      </c>
      <c r="B9285" s="13" t="s">
        <v>20687</v>
      </c>
      <c r="C9285" s="14" t="s">
        <v>20688</v>
      </c>
      <c r="D9285" s="1" t="str">
        <f>IFERROR(__xludf.DUMMYFUNCTION("GOOGLETRANSLATE(A9285 , ""auto"", ""ar"")"),"أنتهي من عملي مبكرًا")</f>
        <v>أنتهي من عملي مبكرًا</v>
      </c>
    </row>
    <row r="9286" ht="15.75" customHeight="1">
      <c r="A9286" s="12" t="s">
        <v>20689</v>
      </c>
      <c r="B9286" s="13" t="s">
        <v>20690</v>
      </c>
      <c r="C9286" s="14" t="s">
        <v>20691</v>
      </c>
      <c r="D9286" s="1" t="str">
        <f>IFERROR(__xludf.DUMMYFUNCTION("GOOGLETRANSLATE(A9286 , ""auto"", ""ar"")"),"أنتهي من عملي متأخر")</f>
        <v>أنتهي من عملي متأخر</v>
      </c>
    </row>
    <row r="9287" ht="15.75" customHeight="1">
      <c r="A9287" s="12" t="s">
        <v>20692</v>
      </c>
      <c r="B9287" s="13" t="s">
        <v>20693</v>
      </c>
      <c r="C9287" s="14" t="s">
        <v>20694</v>
      </c>
      <c r="D9287" s="1" t="str">
        <f>IFERROR(__xludf.DUMMYFUNCTION("GOOGLETRANSLATE(A9287 , ""auto"", ""ar"")"),"التقيت به أمس")</f>
        <v>التقيت به أمس</v>
      </c>
    </row>
    <row r="9288" ht="15.75" customHeight="1">
      <c r="A9288" s="12" t="s">
        <v>20695</v>
      </c>
      <c r="B9288" s="13" t="s">
        <v>20696</v>
      </c>
      <c r="C9288" s="14" t="s">
        <v>20697</v>
      </c>
      <c r="D9288" s="1" t="str">
        <f>IFERROR(__xludf.DUMMYFUNCTION("GOOGLETRANSLATE(A9288 , ""auto"", ""ar"")"),"سألتقي به غدا")</f>
        <v>سألتقي به غدا</v>
      </c>
    </row>
    <row r="9289" ht="15.75" customHeight="1">
      <c r="A9289" s="12" t="s">
        <v>20698</v>
      </c>
      <c r="B9289" s="13" t="s">
        <v>20699</v>
      </c>
      <c r="C9289" s="14" t="s">
        <v>20700</v>
      </c>
      <c r="D9289" s="1" t="str">
        <f>IFERROR(__xludf.DUMMYFUNCTION("GOOGLETRANSLATE(A9289 , ""auto"", ""ar"")"),"التقيت به اليوم")</f>
        <v>التقيت به اليوم</v>
      </c>
    </row>
    <row r="9290" ht="15.75" customHeight="1">
      <c r="A9290" s="12" t="s">
        <v>20701</v>
      </c>
      <c r="B9290" s="13" t="s">
        <v>20702</v>
      </c>
      <c r="C9290" s="14" t="s">
        <v>20703</v>
      </c>
      <c r="D9290" s="1" t="str">
        <f>IFERROR(__xludf.DUMMYFUNCTION("GOOGLETRANSLATE(A9290 , ""auto"", ""ar"")"),"لم أقابله")</f>
        <v>لم أقابله</v>
      </c>
    </row>
    <row r="9291" ht="15.75" customHeight="1">
      <c r="A9291" s="12" t="s">
        <v>20704</v>
      </c>
      <c r="B9291" s="13" t="s">
        <v>20705</v>
      </c>
      <c r="C9291" s="14" t="s">
        <v>20706</v>
      </c>
      <c r="D9291" s="1" t="str">
        <f>IFERROR(__xludf.DUMMYFUNCTION("GOOGLETRANSLATE(A9291 , ""auto"", ""ar"")"),"طلب مني مقابلته")</f>
        <v>طلب مني مقابلته</v>
      </c>
    </row>
    <row r="9292" ht="15.75" customHeight="1">
      <c r="A9292" s="12" t="s">
        <v>20707</v>
      </c>
      <c r="B9292" s="13" t="s">
        <v>20708</v>
      </c>
      <c r="C9292" s="14" t="s">
        <v>20709</v>
      </c>
      <c r="D9292" s="1" t="str">
        <f>IFERROR(__xludf.DUMMYFUNCTION("GOOGLETRANSLATE(A9292 , ""auto"", ""ar"")"),"يريدني أن أذهب معه")</f>
        <v>يريدني أن أذهب معه</v>
      </c>
    </row>
    <row r="9293" ht="15.75" customHeight="1">
      <c r="A9293" s="12" t="s">
        <v>20710</v>
      </c>
      <c r="B9293" s="13" t="s">
        <v>20711</v>
      </c>
      <c r="C9293" s="14" t="s">
        <v>20712</v>
      </c>
      <c r="D9293" s="1" t="str">
        <f>IFERROR(__xludf.DUMMYFUNCTION("GOOGLETRANSLATE(A9293 , ""auto"", ""ar"")"),"قال لي أن أتصل به")</f>
        <v>قال لي أن أتصل به</v>
      </c>
    </row>
    <row r="9294" ht="15.75" customHeight="1">
      <c r="A9294" s="12" t="s">
        <v>20713</v>
      </c>
      <c r="B9294" s="13" t="s">
        <v>20714</v>
      </c>
      <c r="C9294" s="14" t="s">
        <v>20715</v>
      </c>
      <c r="D9294" s="1" t="str">
        <f>IFERROR(__xludf.DUMMYFUNCTION("GOOGLETRANSLATE(A9294 , ""auto"", ""ar"")"),"قال لي لزيارته")</f>
        <v>قال لي لزيارته</v>
      </c>
    </row>
    <row r="9295" ht="15.75" customHeight="1">
      <c r="A9295" s="12" t="s">
        <v>20716</v>
      </c>
      <c r="B9295" s="13" t="s">
        <v>20717</v>
      </c>
      <c r="C9295" s="14" t="s">
        <v>20718</v>
      </c>
      <c r="D9295" s="1" t="str">
        <f>IFERROR(__xludf.DUMMYFUNCTION("GOOGLETRANSLATE(A9295 , ""auto"", ""ar"")"),"رأسه كبير")</f>
        <v>رأسه كبير</v>
      </c>
    </row>
    <row r="9296" ht="15.75" customHeight="1">
      <c r="A9296" s="12" t="s">
        <v>20719</v>
      </c>
      <c r="B9296" s="13" t="s">
        <v>20720</v>
      </c>
      <c r="C9296" s="14" t="s">
        <v>20721</v>
      </c>
      <c r="D9296" s="1" t="str">
        <f>IFERROR(__xludf.DUMMYFUNCTION("GOOGLETRANSLATE(A9296 , ""auto"", ""ar"")"),"رأسه صغير")</f>
        <v>رأسه صغير</v>
      </c>
    </row>
    <row r="9297" ht="15.75" customHeight="1">
      <c r="A9297" s="12" t="s">
        <v>20722</v>
      </c>
      <c r="B9297" s="13" t="s">
        <v>20723</v>
      </c>
      <c r="C9297" s="14" t="s">
        <v>20724</v>
      </c>
      <c r="D9297" s="1" t="str">
        <f>IFERROR(__xludf.DUMMYFUNCTION("GOOGLETRANSLATE(A9297 , ""auto"", ""ar"")"),"قدميه كبيرة")</f>
        <v>قدميه كبيرة</v>
      </c>
    </row>
    <row r="9298" ht="15.75" customHeight="1">
      <c r="A9298" s="12" t="s">
        <v>20725</v>
      </c>
      <c r="B9298" s="13" t="s">
        <v>20726</v>
      </c>
      <c r="C9298" s="14" t="s">
        <v>20727</v>
      </c>
      <c r="D9298" s="1" t="str">
        <f>IFERROR(__xludf.DUMMYFUNCTION("GOOGLETRANSLATE(A9298 , ""auto"", ""ar"")"),"قدميه صغيرة")</f>
        <v>قدميه صغيرة</v>
      </c>
    </row>
    <row r="9299" ht="15.75" customHeight="1">
      <c r="A9299" s="12" t="s">
        <v>20728</v>
      </c>
      <c r="B9299" s="13" t="s">
        <v>20729</v>
      </c>
      <c r="C9299" s="14" t="s">
        <v>20730</v>
      </c>
      <c r="D9299" s="1" t="str">
        <f>IFERROR(__xludf.DUMMYFUNCTION("GOOGLETRANSLATE(A9299 , ""auto"", ""ar"")"),"لا يستطيع المشي")</f>
        <v>لا يستطيع المشي</v>
      </c>
    </row>
    <row r="9300" ht="15.75" customHeight="1">
      <c r="A9300" s="12" t="s">
        <v>20731</v>
      </c>
      <c r="B9300" s="13" t="s">
        <v>20732</v>
      </c>
      <c r="C9300" s="14" t="s">
        <v>20733</v>
      </c>
      <c r="D9300" s="1" t="str">
        <f>IFERROR(__xludf.DUMMYFUNCTION("GOOGLETRANSLATE(A9300 , ""auto"", ""ar"")"),"أحضر لي هدية")</f>
        <v>أحضر لي هدية</v>
      </c>
    </row>
    <row r="9301" ht="15.75" customHeight="1">
      <c r="A9301" s="12" t="s">
        <v>20734</v>
      </c>
      <c r="B9301" s="13" t="s">
        <v>20735</v>
      </c>
      <c r="C9301" s="14" t="s">
        <v>20736</v>
      </c>
      <c r="D9301" s="1" t="str">
        <f>IFERROR(__xludf.DUMMYFUNCTION("GOOGLETRANSLATE(A9301 , ""auto"", ""ar"")"),"أحببت الهدية")</f>
        <v>أحببت الهدية</v>
      </c>
    </row>
    <row r="9302" ht="15.75" customHeight="1">
      <c r="A9302" s="12" t="s">
        <v>20737</v>
      </c>
      <c r="B9302" s="13" t="s">
        <v>20738</v>
      </c>
      <c r="C9302" s="14" t="s">
        <v>20739</v>
      </c>
      <c r="D9302" s="1" t="str">
        <f>IFERROR(__xludf.DUMMYFUNCTION("GOOGLETRANSLATE(A9302 , ""auto"", ""ar"")"),"الهدية جميلة")</f>
        <v>الهدية جميلة</v>
      </c>
    </row>
    <row r="9303" ht="15.75" customHeight="1">
      <c r="A9303" s="12" t="s">
        <v>20740</v>
      </c>
      <c r="B9303" s="13" t="s">
        <v>20741</v>
      </c>
      <c r="C9303" s="14" t="s">
        <v>20742</v>
      </c>
      <c r="D9303" s="1" t="str">
        <f>IFERROR(__xludf.DUMMYFUNCTION("GOOGLETRANSLATE(A9303 , ""auto"", ""ar"")"),"أعد مفاجأة لي")</f>
        <v>أعد مفاجأة لي</v>
      </c>
    </row>
    <row r="9304" ht="15.75" customHeight="1">
      <c r="A9304" s="12" t="s">
        <v>20743</v>
      </c>
      <c r="B9304" s="13" t="s">
        <v>20744</v>
      </c>
      <c r="C9304" s="14" t="s">
        <v>20745</v>
      </c>
      <c r="D9304" s="1" t="str">
        <f>IFERROR(__xludf.DUMMYFUNCTION("GOOGLETRANSLATE(A9304 , ""auto"", ""ar"")"),"لم يعجبني المفاجأة")</f>
        <v>لم يعجبني المفاجأة</v>
      </c>
    </row>
    <row r="9305" ht="15.75" customHeight="1">
      <c r="A9305" s="12" t="s">
        <v>20746</v>
      </c>
      <c r="B9305" s="13" t="s">
        <v>20747</v>
      </c>
      <c r="C9305" s="14" t="s">
        <v>20748</v>
      </c>
      <c r="D9305" s="1" t="str">
        <f>IFERROR(__xludf.DUMMYFUNCTION("GOOGLETRANSLATE(A9305 , ""auto"", ""ar"")"),"لقد ولدت في نفس اليوم")</f>
        <v>لقد ولدت في نفس اليوم</v>
      </c>
    </row>
    <row r="9306" ht="15.75" customHeight="1">
      <c r="A9306" s="12" t="s">
        <v>20749</v>
      </c>
      <c r="B9306" s="13" t="s">
        <v>20750</v>
      </c>
      <c r="C9306" s="14" t="s">
        <v>20751</v>
      </c>
      <c r="D9306" s="1" t="str">
        <f>IFERROR(__xludf.DUMMYFUNCTION("GOOGLETRANSLATE(A9306 , ""auto"", ""ar"")"),"لقد أخفتني")</f>
        <v>لقد أخفتني</v>
      </c>
    </row>
    <row r="9307" ht="15.75" customHeight="1">
      <c r="A9307" s="12" t="s">
        <v>20752</v>
      </c>
      <c r="B9307" s="13" t="s">
        <v>20753</v>
      </c>
      <c r="C9307" s="14" t="s">
        <v>20754</v>
      </c>
      <c r="D9307" s="1" t="str">
        <f>IFERROR(__xludf.DUMMYFUNCTION("GOOGLETRANSLATE(A9307 , ""auto"", ""ar"")"),"أنت جعلتني أبكي")</f>
        <v>أنت جعلتني أبكي</v>
      </c>
    </row>
    <row r="9308" ht="15.75" customHeight="1">
      <c r="A9308" s="12" t="s">
        <v>20755</v>
      </c>
      <c r="B9308" s="13" t="s">
        <v>20756</v>
      </c>
      <c r="C9308" s="14" t="s">
        <v>20757</v>
      </c>
      <c r="D9308" s="1" t="str">
        <f>IFERROR(__xludf.DUMMYFUNCTION("GOOGLETRANSLATE(A9308 , ""auto"", ""ar"")"),"لماذا تخيفني؟")</f>
        <v>لماذا تخيفني؟</v>
      </c>
    </row>
    <row r="9309" ht="15.75" customHeight="1">
      <c r="A9309" s="12" t="s">
        <v>20758</v>
      </c>
      <c r="B9309" s="13" t="s">
        <v>20759</v>
      </c>
      <c r="C9309" s="14" t="s">
        <v>20760</v>
      </c>
      <c r="D9309" s="1" t="str">
        <f>IFERROR(__xludf.DUMMYFUNCTION("GOOGLETRANSLATE(A9309 , ""auto"", ""ar"")"),"لماذا شعرت بالخوف؟")</f>
        <v>لماذا شعرت بالخوف؟</v>
      </c>
    </row>
    <row r="9310" ht="15.75" customHeight="1">
      <c r="A9310" s="12" t="s">
        <v>20761</v>
      </c>
      <c r="B9310" s="13" t="s">
        <v>20762</v>
      </c>
      <c r="C9310" s="14" t="s">
        <v>20763</v>
      </c>
      <c r="D9310" s="1" t="str">
        <f>IFERROR(__xludf.DUMMYFUNCTION("GOOGLETRANSLATE(A9310 , ""auto"", ""ar"")"),"أنا أحب هذه الأغنية")</f>
        <v>أنا أحب هذه الأغنية</v>
      </c>
    </row>
    <row r="9311" ht="15.75" customHeight="1">
      <c r="A9311" s="12" t="s">
        <v>20764</v>
      </c>
      <c r="B9311" s="13" t="s">
        <v>20765</v>
      </c>
      <c r="C9311" s="14" t="s">
        <v>20766</v>
      </c>
      <c r="D9311" s="1" t="str">
        <f>IFERROR(__xludf.DUMMYFUNCTION("GOOGLETRANSLATE(A9311 , ""auto"", ""ar"")"),"لا أحب هذه الأغنية")</f>
        <v>لا أحب هذه الأغنية</v>
      </c>
    </row>
    <row r="9312" ht="15.75" customHeight="1">
      <c r="A9312" s="12" t="s">
        <v>20767</v>
      </c>
      <c r="B9312" s="13" t="s">
        <v>20768</v>
      </c>
      <c r="C9312" s="14" t="s">
        <v>20769</v>
      </c>
      <c r="D9312" s="1" t="str">
        <f>IFERROR(__xludf.DUMMYFUNCTION("GOOGLETRANSLATE(A9312 , ""auto"", ""ar"")"),"هذه الأغنية حزينة")</f>
        <v>هذه الأغنية حزينة</v>
      </c>
    </row>
    <row r="9313" ht="15.75" customHeight="1">
      <c r="A9313" s="12" t="s">
        <v>20770</v>
      </c>
      <c r="B9313" s="13" t="s">
        <v>20771</v>
      </c>
      <c r="C9313" s="14" t="s">
        <v>20772</v>
      </c>
      <c r="D9313" s="1" t="str">
        <f>IFERROR(__xludf.DUMMYFUNCTION("GOOGLETRANSLATE(A9313 , ""auto"", ""ar"")"),"أنا مجنون")</f>
        <v>أنا مجنون</v>
      </c>
    </row>
    <row r="9314" ht="15.75" customHeight="1">
      <c r="A9314" s="12" t="s">
        <v>20773</v>
      </c>
      <c r="B9314" s="13" t="s">
        <v>20774</v>
      </c>
      <c r="C9314" s="14" t="s">
        <v>20775</v>
      </c>
      <c r="D9314" s="1" t="str">
        <f>IFERROR(__xludf.DUMMYFUNCTION("GOOGLETRANSLATE(A9314 , ""auto"", ""ar"")"),"أنا حر الآن")</f>
        <v>أنا حر الآن</v>
      </c>
    </row>
    <row r="9315" ht="15.75" customHeight="1">
      <c r="A9315" s="12" t="s">
        <v>20776</v>
      </c>
      <c r="B9315" s="13" t="s">
        <v>20777</v>
      </c>
      <c r="C9315" s="14" t="s">
        <v>20778</v>
      </c>
      <c r="D9315" s="1" t="str">
        <f>IFERROR(__xludf.DUMMYFUNCTION("GOOGLETRANSLATE(A9315 , ""auto"", ""ar"")"),"أنا حر")</f>
        <v>أنا حر</v>
      </c>
    </row>
    <row r="9316" ht="15.75" customHeight="1">
      <c r="A9316" s="12" t="s">
        <v>20779</v>
      </c>
      <c r="B9316" s="13" t="s">
        <v>20780</v>
      </c>
      <c r="C9316" s="14" t="s">
        <v>20781</v>
      </c>
      <c r="D9316" s="1" t="str">
        <f>IFERROR(__xludf.DUMMYFUNCTION("GOOGLETRANSLATE(A9316 , ""auto"", ""ar"")"),"انا افعل ما اريد")</f>
        <v>انا افعل ما اريد</v>
      </c>
    </row>
    <row r="9317" ht="15.75" customHeight="1">
      <c r="A9317" s="12" t="s">
        <v>20782</v>
      </c>
      <c r="B9317" s="13" t="s">
        <v>20783</v>
      </c>
      <c r="C9317" s="14" t="s">
        <v>20784</v>
      </c>
      <c r="D9317" s="1" t="str">
        <f>IFERROR(__xludf.DUMMYFUNCTION("GOOGLETRANSLATE(A9317 , ""auto"", ""ar"")"),"انها حياتي")</f>
        <v>انها حياتي</v>
      </c>
    </row>
    <row r="9318" ht="15.75" customHeight="1">
      <c r="A9318" s="12" t="s">
        <v>20785</v>
      </c>
      <c r="B9318" s="13" t="s">
        <v>20786</v>
      </c>
      <c r="C9318" s="14" t="s">
        <v>20787</v>
      </c>
      <c r="D9318" s="1" t="str">
        <f>IFERROR(__xludf.DUMMYFUNCTION("GOOGLETRANSLATE(A9318 , ""auto"", ""ar"")"),"إنه بدون أي معنى")</f>
        <v>إنه بدون أي معنى</v>
      </c>
    </row>
    <row r="9319" ht="15.75" customHeight="1">
      <c r="A9319" s="12" t="s">
        <v>20788</v>
      </c>
      <c r="B9319" s="13" t="s">
        <v>20789</v>
      </c>
      <c r="C9319" s="14" t="s">
        <v>20790</v>
      </c>
      <c r="D9319" s="1" t="str">
        <f>IFERROR(__xludf.DUMMYFUNCTION("GOOGLETRANSLATE(A9319 , ""auto"", ""ar"")"),"حياتي بلا معنى")</f>
        <v>حياتي بلا معنى</v>
      </c>
    </row>
    <row r="9320" ht="15.75" customHeight="1">
      <c r="A9320" s="12" t="s">
        <v>20791</v>
      </c>
      <c r="B9320" s="13" t="s">
        <v>20792</v>
      </c>
      <c r="C9320" s="14" t="s">
        <v>20793</v>
      </c>
      <c r="D9320" s="1" t="str">
        <f>IFERROR(__xludf.DUMMYFUNCTION("GOOGLETRANSLATE(A9320 , ""auto"", ""ar"")"),"حياتي مملة")</f>
        <v>حياتي مملة</v>
      </c>
    </row>
    <row r="9321" ht="15.75" customHeight="1">
      <c r="A9321" s="12" t="s">
        <v>20794</v>
      </c>
      <c r="B9321" s="13" t="s">
        <v>20795</v>
      </c>
      <c r="C9321" s="14" t="s">
        <v>20796</v>
      </c>
      <c r="D9321" s="1" t="str">
        <f>IFERROR(__xludf.DUMMYFUNCTION("GOOGLETRANSLATE(A9321 , ""auto"", ""ar"")"),"انا اعيش حياتي")</f>
        <v>انا اعيش حياتي</v>
      </c>
    </row>
    <row r="9322" ht="15.75" customHeight="1">
      <c r="A9322" s="12" t="s">
        <v>20797</v>
      </c>
      <c r="B9322" s="13" t="s">
        <v>20798</v>
      </c>
      <c r="C9322" s="14" t="s">
        <v>20799</v>
      </c>
      <c r="D9322" s="1" t="str">
        <f>IFERROR(__xludf.DUMMYFUNCTION("GOOGLETRANSLATE(A9322 , ""auto"", ""ar"")"),"أنا شخص منفتح")</f>
        <v>أنا شخص منفتح</v>
      </c>
    </row>
    <row r="9323" ht="15.75" customHeight="1">
      <c r="A9323" s="12" t="s">
        <v>20800</v>
      </c>
      <c r="B9323" s="13" t="s">
        <v>20801</v>
      </c>
      <c r="C9323" s="14" t="s">
        <v>20802</v>
      </c>
      <c r="D9323" s="1" t="str">
        <f>IFERROR(__xludf.DUMMYFUNCTION("GOOGLETRANSLATE(A9323 , ""auto"", ""ar"")"),"أنا شخص انطوائي")</f>
        <v>أنا شخص انطوائي</v>
      </c>
    </row>
    <row r="9324" ht="15.75" customHeight="1">
      <c r="A9324" s="12" t="s">
        <v>20803</v>
      </c>
      <c r="B9324" s="13" t="s">
        <v>20804</v>
      </c>
      <c r="C9324" s="14" t="s">
        <v>20805</v>
      </c>
      <c r="D9324" s="1" t="str">
        <f>IFERROR(__xludf.DUMMYFUNCTION("GOOGLETRANSLATE(A9324 , ""auto"", ""ar"")"),"سوف يزورني ابني")</f>
        <v>سوف يزورني ابني</v>
      </c>
    </row>
    <row r="9325" ht="15.75" customHeight="1">
      <c r="A9325" s="12" t="s">
        <v>20806</v>
      </c>
      <c r="B9325" s="13" t="s">
        <v>20807</v>
      </c>
      <c r="C9325" s="14" t="s">
        <v>20808</v>
      </c>
      <c r="D9325" s="1" t="str">
        <f>IFERROR(__xludf.DUMMYFUNCTION("GOOGLETRANSLATE(A9325 , ""auto"", ""ar"")"),"ابني لم يزورني")</f>
        <v>ابني لم يزورني</v>
      </c>
    </row>
    <row r="9326" ht="15.75" customHeight="1">
      <c r="A9326" s="12" t="s">
        <v>20809</v>
      </c>
      <c r="B9326" s="13" t="s">
        <v>20810</v>
      </c>
      <c r="C9326" s="14" t="s">
        <v>20811</v>
      </c>
      <c r="D9326" s="1" t="str">
        <f>IFERROR(__xludf.DUMMYFUNCTION("GOOGLETRANSLATE(A9326 , ""auto"", ""ar"")"),"تواريخ مع الحليب")</f>
        <v>تواريخ مع الحليب</v>
      </c>
    </row>
    <row r="9327" ht="15.75" customHeight="1">
      <c r="A9327" s="12" t="s">
        <v>20812</v>
      </c>
      <c r="B9327" s="13" t="s">
        <v>20813</v>
      </c>
      <c r="C9327" s="14" t="s">
        <v>20814</v>
      </c>
      <c r="D9327" s="1" t="str">
        <f>IFERROR(__xludf.DUMMYFUNCTION("GOOGLETRANSLATE(A9327 , ""auto"", ""ar"")"),"ابقي بعيدا عنه")</f>
        <v>ابقي بعيدا عنه</v>
      </c>
    </row>
    <row r="9328" ht="15.75" customHeight="1">
      <c r="A9328" s="12" t="s">
        <v>20815</v>
      </c>
      <c r="B9328" s="13" t="s">
        <v>20816</v>
      </c>
      <c r="C9328" s="14" t="s">
        <v>20817</v>
      </c>
      <c r="D9328" s="1" t="str">
        <f>IFERROR(__xludf.DUMMYFUNCTION("GOOGLETRANSLATE(A9328 , ""auto"", ""ar"")"),"أنا أقوم بتنظيف الأرض")</f>
        <v>أنا أقوم بتنظيف الأرض</v>
      </c>
    </row>
    <row r="9329" ht="15.75" customHeight="1">
      <c r="A9329" s="12" t="s">
        <v>20818</v>
      </c>
      <c r="B9329" s="13" t="s">
        <v>20819</v>
      </c>
      <c r="C9329" s="14" t="s">
        <v>20820</v>
      </c>
      <c r="D9329" s="1" t="str">
        <f>IFERROR(__xludf.DUMMYFUNCTION("GOOGLETRANSLATE(A9329 , ""auto"", ""ar"")"),"الطقس رطب")</f>
        <v>الطقس رطب</v>
      </c>
    </row>
    <row r="9330" ht="15.75" customHeight="1">
      <c r="A9330" s="12" t="s">
        <v>20821</v>
      </c>
      <c r="B9330" s="13" t="s">
        <v>20822</v>
      </c>
      <c r="C9330" s="14" t="s">
        <v>20823</v>
      </c>
      <c r="D9330" s="1" t="str">
        <f>IFERROR(__xludf.DUMMYFUNCTION("GOOGLETRANSLATE(A9330 , ""auto"", ""ar"")"),"أريد أن أذهب إلى الصحراء")</f>
        <v>أريد أن أذهب إلى الصحراء</v>
      </c>
    </row>
    <row r="9331" ht="15.75" customHeight="1">
      <c r="A9331" s="12" t="s">
        <v>20824</v>
      </c>
      <c r="B9331" s="13" t="s">
        <v>20825</v>
      </c>
      <c r="C9331" s="14" t="s">
        <v>20826</v>
      </c>
      <c r="D9331" s="1" t="str">
        <f>IFERROR(__xludf.DUMMYFUNCTION("GOOGLETRANSLATE(A9331 , ""auto"", ""ar"")"),"البحر كبير")</f>
        <v>البحر كبير</v>
      </c>
    </row>
    <row r="9332" ht="15.75" customHeight="1">
      <c r="A9332" s="12" t="s">
        <v>20827</v>
      </c>
      <c r="B9332" s="13" t="s">
        <v>20828</v>
      </c>
      <c r="C9332" s="14" t="s">
        <v>20829</v>
      </c>
      <c r="D9332" s="1" t="str">
        <f>IFERROR(__xludf.DUMMYFUNCTION("GOOGLETRANSLATE(A9332 , ""auto"", ""ar"")"),"لماذا تذهب دائمًا إلى الشاطئ")</f>
        <v>لماذا تذهب دائمًا إلى الشاطئ</v>
      </c>
    </row>
    <row r="9333" ht="15.75" customHeight="1">
      <c r="A9333" s="12" t="s">
        <v>20830</v>
      </c>
      <c r="B9333" s="13" t="s">
        <v>20831</v>
      </c>
      <c r="C9333" s="14" t="s">
        <v>20832</v>
      </c>
      <c r="D9333" s="1" t="str">
        <f>IFERROR(__xludf.DUMMYFUNCTION("GOOGLETRANSLATE(A9333 , ""auto"", ""ar"")"),"هل يعجبك الشاطيء")</f>
        <v>هل يعجبك الشاطيء</v>
      </c>
    </row>
    <row r="9334" ht="15.75" customHeight="1">
      <c r="A9334" s="12" t="s">
        <v>20833</v>
      </c>
      <c r="B9334" s="13" t="s">
        <v>20834</v>
      </c>
      <c r="C9334" s="14" t="s">
        <v>20835</v>
      </c>
      <c r="D9334" s="1" t="str">
        <f>IFERROR(__xludf.DUMMYFUNCTION("GOOGLETRANSLATE(A9334 , ""auto"", ""ar"")"),"أنا أفضل الشاطئ")</f>
        <v>أنا أفضل الشاطئ</v>
      </c>
    </row>
    <row r="9335" ht="15.75" customHeight="1">
      <c r="A9335" s="12" t="s">
        <v>20836</v>
      </c>
      <c r="B9335" s="13" t="s">
        <v>20837</v>
      </c>
      <c r="C9335" s="14" t="s">
        <v>20838</v>
      </c>
      <c r="D9335" s="1" t="str">
        <f>IFERROR(__xludf.DUMMYFUNCTION("GOOGLETRANSLATE(A9335 , ""auto"", ""ar"")"),"البحر خطير")</f>
        <v>البحر خطير</v>
      </c>
    </row>
    <row r="9336" ht="15.75" customHeight="1">
      <c r="A9336" s="12" t="s">
        <v>20839</v>
      </c>
      <c r="B9336" s="13" t="s">
        <v>20840</v>
      </c>
      <c r="C9336" s="14" t="s">
        <v>20841</v>
      </c>
      <c r="D9336" s="1" t="str">
        <f>IFERROR(__xludf.DUMMYFUNCTION("GOOGLETRANSLATE(A9336 , ""auto"", ""ar"")"),"كن حذرا في الشاطئ")</f>
        <v>كن حذرا في الشاطئ</v>
      </c>
    </row>
    <row r="9337" ht="15.75" customHeight="1">
      <c r="A9337" s="12" t="s">
        <v>20842</v>
      </c>
      <c r="B9337" s="13" t="s">
        <v>20843</v>
      </c>
      <c r="C9337" s="14" t="s">
        <v>20844</v>
      </c>
      <c r="D9337" s="1" t="str">
        <f>IFERROR(__xludf.DUMMYFUNCTION("GOOGLETRANSLATE(A9337 , ""auto"", ""ar"")"),"الاعتماد على الذات رائع")</f>
        <v>الاعتماد على الذات رائع</v>
      </c>
    </row>
    <row r="9338" ht="15.75" customHeight="1">
      <c r="A9338" s="12" t="s">
        <v>20845</v>
      </c>
      <c r="B9338" s="13" t="s">
        <v>20846</v>
      </c>
      <c r="C9338" s="14" t="s">
        <v>20847</v>
      </c>
      <c r="D9338" s="1" t="str">
        <f>IFERROR(__xludf.DUMMYFUNCTION("GOOGLETRANSLATE(A9338 , ""auto"", ""ar"")"),"تركت تعليقًا له")</f>
        <v>تركت تعليقًا له</v>
      </c>
    </row>
    <row r="9339" ht="15.75" customHeight="1">
      <c r="A9339" s="12" t="s">
        <v>20848</v>
      </c>
      <c r="B9339" s="13" t="s">
        <v>20849</v>
      </c>
      <c r="C9339" s="14" t="s">
        <v>20850</v>
      </c>
      <c r="D9339" s="1" t="str">
        <f>IFERROR(__xludf.DUMMYFUNCTION("GOOGLETRANSLATE(A9339 , ""auto"", ""ar"")"),"لم أدرسها قط")</f>
        <v>لم أدرسها قط</v>
      </c>
    </row>
    <row r="9340" ht="15.75" customHeight="1">
      <c r="A9340" s="12" t="s">
        <v>20851</v>
      </c>
      <c r="B9340" s="13" t="s">
        <v>20852</v>
      </c>
      <c r="C9340" s="14" t="s">
        <v>20853</v>
      </c>
      <c r="D9340" s="1" t="str">
        <f>IFERROR(__xludf.DUMMYFUNCTION("GOOGLETRANSLATE(A9340 , ""auto"", ""ar"")"),"أنا ادرس الإنجليزية")</f>
        <v>أنا ادرس الإنجليزية</v>
      </c>
    </row>
    <row r="9341" ht="15.75" customHeight="1">
      <c r="A9341" s="12" t="s">
        <v>20854</v>
      </c>
      <c r="B9341" s="13" t="s">
        <v>20855</v>
      </c>
      <c r="C9341" s="14" t="s">
        <v>20856</v>
      </c>
      <c r="D9341" s="1" t="str">
        <f>IFERROR(__xludf.DUMMYFUNCTION("GOOGLETRANSLATE(A9341 , ""auto"", ""ar"")"),"سأفعل ما فعله")</f>
        <v>سأفعل ما فعله</v>
      </c>
    </row>
    <row r="9342" ht="15.75" customHeight="1">
      <c r="A9342" s="12" t="s">
        <v>20857</v>
      </c>
      <c r="B9342" s="13" t="s">
        <v>20858</v>
      </c>
      <c r="C9342" s="14" t="s">
        <v>20859</v>
      </c>
      <c r="D9342" s="1" t="str">
        <f>IFERROR(__xludf.DUMMYFUNCTION("GOOGLETRANSLATE(A9342 , ""auto"", ""ar"")"),"إنه غير معروف")</f>
        <v>إنه غير معروف</v>
      </c>
    </row>
    <row r="9343" ht="15.75" customHeight="1">
      <c r="A9343" s="12" t="s">
        <v>20860</v>
      </c>
      <c r="B9343" s="13" t="s">
        <v>20861</v>
      </c>
      <c r="C9343" s="14" t="s">
        <v>20862</v>
      </c>
      <c r="D9343" s="1" t="str">
        <f>IFERROR(__xludf.DUMMYFUNCTION("GOOGLETRANSLATE(A9343 , ""auto"", ""ar"")"),"هو معروف")</f>
        <v>هو معروف</v>
      </c>
    </row>
    <row r="9344" ht="15.75" customHeight="1">
      <c r="A9344" s="12" t="s">
        <v>20863</v>
      </c>
      <c r="B9344" s="13" t="s">
        <v>20864</v>
      </c>
      <c r="C9344" s="14" t="s">
        <v>20865</v>
      </c>
      <c r="D9344" s="1" t="str">
        <f>IFERROR(__xludf.DUMMYFUNCTION("GOOGLETRANSLATE(A9344 , ""auto"", ""ar"")"),"هو مشهور")</f>
        <v>هو مشهور</v>
      </c>
    </row>
    <row r="9345" ht="15.75" customHeight="1">
      <c r="A9345" s="12" t="s">
        <v>20866</v>
      </c>
      <c r="B9345" s="13" t="s">
        <v>20867</v>
      </c>
      <c r="C9345" s="14" t="s">
        <v>20868</v>
      </c>
      <c r="D9345" s="1" t="str">
        <f>IFERROR(__xludf.DUMMYFUNCTION("GOOGLETRANSLATE(A9345 , ""auto"", ""ar"")"),"أنا في المكتب")</f>
        <v>أنا في المكتب</v>
      </c>
    </row>
    <row r="9346" ht="15.75" customHeight="1">
      <c r="A9346" s="12" t="s">
        <v>20869</v>
      </c>
      <c r="B9346" s="13" t="s">
        <v>20870</v>
      </c>
      <c r="C9346" s="14" t="s">
        <v>20871</v>
      </c>
      <c r="D9346" s="1" t="str">
        <f>IFERROR(__xludf.DUMMYFUNCTION("GOOGLETRANSLATE(A9346 , ""auto"", ""ar"")"),"من أين أحصل على المال؟")</f>
        <v>من أين أحصل على المال؟</v>
      </c>
    </row>
    <row r="9347" ht="15.75" customHeight="1">
      <c r="A9347" s="12" t="s">
        <v>20872</v>
      </c>
      <c r="B9347" s="13" t="s">
        <v>20873</v>
      </c>
      <c r="C9347" s="14" t="s">
        <v>20874</v>
      </c>
      <c r="D9347" s="1" t="str">
        <f>IFERROR(__xludf.DUMMYFUNCTION("GOOGLETRANSLATE(A9347 , ""auto"", ""ar"")"),"لم يرغب في قرض المال لي")</f>
        <v>لم يرغب في قرض المال لي</v>
      </c>
    </row>
    <row r="9348" ht="15.75" customHeight="1">
      <c r="A9348" s="12" t="s">
        <v>20875</v>
      </c>
      <c r="B9348" s="13" t="s">
        <v>20876</v>
      </c>
      <c r="C9348" s="14" t="s">
        <v>20877</v>
      </c>
      <c r="D9348" s="1" t="str">
        <f>IFERROR(__xludf.DUMMYFUNCTION("GOOGLETRANSLATE(A9348 , ""auto"", ""ar"")"),"يطرق الباب")</f>
        <v>يطرق الباب</v>
      </c>
    </row>
    <row r="9349" ht="15.75" customHeight="1">
      <c r="A9349" s="12" t="s">
        <v>20878</v>
      </c>
      <c r="B9349" s="13" t="s">
        <v>20879</v>
      </c>
      <c r="C9349" s="14" t="s">
        <v>20880</v>
      </c>
      <c r="D9349" s="1" t="str">
        <f>IFERROR(__xludf.DUMMYFUNCTION("GOOGLETRANSLATE(A9349 , ""auto"", ""ar"")"),"كان يطرق الباب")</f>
        <v>كان يطرق الباب</v>
      </c>
    </row>
    <row r="9350" ht="15.75" customHeight="1">
      <c r="A9350" s="12" t="s">
        <v>20881</v>
      </c>
      <c r="B9350" s="13" t="s">
        <v>20882</v>
      </c>
      <c r="C9350" s="14" t="s">
        <v>20883</v>
      </c>
      <c r="D9350" s="1" t="str">
        <f>IFERROR(__xludf.DUMMYFUNCTION("GOOGLETRANSLATE(A9350 , ""auto"", ""ar"")"),"لدي الكثير من المال")</f>
        <v>لدي الكثير من المال</v>
      </c>
    </row>
    <row r="9351" ht="15.75" customHeight="1">
      <c r="A9351" s="12" t="s">
        <v>20884</v>
      </c>
      <c r="B9351" s="13" t="s">
        <v>20885</v>
      </c>
      <c r="C9351" s="14" t="s">
        <v>20886</v>
      </c>
      <c r="D9351" s="1" t="str">
        <f>IFERROR(__xludf.DUMMYFUNCTION("GOOGLETRANSLATE(A9351 , ""auto"", ""ar"")"),"نحن متشابهين")</f>
        <v>نحن متشابهين</v>
      </c>
    </row>
    <row r="9352" ht="15.75" customHeight="1">
      <c r="A9352" s="12" t="s">
        <v>20887</v>
      </c>
      <c r="B9352" s="13" t="s">
        <v>20888</v>
      </c>
      <c r="C9352" s="14" t="s">
        <v>20889</v>
      </c>
      <c r="D9352" s="1" t="str">
        <f>IFERROR(__xludf.DUMMYFUNCTION("GOOGLETRANSLATE(A9352 , ""auto"", ""ar"")"),"أعطاني ورقة")</f>
        <v>أعطاني ورقة</v>
      </c>
    </row>
    <row r="9353" ht="15.75" customHeight="1">
      <c r="A9353" s="12" t="s">
        <v>20890</v>
      </c>
      <c r="B9353" s="13" t="s">
        <v>20891</v>
      </c>
      <c r="C9353" s="14" t="s">
        <v>20892</v>
      </c>
      <c r="D9353" s="1" t="str">
        <f>IFERROR(__xludf.DUMMYFUNCTION("GOOGLETRANSLATE(A9353 , ""auto"", ""ar"")"),"كيف تبدأ؟")</f>
        <v>كيف تبدأ؟</v>
      </c>
    </row>
    <row r="9354" ht="15.75" customHeight="1">
      <c r="A9354" s="12" t="s">
        <v>20893</v>
      </c>
      <c r="B9354" s="13" t="s">
        <v>20894</v>
      </c>
      <c r="C9354" s="14" t="s">
        <v>20895</v>
      </c>
      <c r="D9354" s="1" t="str">
        <f>IFERROR(__xludf.DUMMYFUNCTION("GOOGLETRANSLATE(A9354 , ""auto"", ""ar"")"),"اشعر بالملل")</f>
        <v>اشعر بالملل</v>
      </c>
    </row>
    <row r="9355" ht="15.75" customHeight="1">
      <c r="A9355" s="12" t="s">
        <v>20896</v>
      </c>
      <c r="B9355" s="13" t="s">
        <v>20897</v>
      </c>
      <c r="C9355" s="14" t="s">
        <v>20898</v>
      </c>
      <c r="D9355" s="1" t="str">
        <f>IFERROR(__xludf.DUMMYFUNCTION("GOOGLETRANSLATE(A9355 , ""auto"", ""ar"")"),"هل تشعر بالملل")</f>
        <v>هل تشعر بالملل</v>
      </c>
    </row>
    <row r="9356" ht="15.75" customHeight="1">
      <c r="A9356" s="12" t="s">
        <v>20899</v>
      </c>
      <c r="B9356" s="13" t="s">
        <v>20900</v>
      </c>
      <c r="C9356" s="14" t="s">
        <v>20901</v>
      </c>
      <c r="D9356" s="1" t="str">
        <f>IFERROR(__xludf.DUMMYFUNCTION("GOOGLETRANSLATE(A9356 , ""auto"", ""ar"")"),"هذه مغامرة")</f>
        <v>هذه مغامرة</v>
      </c>
    </row>
    <row r="9357" ht="15.75" customHeight="1">
      <c r="A9357" s="12" t="s">
        <v>20902</v>
      </c>
      <c r="B9357" s="13" t="s">
        <v>20903</v>
      </c>
      <c r="C9357" s="14" t="s">
        <v>20904</v>
      </c>
      <c r="D9357" s="1" t="str">
        <f>IFERROR(__xludf.DUMMYFUNCTION("GOOGLETRANSLATE(A9357 , ""auto"", ""ar"")"),"أنا أحب المغامرات")</f>
        <v>أنا أحب المغامرات</v>
      </c>
    </row>
    <row r="9358" ht="15.75" customHeight="1">
      <c r="A9358" s="12" t="s">
        <v>20905</v>
      </c>
      <c r="B9358" s="13" t="s">
        <v>20906</v>
      </c>
      <c r="C9358" s="14" t="s">
        <v>20907</v>
      </c>
      <c r="D9358" s="1" t="str">
        <f>IFERROR(__xludf.DUMMYFUNCTION("GOOGLETRANSLATE(A9358 , ""auto"", ""ar"")"),"لا تكن شخصا جبانا")</f>
        <v>لا تكن شخصا جبانا</v>
      </c>
    </row>
    <row r="9359" ht="15.75" customHeight="1">
      <c r="A9359" s="12" t="s">
        <v>20908</v>
      </c>
      <c r="B9359" s="13" t="s">
        <v>20909</v>
      </c>
      <c r="C9359" s="14" t="s">
        <v>20910</v>
      </c>
      <c r="D9359" s="1" t="str">
        <f>IFERROR(__xludf.DUMMYFUNCTION("GOOGLETRANSLATE(A9359 , ""auto"", ""ar"")"),"أحب أن أواجه التحديات")</f>
        <v>أحب أن أواجه التحديات</v>
      </c>
    </row>
    <row r="9360" ht="15.75" customHeight="1">
      <c r="A9360" s="12" t="s">
        <v>20911</v>
      </c>
      <c r="B9360" s="13" t="s">
        <v>20912</v>
      </c>
      <c r="C9360" s="14" t="s">
        <v>20913</v>
      </c>
      <c r="D9360" s="1" t="str">
        <f>IFERROR(__xludf.DUMMYFUNCTION("GOOGLETRANSLATE(A9360 , ""auto"", ""ar"")"),"أنت منافق")</f>
        <v>أنت منافق</v>
      </c>
    </row>
    <row r="9361" ht="15.75" customHeight="1">
      <c r="A9361" s="12" t="s">
        <v>20914</v>
      </c>
      <c r="B9361" s="13" t="s">
        <v>20915</v>
      </c>
      <c r="C9361" s="14" t="s">
        <v>20916</v>
      </c>
      <c r="D9361" s="1" t="str">
        <f>IFERROR(__xludf.DUMMYFUNCTION("GOOGLETRANSLATE(A9361 , ""auto"", ""ar"")"),"لماذا أنت منافق؟")</f>
        <v>لماذا أنت منافق؟</v>
      </c>
    </row>
    <row r="9362" ht="15.75" customHeight="1">
      <c r="A9362" s="12" t="s">
        <v>20917</v>
      </c>
      <c r="B9362" s="13" t="s">
        <v>20918</v>
      </c>
      <c r="C9362" s="14" t="s">
        <v>20919</v>
      </c>
      <c r="D9362" s="1" t="str">
        <f>IFERROR(__xludf.DUMMYFUNCTION("GOOGLETRANSLATE(A9362 , ""auto"", ""ar"")"),"حرج عليك")</f>
        <v>حرج عليك</v>
      </c>
    </row>
    <row r="9363" ht="15.75" customHeight="1">
      <c r="A9363" s="12" t="s">
        <v>20920</v>
      </c>
      <c r="B9363" s="13" t="s">
        <v>20921</v>
      </c>
      <c r="C9363" s="14" t="s">
        <v>20922</v>
      </c>
      <c r="D9363" s="1" t="str">
        <f>IFERROR(__xludf.DUMMYFUNCTION("GOOGLETRANSLATE(A9363 , ""auto"", ""ar"")"),"اقض اليوم معي")</f>
        <v>اقض اليوم معي</v>
      </c>
    </row>
    <row r="9364" ht="15.75" customHeight="1">
      <c r="A9364" s="12" t="s">
        <v>20923</v>
      </c>
      <c r="B9364" s="13" t="s">
        <v>20924</v>
      </c>
      <c r="C9364" s="14" t="s">
        <v>20925</v>
      </c>
      <c r="D9364" s="1" t="str">
        <f>IFERROR(__xludf.DUMMYFUNCTION("GOOGLETRANSLATE(A9364 , ""auto"", ""ar"")"),"أحب النوم كثيرا")</f>
        <v>أحب النوم كثيرا</v>
      </c>
    </row>
    <row r="9365" ht="15.75" customHeight="1">
      <c r="A9365" s="12" t="s">
        <v>20926</v>
      </c>
      <c r="B9365" s="13" t="s">
        <v>20927</v>
      </c>
      <c r="C9365" s="14" t="s">
        <v>20928</v>
      </c>
      <c r="D9365" s="1" t="str">
        <f>IFERROR(__xludf.DUMMYFUNCTION("GOOGLETRANSLATE(A9365 , ""auto"", ""ar"")"),"أحصل على ممتلئة بسرعة")</f>
        <v>أحصل على ممتلئة بسرعة</v>
      </c>
    </row>
    <row r="9366" ht="15.75" customHeight="1">
      <c r="A9366" s="12" t="s">
        <v>20929</v>
      </c>
      <c r="B9366" s="13" t="s">
        <v>20930</v>
      </c>
      <c r="C9366" s="14" t="s">
        <v>20931</v>
      </c>
      <c r="D9366" s="1" t="str">
        <f>IFERROR(__xludf.DUMMYFUNCTION("GOOGLETRANSLATE(A9366 , ""auto"", ""ar"")"),"أنا آكل السبانخ")</f>
        <v>أنا آكل السبانخ</v>
      </c>
    </row>
    <row r="9367" ht="15.75" customHeight="1">
      <c r="A9367" s="12" t="s">
        <v>20932</v>
      </c>
      <c r="B9367" s="13" t="s">
        <v>20933</v>
      </c>
      <c r="C9367" s="14" t="s">
        <v>20934</v>
      </c>
      <c r="D9367" s="1" t="str">
        <f>IFERROR(__xludf.DUMMYFUNCTION("GOOGLETRANSLATE(A9367 , ""auto"", ""ar"")"),"أفعل ذلك كل يوم")</f>
        <v>أفعل ذلك كل يوم</v>
      </c>
    </row>
    <row r="9368" ht="15.75" customHeight="1">
      <c r="A9368" s="12" t="s">
        <v>20935</v>
      </c>
      <c r="B9368" s="13" t="s">
        <v>20936</v>
      </c>
      <c r="C9368" s="14" t="s">
        <v>20937</v>
      </c>
      <c r="D9368" s="1" t="str">
        <f>IFERROR(__xludf.DUMMYFUNCTION("GOOGLETRANSLATE(A9368 , ""auto"", ""ar"")"),"إنه ليس هدفي")</f>
        <v>إنه ليس هدفي</v>
      </c>
    </row>
    <row r="9369" ht="15.75" customHeight="1">
      <c r="A9369" s="12" t="s">
        <v>20938</v>
      </c>
      <c r="B9369" s="13" t="s">
        <v>20939</v>
      </c>
      <c r="C9369" s="14" t="s">
        <v>20940</v>
      </c>
      <c r="D9369" s="1" t="str">
        <f>IFERROR(__xludf.DUMMYFUNCTION("GOOGLETRANSLATE(A9369 , ""auto"", ""ar"")"),"كما ترون")</f>
        <v>كما ترون</v>
      </c>
    </row>
    <row r="9370" ht="15.75" customHeight="1">
      <c r="A9370" s="12" t="s">
        <v>20941</v>
      </c>
      <c r="B9370" s="13" t="s">
        <v>20942</v>
      </c>
      <c r="C9370" s="14" t="s">
        <v>20943</v>
      </c>
      <c r="D9370" s="1" t="str">
        <f>IFERROR(__xludf.DUMMYFUNCTION("GOOGLETRANSLATE(A9370 , ""auto"", ""ar"")"),"الشيء الوحيد الذي فعلته")</f>
        <v>الشيء الوحيد الذي فعلته</v>
      </c>
    </row>
    <row r="9371" ht="15.75" customHeight="1">
      <c r="A9371" s="12" t="s">
        <v>20944</v>
      </c>
      <c r="B9371" s="13" t="s">
        <v>20945</v>
      </c>
      <c r="C9371" s="14" t="s">
        <v>20946</v>
      </c>
      <c r="D9371" s="1" t="str">
        <f>IFERROR(__xludf.DUMMYFUNCTION("GOOGLETRANSLATE(A9371 , ""auto"", ""ar"")"),"افعلها دائما")</f>
        <v>افعلها دائما</v>
      </c>
    </row>
    <row r="9372" ht="15.75" customHeight="1">
      <c r="A9372" s="12" t="s">
        <v>20947</v>
      </c>
      <c r="B9372" s="13" t="s">
        <v>20948</v>
      </c>
      <c r="C9372" s="14" t="s">
        <v>20949</v>
      </c>
      <c r="D9372" s="1" t="str">
        <f>IFERROR(__xludf.DUMMYFUNCTION("GOOGLETRANSLATE(A9372 , ""auto"", ""ar"")"),"اول شيء")</f>
        <v>اول شيء</v>
      </c>
    </row>
    <row r="9373" ht="15.75" customHeight="1">
      <c r="A9373" s="12" t="s">
        <v>20950</v>
      </c>
      <c r="B9373" s="13" t="s">
        <v>20951</v>
      </c>
      <c r="C9373" s="14" t="s">
        <v>20952</v>
      </c>
      <c r="D9373" s="1" t="str">
        <f>IFERROR(__xludf.DUMMYFUNCTION("GOOGLETRANSLATE(A9373 , ""auto"", ""ar"")"),"أنا دائما أستخدمه")</f>
        <v>أنا دائما أستخدمه</v>
      </c>
    </row>
    <row r="9374" ht="15.75" customHeight="1">
      <c r="A9374" s="12" t="s">
        <v>20953</v>
      </c>
      <c r="B9374" s="13" t="s">
        <v>20954</v>
      </c>
      <c r="C9374" s="14" t="s">
        <v>20955</v>
      </c>
      <c r="D9374" s="1" t="str">
        <f>IFERROR(__xludf.DUMMYFUNCTION("GOOGLETRANSLATE(A9374 , ""auto"", ""ar"")"),"أنا لا أستخدم هذا")</f>
        <v>أنا لا أستخدم هذا</v>
      </c>
    </row>
    <row r="9375" ht="15.75" customHeight="1">
      <c r="A9375" s="12" t="s">
        <v>20956</v>
      </c>
      <c r="B9375" s="13" t="s">
        <v>20957</v>
      </c>
      <c r="C9375" s="14" t="s">
        <v>20958</v>
      </c>
      <c r="D9375" s="1" t="str">
        <f>IFERROR(__xludf.DUMMYFUNCTION("GOOGLETRANSLATE(A9375 , ""auto"", ""ar"")"),"اتبع هذه الخطوات")</f>
        <v>اتبع هذه الخطوات</v>
      </c>
    </row>
    <row r="9376" ht="15.75" customHeight="1">
      <c r="A9376" s="12" t="s">
        <v>20959</v>
      </c>
      <c r="B9376" s="13" t="s">
        <v>20960</v>
      </c>
      <c r="C9376" s="14" t="s">
        <v>20961</v>
      </c>
      <c r="D9376" s="1" t="str">
        <f>IFERROR(__xludf.DUMMYFUNCTION("GOOGLETRANSLATE(A9376 , ""auto"", ""ar"")"),"تنظيف هذا")</f>
        <v>تنظيف هذا</v>
      </c>
    </row>
    <row r="9377" ht="15.75" customHeight="1">
      <c r="A9377" s="12" t="s">
        <v>20962</v>
      </c>
      <c r="B9377" s="13" t="s">
        <v>20963</v>
      </c>
      <c r="C9377" s="14" t="s">
        <v>20964</v>
      </c>
      <c r="D9377" s="1" t="str">
        <f>IFERROR(__xludf.DUMMYFUNCTION("GOOGLETRANSLATE(A9377 , ""auto"", ""ar"")"),"انا اجفف شعري")</f>
        <v>انا اجفف شعري</v>
      </c>
    </row>
    <row r="9378" ht="15.75" customHeight="1">
      <c r="A9378" s="12" t="s">
        <v>20965</v>
      </c>
      <c r="B9378" s="13" t="s">
        <v>20966</v>
      </c>
      <c r="C9378" s="14" t="s">
        <v>20967</v>
      </c>
      <c r="D9378" s="1" t="str">
        <f>IFERROR(__xludf.DUMMYFUNCTION("GOOGLETRANSLATE(A9378 , ""auto"", ""ar"")"),"سوف أشارككم")</f>
        <v>سوف أشارككم</v>
      </c>
    </row>
    <row r="9379" ht="15.75" customHeight="1">
      <c r="A9379" s="12" t="s">
        <v>20968</v>
      </c>
      <c r="B9379" s="13" t="s">
        <v>20969</v>
      </c>
      <c r="C9379" s="14" t="s">
        <v>20970</v>
      </c>
      <c r="D9379" s="1" t="str">
        <f>IFERROR(__xludf.DUMMYFUNCTION("GOOGLETRANSLATE(A9379 , ""auto"", ""ar"")"),"منظف ​​الوجه")</f>
        <v>منظف ​​الوجه</v>
      </c>
    </row>
    <row r="9380" ht="15.75" customHeight="1">
      <c r="A9380" s="12" t="s">
        <v>20971</v>
      </c>
      <c r="B9380" s="13" t="s">
        <v>20972</v>
      </c>
      <c r="C9380" s="14" t="s">
        <v>20973</v>
      </c>
      <c r="D9380" s="1" t="str">
        <f>IFERROR(__xludf.DUMMYFUNCTION("GOOGLETRANSLATE(A9380 , ""auto"", ""ar"")"),"سآخذك معي")</f>
        <v>سآخذك معي</v>
      </c>
    </row>
    <row r="9381" ht="15.75" customHeight="1">
      <c r="A9381" s="12" t="s">
        <v>20974</v>
      </c>
      <c r="B9381" s="13" t="s">
        <v>20975</v>
      </c>
      <c r="C9381" s="14" t="s">
        <v>20976</v>
      </c>
      <c r="D9381" s="1" t="str">
        <f>IFERROR(__xludf.DUMMYFUNCTION("GOOGLETRANSLATE(A9381 , ""auto"", ""ar"")"),"أنا أحاول")</f>
        <v>أنا أحاول</v>
      </c>
    </row>
    <row r="9382" ht="15.75" customHeight="1">
      <c r="A9382" s="12" t="s">
        <v>20977</v>
      </c>
      <c r="B9382" s="13" t="s">
        <v>20978</v>
      </c>
      <c r="C9382" s="14" t="s">
        <v>20979</v>
      </c>
      <c r="D9382" s="1" t="str">
        <f>IFERROR(__xludf.DUMMYFUNCTION("GOOGLETRANSLATE(A9382 , ""auto"", ""ar"")"),"في نفس الوقت")</f>
        <v>في نفس الوقت</v>
      </c>
    </row>
    <row r="9383" ht="15.75" customHeight="1">
      <c r="A9383" s="12" t="s">
        <v>20980</v>
      </c>
      <c r="B9383" s="13" t="s">
        <v>20981</v>
      </c>
      <c r="C9383" s="14" t="s">
        <v>20982</v>
      </c>
      <c r="D9383" s="1" t="str">
        <f>IFERROR(__xludf.DUMMYFUNCTION("GOOGLETRANSLATE(A9383 , ""auto"", ""ar"")"),"أول شيء أفعله")</f>
        <v>أول شيء أفعله</v>
      </c>
    </row>
    <row r="9384" ht="15.75" customHeight="1">
      <c r="A9384" s="12" t="s">
        <v>20983</v>
      </c>
      <c r="B9384" s="13" t="s">
        <v>20984</v>
      </c>
      <c r="C9384" s="14" t="s">
        <v>20985</v>
      </c>
      <c r="D9384" s="1" t="str">
        <f>IFERROR(__xludf.DUMMYFUNCTION("GOOGLETRANSLATE(A9384 , ""auto"", ""ar"")"),"سأضيف")</f>
        <v>سأضيف</v>
      </c>
    </row>
    <row r="9385" ht="15.75" customHeight="1">
      <c r="A9385" s="12" t="s">
        <v>20986</v>
      </c>
      <c r="B9385" s="13" t="s">
        <v>20987</v>
      </c>
      <c r="C9385" s="14" t="s">
        <v>20988</v>
      </c>
      <c r="D9385" s="1" t="str">
        <f>IFERROR(__xludf.DUMMYFUNCTION("GOOGLETRANSLATE(A9385 , ""auto"", ""ar"")"),"أنا أخلط جيدا")</f>
        <v>أنا أخلط جيدا</v>
      </c>
    </row>
    <row r="9386" ht="15.75" customHeight="1">
      <c r="A9386" s="12" t="s">
        <v>20989</v>
      </c>
      <c r="B9386" s="13" t="s">
        <v>20990</v>
      </c>
      <c r="C9386" s="14" t="s">
        <v>20991</v>
      </c>
      <c r="D9386" s="1" t="str">
        <f>IFERROR(__xludf.DUMMYFUNCTION("GOOGLETRANSLATE(A9386 , ""auto"", ""ar"")"),"أهم شيء")</f>
        <v>أهم شيء</v>
      </c>
    </row>
    <row r="9387" ht="15.75" customHeight="1">
      <c r="A9387" s="12" t="s">
        <v>20992</v>
      </c>
      <c r="B9387" s="13" t="s">
        <v>20993</v>
      </c>
      <c r="C9387" s="14" t="s">
        <v>20994</v>
      </c>
      <c r="D9387" s="1" t="str">
        <f>IFERROR(__xludf.DUMMYFUNCTION("GOOGLETRANSLATE(A9387 , ""auto"", ""ar"")"),"هذه هي الطريقة")</f>
        <v>هذه هي الطريقة</v>
      </c>
    </row>
    <row r="9388" ht="15.75" customHeight="1">
      <c r="A9388" s="12" t="s">
        <v>20995</v>
      </c>
      <c r="B9388" s="13" t="s">
        <v>20996</v>
      </c>
      <c r="C9388" s="14" t="s">
        <v>20997</v>
      </c>
      <c r="D9388" s="1" t="str">
        <f>IFERROR(__xludf.DUMMYFUNCTION("GOOGLETRANSLATE(A9388 , ""auto"", ""ar"")"),"الذوق جيد")</f>
        <v>الذوق جيد</v>
      </c>
    </row>
    <row r="9389" ht="15.75" customHeight="1">
      <c r="A9389" s="12" t="s">
        <v>20998</v>
      </c>
      <c r="B9389" s="13" t="s">
        <v>20999</v>
      </c>
      <c r="C9389" s="14" t="s">
        <v>21000</v>
      </c>
      <c r="D9389" s="1" t="str">
        <f>IFERROR(__xludf.DUMMYFUNCTION("GOOGLETRANSLATE(A9389 , ""auto"", ""ar"")"),"ضعها في أسفل")</f>
        <v>ضعها في أسفل</v>
      </c>
    </row>
    <row r="9390" ht="15.75" customHeight="1">
      <c r="A9390" s="12" t="s">
        <v>21001</v>
      </c>
      <c r="B9390" s="13" t="s">
        <v>21002</v>
      </c>
      <c r="C9390" s="14" t="s">
        <v>21003</v>
      </c>
      <c r="D9390" s="1" t="str">
        <f>IFERROR(__xludf.DUMMYFUNCTION("GOOGLETRANSLATE(A9390 , ""auto"", ""ar"")"),"أتمنى أن يعجبك")</f>
        <v>أتمنى أن يعجبك</v>
      </c>
    </row>
    <row r="9391" ht="15.75" customHeight="1">
      <c r="A9391" s="12" t="s">
        <v>21004</v>
      </c>
      <c r="B9391" s="13" t="s">
        <v>21005</v>
      </c>
      <c r="C9391" s="14" t="s">
        <v>21006</v>
      </c>
      <c r="D9391" s="1" t="str">
        <f>IFERROR(__xludf.DUMMYFUNCTION("GOOGLETRANSLATE(A9391 , ""auto"", ""ar"")"),"أنا ألبس ملابسي")</f>
        <v>أنا ألبس ملابسي</v>
      </c>
    </row>
    <row r="9392" ht="15.75" customHeight="1">
      <c r="A9392" s="12" t="s">
        <v>21007</v>
      </c>
      <c r="B9392" s="13" t="s">
        <v>21008</v>
      </c>
      <c r="C9392" s="14" t="s">
        <v>21009</v>
      </c>
      <c r="D9392" s="1" t="str">
        <f>IFERROR(__xludf.DUMMYFUNCTION("GOOGLETRANSLATE(A9392 , ""auto"", ""ar"")"),"لقد فعلت أظافري")</f>
        <v>لقد فعلت أظافري</v>
      </c>
    </row>
    <row r="9393" ht="15.75" customHeight="1">
      <c r="A9393" s="12" t="s">
        <v>21010</v>
      </c>
      <c r="B9393" s="13" t="s">
        <v>21011</v>
      </c>
      <c r="C9393" s="14" t="s">
        <v>21012</v>
      </c>
      <c r="D9393" s="1" t="str">
        <f>IFERROR(__xludf.DUMMYFUNCTION("GOOGLETRANSLATE(A9393 , ""auto"", ""ar"")"),"لقد خرجت للتو")</f>
        <v>لقد خرجت للتو</v>
      </c>
    </row>
    <row r="9394" ht="15.75" customHeight="1">
      <c r="A9394" s="12" t="s">
        <v>21013</v>
      </c>
      <c r="B9394" s="13" t="s">
        <v>21014</v>
      </c>
      <c r="C9394" s="14" t="s">
        <v>21015</v>
      </c>
      <c r="D9394" s="1" t="str">
        <f>IFERROR(__xludf.DUMMYFUNCTION("GOOGLETRANSLATE(A9394 , ""auto"", ""ar"")"),"أتمنى أن تكون جيد")</f>
        <v>أتمنى أن تكون جيد</v>
      </c>
    </row>
    <row r="9395" ht="15.75" customHeight="1">
      <c r="A9395" s="12" t="s">
        <v>21016</v>
      </c>
      <c r="B9395" s="13" t="s">
        <v>21017</v>
      </c>
      <c r="C9395" s="14" t="s">
        <v>21018</v>
      </c>
      <c r="D9395" s="1" t="str">
        <f>IFERROR(__xludf.DUMMYFUNCTION("GOOGLETRANSLATE(A9395 , ""auto"", ""ar"")"),"لم أتوقع")</f>
        <v>لم أتوقع</v>
      </c>
    </row>
    <row r="9396" ht="15.75" customHeight="1">
      <c r="A9396" s="12" t="s">
        <v>21019</v>
      </c>
      <c r="B9396" s="13" t="s">
        <v>21020</v>
      </c>
      <c r="C9396" s="14" t="s">
        <v>21021</v>
      </c>
      <c r="D9396" s="1" t="str">
        <f>IFERROR(__xludf.DUMMYFUNCTION("GOOGLETRANSLATE(A9396 , ""auto"", ""ar"")"),"ما زلت نائما")</f>
        <v>ما زلت نائما</v>
      </c>
    </row>
    <row r="9397" ht="15.75" customHeight="1">
      <c r="A9397" s="12" t="s">
        <v>21022</v>
      </c>
      <c r="B9397" s="13" t="s">
        <v>21023</v>
      </c>
      <c r="C9397" s="14" t="s">
        <v>21024</v>
      </c>
      <c r="D9397" s="1" t="str">
        <f>IFERROR(__xludf.DUMMYFUNCTION("GOOGLETRANSLATE(A9397 , ""auto"", ""ar"")"),"سآخذ الصور")</f>
        <v>سآخذ الصور</v>
      </c>
    </row>
    <row r="9398" ht="15.75" customHeight="1">
      <c r="A9398" s="12" t="s">
        <v>21025</v>
      </c>
      <c r="B9398" s="13" t="s">
        <v>21026</v>
      </c>
      <c r="C9398" s="14" t="s">
        <v>21027</v>
      </c>
      <c r="D9398" s="1" t="str">
        <f>IFERROR(__xludf.DUMMYFUNCTION("GOOGLETRANSLATE(A9398 , ""auto"", ""ar"")"),"لقد عدت")</f>
        <v>لقد عدت</v>
      </c>
    </row>
    <row r="9399" ht="15.75" customHeight="1">
      <c r="A9399" s="12" t="s">
        <v>21028</v>
      </c>
      <c r="B9399" s="13" t="s">
        <v>21029</v>
      </c>
      <c r="C9399" s="14" t="s">
        <v>21030</v>
      </c>
      <c r="D9399" s="1" t="str">
        <f>IFERROR(__xludf.DUMMYFUNCTION("GOOGLETRANSLATE(A9399 , ""auto"", ""ar"")"),"انا ذاهب")</f>
        <v>انا ذاهب</v>
      </c>
    </row>
    <row r="9400" ht="15.75" customHeight="1">
      <c r="A9400" s="12" t="s">
        <v>4194</v>
      </c>
      <c r="B9400" s="13" t="s">
        <v>21031</v>
      </c>
      <c r="C9400" s="14" t="s">
        <v>135</v>
      </c>
      <c r="D9400" s="1" t="str">
        <f>IFERROR(__xludf.DUMMYFUNCTION("GOOGLETRANSLATE(A9400 , ""auto"", ""ar"")"),"لاحقاً")</f>
        <v>لاحقاً</v>
      </c>
    </row>
    <row r="9401" ht="15.75" customHeight="1">
      <c r="A9401" s="12" t="s">
        <v>21032</v>
      </c>
      <c r="B9401" s="13" t="s">
        <v>21033</v>
      </c>
      <c r="C9401" s="14" t="s">
        <v>21034</v>
      </c>
      <c r="D9401" s="1" t="str">
        <f>IFERROR(__xludf.DUMMYFUNCTION("GOOGLETRANSLATE(A9401 , ""auto"", ""ar"")"),"كل ساعتين")</f>
        <v>كل ساعتين</v>
      </c>
    </row>
    <row r="9402" ht="15.75" customHeight="1">
      <c r="A9402" s="12" t="s">
        <v>21035</v>
      </c>
      <c r="B9402" s="13" t="s">
        <v>21036</v>
      </c>
      <c r="C9402" s="14" t="s">
        <v>21037</v>
      </c>
      <c r="D9402" s="1" t="str">
        <f>IFERROR(__xludf.DUMMYFUNCTION("GOOGLETRANSLATE(A9402 , ""auto"", ""ar"")"),"لقد وصل طلبي")</f>
        <v>لقد وصل طلبي</v>
      </c>
    </row>
    <row r="9403" ht="15.75" customHeight="1">
      <c r="A9403" s="12" t="s">
        <v>21038</v>
      </c>
      <c r="B9403" s="13" t="s">
        <v>21039</v>
      </c>
      <c r="C9403" s="14" t="s">
        <v>21040</v>
      </c>
      <c r="D9403" s="1" t="str">
        <f>IFERROR(__xludf.DUMMYFUNCTION("GOOGLETRANSLATE(A9403 , ""auto"", ""ar"")"),"لقد تناولت الغداء للتو")</f>
        <v>لقد تناولت الغداء للتو</v>
      </c>
    </row>
    <row r="9404" ht="15.75" customHeight="1">
      <c r="A9404" s="12" t="s">
        <v>21041</v>
      </c>
      <c r="B9404" s="13" t="s">
        <v>21042</v>
      </c>
      <c r="C9404" s="14" t="s">
        <v>21043</v>
      </c>
      <c r="D9404" s="1" t="str">
        <f>IFERROR(__xludf.DUMMYFUNCTION("GOOGLETRANSLATE(A9404 , ""auto"", ""ar"")"),"كما تعلم")</f>
        <v>كما تعلم</v>
      </c>
    </row>
    <row r="9405" ht="15.75" customHeight="1">
      <c r="A9405" s="12" t="s">
        <v>21044</v>
      </c>
      <c r="B9405" s="13" t="s">
        <v>21045</v>
      </c>
      <c r="C9405" s="14" t="s">
        <v>21046</v>
      </c>
      <c r="D9405" s="1" t="str">
        <f>IFERROR(__xludf.DUMMYFUNCTION("GOOGLETRANSLATE(A9405 , ""auto"", ""ar"")"),"أنا مدعو لتناول العشاء")</f>
        <v>أنا مدعو لتناول العشاء</v>
      </c>
    </row>
    <row r="9406" ht="15.75" customHeight="1">
      <c r="A9406" s="12" t="s">
        <v>21047</v>
      </c>
      <c r="B9406" s="13" t="s">
        <v>21048</v>
      </c>
      <c r="C9406" s="14" t="s">
        <v>21049</v>
      </c>
      <c r="D9406" s="1" t="str">
        <f>IFERROR(__xludf.DUMMYFUNCTION("GOOGLETRANSLATE(A9406 , ""auto"", ""ar"")"),"لدي بشرة زيتية")</f>
        <v>لدي بشرة زيتية</v>
      </c>
    </row>
    <row r="9407" ht="15.75" customHeight="1">
      <c r="A9407" s="12" t="s">
        <v>21050</v>
      </c>
      <c r="B9407" s="13" t="s">
        <v>21051</v>
      </c>
      <c r="C9407" s="14" t="s">
        <v>21052</v>
      </c>
      <c r="D9407" s="1" t="str">
        <f>IFERROR(__xludf.DUMMYFUNCTION("GOOGLETRANSLATE(A9407 , ""auto"", ""ar"")"),"لدي بشرة جافة")</f>
        <v>لدي بشرة جافة</v>
      </c>
    </row>
    <row r="9408" ht="15.75" customHeight="1">
      <c r="A9408" s="12" t="s">
        <v>21053</v>
      </c>
      <c r="B9408" s="13" t="s">
        <v>21054</v>
      </c>
      <c r="C9408" s="14" t="s">
        <v>21055</v>
      </c>
      <c r="D9408" s="1" t="str">
        <f>IFERROR(__xludf.DUMMYFUNCTION("GOOGLETRANSLATE(A9408 , ""auto"", ""ar"")"),"لدي بشرة مختلطة")</f>
        <v>لدي بشرة مختلطة</v>
      </c>
    </row>
    <row r="9409" ht="15.75" customHeight="1">
      <c r="A9409" s="12" t="s">
        <v>21056</v>
      </c>
      <c r="B9409" s="13" t="s">
        <v>21057</v>
      </c>
      <c r="C9409" s="14" t="s">
        <v>21058</v>
      </c>
      <c r="D9409" s="1" t="str">
        <f>IFERROR(__xludf.DUMMYFUNCTION("GOOGLETRANSLATE(A9409 , ""auto"", ""ar"")"),"قبل وقت طويل")</f>
        <v>قبل وقت طويل</v>
      </c>
    </row>
    <row r="9410" ht="15.75" customHeight="1">
      <c r="A9410" s="12" t="s">
        <v>21059</v>
      </c>
      <c r="B9410" s="13" t="s">
        <v>21060</v>
      </c>
      <c r="C9410" s="14" t="s">
        <v>21061</v>
      </c>
      <c r="D9410" s="1" t="str">
        <f>IFERROR(__xludf.DUMMYFUNCTION("GOOGLETRANSLATE(A9410 , ""auto"", ""ar"")"),"السعر مريح")</f>
        <v>السعر مريح</v>
      </c>
    </row>
    <row r="9411" ht="15.75" customHeight="1">
      <c r="A9411" s="12" t="s">
        <v>21062</v>
      </c>
      <c r="B9411" s="13" t="s">
        <v>21063</v>
      </c>
      <c r="C9411" s="14" t="s">
        <v>21064</v>
      </c>
      <c r="D9411" s="1" t="str">
        <f>IFERROR(__xludf.DUMMYFUNCTION("GOOGLETRANSLATE(A9411 , ""auto"", ""ar"")"),"حاولت ذلك")</f>
        <v>حاولت ذلك</v>
      </c>
    </row>
    <row r="9412" ht="15.75" customHeight="1">
      <c r="A9412" s="12" t="s">
        <v>21065</v>
      </c>
      <c r="B9412" s="13" t="s">
        <v>21066</v>
      </c>
      <c r="C9412" s="14" t="s">
        <v>21067</v>
      </c>
      <c r="D9412" s="1" t="str">
        <f>IFERROR(__xludf.DUMMYFUNCTION("GOOGLETRANSLATE(A9412 , ""auto"", ""ar"")"),"تأخذ وقت")</f>
        <v>تأخذ وقت</v>
      </c>
    </row>
    <row r="9413" ht="15.75" customHeight="1">
      <c r="A9413" s="12" t="s">
        <v>18710</v>
      </c>
      <c r="B9413" s="13" t="s">
        <v>21068</v>
      </c>
      <c r="C9413" s="14" t="s">
        <v>18712</v>
      </c>
      <c r="D9413" s="1" t="str">
        <f>IFERROR(__xludf.DUMMYFUNCTION("GOOGLETRANSLATE(A9413 , ""auto"", ""ar"")"),"ليس لدي وقت")</f>
        <v>ليس لدي وقت</v>
      </c>
    </row>
    <row r="9414" ht="15.75" customHeight="1">
      <c r="A9414" s="12" t="s">
        <v>21069</v>
      </c>
      <c r="B9414" s="13" t="s">
        <v>21070</v>
      </c>
      <c r="C9414" s="14" t="s">
        <v>21071</v>
      </c>
      <c r="D9414" s="1" t="str">
        <f>IFERROR(__xludf.DUMMYFUNCTION("GOOGLETRANSLATE(A9414 , ""auto"", ""ar"")"),"يجب ان تأتي")</f>
        <v>يجب ان تأتي</v>
      </c>
    </row>
    <row r="9415" ht="15.75" customHeight="1">
      <c r="A9415" s="12" t="s">
        <v>21072</v>
      </c>
      <c r="B9415" s="13" t="s">
        <v>21073</v>
      </c>
      <c r="C9415" s="14" t="s">
        <v>21074</v>
      </c>
      <c r="D9415" s="1" t="str">
        <f>IFERROR(__xludf.DUMMYFUNCTION("GOOGLETRANSLATE(A9415 , ""auto"", ""ar"")"),"سوف يفتح الباب")</f>
        <v>سوف يفتح الباب</v>
      </c>
    </row>
    <row r="9416" ht="15.75" customHeight="1">
      <c r="A9416" s="12" t="s">
        <v>21075</v>
      </c>
      <c r="B9416" s="13" t="s">
        <v>21076</v>
      </c>
      <c r="C9416" s="14" t="s">
        <v>21077</v>
      </c>
      <c r="D9416" s="1" t="str">
        <f>IFERROR(__xludf.DUMMYFUNCTION("GOOGLETRANSLATE(A9416 , ""auto"", ""ar"")"),"النافذة مغلقة")</f>
        <v>النافذة مغلقة</v>
      </c>
    </row>
    <row r="9417" ht="15.75" customHeight="1">
      <c r="A9417" s="12" t="s">
        <v>21078</v>
      </c>
      <c r="B9417" s="13" t="s">
        <v>21079</v>
      </c>
      <c r="C9417" s="14" t="s">
        <v>21080</v>
      </c>
      <c r="D9417" s="1" t="str">
        <f>IFERROR(__xludf.DUMMYFUNCTION("GOOGLETRANSLATE(A9417 , ""auto"", ""ar"")"),"أنا غير معتاد")</f>
        <v>أنا غير معتاد</v>
      </c>
    </row>
    <row r="9418" ht="15.75" customHeight="1">
      <c r="A9418" s="12" t="s">
        <v>21081</v>
      </c>
      <c r="B9418" s="13" t="s">
        <v>21082</v>
      </c>
      <c r="C9418" s="14" t="s">
        <v>21083</v>
      </c>
      <c r="D9418" s="1" t="str">
        <f>IFERROR(__xludf.DUMMYFUNCTION("GOOGLETRANSLATE(A9418 , ""auto"", ""ar"")"),"بدون تعليق")</f>
        <v>بدون تعليق</v>
      </c>
    </row>
    <row r="9419" ht="15.75" customHeight="1">
      <c r="A9419" s="12" t="s">
        <v>21084</v>
      </c>
      <c r="B9419" s="13" t="s">
        <v>21085</v>
      </c>
      <c r="C9419" s="14" t="s">
        <v>21086</v>
      </c>
      <c r="D9419" s="1" t="str">
        <f>IFERROR(__xludf.DUMMYFUNCTION("GOOGLETRANSLATE(A9419 , ""auto"", ""ar"")"),"لا تقل هذا أبدًا")</f>
        <v>لا تقل هذا أبدًا</v>
      </c>
    </row>
    <row r="9420" ht="15.75" customHeight="1">
      <c r="A9420" s="12" t="s">
        <v>21087</v>
      </c>
      <c r="B9420" s="13" t="s">
        <v>21088</v>
      </c>
      <c r="C9420" s="14" t="s">
        <v>21089</v>
      </c>
      <c r="D9420" s="1" t="str">
        <f>IFERROR(__xludf.DUMMYFUNCTION("GOOGLETRANSLATE(A9420 , ""auto"", ""ar"")"),"سأغير ملابسي")</f>
        <v>سأغير ملابسي</v>
      </c>
    </row>
    <row r="9421" ht="15.75" customHeight="1">
      <c r="A9421" s="12" t="s">
        <v>21090</v>
      </c>
      <c r="B9421" s="13" t="s">
        <v>21091</v>
      </c>
      <c r="C9421" s="14" t="s">
        <v>21092</v>
      </c>
      <c r="D9421" s="1" t="str">
        <f>IFERROR(__xludf.DUMMYFUNCTION("GOOGLETRANSLATE(A9421 , ""auto"", ""ar"")"),"اريد عصير")</f>
        <v>اريد عصير</v>
      </c>
    </row>
    <row r="9422" ht="15.75" customHeight="1">
      <c r="A9422" s="12" t="s">
        <v>21093</v>
      </c>
      <c r="B9422" s="13" t="s">
        <v>21094</v>
      </c>
      <c r="C9422" s="14" t="s">
        <v>21095</v>
      </c>
      <c r="D9422" s="1" t="str">
        <f>IFERROR(__xludf.DUMMYFUNCTION("GOOGLETRANSLATE(A9422 , ""auto"", ""ar"")"),"عصير البرتقال")</f>
        <v>عصير البرتقال</v>
      </c>
    </row>
    <row r="9423" ht="15.75" customHeight="1">
      <c r="A9423" s="12" t="s">
        <v>21096</v>
      </c>
      <c r="B9423" s="13" t="s">
        <v>21097</v>
      </c>
      <c r="C9423" s="14" t="s">
        <v>21098</v>
      </c>
      <c r="D9423" s="1" t="str">
        <f>IFERROR(__xludf.DUMMYFUNCTION("GOOGLETRANSLATE(A9423 , ""auto"", ""ar"")"),"سأذهب إلى الغابة")</f>
        <v>سأذهب إلى الغابة</v>
      </c>
    </row>
    <row r="9424" ht="15.75" customHeight="1">
      <c r="A9424" s="12" t="s">
        <v>21099</v>
      </c>
      <c r="B9424" s="13" t="s">
        <v>21100</v>
      </c>
      <c r="C9424" s="14" t="s">
        <v>21101</v>
      </c>
      <c r="D9424" s="1" t="str">
        <f>IFERROR(__xludf.DUMMYFUNCTION("GOOGLETRANSLATE(A9424 , ""auto"", ""ar"")"),"أنا متعب جدا")</f>
        <v>أنا متعب جدا</v>
      </c>
    </row>
    <row r="9425" ht="15.75" customHeight="1">
      <c r="A9425" s="12" t="s">
        <v>21102</v>
      </c>
      <c r="B9425" s="13" t="s">
        <v>21103</v>
      </c>
      <c r="C9425" s="14" t="s">
        <v>21104</v>
      </c>
      <c r="D9425" s="1" t="str">
        <f>IFERROR(__xludf.DUMMYFUNCTION("GOOGLETRANSLATE(A9425 , ""auto"", ""ar"")"),"حظيت بوقت ممتع")</f>
        <v>حظيت بوقت ممتع</v>
      </c>
    </row>
    <row r="9426" ht="15.75" customHeight="1">
      <c r="A9426" s="12" t="s">
        <v>21105</v>
      </c>
      <c r="B9426" s="13" t="s">
        <v>21106</v>
      </c>
      <c r="C9426" s="14" t="s">
        <v>21107</v>
      </c>
      <c r="D9426" s="1" t="str">
        <f>IFERROR(__xludf.DUMMYFUNCTION("GOOGLETRANSLATE(A9426 , ""auto"", ""ar"")"),"انا حقا استمتعت")</f>
        <v>انا حقا استمتعت</v>
      </c>
    </row>
    <row r="9427" ht="15.75" customHeight="1">
      <c r="A9427" s="12" t="s">
        <v>21108</v>
      </c>
      <c r="B9427" s="13" t="s">
        <v>21109</v>
      </c>
      <c r="C9427" s="14" t="s">
        <v>21110</v>
      </c>
      <c r="D9427" s="1" t="str">
        <f>IFERROR(__xludf.DUMMYFUNCTION("GOOGLETRANSLATE(A9427 , ""auto"", ""ar"")"),"كان جيدا حقا")</f>
        <v>كان جيدا حقا</v>
      </c>
    </row>
    <row r="9428" ht="15.75" customHeight="1">
      <c r="A9428" s="12" t="s">
        <v>21111</v>
      </c>
      <c r="B9428" s="13" t="s">
        <v>21112</v>
      </c>
      <c r="C9428" s="14" t="s">
        <v>21113</v>
      </c>
      <c r="D9428" s="1" t="str">
        <f>IFERROR(__xludf.DUMMYFUNCTION("GOOGLETRANSLATE(A9428 , ""auto"", ""ar"")"),"أنا نظيف")</f>
        <v>أنا نظيف</v>
      </c>
    </row>
    <row r="9429" ht="15.75" customHeight="1">
      <c r="A9429" s="12" t="s">
        <v>21114</v>
      </c>
      <c r="B9429" s="13" t="s">
        <v>21115</v>
      </c>
      <c r="C9429" s="14" t="s">
        <v>21116</v>
      </c>
      <c r="D9429" s="1" t="str">
        <f>IFERROR(__xludf.DUMMYFUNCTION("GOOGLETRANSLATE(A9429 , ""auto"", ""ar"")"),"أنا أشاهد مقطع فيديو")</f>
        <v>أنا أشاهد مقطع فيديو</v>
      </c>
    </row>
    <row r="9430" ht="15.75" customHeight="1">
      <c r="A9430" s="12" t="s">
        <v>21117</v>
      </c>
      <c r="B9430" s="13" t="s">
        <v>21118</v>
      </c>
      <c r="C9430" s="14" t="s">
        <v>21119</v>
      </c>
      <c r="D9430" s="1" t="str">
        <f>IFERROR(__xludf.DUMMYFUNCTION("GOOGLETRANSLATE(A9430 , ""auto"", ""ar"")"),"ما زلت لم تذهب؟")</f>
        <v>ما زلت لم تذهب؟</v>
      </c>
    </row>
    <row r="9431" ht="15.75" customHeight="1">
      <c r="A9431" s="12" t="s">
        <v>21120</v>
      </c>
      <c r="B9431" s="13" t="s">
        <v>21121</v>
      </c>
      <c r="C9431" s="14" t="s">
        <v>21122</v>
      </c>
      <c r="D9431" s="1" t="str">
        <f>IFERROR(__xludf.DUMMYFUNCTION("GOOGLETRANSLATE(A9431 , ""auto"", ""ar"")"),"الخطوة الأولى")</f>
        <v>الخطوة الأولى</v>
      </c>
    </row>
    <row r="9432" ht="15.75" customHeight="1">
      <c r="A9432" s="12" t="s">
        <v>21123</v>
      </c>
      <c r="B9432" s="13" t="s">
        <v>21124</v>
      </c>
      <c r="C9432" s="14" t="s">
        <v>21125</v>
      </c>
      <c r="D9432" s="1" t="str">
        <f>IFERROR(__xludf.DUMMYFUNCTION("GOOGLETRANSLATE(A9432 , ""auto"", ""ar"")"),"أنا تطهير")</f>
        <v>أنا تطهير</v>
      </c>
    </row>
    <row r="9433" ht="15.75" customHeight="1">
      <c r="A9433" s="12" t="s">
        <v>21126</v>
      </c>
      <c r="B9433" s="13" t="s">
        <v>21127</v>
      </c>
      <c r="C9433" s="14" t="s">
        <v>21128</v>
      </c>
      <c r="D9433" s="1" t="str">
        <f>IFERROR(__xludf.DUMMYFUNCTION("GOOGLETRANSLATE(A9433 , ""auto"", ""ar"")"),"سأستحم")</f>
        <v>سأستحم</v>
      </c>
    </row>
    <row r="9434" ht="15.75" customHeight="1">
      <c r="A9434" s="12" t="s">
        <v>21129</v>
      </c>
      <c r="B9434" s="13" t="s">
        <v>21130</v>
      </c>
      <c r="C9434" s="14" t="s">
        <v>21131</v>
      </c>
      <c r="D9434" s="1" t="str">
        <f>IFERROR(__xludf.DUMMYFUNCTION("GOOGLETRANSLATE(A9434 , ""auto"", ""ar"")"),"اغسل يديك")</f>
        <v>اغسل يديك</v>
      </c>
    </row>
    <row r="9435" ht="15.75" customHeight="1">
      <c r="A9435" s="12" t="s">
        <v>21132</v>
      </c>
      <c r="B9435" s="13" t="s">
        <v>21133</v>
      </c>
      <c r="C9435" s="14" t="s">
        <v>21134</v>
      </c>
      <c r="D9435" s="1" t="str">
        <f>IFERROR(__xludf.DUMMYFUNCTION("GOOGLETRANSLATE(A9435 , ""auto"", ""ar"")"),"هذه مشكلة")</f>
        <v>هذه مشكلة</v>
      </c>
    </row>
    <row r="9436" ht="15.75" customHeight="1">
      <c r="A9436" s="12" t="s">
        <v>21135</v>
      </c>
      <c r="B9436" s="13" t="s">
        <v>21136</v>
      </c>
      <c r="C9436" s="14" t="s">
        <v>21137</v>
      </c>
      <c r="D9436" s="1" t="str">
        <f>IFERROR(__xludf.DUMMYFUNCTION("GOOGLETRANSLATE(A9436 , ""auto"", ""ar"")"),"أفضل شيء")</f>
        <v>أفضل شيء</v>
      </c>
    </row>
    <row r="9437" ht="15.75" customHeight="1">
      <c r="A9437" s="12" t="s">
        <v>21138</v>
      </c>
      <c r="B9437" s="13" t="s">
        <v>21139</v>
      </c>
      <c r="C9437" s="14" t="s">
        <v>21140</v>
      </c>
      <c r="D9437" s="1" t="str">
        <f>IFERROR(__xludf.DUMMYFUNCTION("GOOGLETRANSLATE(A9437 , ""auto"", ""ar"")"),"اتبعني")</f>
        <v>اتبعني</v>
      </c>
    </row>
    <row r="9438" ht="15.75" customHeight="1">
      <c r="A9438" s="12" t="s">
        <v>21141</v>
      </c>
      <c r="B9438" s="13" t="s">
        <v>21142</v>
      </c>
      <c r="C9438" s="14" t="s">
        <v>21143</v>
      </c>
      <c r="D9438" s="1" t="str">
        <f>IFERROR(__xludf.DUMMYFUNCTION("GOOGLETRANSLATE(A9438 , ""auto"", ""ar"")"),"شيء طبيعي")</f>
        <v>شيء طبيعي</v>
      </c>
    </row>
    <row r="9439" ht="15.75" customHeight="1">
      <c r="A9439" s="12" t="s">
        <v>21144</v>
      </c>
      <c r="B9439" s="13" t="s">
        <v>21145</v>
      </c>
      <c r="C9439" s="14" t="s">
        <v>21146</v>
      </c>
      <c r="D9439" s="1" t="str">
        <f>IFERROR(__xludf.DUMMYFUNCTION("GOOGLETRANSLATE(A9439 , ""auto"", ""ar"")"),"شرحت لك")</f>
        <v>شرحت لك</v>
      </c>
    </row>
    <row r="9440" ht="15.75" customHeight="1">
      <c r="A9440" s="12" t="s">
        <v>21147</v>
      </c>
      <c r="B9440" s="13" t="s">
        <v>21148</v>
      </c>
      <c r="C9440" s="14" t="s">
        <v>21149</v>
      </c>
      <c r="D9440" s="1" t="str">
        <f>IFERROR(__xludf.DUMMYFUNCTION("GOOGLETRANSLATE(A9440 , ""auto"", ""ar"")"),"هل يمكنك ان تفسر لى؟")</f>
        <v>هل يمكنك ان تفسر لى؟</v>
      </c>
    </row>
    <row r="9441" ht="15.75" customHeight="1">
      <c r="A9441" s="12" t="s">
        <v>21150</v>
      </c>
      <c r="B9441" s="13" t="s">
        <v>21151</v>
      </c>
      <c r="C9441" s="14" t="s">
        <v>21152</v>
      </c>
      <c r="D9441" s="1" t="str">
        <f>IFERROR(__xludf.DUMMYFUNCTION("GOOGLETRANSLATE(A9441 , ""auto"", ""ar"")"),"الأيام العادية")</f>
        <v>الأيام العادية</v>
      </c>
    </row>
    <row r="9442" ht="15.75" customHeight="1">
      <c r="A9442" s="12" t="s">
        <v>21153</v>
      </c>
      <c r="B9442" s="13" t="s">
        <v>21154</v>
      </c>
      <c r="C9442" s="14" t="s">
        <v>21155</v>
      </c>
      <c r="D9442" s="1" t="str">
        <f>IFERROR(__xludf.DUMMYFUNCTION("GOOGLETRANSLATE(A9442 , ""auto"", ""ar"")"),"مئة بالمئة")</f>
        <v>مئة بالمئة</v>
      </c>
    </row>
    <row r="9443" ht="15.75" customHeight="1">
      <c r="A9443" s="12" t="s">
        <v>21156</v>
      </c>
      <c r="B9443" s="13" t="s">
        <v>21157</v>
      </c>
      <c r="C9443" s="14" t="s">
        <v>21158</v>
      </c>
      <c r="D9443" s="1" t="str">
        <f>IFERROR(__xludf.DUMMYFUNCTION("GOOGLETRANSLATE(A9443 , ""auto"", ""ar"")"),"لم أعد أستخدم هذا")</f>
        <v>لم أعد أستخدم هذا</v>
      </c>
    </row>
    <row r="9444" ht="15.75" customHeight="1">
      <c r="A9444" s="12" t="s">
        <v>21159</v>
      </c>
      <c r="B9444" s="13" t="s">
        <v>21160</v>
      </c>
      <c r="C9444" s="14" t="s">
        <v>21161</v>
      </c>
      <c r="D9444" s="1" t="str">
        <f>IFERROR(__xludf.DUMMYFUNCTION("GOOGLETRANSLATE(A9444 , ""auto"", ""ar"")"),"يلبس جيدا")</f>
        <v>يلبس جيدا</v>
      </c>
    </row>
    <row r="9445" ht="15.75" customHeight="1">
      <c r="A9445" s="12" t="s">
        <v>21162</v>
      </c>
      <c r="B9445" s="13" t="s">
        <v>21163</v>
      </c>
      <c r="C9445" s="14" t="s">
        <v>21164</v>
      </c>
      <c r="D9445" s="1" t="str">
        <f>IFERROR(__xludf.DUMMYFUNCTION("GOOGLETRANSLATE(A9445 , ""auto"", ""ar"")"),"حصلت على هذا")</f>
        <v>حصلت على هذا</v>
      </c>
    </row>
    <row r="9446" ht="15.75" customHeight="1">
      <c r="A9446" s="12" t="s">
        <v>21165</v>
      </c>
      <c r="B9446" s="13" t="s">
        <v>21166</v>
      </c>
      <c r="C9446" s="14" t="s">
        <v>21167</v>
      </c>
      <c r="D9446" s="1" t="str">
        <f>IFERROR(__xludf.DUMMYFUNCTION("GOOGLETRANSLATE(A9446 , ""auto"", ""ar"")"),"هذه هي")</f>
        <v>هذه هي</v>
      </c>
    </row>
    <row r="9447" ht="15.75" customHeight="1">
      <c r="A9447" s="12" t="s">
        <v>21168</v>
      </c>
      <c r="B9447" s="13" t="s">
        <v>21169</v>
      </c>
      <c r="C9447" s="14" t="s">
        <v>21170</v>
      </c>
      <c r="D9447" s="1" t="str">
        <f>IFERROR(__xludf.DUMMYFUNCTION("GOOGLETRANSLATE(A9447 , ""auto"", ""ar"")"),"هذا طبيعي")</f>
        <v>هذا طبيعي</v>
      </c>
    </row>
    <row r="9448" ht="15.75" customHeight="1">
      <c r="A9448" s="12" t="s">
        <v>21171</v>
      </c>
      <c r="B9448" s="13" t="s">
        <v>21172</v>
      </c>
      <c r="C9448" s="14" t="s">
        <v>21173</v>
      </c>
      <c r="D9448" s="1" t="str">
        <f>IFERROR(__xludf.DUMMYFUNCTION("GOOGLETRANSLATE(A9448 , ""auto"", ""ar"")"),"رائحة جيدة")</f>
        <v>رائحة جيدة</v>
      </c>
    </row>
    <row r="9449" ht="15.75" customHeight="1">
      <c r="A9449" s="12" t="s">
        <v>21174</v>
      </c>
      <c r="B9449" s="13" t="s">
        <v>21175</v>
      </c>
      <c r="C9449" s="14" t="s">
        <v>21176</v>
      </c>
      <c r="D9449" s="1" t="str">
        <f>IFERROR(__xludf.DUMMYFUNCTION("GOOGLETRANSLATE(A9449 , ""auto"", ""ar"")"),"عطر جيد")</f>
        <v>عطر جيد</v>
      </c>
    </row>
    <row r="9450" ht="15.75" customHeight="1">
      <c r="A9450" s="12" t="s">
        <v>21177</v>
      </c>
      <c r="B9450" s="13" t="s">
        <v>21178</v>
      </c>
      <c r="C9450" s="14" t="s">
        <v>21179</v>
      </c>
      <c r="D9450" s="1" t="str">
        <f>IFERROR(__xludf.DUMMYFUNCTION("GOOGLETRANSLATE(A9450 , ""auto"", ""ar"")"),"يدي ناعمة")</f>
        <v>يدي ناعمة</v>
      </c>
    </row>
    <row r="9451" ht="15.75" customHeight="1">
      <c r="A9451" s="12" t="s">
        <v>21180</v>
      </c>
      <c r="B9451" s="13" t="s">
        <v>21181</v>
      </c>
      <c r="C9451" s="14" t="s">
        <v>21182</v>
      </c>
      <c r="D9451" s="1" t="str">
        <f>IFERROR(__xludf.DUMMYFUNCTION("GOOGLETRANSLATE(A9451 , ""auto"", ""ar"")"),"يدي رطبة")</f>
        <v>يدي رطبة</v>
      </c>
    </row>
    <row r="9452" ht="15.75" customHeight="1">
      <c r="A9452" s="12" t="s">
        <v>21183</v>
      </c>
      <c r="B9452" s="13" t="s">
        <v>21184</v>
      </c>
      <c r="C9452" s="14" t="s">
        <v>21185</v>
      </c>
      <c r="D9452" s="1" t="str">
        <f>IFERROR(__xludf.DUMMYFUNCTION("GOOGLETRANSLATE(A9452 , ""auto"", ""ar"")"),"يدي جفاف")</f>
        <v>يدي جفاف</v>
      </c>
    </row>
    <row r="9453" ht="15.75" customHeight="1">
      <c r="A9453" s="12" t="s">
        <v>21186</v>
      </c>
      <c r="B9453" s="13" t="s">
        <v>21187</v>
      </c>
      <c r="C9453" s="14" t="s">
        <v>21188</v>
      </c>
      <c r="D9453" s="1" t="str">
        <f>IFERROR(__xludf.DUMMYFUNCTION("GOOGLETRANSLATE(A9453 , ""auto"", ""ar"")"),"هذا أيضًا")</f>
        <v>هذا أيضًا</v>
      </c>
    </row>
    <row r="9454" ht="15.75" customHeight="1">
      <c r="A9454" s="12" t="s">
        <v>21189</v>
      </c>
      <c r="B9454" s="13" t="s">
        <v>21190</v>
      </c>
      <c r="C9454" s="14" t="s">
        <v>21191</v>
      </c>
      <c r="D9454" s="1" t="str">
        <f>IFERROR(__xludf.DUMMYFUNCTION("GOOGLETRANSLATE(A9454 , ""auto"", ""ar"")"),"سأريها لك")</f>
        <v>سأريها لك</v>
      </c>
    </row>
    <row r="9455" ht="15.75" customHeight="1">
      <c r="A9455" s="12" t="s">
        <v>21192</v>
      </c>
      <c r="B9455" s="13" t="s">
        <v>21193</v>
      </c>
      <c r="C9455" s="14" t="s">
        <v>21194</v>
      </c>
      <c r="D9455" s="1" t="str">
        <f>IFERROR(__xludf.DUMMYFUNCTION("GOOGLETRANSLATE(A9455 , ""auto"", ""ar"")"),"انا مكتئب")</f>
        <v>انا مكتئب</v>
      </c>
    </row>
    <row r="9456" ht="15.75" customHeight="1">
      <c r="A9456" s="12" t="s">
        <v>21195</v>
      </c>
      <c r="B9456" s="13" t="s">
        <v>21196</v>
      </c>
      <c r="C9456" s="14" t="s">
        <v>21197</v>
      </c>
      <c r="D9456" s="1" t="str">
        <f>IFERROR(__xludf.DUMMYFUNCTION("GOOGLETRANSLATE(A9456 , ""auto"", ""ar"")"),"أحتاج للمال")</f>
        <v>أحتاج للمال</v>
      </c>
    </row>
    <row r="9457" ht="15.75" customHeight="1">
      <c r="A9457" s="12" t="s">
        <v>21198</v>
      </c>
      <c r="B9457" s="13" t="s">
        <v>21199</v>
      </c>
      <c r="C9457" s="14" t="s">
        <v>21200</v>
      </c>
      <c r="D9457" s="1" t="str">
        <f>IFERROR(__xludf.DUMMYFUNCTION("GOOGLETRANSLATE(A9457 , ""auto"", ""ar"")"),"سأفعل شعري")</f>
        <v>سأفعل شعري</v>
      </c>
    </row>
    <row r="9458" ht="15.75" customHeight="1">
      <c r="A9458" s="12" t="s">
        <v>21201</v>
      </c>
      <c r="B9458" s="13" t="s">
        <v>21202</v>
      </c>
      <c r="C9458" s="14" t="s">
        <v>21203</v>
      </c>
      <c r="D9458" s="1" t="str">
        <f>IFERROR(__xludf.DUMMYFUNCTION("GOOGLETRANSLATE(A9458 , ""auto"", ""ar"")"),"أخبرتك")</f>
        <v>أخبرتك</v>
      </c>
    </row>
    <row r="9459" ht="15.75" customHeight="1">
      <c r="A9459" s="12" t="s">
        <v>21204</v>
      </c>
      <c r="B9459" s="13" t="s">
        <v>21205</v>
      </c>
      <c r="C9459" s="14" t="s">
        <v>21206</v>
      </c>
      <c r="D9459" s="1" t="str">
        <f>IFERROR(__xludf.DUMMYFUNCTION("GOOGLETRANSLATE(A9459 , ""auto"", ""ar"")"),"أول مرة أحاول")</f>
        <v>أول مرة أحاول</v>
      </c>
    </row>
    <row r="9460" ht="15.75" customHeight="1">
      <c r="A9460" s="12" t="s">
        <v>21207</v>
      </c>
      <c r="B9460" s="13" t="s">
        <v>21208</v>
      </c>
      <c r="C9460" s="14" t="s">
        <v>21209</v>
      </c>
      <c r="D9460" s="1" t="str">
        <f>IFERROR(__xludf.DUMMYFUNCTION("GOOGLETRANSLATE(A9460 , ""auto"", ""ar"")"),"الملابس في خزانة الملابس")</f>
        <v>الملابس في خزانة الملابس</v>
      </c>
    </row>
    <row r="9461" ht="15.75" customHeight="1">
      <c r="A9461" s="12" t="s">
        <v>9266</v>
      </c>
      <c r="B9461" s="13" t="s">
        <v>21210</v>
      </c>
      <c r="C9461" s="14" t="s">
        <v>21211</v>
      </c>
      <c r="D9461" s="1" t="str">
        <f>IFERROR(__xludf.DUMMYFUNCTION("GOOGLETRANSLATE(A9461 , ""auto"", ""ar"")"),"يجب على  أن أذهب")</f>
        <v>يجب على  أن أذهب</v>
      </c>
    </row>
    <row r="9462" ht="15.75" customHeight="1">
      <c r="A9462" s="12" t="s">
        <v>21212</v>
      </c>
      <c r="B9462" s="13" t="s">
        <v>21213</v>
      </c>
      <c r="C9462" s="14" t="s">
        <v>21214</v>
      </c>
      <c r="D9462" s="1" t="str">
        <f>IFERROR(__xludf.DUMMYFUNCTION("GOOGLETRANSLATE(A9462 , ""auto"", ""ar"")"),"لقد كسرته")</f>
        <v>لقد كسرته</v>
      </c>
    </row>
    <row r="9463" ht="15.75" customHeight="1">
      <c r="A9463" s="12" t="s">
        <v>21215</v>
      </c>
      <c r="B9463" s="13" t="s">
        <v>21216</v>
      </c>
      <c r="C9463" s="14" t="s">
        <v>21217</v>
      </c>
      <c r="D9463" s="1" t="str">
        <f>IFERROR(__xludf.DUMMYFUNCTION("GOOGLETRANSLATE(A9463 , ""auto"", ""ar"")"),"كلاهما")</f>
        <v>كلاهما</v>
      </c>
    </row>
    <row r="9464" ht="15.75" customHeight="1">
      <c r="A9464" s="12" t="s">
        <v>21218</v>
      </c>
      <c r="B9464" s="13" t="s">
        <v>21219</v>
      </c>
      <c r="C9464" s="14" t="s">
        <v>21220</v>
      </c>
      <c r="D9464" s="1" t="str">
        <f>IFERROR(__xludf.DUMMYFUNCTION("GOOGLETRANSLATE(A9464 , ""auto"", ""ar"")"),"أنا مدمن عليها")</f>
        <v>أنا مدمن عليها</v>
      </c>
    </row>
    <row r="9465" ht="15.75" customHeight="1">
      <c r="A9465" s="12" t="s">
        <v>21221</v>
      </c>
      <c r="B9465" s="13" t="s">
        <v>21222</v>
      </c>
      <c r="C9465" s="14" t="s">
        <v>21223</v>
      </c>
      <c r="D9465" s="1" t="str">
        <f>IFERROR(__xludf.DUMMYFUNCTION("GOOGLETRANSLATE(A9465 , ""auto"", ""ar"")"),"تسألني دائمًا عن ذلك")</f>
        <v>تسألني دائمًا عن ذلك</v>
      </c>
    </row>
    <row r="9466" ht="15.75" customHeight="1">
      <c r="A9466" s="12" t="s">
        <v>21224</v>
      </c>
      <c r="B9466" s="13" t="s">
        <v>21225</v>
      </c>
      <c r="C9466" s="14" t="s">
        <v>21226</v>
      </c>
      <c r="D9466" s="1" t="str">
        <f>IFERROR(__xludf.DUMMYFUNCTION("GOOGLETRANSLATE(A9466 , ""auto"", ""ar"")"),"لا أستطيع مساعدتك")</f>
        <v>لا أستطيع مساعدتك</v>
      </c>
    </row>
    <row r="9467" ht="15.75" customHeight="1">
      <c r="A9467" s="12" t="s">
        <v>21227</v>
      </c>
      <c r="B9467" s="13" t="s">
        <v>21228</v>
      </c>
      <c r="C9467" s="14" t="s">
        <v>21229</v>
      </c>
      <c r="D9467" s="1" t="str">
        <f>IFERROR(__xludf.DUMMYFUNCTION("GOOGLETRANSLATE(A9467 , ""auto"", ""ar"")"),"أستطيع مساعدتك")</f>
        <v>أستطيع مساعدتك</v>
      </c>
    </row>
    <row r="9468" ht="15.75" customHeight="1">
      <c r="A9468" s="12" t="s">
        <v>19922</v>
      </c>
      <c r="B9468" s="13" t="s">
        <v>19923</v>
      </c>
      <c r="C9468" s="14" t="s">
        <v>19924</v>
      </c>
      <c r="D9468" s="1" t="str">
        <f>IFERROR(__xludf.DUMMYFUNCTION("GOOGLETRANSLATE(A9468 , ""auto"", ""ar"")"),"لدي الكثير")</f>
        <v>لدي الكثير</v>
      </c>
    </row>
    <row r="9469" ht="15.75" customHeight="1">
      <c r="A9469" s="12" t="s">
        <v>21230</v>
      </c>
      <c r="B9469" s="13" t="s">
        <v>21231</v>
      </c>
      <c r="C9469" s="14" t="s">
        <v>21232</v>
      </c>
      <c r="D9469" s="1" t="str">
        <f>IFERROR(__xludf.DUMMYFUNCTION("GOOGLETRANSLATE(A9469 , ""auto"", ""ar"")"),"ليس لدي الكثير")</f>
        <v>ليس لدي الكثير</v>
      </c>
    </row>
    <row r="9470" ht="15.75" customHeight="1">
      <c r="A9470" s="12" t="s">
        <v>21233</v>
      </c>
      <c r="B9470" s="13" t="s">
        <v>21234</v>
      </c>
      <c r="C9470" s="14" t="s">
        <v>21235</v>
      </c>
      <c r="D9470" s="1" t="str">
        <f>IFERROR(__xludf.DUMMYFUNCTION("GOOGLETRANSLATE(A9470 , ""auto"", ""ar"")"),"نحن بحاجة إلى المساواة")</f>
        <v>نحن بحاجة إلى المساواة</v>
      </c>
    </row>
    <row r="9471" ht="15.75" customHeight="1">
      <c r="A9471" s="12" t="s">
        <v>21236</v>
      </c>
      <c r="B9471" s="13" t="s">
        <v>21237</v>
      </c>
      <c r="C9471" s="14" t="s">
        <v>21238</v>
      </c>
      <c r="D9471" s="1" t="str">
        <f>IFERROR(__xludf.DUMMYFUNCTION("GOOGLETRANSLATE(A9471 , ""auto"", ""ar"")"),"نحن بحاجة إلى العدالة")</f>
        <v>نحن بحاجة إلى العدالة</v>
      </c>
    </row>
    <row r="9472" ht="15.75" customHeight="1">
      <c r="A9472" s="12" t="s">
        <v>21239</v>
      </c>
      <c r="B9472" s="13" t="s">
        <v>21240</v>
      </c>
      <c r="C9472" s="14" t="s">
        <v>21241</v>
      </c>
      <c r="D9472" s="1" t="str">
        <f>IFERROR(__xludf.DUMMYFUNCTION("GOOGLETRANSLATE(A9472 , ""auto"", ""ar"")"),"انظر كم هذا لطيف")</f>
        <v>انظر كم هذا لطيف</v>
      </c>
    </row>
    <row r="9473" ht="15.75" customHeight="1">
      <c r="A9473" s="12" t="s">
        <v>21242</v>
      </c>
      <c r="B9473" s="13" t="s">
        <v>21243</v>
      </c>
      <c r="C9473" s="14" t="s">
        <v>21244</v>
      </c>
      <c r="D9473" s="1" t="str">
        <f>IFERROR(__xludf.DUMMYFUNCTION("GOOGLETRANSLATE(A9473 , ""auto"", ""ar"")"),"من الداخل")</f>
        <v>من الداخل</v>
      </c>
    </row>
    <row r="9474" ht="15.75" customHeight="1">
      <c r="A9474" s="12" t="s">
        <v>21245</v>
      </c>
      <c r="B9474" s="13" t="s">
        <v>21246</v>
      </c>
      <c r="C9474" s="14" t="s">
        <v>21247</v>
      </c>
      <c r="D9474" s="1" t="str">
        <f>IFERROR(__xludf.DUMMYFUNCTION("GOOGLETRANSLATE(A9474 , ""auto"", ""ar"")"),"من الخارج")</f>
        <v>من الخارج</v>
      </c>
    </row>
    <row r="9475" ht="15.75" customHeight="1">
      <c r="A9475" s="12" t="s">
        <v>21248</v>
      </c>
      <c r="B9475" s="13" t="s">
        <v>21249</v>
      </c>
      <c r="C9475" s="14" t="s">
        <v>21250</v>
      </c>
      <c r="D9475" s="1" t="str">
        <f>IFERROR(__xludf.DUMMYFUNCTION("GOOGLETRANSLATE(A9475 , ""auto"", ""ar"")"),"إنه زيتي")</f>
        <v>إنه زيتي</v>
      </c>
    </row>
    <row r="9476" ht="15.75" customHeight="1">
      <c r="A9476" s="12" t="s">
        <v>21251</v>
      </c>
      <c r="B9476" s="13" t="s">
        <v>21252</v>
      </c>
      <c r="C9476" s="14" t="s">
        <v>21253</v>
      </c>
      <c r="D9476" s="1" t="str">
        <f>IFERROR(__xludf.DUMMYFUNCTION("GOOGLETRANSLATE(A9476 , ""auto"", ""ar"")"),"سنتحدث عندما تأتي")</f>
        <v>سنتحدث عندما تأتي</v>
      </c>
    </row>
    <row r="9477" ht="15.75" customHeight="1">
      <c r="A9477" s="12" t="s">
        <v>21254</v>
      </c>
      <c r="B9477" s="13" t="s">
        <v>21255</v>
      </c>
      <c r="C9477" s="14" t="s">
        <v>21256</v>
      </c>
      <c r="D9477" s="1" t="str">
        <f>IFERROR(__xludf.DUMMYFUNCTION("GOOGLETRANSLATE(A9477 , ""auto"", ""ar"")"),"ماذا تفعل؟")</f>
        <v>ماذا تفعل؟</v>
      </c>
    </row>
    <row r="9478" ht="15.75" customHeight="1">
      <c r="A9478" s="12" t="s">
        <v>21257</v>
      </c>
      <c r="B9478" s="13" t="s">
        <v>21258</v>
      </c>
      <c r="C9478" s="14" t="s">
        <v>21259</v>
      </c>
      <c r="D9478" s="1" t="str">
        <f>IFERROR(__xludf.DUMMYFUNCTION("GOOGLETRANSLATE(A9478 , ""auto"", ""ar"")"),"كيفية استخدامها؟")</f>
        <v>كيفية استخدامها؟</v>
      </c>
    </row>
    <row r="9479" ht="15.75" customHeight="1">
      <c r="A9479" s="12" t="s">
        <v>17079</v>
      </c>
      <c r="B9479" s="13" t="s">
        <v>21260</v>
      </c>
      <c r="C9479" s="14" t="s">
        <v>21261</v>
      </c>
      <c r="D9479" s="1" t="str">
        <f>IFERROR(__xludf.DUMMYFUNCTION("GOOGLETRANSLATE(A9479 , ""auto"", ""ar"")"),"قبل ان تذهب")</f>
        <v>قبل ان تذهب</v>
      </c>
    </row>
    <row r="9480" ht="15.75" customHeight="1">
      <c r="A9480" s="12" t="s">
        <v>21262</v>
      </c>
      <c r="B9480" s="13" t="s">
        <v>21263</v>
      </c>
      <c r="C9480" s="14" t="s">
        <v>21264</v>
      </c>
      <c r="D9480" s="1" t="str">
        <f>IFERROR(__xludf.DUMMYFUNCTION("GOOGLETRANSLATE(A9480 , ""auto"", ""ar"")"),"قبل أن تأتي")</f>
        <v>قبل أن تأتي</v>
      </c>
    </row>
    <row r="9481" ht="15.75" customHeight="1">
      <c r="A9481" s="12" t="s">
        <v>21265</v>
      </c>
      <c r="B9481" s="13" t="s">
        <v>21266</v>
      </c>
      <c r="C9481" s="14" t="s">
        <v>21267</v>
      </c>
      <c r="D9481" s="1" t="str">
        <f>IFERROR(__xludf.DUMMYFUNCTION("GOOGLETRANSLATE(A9481 , ""auto"", ""ar"")"),"قبل ان تبدا")</f>
        <v>قبل ان تبدا</v>
      </c>
    </row>
    <row r="9482" ht="15.75" customHeight="1">
      <c r="A9482" s="12" t="s">
        <v>21268</v>
      </c>
      <c r="B9482" s="13" t="s">
        <v>21269</v>
      </c>
      <c r="C9482" s="14" t="s">
        <v>21270</v>
      </c>
      <c r="D9482" s="1" t="str">
        <f>IFERROR(__xludf.DUMMYFUNCTION("GOOGLETRANSLATE(A9482 , ""auto"", ""ar"")"),"مرة واحدة في اليوم")</f>
        <v>مرة واحدة في اليوم</v>
      </c>
    </row>
    <row r="9483" ht="15.75" customHeight="1">
      <c r="A9483" s="12" t="s">
        <v>21271</v>
      </c>
      <c r="B9483" s="13" t="s">
        <v>21272</v>
      </c>
      <c r="C9483" s="14" t="s">
        <v>21273</v>
      </c>
      <c r="D9483" s="1" t="str">
        <f>IFERROR(__xludf.DUMMYFUNCTION("GOOGLETRANSLATE(A9483 , ""auto"", ""ar"")"),"مرة واحدة في حين")</f>
        <v>مرة واحدة في حين</v>
      </c>
    </row>
    <row r="9484" ht="15.75" customHeight="1">
      <c r="A9484" s="12" t="s">
        <v>21274</v>
      </c>
      <c r="B9484" s="13" t="s">
        <v>21275</v>
      </c>
      <c r="C9484" s="14" t="s">
        <v>21276</v>
      </c>
      <c r="D9484" s="1" t="str">
        <f>IFERROR(__xludf.DUMMYFUNCTION("GOOGLETRANSLATE(A9484 , ""auto"", ""ar"")"),"لماذا تسأل؟")</f>
        <v>لماذا تسأل؟</v>
      </c>
    </row>
    <row r="9485" ht="15.75" customHeight="1">
      <c r="A9485" s="12" t="s">
        <v>21277</v>
      </c>
      <c r="B9485" s="13" t="s">
        <v>21278</v>
      </c>
      <c r="C9485" s="14" t="s">
        <v>21279</v>
      </c>
      <c r="D9485" s="1" t="str">
        <f>IFERROR(__xludf.DUMMYFUNCTION("GOOGLETRANSLATE(A9485 , ""auto"", ""ar"")"),"قمت بتطبيق قناع على شعري")</f>
        <v>قمت بتطبيق قناع على شعري</v>
      </c>
    </row>
    <row r="9486" ht="15.75" customHeight="1">
      <c r="A9486" s="12" t="s">
        <v>21280</v>
      </c>
      <c r="B9486" s="13" t="s">
        <v>21281</v>
      </c>
      <c r="C9486" s="14" t="s">
        <v>21282</v>
      </c>
      <c r="D9486" s="1" t="str">
        <f>IFERROR(__xludf.DUMMYFUNCTION("GOOGLETRANSLATE(A9486 , ""auto"", ""ar"")"),"أحببت هلام الاستحمام هذا")</f>
        <v>أحببت هلام الاستحمام هذا</v>
      </c>
    </row>
    <row r="9487" ht="15.75" customHeight="1">
      <c r="A9487" s="12" t="s">
        <v>21283</v>
      </c>
      <c r="B9487" s="13" t="s">
        <v>21284</v>
      </c>
      <c r="C9487" s="14" t="s">
        <v>21285</v>
      </c>
      <c r="D9487" s="1" t="str">
        <f>IFERROR(__xludf.DUMMYFUNCTION("GOOGLETRANSLATE(A9487 , ""auto"", ""ar"")"),"قبل أن تجربها")</f>
        <v>قبل أن تجربها</v>
      </c>
    </row>
    <row r="9488" ht="15.75" customHeight="1">
      <c r="A9488" s="12" t="s">
        <v>21286</v>
      </c>
      <c r="B9488" s="13" t="s">
        <v>21287</v>
      </c>
      <c r="C9488" s="14" t="s">
        <v>21288</v>
      </c>
      <c r="D9488" s="1" t="str">
        <f>IFERROR(__xludf.DUMMYFUNCTION("GOOGLETRANSLATE(A9488 , ""auto"", ""ar"")"),"إذا كان لدي الوقت")</f>
        <v>إذا كان لدي الوقت</v>
      </c>
    </row>
    <row r="9489" ht="15.75" customHeight="1">
      <c r="A9489" s="12" t="s">
        <v>21289</v>
      </c>
      <c r="B9489" s="13" t="s">
        <v>21290</v>
      </c>
      <c r="C9489" s="14" t="s">
        <v>21291</v>
      </c>
      <c r="D9489" s="1" t="str">
        <f>IFERROR(__xludf.DUMMYFUNCTION("GOOGLETRANSLATE(A9489 , ""auto"", ""ar"")"),"سترى الفرق")</f>
        <v>سترى الفرق</v>
      </c>
    </row>
    <row r="9490" ht="15.75" customHeight="1">
      <c r="A9490" s="12" t="s">
        <v>21292</v>
      </c>
      <c r="B9490" s="13" t="s">
        <v>21293</v>
      </c>
      <c r="C9490" s="14" t="s">
        <v>21294</v>
      </c>
      <c r="D9490" s="1" t="str">
        <f>IFERROR(__xludf.DUMMYFUNCTION("GOOGLETRANSLATE(A9490 , ""auto"", ""ar"")"),"لقد انتهى تقريبًا")</f>
        <v>لقد انتهى تقريبًا</v>
      </c>
    </row>
    <row r="9491" ht="15.75" customHeight="1">
      <c r="A9491" s="12" t="s">
        <v>21295</v>
      </c>
      <c r="B9491" s="13" t="s">
        <v>21296</v>
      </c>
      <c r="C9491" s="14" t="s">
        <v>21297</v>
      </c>
      <c r="D9491" s="1" t="str">
        <f>IFERROR(__xludf.DUMMYFUNCTION("GOOGLETRANSLATE(A9491 , ""auto"", ""ar"")"),"سأنتقل الآن إلى")</f>
        <v>سأنتقل الآن إلى</v>
      </c>
    </row>
    <row r="9492" ht="15.75" customHeight="1">
      <c r="A9492" s="12" t="s">
        <v>21298</v>
      </c>
      <c r="B9492" s="13" t="s">
        <v>21299</v>
      </c>
      <c r="C9492" s="14" t="s">
        <v>21300</v>
      </c>
      <c r="D9492" s="1" t="str">
        <f>IFERROR(__xludf.DUMMYFUNCTION("GOOGLETRANSLATE(A9492 , ""auto"", ""ar"")"),"رأيت النتيجة")</f>
        <v>رأيت النتيجة</v>
      </c>
    </row>
    <row r="9493" ht="15.75" customHeight="1">
      <c r="A9493" s="12" t="s">
        <v>21301</v>
      </c>
      <c r="B9493" s="13" t="s">
        <v>21302</v>
      </c>
      <c r="C9493" s="14" t="s">
        <v>21303</v>
      </c>
      <c r="D9493" s="1" t="str">
        <f>IFERROR(__xludf.DUMMYFUNCTION("GOOGLETRANSLATE(A9493 , ""auto"", ""ar"")"),"أنا أفضل")</f>
        <v>أنا أفضل</v>
      </c>
    </row>
    <row r="9494" ht="15.75" customHeight="1">
      <c r="A9494" s="12" t="s">
        <v>21304</v>
      </c>
      <c r="B9494" s="13" t="s">
        <v>21305</v>
      </c>
      <c r="C9494" s="14" t="s">
        <v>21306</v>
      </c>
      <c r="D9494" s="1" t="str">
        <f>IFERROR(__xludf.DUMMYFUNCTION("GOOGLETRANSLATE(A9494 , ""auto"", ""ar"")"),"بسببك")</f>
        <v>بسببك</v>
      </c>
    </row>
    <row r="9495" ht="15.75" customHeight="1">
      <c r="A9495" s="12" t="s">
        <v>21307</v>
      </c>
      <c r="B9495" s="13" t="s">
        <v>21308</v>
      </c>
      <c r="C9495" s="14" t="s">
        <v>21309</v>
      </c>
      <c r="D9495" s="1" t="str">
        <f>IFERROR(__xludf.DUMMYFUNCTION("GOOGLETRANSLATE(A9495 , ""auto"", ""ar"")"),"لك")</f>
        <v>لك</v>
      </c>
    </row>
    <row r="9496" ht="15.75" customHeight="1">
      <c r="A9496" s="12" t="s">
        <v>21310</v>
      </c>
      <c r="B9496" s="13" t="s">
        <v>21311</v>
      </c>
      <c r="C9496" s="14" t="s">
        <v>21312</v>
      </c>
      <c r="D9496" s="1" t="str">
        <f>IFERROR(__xludf.DUMMYFUNCTION("GOOGLETRANSLATE(A9496 , ""auto"", ""ar"")"),"لمصلحتك")</f>
        <v>لمصلحتك</v>
      </c>
    </row>
    <row r="9497" ht="15.75" customHeight="1">
      <c r="A9497" s="12" t="s">
        <v>21313</v>
      </c>
      <c r="B9497" s="13" t="s">
        <v>21314</v>
      </c>
      <c r="C9497" s="14" t="s">
        <v>21315</v>
      </c>
      <c r="D9497" s="1" t="str">
        <f>IFERROR(__xludf.DUMMYFUNCTION("GOOGLETRANSLATE(A9497 , ""auto"", ""ar"")"),"لم أدرس هذا")</f>
        <v>لم أدرس هذا</v>
      </c>
    </row>
    <row r="9498" ht="15.75" customHeight="1">
      <c r="A9498" s="12" t="s">
        <v>21316</v>
      </c>
      <c r="B9498" s="13" t="s">
        <v>21317</v>
      </c>
      <c r="C9498" s="14" t="s">
        <v>21318</v>
      </c>
      <c r="D9498" s="1" t="str">
        <f>IFERROR(__xludf.DUMMYFUNCTION("GOOGLETRANSLATE(A9498 , ""auto"", ""ar"")"),"آخر شيء")</f>
        <v>آخر شيء</v>
      </c>
    </row>
    <row r="9499" ht="15.75" customHeight="1">
      <c r="A9499" s="12" t="s">
        <v>21319</v>
      </c>
      <c r="B9499" s="13" t="s">
        <v>21320</v>
      </c>
      <c r="C9499" s="14" t="s">
        <v>21321</v>
      </c>
      <c r="D9499" s="1" t="str">
        <f>IFERROR(__xludf.DUMMYFUNCTION("GOOGLETRANSLATE(A9499 , ""auto"", ""ar"")"),"شيء واحد لم يعجبني")</f>
        <v>شيء واحد لم يعجبني</v>
      </c>
    </row>
    <row r="9500" ht="15.75" customHeight="1">
      <c r="A9500" s="12" t="s">
        <v>21322</v>
      </c>
      <c r="B9500" s="13" t="s">
        <v>21323</v>
      </c>
      <c r="C9500" s="14" t="s">
        <v>21324</v>
      </c>
      <c r="D9500" s="1" t="str">
        <f>IFERROR(__xludf.DUMMYFUNCTION("GOOGLETRANSLATE(A9500 , ""auto"", ""ar"")"),"هل كنت تعرفه؟")</f>
        <v>هل كنت تعرفه؟</v>
      </c>
    </row>
    <row r="9501" ht="15.75" customHeight="1">
      <c r="A9501" s="12" t="s">
        <v>21325</v>
      </c>
      <c r="B9501" s="13" t="s">
        <v>21326</v>
      </c>
      <c r="C9501" s="14" t="s">
        <v>21327</v>
      </c>
      <c r="D9501" s="1" t="str">
        <f>IFERROR(__xludf.DUMMYFUNCTION("GOOGLETRANSLATE(A9501 , ""auto"", ""ar"")"),"هل تذكرته؟")</f>
        <v>هل تذكرته؟</v>
      </c>
    </row>
    <row r="9502" ht="15.75" customHeight="1">
      <c r="A9502" s="12" t="s">
        <v>21328</v>
      </c>
      <c r="B9502" s="13" t="s">
        <v>21329</v>
      </c>
      <c r="C9502" s="14" t="s">
        <v>21330</v>
      </c>
      <c r="D9502" s="1" t="str">
        <f>IFERROR(__xludf.DUMMYFUNCTION("GOOGLETRANSLATE(A9502 , ""auto"", ""ar"")"),"لن أريك")</f>
        <v>لن أريك</v>
      </c>
    </row>
    <row r="9503" ht="15.75" customHeight="1">
      <c r="A9503" s="12" t="s">
        <v>21331</v>
      </c>
      <c r="B9503" s="13" t="s">
        <v>21332</v>
      </c>
      <c r="C9503" s="14" t="s">
        <v>21333</v>
      </c>
      <c r="D9503" s="1" t="str">
        <f>IFERROR(__xludf.DUMMYFUNCTION("GOOGLETRANSLATE(A9503 , ""auto"", ""ar"")"),"كيف يمكنك توفير المال؟")</f>
        <v>كيف يمكنك توفير المال؟</v>
      </c>
    </row>
    <row r="9504" ht="15.75" customHeight="1">
      <c r="A9504" s="12" t="s">
        <v>21334</v>
      </c>
      <c r="B9504" s="13" t="s">
        <v>21335</v>
      </c>
      <c r="C9504" s="14" t="s">
        <v>21336</v>
      </c>
      <c r="D9504" s="1" t="str">
        <f>IFERROR(__xludf.DUMMYFUNCTION("GOOGLETRANSLATE(A9504 , ""auto"", ""ar"")"),"هل قمت بتوفير أي أموال؟")</f>
        <v>هل قمت بتوفير أي أموال؟</v>
      </c>
    </row>
    <row r="9505" ht="15.75" customHeight="1">
      <c r="A9505" s="12" t="s">
        <v>21337</v>
      </c>
      <c r="B9505" s="13" t="s">
        <v>21338</v>
      </c>
      <c r="C9505" s="14" t="s">
        <v>21339</v>
      </c>
      <c r="D9505" s="1" t="str">
        <f>IFERROR(__xludf.DUMMYFUNCTION("GOOGLETRANSLATE(A9505 , ""auto"", ""ar"")"),"أعطني الوصفة")</f>
        <v>أعطني الوصفة</v>
      </c>
    </row>
    <row r="9506" ht="15.75" customHeight="1">
      <c r="A9506" s="12" t="s">
        <v>21340</v>
      </c>
      <c r="B9506" s="13" t="s">
        <v>21341</v>
      </c>
      <c r="C9506" s="14" t="s">
        <v>21342</v>
      </c>
      <c r="D9506" s="1" t="str">
        <f>IFERROR(__xludf.DUMMYFUNCTION("GOOGLETRANSLATE(A9506 , ""auto"", ""ar"")"),"أعطني الطريقة")</f>
        <v>أعطني الطريقة</v>
      </c>
    </row>
    <row r="9507" ht="15.75" customHeight="1">
      <c r="A9507" s="12" t="s">
        <v>21343</v>
      </c>
      <c r="B9507" s="13" t="s">
        <v>21344</v>
      </c>
      <c r="C9507" s="14" t="s">
        <v>21345</v>
      </c>
      <c r="D9507" s="1" t="str">
        <f>IFERROR(__xludf.DUMMYFUNCTION("GOOGLETRANSLATE(A9507 , ""auto"", ""ar"")"),"ما هو الحل؟")</f>
        <v>ما هو الحل؟</v>
      </c>
    </row>
    <row r="9508" ht="15.75" customHeight="1">
      <c r="A9508" s="12" t="s">
        <v>21346</v>
      </c>
      <c r="B9508" s="13" t="s">
        <v>21347</v>
      </c>
      <c r="C9508" s="14" t="s">
        <v>21348</v>
      </c>
      <c r="D9508" s="1" t="str">
        <f>IFERROR(__xludf.DUMMYFUNCTION("GOOGLETRANSLATE(A9508 , ""auto"", ""ar"")"),"كما وعدتك")</f>
        <v>كما وعدتك</v>
      </c>
    </row>
    <row r="9509" ht="15.75" customHeight="1">
      <c r="A9509" s="12" t="s">
        <v>21349</v>
      </c>
      <c r="B9509" s="13" t="s">
        <v>21350</v>
      </c>
      <c r="C9509" s="14" t="s">
        <v>21351</v>
      </c>
      <c r="D9509" s="1" t="str">
        <f>IFERROR(__xludf.DUMMYFUNCTION("GOOGLETRANSLATE(A9509 , ""auto"", ""ar"")"),"إنه ذكي جدا")</f>
        <v>إنه ذكي جدا</v>
      </c>
    </row>
    <row r="9510" ht="15.75" customHeight="1">
      <c r="A9510" s="12" t="s">
        <v>21352</v>
      </c>
      <c r="B9510" s="13" t="s">
        <v>21353</v>
      </c>
      <c r="C9510" s="14" t="s">
        <v>21354</v>
      </c>
      <c r="D9510" s="1" t="str">
        <f>IFERROR(__xludf.DUMMYFUNCTION("GOOGLETRANSLATE(A9510 , ""auto"", ""ar"")"),"لم أفهم هذا الدرس")</f>
        <v>لم أفهم هذا الدرس</v>
      </c>
    </row>
    <row r="9511" ht="15.75" customHeight="1">
      <c r="A9511" s="12" t="s">
        <v>21355</v>
      </c>
      <c r="B9511" s="13" t="s">
        <v>21356</v>
      </c>
      <c r="C9511" s="14" t="s">
        <v>21357</v>
      </c>
      <c r="D9511" s="1" t="str">
        <f>IFERROR(__xludf.DUMMYFUNCTION("GOOGLETRANSLATE(A9511 , ""auto"", ""ar"")"),"ليس لدينا هذا النوع")</f>
        <v>ليس لدينا هذا النوع</v>
      </c>
    </row>
    <row r="9512" ht="15.75" customHeight="1">
      <c r="A9512" s="12" t="s">
        <v>21358</v>
      </c>
      <c r="B9512" s="13" t="s">
        <v>21359</v>
      </c>
      <c r="C9512" s="14" t="s">
        <v>21360</v>
      </c>
      <c r="D9512" s="1" t="str">
        <f>IFERROR(__xludf.DUMMYFUNCTION("GOOGLETRANSLATE(A9512 , ""auto"", ""ar"")"),"يكلف مليون")</f>
        <v>يكلف مليون</v>
      </c>
    </row>
    <row r="9513" ht="15.75" customHeight="1">
      <c r="A9513" s="12" t="s">
        <v>21361</v>
      </c>
      <c r="B9513" s="13" t="s">
        <v>21362</v>
      </c>
      <c r="C9513" s="14" t="s">
        <v>21363</v>
      </c>
      <c r="D9513" s="1" t="str">
        <f>IFERROR(__xludf.DUMMYFUNCTION("GOOGLETRANSLATE(A9513 , ""auto"", ""ar"")"),"إذا ذهبت")</f>
        <v>إذا ذهبت</v>
      </c>
    </row>
    <row r="9514" ht="15.75" customHeight="1">
      <c r="A9514" s="12" t="s">
        <v>21364</v>
      </c>
      <c r="B9514" s="13" t="s">
        <v>21365</v>
      </c>
      <c r="C9514" s="14" t="s">
        <v>21366</v>
      </c>
      <c r="D9514" s="1" t="str">
        <f>IFERROR(__xludf.DUMMYFUNCTION("GOOGLETRANSLATE(A9514 , ""auto"", ""ar"")"),"استمع لي بعناية")</f>
        <v>استمع لي بعناية</v>
      </c>
    </row>
    <row r="9515" ht="15.75" customHeight="1">
      <c r="A9515" s="12" t="s">
        <v>21367</v>
      </c>
      <c r="B9515" s="13" t="s">
        <v>21368</v>
      </c>
      <c r="C9515" s="14" t="s">
        <v>21369</v>
      </c>
      <c r="D9515" s="1" t="str">
        <f>IFERROR(__xludf.DUMMYFUNCTION("GOOGLETRANSLATE(A9515 , ""auto"", ""ar"")"),"في جميع المجالات")</f>
        <v>في جميع المجالات</v>
      </c>
    </row>
    <row r="9516" ht="15.75" customHeight="1">
      <c r="A9516" s="12" t="s">
        <v>21370</v>
      </c>
      <c r="B9516" s="13" t="s">
        <v>21371</v>
      </c>
      <c r="C9516" s="14" t="s">
        <v>21372</v>
      </c>
      <c r="D9516" s="1" t="str">
        <f>IFERROR(__xludf.DUMMYFUNCTION("GOOGLETRANSLATE(A9516 , ""auto"", ""ar"")"),"ابحث عنه")</f>
        <v>ابحث عنه</v>
      </c>
    </row>
    <row r="9517" ht="15.75" customHeight="1">
      <c r="A9517" s="12" t="s">
        <v>21373</v>
      </c>
      <c r="B9517" s="13" t="s">
        <v>21374</v>
      </c>
      <c r="C9517" s="14" t="s">
        <v>21375</v>
      </c>
      <c r="D9517" s="1" t="str">
        <f>IFERROR(__xludf.DUMMYFUNCTION("GOOGLETRANSLATE(A9517 , ""auto"", ""ar"")"),"سأقوم بتحميله")</f>
        <v>سأقوم بتحميله</v>
      </c>
    </row>
    <row r="9518" ht="15.75" customHeight="1">
      <c r="A9518" s="12" t="s">
        <v>21376</v>
      </c>
      <c r="B9518" s="13" t="s">
        <v>21377</v>
      </c>
      <c r="C9518" s="14" t="s">
        <v>21378</v>
      </c>
      <c r="D9518" s="1" t="str">
        <f>IFERROR(__xludf.DUMMYFUNCTION("GOOGLETRANSLATE(A9518 , ""auto"", ""ar"")"),"هذا شيء آخر")</f>
        <v>هذا شيء آخر</v>
      </c>
    </row>
    <row r="9519" ht="15.75" customHeight="1">
      <c r="A9519" s="12" t="s">
        <v>21379</v>
      </c>
      <c r="B9519" s="13" t="s">
        <v>21380</v>
      </c>
      <c r="C9519" s="14" t="s">
        <v>21381</v>
      </c>
      <c r="D9519" s="1" t="str">
        <f>IFERROR(__xludf.DUMMYFUNCTION("GOOGLETRANSLATE(A9519 , ""auto"", ""ar"")"),"كن ذكيا")</f>
        <v>كن ذكيا</v>
      </c>
    </row>
    <row r="9520" ht="15.75" customHeight="1">
      <c r="A9520" s="12" t="s">
        <v>21382</v>
      </c>
      <c r="B9520" s="13" t="s">
        <v>21383</v>
      </c>
      <c r="C9520" s="14" t="s">
        <v>21384</v>
      </c>
      <c r="D9520" s="1" t="str">
        <f>IFERROR(__xludf.DUMMYFUNCTION("GOOGLETRANSLATE(A9520 , ""auto"", ""ar"")"),"ستجده هناك")</f>
        <v>ستجده هناك</v>
      </c>
    </row>
    <row r="9521" ht="15.75" customHeight="1">
      <c r="A9521" s="12" t="s">
        <v>21385</v>
      </c>
      <c r="B9521" s="13" t="s">
        <v>21386</v>
      </c>
      <c r="C9521" s="14" t="s">
        <v>8496</v>
      </c>
      <c r="D9521" s="1" t="str">
        <f>IFERROR(__xludf.DUMMYFUNCTION("GOOGLETRANSLATE(A9521 , ""auto"", ""ar"")"),"خذ وقتك")</f>
        <v>خذ وقتك</v>
      </c>
    </row>
    <row r="9522" ht="15.75" customHeight="1">
      <c r="A9522" s="12" t="s">
        <v>21387</v>
      </c>
      <c r="B9522" s="13" t="s">
        <v>21388</v>
      </c>
      <c r="C9522" s="14" t="s">
        <v>21389</v>
      </c>
      <c r="D9522" s="1" t="str">
        <f>IFERROR(__xludf.DUMMYFUNCTION("GOOGLETRANSLATE(A9522 , ""auto"", ""ar"")"),"هذه هي الطريقة")</f>
        <v>هذه هي الطريقة</v>
      </c>
    </row>
    <row r="9523" ht="15.75" customHeight="1">
      <c r="A9523" s="12" t="s">
        <v>21390</v>
      </c>
      <c r="B9523" s="13" t="s">
        <v>21391</v>
      </c>
      <c r="C9523" s="14" t="s">
        <v>21392</v>
      </c>
      <c r="D9523" s="1" t="str">
        <f>IFERROR(__xludf.DUMMYFUNCTION("GOOGLETRANSLATE(A9523 , ""auto"", ""ar"")"),"ليس عليك الذهاب")</f>
        <v>ليس عليك الذهاب</v>
      </c>
    </row>
    <row r="9524" ht="15.75" customHeight="1">
      <c r="A9524" s="12" t="s">
        <v>21393</v>
      </c>
      <c r="B9524" s="13" t="s">
        <v>21394</v>
      </c>
      <c r="C9524" s="14" t="s">
        <v>21395</v>
      </c>
      <c r="D9524" s="1" t="str">
        <f>IFERROR(__xludf.DUMMYFUNCTION("GOOGLETRANSLATE(A9524 , ""auto"", ""ar"")"),"عليك الانتظار")</f>
        <v>عليك الانتظار</v>
      </c>
    </row>
    <row r="9525" ht="15.75" customHeight="1">
      <c r="A9525" s="12" t="s">
        <v>21396</v>
      </c>
      <c r="B9525" s="13" t="s">
        <v>21397</v>
      </c>
      <c r="C9525" s="14" t="s">
        <v>21398</v>
      </c>
      <c r="D9525" s="1" t="str">
        <f>IFERROR(__xludf.DUMMYFUNCTION("GOOGLETRANSLATE(A9525 , ""auto"", ""ar"")"),"أنا قادم الآن")</f>
        <v>أنا قادم الآن</v>
      </c>
    </row>
    <row r="9526" ht="15.75" customHeight="1">
      <c r="A9526" s="12" t="s">
        <v>21399</v>
      </c>
      <c r="B9526" s="13" t="s">
        <v>21400</v>
      </c>
      <c r="C9526" s="14" t="s">
        <v>21401</v>
      </c>
      <c r="D9526" s="1" t="str">
        <f>IFERROR(__xludf.DUMMYFUNCTION("GOOGLETRANSLATE(A9526 , ""auto"", ""ar"")"),"بمجرد الانتهاء")</f>
        <v>بمجرد الانتهاء</v>
      </c>
    </row>
    <row r="9527" ht="15.75" customHeight="1">
      <c r="A9527" s="12" t="s">
        <v>21402</v>
      </c>
      <c r="B9527" s="13" t="s">
        <v>21403</v>
      </c>
      <c r="C9527" s="14" t="s">
        <v>21404</v>
      </c>
      <c r="D9527" s="1" t="str">
        <f>IFERROR(__xludf.DUMMYFUNCTION("GOOGLETRANSLATE(A9527 , ""auto"", ""ar"")"),"أرسل لي رسالة")</f>
        <v>أرسل لي رسالة</v>
      </c>
    </row>
    <row r="9528" ht="15.75" customHeight="1">
      <c r="A9528" s="12" t="s">
        <v>21405</v>
      </c>
      <c r="B9528" s="13" t="s">
        <v>21406</v>
      </c>
      <c r="C9528" s="14" t="s">
        <v>21407</v>
      </c>
      <c r="D9528" s="1" t="str">
        <f>IFERROR(__xludf.DUMMYFUNCTION("GOOGLETRANSLATE(A9528 , ""auto"", ""ar"")"),"إذا كنت لا تريد")</f>
        <v>إذا كنت لا تريد</v>
      </c>
    </row>
    <row r="9529" ht="15.75" customHeight="1">
      <c r="A9529" s="12" t="s">
        <v>21408</v>
      </c>
      <c r="B9529" s="13" t="s">
        <v>21409</v>
      </c>
      <c r="C9529" s="14" t="s">
        <v>21410</v>
      </c>
      <c r="D9529" s="1" t="str">
        <f>IFERROR(__xludf.DUMMYFUNCTION("GOOGLETRANSLATE(A9529 , ""auto"", ""ar"")"),"أنا لا أريد")</f>
        <v>أنا لا أريد</v>
      </c>
    </row>
    <row r="9530" ht="15.75" customHeight="1">
      <c r="A9530" s="12" t="s">
        <v>21411</v>
      </c>
      <c r="B9530" s="13" t="s">
        <v>21412</v>
      </c>
      <c r="C9530" s="14" t="s">
        <v>21413</v>
      </c>
      <c r="D9530" s="1" t="str">
        <f>IFERROR(__xludf.DUMMYFUNCTION("GOOGLETRANSLATE(A9530 , ""auto"", ""ar"")"),"أنا لا أصبغ شعري")</f>
        <v>أنا لا أصبغ شعري</v>
      </c>
    </row>
    <row r="9531" ht="15.75" customHeight="1">
      <c r="A9531" s="12" t="s">
        <v>21414</v>
      </c>
      <c r="B9531" s="13" t="s">
        <v>21415</v>
      </c>
      <c r="C9531" s="14" t="s">
        <v>21416</v>
      </c>
      <c r="D9531" s="1" t="str">
        <f>IFERROR(__xludf.DUMMYFUNCTION("GOOGLETRANSLATE(A9531 , ""auto"", ""ar"")"),"أنا لا أطبخ")</f>
        <v>أنا لا أطبخ</v>
      </c>
    </row>
    <row r="9532" ht="15.75" customHeight="1">
      <c r="A9532" s="12" t="s">
        <v>21417</v>
      </c>
      <c r="B9532" s="13" t="s">
        <v>21418</v>
      </c>
      <c r="C9532" s="14" t="s">
        <v>21419</v>
      </c>
      <c r="D9532" s="1" t="str">
        <f>IFERROR(__xludf.DUMMYFUNCTION("GOOGLETRANSLATE(A9532 , ""auto"", ""ar"")"),"أنا لا أمارس الرياضة")</f>
        <v>أنا لا أمارس الرياضة</v>
      </c>
    </row>
    <row r="9533" ht="15.75" customHeight="1">
      <c r="A9533" s="12" t="s">
        <v>21420</v>
      </c>
      <c r="B9533" s="13" t="s">
        <v>21421</v>
      </c>
      <c r="C9533" s="14" t="s">
        <v>21422</v>
      </c>
      <c r="D9533" s="1" t="str">
        <f>IFERROR(__xludf.DUMMYFUNCTION("GOOGLETRANSLATE(A9533 , ""auto"", ""ar"")"),"أنا لا أشرب الكحول")</f>
        <v>أنا لا أشرب الكحول</v>
      </c>
    </row>
    <row r="9534" ht="15.75" customHeight="1">
      <c r="A9534" s="12" t="s">
        <v>21423</v>
      </c>
      <c r="B9534" s="13" t="s">
        <v>21424</v>
      </c>
      <c r="C9534" s="14" t="s">
        <v>21425</v>
      </c>
      <c r="D9534" s="1" t="str">
        <f>IFERROR(__xludf.DUMMYFUNCTION("GOOGLETRANSLATE(A9534 , ""auto"", ""ar"")"),"أنا دائما أنسى شرب الماء")</f>
        <v>أنا دائما أنسى شرب الماء</v>
      </c>
    </row>
    <row r="9535" ht="15.75" customHeight="1">
      <c r="A9535" s="12" t="s">
        <v>21426</v>
      </c>
      <c r="B9535" s="13" t="s">
        <v>21427</v>
      </c>
      <c r="C9535" s="14" t="s">
        <v>21428</v>
      </c>
      <c r="D9535" s="1" t="str">
        <f>IFERROR(__xludf.DUMMYFUNCTION("GOOGLETRANSLATE(A9535 , ""auto"", ""ar"")"),"قررت أن أذهب")</f>
        <v>قررت أن أذهب</v>
      </c>
    </row>
    <row r="9536" ht="15.75" customHeight="1">
      <c r="A9536" s="12" t="s">
        <v>21429</v>
      </c>
      <c r="B9536" s="13" t="s">
        <v>21430</v>
      </c>
      <c r="C9536" s="14" t="s">
        <v>21431</v>
      </c>
      <c r="D9536" s="1" t="str">
        <f>IFERROR(__xludf.DUMMYFUNCTION("GOOGLETRANSLATE(A9536 , ""auto"", ""ar"")"),"شعور جميل")</f>
        <v>شعور جميل</v>
      </c>
    </row>
    <row r="9537" ht="15.75" customHeight="1">
      <c r="A9537" s="12" t="s">
        <v>21432</v>
      </c>
      <c r="B9537" s="13" t="s">
        <v>21433</v>
      </c>
      <c r="C9537" s="14" t="s">
        <v>21434</v>
      </c>
      <c r="D9537" s="1" t="str">
        <f>IFERROR(__xludf.DUMMYFUNCTION("GOOGLETRANSLATE(A9537 , ""auto"", ""ar"")"),"لقد تلقيت الرسالة")</f>
        <v>لقد تلقيت الرسالة</v>
      </c>
    </row>
    <row r="9538" ht="15.75" customHeight="1">
      <c r="A9538" s="12" t="s">
        <v>21435</v>
      </c>
      <c r="B9538" s="13" t="s">
        <v>21436</v>
      </c>
      <c r="C9538" s="14" t="s">
        <v>21437</v>
      </c>
      <c r="D9538" s="1" t="str">
        <f>IFERROR(__xludf.DUMMYFUNCTION("GOOGLETRANSLATE(A9538 , ""auto"", ""ar"")"),"اعيش وحيدا")</f>
        <v>اعيش وحيدا</v>
      </c>
    </row>
    <row r="9539" ht="15.75" customHeight="1">
      <c r="A9539" s="12" t="s">
        <v>21438</v>
      </c>
      <c r="B9539" s="13" t="s">
        <v>21439</v>
      </c>
      <c r="C9539" s="14" t="s">
        <v>21440</v>
      </c>
      <c r="D9539" s="1" t="str">
        <f>IFERROR(__xludf.DUMMYFUNCTION("GOOGLETRANSLATE(A9539 , ""auto"", ""ar"")"),"وقت طويل")</f>
        <v>وقت طويل</v>
      </c>
    </row>
    <row r="9540" ht="15.75" customHeight="1">
      <c r="A9540" s="12" t="s">
        <v>21441</v>
      </c>
      <c r="B9540" s="13" t="s">
        <v>21442</v>
      </c>
      <c r="C9540" s="14" t="s">
        <v>21443</v>
      </c>
      <c r="D9540" s="1" t="str">
        <f>IFERROR(__xludf.DUMMYFUNCTION("GOOGLETRANSLATE(A9540 , ""auto"", ""ar"")"),"سأرى كيف")</f>
        <v>سأرى كيف</v>
      </c>
    </row>
    <row r="9541" ht="15.75" customHeight="1">
      <c r="A9541" s="12" t="s">
        <v>21444</v>
      </c>
      <c r="B9541" s="13" t="s">
        <v>21445</v>
      </c>
      <c r="C9541" s="14" t="s">
        <v>21446</v>
      </c>
      <c r="D9541" s="1" t="str">
        <f>IFERROR(__xludf.DUMMYFUNCTION("GOOGLETRANSLATE(A9541 , ""auto"", ""ar"")"),"ماذا وجدت؟")</f>
        <v>ماذا وجدت؟</v>
      </c>
    </row>
    <row r="9542" ht="15.75" customHeight="1">
      <c r="A9542" s="12" t="s">
        <v>21447</v>
      </c>
      <c r="B9542" s="13" t="s">
        <v>21448</v>
      </c>
      <c r="C9542" s="14" t="s">
        <v>21449</v>
      </c>
      <c r="D9542" s="1" t="str">
        <f>IFERROR(__xludf.DUMMYFUNCTION("GOOGLETRANSLATE(A9542 , ""auto"", ""ar"")"),"لم أجده")</f>
        <v>لم أجده</v>
      </c>
    </row>
    <row r="9543" ht="15.75" customHeight="1">
      <c r="A9543" s="12" t="s">
        <v>21450</v>
      </c>
      <c r="B9543" s="13" t="s">
        <v>21451</v>
      </c>
      <c r="C9543" s="14" t="s">
        <v>21452</v>
      </c>
      <c r="D9543" s="1" t="str">
        <f>IFERROR(__xludf.DUMMYFUNCTION("GOOGLETRANSLATE(A9543 , ""auto"", ""ar"")"),"لم أجد أي شيء")</f>
        <v>لم أجد أي شيء</v>
      </c>
    </row>
    <row r="9544" ht="15.75" customHeight="1">
      <c r="A9544" s="12" t="s">
        <v>21453</v>
      </c>
      <c r="B9544" s="13" t="s">
        <v>21454</v>
      </c>
      <c r="C9544" s="14" t="s">
        <v>21455</v>
      </c>
      <c r="D9544" s="1" t="str">
        <f>IFERROR(__xludf.DUMMYFUNCTION("GOOGLETRANSLATE(A9544 , ""auto"", ""ar"")"),"أين هي؟")</f>
        <v>أين هي؟</v>
      </c>
    </row>
    <row r="9545" ht="15.75" customHeight="1">
      <c r="A9545" s="12" t="s">
        <v>21456</v>
      </c>
      <c r="B9545" s="13" t="s">
        <v>21457</v>
      </c>
      <c r="C9545" s="14" t="s">
        <v>21458</v>
      </c>
      <c r="D9545" s="1" t="str">
        <f>IFERROR(__xludf.DUMMYFUNCTION("GOOGLETRANSLATE(A9545 , ""auto"", ""ar"")"),"ابحث ثانيا")</f>
        <v>ابحث ثانيا</v>
      </c>
    </row>
    <row r="9546" ht="15.75" customHeight="1">
      <c r="A9546" s="12" t="s">
        <v>21459</v>
      </c>
      <c r="B9546" s="13" t="s">
        <v>21460</v>
      </c>
      <c r="C9546" s="14" t="s">
        <v>21461</v>
      </c>
      <c r="D9546" s="1" t="str">
        <f>IFERROR(__xludf.DUMMYFUNCTION("GOOGLETRANSLATE(A9546 , ""auto"", ""ar"")"),"هذا يكفى")</f>
        <v>هذا يكفى</v>
      </c>
    </row>
    <row r="9547" ht="15.75" customHeight="1">
      <c r="A9547" s="12" t="s">
        <v>21462</v>
      </c>
      <c r="B9547" s="13" t="s">
        <v>21463</v>
      </c>
      <c r="C9547" s="14" t="s">
        <v>21464</v>
      </c>
      <c r="D9547" s="1" t="str">
        <f>IFERROR(__xludf.DUMMYFUNCTION("GOOGLETRANSLATE(A9547 , ""auto"", ""ar"")"),"لا أعرف اسمه")</f>
        <v>لا أعرف اسمه</v>
      </c>
    </row>
    <row r="9548" ht="15.75" customHeight="1">
      <c r="A9548" s="12" t="s">
        <v>21465</v>
      </c>
      <c r="B9548" s="13" t="s">
        <v>21466</v>
      </c>
      <c r="C9548" s="14" t="s">
        <v>21467</v>
      </c>
      <c r="D9548" s="1" t="str">
        <f>IFERROR(__xludf.DUMMYFUNCTION("GOOGLETRANSLATE(A9548 , ""auto"", ""ar"")"),"اسمه جميل")</f>
        <v>اسمه جميل</v>
      </c>
    </row>
    <row r="9549" ht="15.75" customHeight="1">
      <c r="A9549" s="12" t="s">
        <v>21468</v>
      </c>
      <c r="B9549" s="13" t="s">
        <v>21469</v>
      </c>
      <c r="C9549" s="14" t="s">
        <v>21470</v>
      </c>
      <c r="D9549" s="1" t="str">
        <f>IFERROR(__xludf.DUMMYFUNCTION("GOOGLETRANSLATE(A9549 , ""auto"", ""ar"")"),"ما زلت مريضا")</f>
        <v>ما زلت مريضا</v>
      </c>
    </row>
    <row r="9550" ht="15.75" customHeight="1">
      <c r="A9550" s="12" t="s">
        <v>21471</v>
      </c>
      <c r="B9550" s="13" t="s">
        <v>21472</v>
      </c>
      <c r="C9550" s="14" t="s">
        <v>21473</v>
      </c>
      <c r="D9550" s="1" t="str">
        <f>IFERROR(__xludf.DUMMYFUNCTION("GOOGLETRANSLATE(A9550 , ""auto"", ""ar"")"),"هل مازلت مريضا؟")</f>
        <v>هل مازلت مريضا؟</v>
      </c>
    </row>
    <row r="9551" ht="15.75" customHeight="1">
      <c r="A9551" s="12" t="s">
        <v>21474</v>
      </c>
      <c r="B9551" s="13" t="s">
        <v>21475</v>
      </c>
      <c r="C9551" s="14" t="s">
        <v>21476</v>
      </c>
      <c r="D9551" s="1" t="str">
        <f>IFERROR(__xludf.DUMMYFUNCTION("GOOGLETRANSLATE(A9551 , ""auto"", ""ar"")"),"لدي شي لأقوم به")</f>
        <v>لدي شي لأقوم به</v>
      </c>
    </row>
    <row r="9552" ht="15.75" customHeight="1">
      <c r="A9552" s="12" t="s">
        <v>21477</v>
      </c>
      <c r="B9552" s="13" t="s">
        <v>21478</v>
      </c>
      <c r="C9552" s="14" t="s">
        <v>21479</v>
      </c>
      <c r="D9552" s="1" t="str">
        <f>IFERROR(__xludf.DUMMYFUNCTION("GOOGLETRANSLATE(A9552 , ""auto"", ""ar"")"),"ما حدث لك؟")</f>
        <v>ما حدث لك؟</v>
      </c>
    </row>
    <row r="9553" ht="15.75" customHeight="1">
      <c r="A9553" s="12" t="s">
        <v>21480</v>
      </c>
      <c r="B9553" s="13" t="s">
        <v>21481</v>
      </c>
      <c r="C9553" s="14" t="s">
        <v>21482</v>
      </c>
      <c r="D9553" s="1" t="str">
        <f>IFERROR(__xludf.DUMMYFUNCTION("GOOGLETRANSLATE(A9553 , ""auto"", ""ar"")"),"اشياء كثيرة")</f>
        <v>اشياء كثيرة</v>
      </c>
    </row>
    <row r="9554" ht="15.75" customHeight="1">
      <c r="A9554" s="12" t="s">
        <v>21483</v>
      </c>
      <c r="B9554" s="13" t="s">
        <v>21484</v>
      </c>
      <c r="C9554" s="14" t="s">
        <v>21485</v>
      </c>
      <c r="D9554" s="1" t="str">
        <f>IFERROR(__xludf.DUMMYFUNCTION("GOOGLETRANSLATE(A9554 , ""auto"", ""ar"")"),"كانت ثقيلة")</f>
        <v>كانت ثقيلة</v>
      </c>
    </row>
    <row r="9555" ht="15.75" customHeight="1">
      <c r="A9555" s="12" t="s">
        <v>21486</v>
      </c>
      <c r="B9555" s="13" t="s">
        <v>21487</v>
      </c>
      <c r="C9555" s="14" t="s">
        <v>21488</v>
      </c>
      <c r="D9555" s="1" t="str">
        <f>IFERROR(__xludf.DUMMYFUNCTION("GOOGLETRANSLATE(A9555 , ""auto"", ""ar"")"),"كان الضوء")</f>
        <v>كان الضوء</v>
      </c>
    </row>
    <row r="9556" ht="15.75" customHeight="1">
      <c r="A9556" s="12" t="s">
        <v>21489</v>
      </c>
      <c r="B9556" s="13" t="s">
        <v>21490</v>
      </c>
      <c r="C9556" s="14" t="s">
        <v>21491</v>
      </c>
      <c r="D9556" s="1" t="str">
        <f>IFERROR(__xludf.DUMMYFUNCTION("GOOGLETRANSLATE(A9556 , ""auto"", ""ar"")"),"حتى لو كنت مريضًا")</f>
        <v>حتى لو كنت مريضًا</v>
      </c>
    </row>
    <row r="9557" ht="15.75" customHeight="1">
      <c r="A9557" s="12" t="s">
        <v>21492</v>
      </c>
      <c r="B9557" s="13" t="s">
        <v>21493</v>
      </c>
      <c r="C9557" s="14" t="s">
        <v>21494</v>
      </c>
      <c r="D9557" s="1" t="str">
        <f>IFERROR(__xludf.DUMMYFUNCTION("GOOGLETRANSLATE(A9557 , ""auto"", ""ar"")"),"لقد بدأت أشعر بالتعب")</f>
        <v>لقد بدأت أشعر بالتعب</v>
      </c>
    </row>
    <row r="9558" ht="15.75" customHeight="1">
      <c r="A9558" s="12" t="s">
        <v>21495</v>
      </c>
      <c r="B9558" s="13" t="s">
        <v>21496</v>
      </c>
      <c r="C9558" s="14" t="s">
        <v>21497</v>
      </c>
      <c r="D9558" s="1" t="str">
        <f>IFERROR(__xludf.DUMMYFUNCTION("GOOGLETRANSLATE(A9558 , ""auto"", ""ar"")"),"ربما هو هو")</f>
        <v>ربما هو هو</v>
      </c>
    </row>
    <row r="9559" ht="15.75" customHeight="1">
      <c r="A9559" s="12" t="s">
        <v>21498</v>
      </c>
      <c r="B9559" s="13" t="s">
        <v>21499</v>
      </c>
      <c r="C9559" s="14" t="s">
        <v>21500</v>
      </c>
      <c r="D9559" s="1" t="str">
        <f>IFERROR(__xludf.DUMMYFUNCTION("GOOGLETRANSLATE(A9559 , ""auto"", ""ar"")"),"إنه ليس هو")</f>
        <v>إنه ليس هو</v>
      </c>
    </row>
    <row r="9560" ht="15.75" customHeight="1">
      <c r="A9560" s="12" t="s">
        <v>21501</v>
      </c>
      <c r="B9560" s="13" t="s">
        <v>21502</v>
      </c>
      <c r="C9560" s="14" t="s">
        <v>21503</v>
      </c>
      <c r="D9560" s="1" t="str">
        <f>IFERROR(__xludf.DUMMYFUNCTION("GOOGLETRANSLATE(A9560 , ""auto"", ""ar"")"),"هل هو؟")</f>
        <v>هل هو؟</v>
      </c>
    </row>
    <row r="9561" ht="15.75" customHeight="1">
      <c r="A9561" s="12" t="s">
        <v>21504</v>
      </c>
      <c r="B9561" s="13" t="s">
        <v>21505</v>
      </c>
      <c r="C9561" s="14" t="s">
        <v>21506</v>
      </c>
      <c r="D9561" s="1" t="str">
        <f>IFERROR(__xludf.DUMMYFUNCTION("GOOGLETRANSLATE(A9561 , ""auto"", ""ar"")"),"كنت أسير")</f>
        <v>كنت أسير</v>
      </c>
    </row>
    <row r="9562" ht="15.75" customHeight="1">
      <c r="A9562" s="12" t="s">
        <v>21507</v>
      </c>
      <c r="B9562" s="13" t="s">
        <v>21508</v>
      </c>
      <c r="C9562" s="14" t="s">
        <v>21509</v>
      </c>
      <c r="D9562" s="1" t="str">
        <f>IFERROR(__xludf.DUMMYFUNCTION("GOOGLETRANSLATE(A9562 , ""auto"", ""ar"")"),"إنه يؤلمك كثيرًا")</f>
        <v>إنه يؤلمك كثيرًا</v>
      </c>
    </row>
    <row r="9563" ht="15.75" customHeight="1">
      <c r="A9563" s="12" t="s">
        <v>21510</v>
      </c>
      <c r="B9563" s="13" t="s">
        <v>21511</v>
      </c>
      <c r="C9563" s="14" t="s">
        <v>21512</v>
      </c>
      <c r="D9563" s="1" t="str">
        <f>IFERROR(__xludf.DUMMYFUNCTION("GOOGLETRANSLATE(A9563 , ""auto"", ""ar"")"),"يخمن")</f>
        <v>يخمن</v>
      </c>
    </row>
    <row r="9564" ht="15.75" customHeight="1">
      <c r="A9564" s="12" t="s">
        <v>21513</v>
      </c>
      <c r="B9564" s="13" t="s">
        <v>21514</v>
      </c>
      <c r="C9564" s="14" t="s">
        <v>21515</v>
      </c>
      <c r="D9564" s="1" t="str">
        <f>IFERROR(__xludf.DUMMYFUNCTION("GOOGLETRANSLATE(A9564 , ""auto"", ""ar"")"),"أستيقظ متعب")</f>
        <v>أستيقظ متعب</v>
      </c>
    </row>
    <row r="9565" ht="15.75" customHeight="1">
      <c r="A9565" s="12" t="s">
        <v>21516</v>
      </c>
      <c r="B9565" s="13" t="s">
        <v>21517</v>
      </c>
      <c r="C9565" s="14" t="s">
        <v>21518</v>
      </c>
      <c r="D9565" s="1" t="str">
        <f>IFERROR(__xludf.DUMMYFUNCTION("GOOGLETRANSLATE(A9565 , ""auto"", ""ar"")"),"أحضر لي كل شيء")</f>
        <v>أحضر لي كل شيء</v>
      </c>
    </row>
    <row r="9566" ht="15.75" customHeight="1">
      <c r="A9566" s="12" t="s">
        <v>21519</v>
      </c>
      <c r="B9566" s="13" t="s">
        <v>21520</v>
      </c>
      <c r="C9566" s="14" t="s">
        <v>21521</v>
      </c>
      <c r="D9566" s="1" t="str">
        <f>IFERROR(__xludf.DUMMYFUNCTION("GOOGLETRANSLATE(A9566 , ""auto"", ""ar"")"),"وصف الطبيب الأدوية لي")</f>
        <v>وصف الطبيب الأدوية لي</v>
      </c>
    </row>
    <row r="9567" ht="15.75" customHeight="1">
      <c r="A9567" s="12" t="s">
        <v>21522</v>
      </c>
      <c r="B9567" s="13" t="s">
        <v>21523</v>
      </c>
      <c r="C9567" s="14" t="s">
        <v>21524</v>
      </c>
      <c r="D9567" s="1" t="str">
        <f>IFERROR(__xludf.DUMMYFUNCTION("GOOGLETRANSLATE(A9567 , ""auto"", ""ar"")"),"هذا الدواء حلو")</f>
        <v>هذا الدواء حلو</v>
      </c>
    </row>
    <row r="9568" ht="15.75" customHeight="1">
      <c r="A9568" s="12" t="s">
        <v>21525</v>
      </c>
      <c r="B9568" s="13" t="s">
        <v>21526</v>
      </c>
      <c r="C9568" s="14" t="s">
        <v>21527</v>
      </c>
      <c r="D9568" s="1" t="str">
        <f>IFERROR(__xludf.DUMMYFUNCTION("GOOGLETRANSLATE(A9568 , ""auto"", ""ar"")"),"أريد أن آكل العدس")</f>
        <v>أريد أن آكل العدس</v>
      </c>
    </row>
    <row r="9569" ht="15.75" customHeight="1">
      <c r="A9569" s="12" t="s">
        <v>21528</v>
      </c>
      <c r="B9569" s="13" t="s">
        <v>21529</v>
      </c>
      <c r="C9569" s="14" t="s">
        <v>21530</v>
      </c>
      <c r="D9569" s="1" t="str">
        <f>IFERROR(__xludf.DUMMYFUNCTION("GOOGLETRANSLATE(A9569 , ""auto"", ""ar"")"),"ارتدي نظارتك")</f>
        <v>ارتدي نظارتك</v>
      </c>
    </row>
    <row r="9570" ht="15.75" customHeight="1">
      <c r="A9570" s="12" t="s">
        <v>21531</v>
      </c>
      <c r="B9570" s="13" t="s">
        <v>21532</v>
      </c>
      <c r="C9570" s="14" t="s">
        <v>21533</v>
      </c>
      <c r="D9570" s="1" t="str">
        <f>IFERROR(__xludf.DUMMYFUNCTION("GOOGLETRANSLATE(A9570 , ""auto"", ""ar"")"),"المقلاة ساخنة")</f>
        <v>المقلاة ساخنة</v>
      </c>
    </row>
    <row r="9571" ht="15.75" customHeight="1">
      <c r="A9571" s="12" t="s">
        <v>21534</v>
      </c>
      <c r="B9571" s="13" t="s">
        <v>21535</v>
      </c>
      <c r="C9571" s="14" t="s">
        <v>21536</v>
      </c>
      <c r="D9571" s="1" t="str">
        <f>IFERROR(__xludf.DUMMYFUNCTION("GOOGLETRANSLATE(A9571 , ""auto"", ""ar"")"),"أكتب قصائد")</f>
        <v>أكتب قصائد</v>
      </c>
    </row>
    <row r="9572" ht="15.75" customHeight="1">
      <c r="A9572" s="12" t="s">
        <v>21537</v>
      </c>
      <c r="B9572" s="13" t="s">
        <v>21538</v>
      </c>
      <c r="C9572" s="14" t="s">
        <v>21539</v>
      </c>
      <c r="D9572" s="1" t="str">
        <f>IFERROR(__xludf.DUMMYFUNCTION("GOOGLETRANSLATE(A9572 , ""auto"", ""ar"")"),"أحب قراءة القصائد")</f>
        <v>أحب قراءة القصائد</v>
      </c>
    </row>
    <row r="9573" ht="15.75" customHeight="1">
      <c r="A9573" s="12" t="s">
        <v>21540</v>
      </c>
      <c r="B9573" s="13" t="s">
        <v>21541</v>
      </c>
      <c r="C9573" s="14" t="s">
        <v>21542</v>
      </c>
      <c r="D9573" s="1" t="str">
        <f>IFERROR(__xludf.DUMMYFUNCTION("GOOGLETRANSLATE(A9573 , ""auto"", ""ar"")"),"سأستعد")</f>
        <v>سأستعد</v>
      </c>
    </row>
    <row r="9574" ht="15.75" customHeight="1">
      <c r="A9574" s="12" t="s">
        <v>21543</v>
      </c>
      <c r="B9574" s="13" t="s">
        <v>21544</v>
      </c>
      <c r="C9574" s="14" t="s">
        <v>21545</v>
      </c>
      <c r="D9574" s="1" t="str">
        <f>IFERROR(__xludf.DUMMYFUNCTION("GOOGLETRANSLATE(A9574 , ""auto"", ""ar"")"),"أقوم بتدريب")</f>
        <v>أقوم بتدريب</v>
      </c>
    </row>
    <row r="9575" ht="15.75" customHeight="1">
      <c r="A9575" s="12" t="s">
        <v>21546</v>
      </c>
      <c r="B9575" s="13" t="s">
        <v>21547</v>
      </c>
      <c r="C9575" s="14" t="s">
        <v>21548</v>
      </c>
      <c r="D9575" s="1" t="str">
        <f>IFERROR(__xludf.DUMMYFUNCTION("GOOGLETRANSLATE(A9575 , ""auto"", ""ar"")"),"أنت مثلي")</f>
        <v>أنت مثلي</v>
      </c>
    </row>
    <row r="9576" ht="15.75" customHeight="1">
      <c r="A9576" s="12" t="s">
        <v>21549</v>
      </c>
      <c r="B9576" s="13" t="s">
        <v>21550</v>
      </c>
      <c r="C9576" s="14" t="s">
        <v>21551</v>
      </c>
      <c r="D9576" s="1" t="str">
        <f>IFERROR(__xludf.DUMMYFUNCTION("GOOGLETRANSLATE(A9576 , ""auto"", ""ar"")"),"صب الماء")</f>
        <v>صب الماء</v>
      </c>
    </row>
    <row r="9577" ht="15.75" customHeight="1">
      <c r="A9577" s="12" t="s">
        <v>21552</v>
      </c>
      <c r="B9577" s="13" t="s">
        <v>21553</v>
      </c>
      <c r="C9577" s="14" t="s">
        <v>21554</v>
      </c>
      <c r="D9577" s="1" t="str">
        <f>IFERROR(__xludf.DUMMYFUNCTION("GOOGLETRANSLATE(A9577 , ""auto"", ""ar"")"),"الزجاجة ممتلئة")</f>
        <v>الزجاجة ممتلئة</v>
      </c>
    </row>
    <row r="9578" ht="15.75" customHeight="1">
      <c r="A9578" s="12" t="s">
        <v>21555</v>
      </c>
      <c r="B9578" s="13" t="s">
        <v>21556</v>
      </c>
      <c r="C9578" s="14" t="s">
        <v>21557</v>
      </c>
      <c r="D9578" s="1" t="str">
        <f>IFERROR(__xludf.DUMMYFUNCTION("GOOGLETRANSLATE(A9578 , ""auto"", ""ar"")"),"الزجاجة فارغة")</f>
        <v>الزجاجة فارغة</v>
      </c>
    </row>
    <row r="9579" ht="15.75" customHeight="1">
      <c r="A9579" s="12" t="s">
        <v>21558</v>
      </c>
      <c r="B9579" s="13" t="s">
        <v>21559</v>
      </c>
      <c r="C9579" s="14" t="s">
        <v>21560</v>
      </c>
      <c r="D9579" s="1" t="str">
        <f>IFERROR(__xludf.DUMMYFUNCTION("GOOGLETRANSLATE(A9579 , ""auto"", ""ar"")"),"انها ليست مهمة")</f>
        <v>انها ليست مهمة</v>
      </c>
    </row>
    <row r="9580" ht="15.75" customHeight="1">
      <c r="A9580" s="12" t="s">
        <v>21561</v>
      </c>
      <c r="B9580" s="13" t="s">
        <v>21562</v>
      </c>
      <c r="C9580" s="14" t="s">
        <v>21563</v>
      </c>
      <c r="D9580" s="1" t="str">
        <f>IFERROR(__xludf.DUMMYFUNCTION("GOOGLETRANSLATE(A9580 , ""auto"", ""ar"")"),"التي ينبغي لأحد أن اخترت؟")</f>
        <v>التي ينبغي لأحد أن اخترت؟</v>
      </c>
    </row>
    <row r="9581" ht="15.75" customHeight="1">
      <c r="A9581" s="12" t="s">
        <v>21564</v>
      </c>
      <c r="B9581" s="13" t="s">
        <v>21565</v>
      </c>
      <c r="C9581" s="14" t="s">
        <v>21566</v>
      </c>
      <c r="D9581" s="1" t="str">
        <f>IFERROR(__xludf.DUMMYFUNCTION("GOOGLETRANSLATE(A9581 , ""auto"", ""ar"")"),"قطع الطماطم")</f>
        <v>قطع الطماطم</v>
      </c>
    </row>
    <row r="9582" ht="15.75" customHeight="1">
      <c r="A9582" s="12" t="s">
        <v>21567</v>
      </c>
      <c r="B9582" s="13" t="s">
        <v>21568</v>
      </c>
      <c r="C9582" s="14" t="s">
        <v>21569</v>
      </c>
      <c r="D9582" s="1" t="str">
        <f>IFERROR(__xludf.DUMMYFUNCTION("GOOGLETRANSLATE(A9582 , ""auto"", ""ar"")"),"عليك أن تتخلص منه")</f>
        <v>عليك أن تتخلص منه</v>
      </c>
    </row>
    <row r="9583" ht="15.75" customHeight="1">
      <c r="A9583" s="12" t="s">
        <v>21570</v>
      </c>
      <c r="B9583" s="13" t="s">
        <v>21571</v>
      </c>
      <c r="C9583" s="14" t="s">
        <v>21572</v>
      </c>
      <c r="D9583" s="1" t="str">
        <f>IFERROR(__xludf.DUMMYFUNCTION("GOOGLETRANSLATE(A9583 , ""auto"", ""ar"")"),"لا أحد كامل")</f>
        <v>لا أحد كامل</v>
      </c>
    </row>
    <row r="9584" ht="15.75" customHeight="1">
      <c r="A9584" s="12" t="s">
        <v>21573</v>
      </c>
      <c r="B9584" s="13" t="s">
        <v>21574</v>
      </c>
      <c r="C9584" s="14" t="s">
        <v>21575</v>
      </c>
      <c r="D9584" s="1" t="str">
        <f>IFERROR(__xludf.DUMMYFUNCTION("GOOGLETRANSLATE(A9584 , ""auto"", ""ar"")"),"إنها المرة الأولى التي أراك فيها")</f>
        <v>إنها المرة الأولى التي أراك فيها</v>
      </c>
    </row>
    <row r="9585" ht="15.75" customHeight="1">
      <c r="A9585" s="12" t="s">
        <v>21576</v>
      </c>
      <c r="B9585" s="13" t="s">
        <v>21577</v>
      </c>
      <c r="C9585" s="14" t="s">
        <v>21578</v>
      </c>
      <c r="D9585" s="1" t="str">
        <f>IFERROR(__xludf.DUMMYFUNCTION("GOOGLETRANSLATE(A9585 , ""auto"", ""ar"")"),"إنها المرة الأولى التي أتحدث فيها معك")</f>
        <v>إنها المرة الأولى التي أتحدث فيها معك</v>
      </c>
    </row>
    <row r="9586" ht="15.75" customHeight="1">
      <c r="A9586" s="12" t="s">
        <v>21579</v>
      </c>
      <c r="B9586" s="13" t="s">
        <v>21580</v>
      </c>
      <c r="C9586" s="14" t="s">
        <v>21581</v>
      </c>
      <c r="D9586" s="1" t="str">
        <f>IFERROR(__xludf.DUMMYFUNCTION("GOOGLETRANSLATE(A9586 , ""auto"", ""ar"")"),"اريد تغيير حياتي")</f>
        <v>اريد تغيير حياتي</v>
      </c>
    </row>
    <row r="9587" ht="15.75" customHeight="1">
      <c r="A9587" s="12" t="s">
        <v>21582</v>
      </c>
      <c r="B9587" s="13" t="s">
        <v>21583</v>
      </c>
      <c r="C9587" s="14" t="s">
        <v>21584</v>
      </c>
      <c r="D9587" s="1" t="str">
        <f>IFERROR(__xludf.DUMMYFUNCTION("GOOGLETRANSLATE(A9587 , ""auto"", ""ar"")"),"يدرس بجد")</f>
        <v>يدرس بجد</v>
      </c>
    </row>
    <row r="9588" ht="15.75" customHeight="1">
      <c r="A9588" s="12" t="s">
        <v>21585</v>
      </c>
      <c r="B9588" s="13" t="s">
        <v>21586</v>
      </c>
      <c r="C9588" s="14" t="s">
        <v>21587</v>
      </c>
      <c r="D9588" s="1" t="str">
        <f>IFERROR(__xludf.DUMMYFUNCTION("GOOGLETRANSLATE(A9588 , ""auto"", ""ar"")"),"إذا كان لديك")</f>
        <v>إذا كان لديك</v>
      </c>
    </row>
    <row r="9589" ht="15.75" customHeight="1">
      <c r="A9589" s="12" t="s">
        <v>21588</v>
      </c>
      <c r="B9589" s="13" t="s">
        <v>21589</v>
      </c>
      <c r="C9589" s="14" t="s">
        <v>21590</v>
      </c>
      <c r="D9589" s="1" t="str">
        <f>IFERROR(__xludf.DUMMYFUNCTION("GOOGLETRANSLATE(A9589 , ""auto"", ""ar"")"),"أنا لا آكل البصل")</f>
        <v>أنا لا آكل البصل</v>
      </c>
    </row>
    <row r="9590" ht="15.75" customHeight="1">
      <c r="A9590" s="12" t="s">
        <v>21591</v>
      </c>
      <c r="B9590" s="13" t="s">
        <v>21592</v>
      </c>
      <c r="C9590" s="14" t="s">
        <v>21593</v>
      </c>
      <c r="D9590" s="1" t="str">
        <f>IFERROR(__xludf.DUMMYFUNCTION("GOOGLETRANSLATE(A9590 , ""auto"", ""ar"")"),"بدأ وقتي ينفذ")</f>
        <v>بدأ وقتي ينفذ</v>
      </c>
    </row>
    <row r="9591" ht="15.75" customHeight="1">
      <c r="A9591" s="12" t="s">
        <v>21594</v>
      </c>
      <c r="B9591" s="13" t="s">
        <v>21595</v>
      </c>
      <c r="C9591" s="14" t="s">
        <v>21596</v>
      </c>
      <c r="D9591" s="1" t="str">
        <f>IFERROR(__xludf.DUMMYFUNCTION("GOOGLETRANSLATE(A9591 , ""auto"", ""ar"")"),"عندما كنت صغيرا")</f>
        <v>عندما كنت صغيرا</v>
      </c>
    </row>
    <row r="9592" ht="15.75" customHeight="1">
      <c r="A9592" s="12" t="s">
        <v>21597</v>
      </c>
      <c r="B9592" s="13" t="s">
        <v>21598</v>
      </c>
      <c r="C9592" s="14" t="s">
        <v>21599</v>
      </c>
      <c r="D9592" s="1" t="str">
        <f>IFERROR(__xludf.DUMMYFUNCTION("GOOGLETRANSLATE(A9592 , ""auto"", ""ar"")"),"قليلا فقط")</f>
        <v>قليلا فقط</v>
      </c>
    </row>
    <row r="9593" ht="15.75" customHeight="1">
      <c r="A9593" s="12" t="s">
        <v>21600</v>
      </c>
      <c r="B9593" s="13" t="s">
        <v>21601</v>
      </c>
      <c r="C9593" s="14" t="s">
        <v>21602</v>
      </c>
      <c r="D9593" s="1" t="str">
        <f>IFERROR(__xludf.DUMMYFUNCTION("GOOGLETRANSLATE(A9593 , ""auto"", ""ar"")"),"سأضعه في الماء")</f>
        <v>سأضعه في الماء</v>
      </c>
    </row>
    <row r="9594" ht="15.75" customHeight="1">
      <c r="A9594" s="12" t="s">
        <v>21603</v>
      </c>
      <c r="B9594" s="13" t="s">
        <v>21604</v>
      </c>
      <c r="C9594" s="14" t="s">
        <v>21605</v>
      </c>
      <c r="D9594" s="1" t="str">
        <f>IFERROR(__xludf.DUMMYFUNCTION("GOOGLETRANSLATE(A9594 , ""auto"", ""ar"")"),"خرجت من المنزل")</f>
        <v>خرجت من المنزل</v>
      </c>
    </row>
    <row r="9595" ht="15.75" customHeight="1">
      <c r="A9595" s="12" t="s">
        <v>21606</v>
      </c>
      <c r="B9595" s="13" t="s">
        <v>21607</v>
      </c>
      <c r="C9595" s="14" t="s">
        <v>21608</v>
      </c>
      <c r="D9595" s="1" t="str">
        <f>IFERROR(__xludf.DUMMYFUNCTION("GOOGLETRANSLATE(A9595 , ""auto"", ""ar"")"),"سأعيش وحدي")</f>
        <v>سأعيش وحدي</v>
      </c>
    </row>
    <row r="9596" ht="15.75" customHeight="1">
      <c r="A9596" s="12" t="s">
        <v>21609</v>
      </c>
      <c r="B9596" s="13" t="s">
        <v>21610</v>
      </c>
      <c r="C9596" s="14" t="s">
        <v>21611</v>
      </c>
      <c r="D9596" s="1" t="str">
        <f>IFERROR(__xludf.DUMMYFUNCTION("GOOGLETRANSLATE(A9596 , ""auto"", ""ar"")"),"سأفعل درجة الماجستير")</f>
        <v>سأفعل درجة الماجستير</v>
      </c>
    </row>
    <row r="9597" ht="15.75" customHeight="1">
      <c r="A9597" s="12" t="s">
        <v>21612</v>
      </c>
      <c r="B9597" s="13" t="s">
        <v>21613</v>
      </c>
      <c r="C9597" s="14" t="s">
        <v>21614</v>
      </c>
      <c r="D9597" s="1" t="str">
        <f>IFERROR(__xludf.DUMMYFUNCTION("GOOGLETRANSLATE(A9597 , ""auto"", ""ar"")"),"لقد نسيت حقيبتي")</f>
        <v>لقد نسيت حقيبتي</v>
      </c>
    </row>
    <row r="9598" ht="15.75" customHeight="1">
      <c r="A9598" s="12" t="s">
        <v>21615</v>
      </c>
      <c r="B9598" s="13" t="s">
        <v>21616</v>
      </c>
      <c r="C9598" s="14" t="s">
        <v>21617</v>
      </c>
      <c r="D9598" s="1" t="str">
        <f>IFERROR(__xludf.DUMMYFUNCTION("GOOGLETRANSLATE(A9598 , ""auto"", ""ar"")"),"لم يتبق مساحة")</f>
        <v>لم يتبق مساحة</v>
      </c>
    </row>
    <row r="9599" ht="15.75" customHeight="1">
      <c r="A9599" s="12" t="s">
        <v>21618</v>
      </c>
      <c r="B9599" s="13" t="s">
        <v>21619</v>
      </c>
      <c r="C9599" s="14" t="s">
        <v>21620</v>
      </c>
      <c r="D9599" s="1" t="str">
        <f>IFERROR(__xludf.DUMMYFUNCTION("GOOGLETRANSLATE(A9599 , ""auto"", ""ar"")"),"افتح الثلاجة")</f>
        <v>افتح الثلاجة</v>
      </c>
    </row>
    <row r="9600" ht="15.75" customHeight="1">
      <c r="A9600" s="12" t="s">
        <v>21621</v>
      </c>
      <c r="B9600" s="13" t="s">
        <v>21622</v>
      </c>
      <c r="C9600" s="14" t="s">
        <v>21623</v>
      </c>
      <c r="D9600" s="1" t="str">
        <f>IFERROR(__xludf.DUMMYFUNCTION("GOOGLETRANSLATE(A9600 , ""auto"", ""ar"")"),"سيذهب صديقي معي")</f>
        <v>سيذهب صديقي معي</v>
      </c>
    </row>
    <row r="9601" ht="15.75" customHeight="1">
      <c r="A9601" s="12" t="s">
        <v>21624</v>
      </c>
      <c r="B9601" s="13" t="s">
        <v>21625</v>
      </c>
      <c r="C9601" s="14" t="s">
        <v>21626</v>
      </c>
      <c r="D9601" s="1" t="str">
        <f>IFERROR(__xludf.DUMMYFUNCTION("GOOGLETRANSLATE(A9601 , ""auto"", ""ar"")"),"لقد أحرقت الغداء")</f>
        <v>لقد أحرقت الغداء</v>
      </c>
    </row>
    <row r="9602" ht="15.75" customHeight="1">
      <c r="A9602" s="12" t="s">
        <v>21627</v>
      </c>
      <c r="B9602" s="13" t="s">
        <v>21628</v>
      </c>
      <c r="C9602" s="14" t="s">
        <v>21629</v>
      </c>
      <c r="D9602" s="1" t="str">
        <f>IFERROR(__xludf.DUMMYFUNCTION("GOOGLETRANSLATE(A9602 , ""auto"", ""ar"")"),"سأبدأ من الآن")</f>
        <v>سأبدأ من الآن</v>
      </c>
    </row>
    <row r="9603" ht="15.75" customHeight="1">
      <c r="A9603" s="12" t="s">
        <v>21630</v>
      </c>
      <c r="B9603" s="13" t="s">
        <v>21631</v>
      </c>
      <c r="C9603" s="14" t="s">
        <v>21632</v>
      </c>
      <c r="D9603" s="1" t="str">
        <f>IFERROR(__xludf.DUMMYFUNCTION("GOOGLETRANSLATE(A9603 , ""auto"", ""ar"")"),"لا يزال لدي الكثير من العمل لأفعله")</f>
        <v>لا يزال لدي الكثير من العمل لأفعله</v>
      </c>
    </row>
    <row r="9604" ht="15.75" customHeight="1">
      <c r="A9604" s="12" t="s">
        <v>21633</v>
      </c>
      <c r="B9604" s="13" t="s">
        <v>21634</v>
      </c>
      <c r="C9604" s="14" t="s">
        <v>21635</v>
      </c>
      <c r="D9604" s="1" t="str">
        <f>IFERROR(__xludf.DUMMYFUNCTION("GOOGLETRANSLATE(A9604 , ""auto"", ""ar"")"),"أنا أحب الذهب")</f>
        <v>أنا أحب الذهب</v>
      </c>
    </row>
    <row r="9605" ht="15.75" customHeight="1">
      <c r="A9605" s="12" t="s">
        <v>21636</v>
      </c>
      <c r="B9605" s="13" t="s">
        <v>21637</v>
      </c>
      <c r="C9605" s="14" t="s">
        <v>21638</v>
      </c>
      <c r="D9605" s="1" t="str">
        <f>IFERROR(__xludf.DUMMYFUNCTION("GOOGLETRANSLATE(A9605 , ""auto"", ""ar"")"),"الذهب باهظ الثمن")</f>
        <v>الذهب باهظ الثمن</v>
      </c>
    </row>
    <row r="9606" ht="15.75" customHeight="1">
      <c r="A9606" s="12" t="s">
        <v>21639</v>
      </c>
      <c r="B9606" s="13" t="s">
        <v>21640</v>
      </c>
      <c r="C9606" s="14" t="s">
        <v>21641</v>
      </c>
      <c r="D9606" s="1" t="str">
        <f>IFERROR(__xludf.DUMMYFUNCTION("GOOGLETRANSLATE(A9606 , ""auto"", ""ar"")"),"ليس هناك ما هو سهل")</f>
        <v>ليس هناك ما هو سهل</v>
      </c>
    </row>
    <row r="9607" ht="15.75" customHeight="1">
      <c r="A9607" s="12" t="s">
        <v>21642</v>
      </c>
      <c r="B9607" s="13" t="s">
        <v>21643</v>
      </c>
      <c r="C9607" s="14" t="s">
        <v>21644</v>
      </c>
      <c r="D9607" s="1" t="str">
        <f>IFERROR(__xludf.DUMMYFUNCTION("GOOGLETRANSLATE(A9607 , ""auto"", ""ar"")"),"لا أشعر بأي شيء")</f>
        <v>لا أشعر بأي شيء</v>
      </c>
    </row>
    <row r="9608" ht="15.75" customHeight="1">
      <c r="A9608" s="12" t="s">
        <v>21645</v>
      </c>
      <c r="B9608" s="13" t="s">
        <v>21646</v>
      </c>
      <c r="C9608" s="14" t="s">
        <v>21647</v>
      </c>
      <c r="D9608" s="1" t="str">
        <f>IFERROR(__xludf.DUMMYFUNCTION("GOOGLETRANSLATE(A9608 , ""auto"", ""ar"")"),"البيض المقلي")</f>
        <v>البيض المقلي</v>
      </c>
    </row>
    <row r="9609" ht="15.75" customHeight="1">
      <c r="A9609" s="12" t="s">
        <v>21648</v>
      </c>
      <c r="B9609" s="13" t="s">
        <v>21649</v>
      </c>
      <c r="C9609" s="14" t="s">
        <v>21650</v>
      </c>
      <c r="D9609" s="1" t="str">
        <f>IFERROR(__xludf.DUMMYFUNCTION("GOOGLETRANSLATE(A9609 , ""auto"", ""ar"")"),"أنا أحب السلطات")</f>
        <v>أنا أحب السلطات</v>
      </c>
    </row>
    <row r="9610" ht="15.75" customHeight="1">
      <c r="A9610" s="12" t="s">
        <v>21651</v>
      </c>
      <c r="B9610" s="13" t="s">
        <v>21652</v>
      </c>
      <c r="C9610" s="14" t="s">
        <v>21653</v>
      </c>
      <c r="D9610" s="1" t="str">
        <f>IFERROR(__xludf.DUMMYFUNCTION("GOOGLETRANSLATE(A9610 , ""auto"", ""ar"")"),"عليك أن تشرب الكثير من الماء")</f>
        <v>عليك أن تشرب الكثير من الماء</v>
      </c>
    </row>
    <row r="9611" ht="15.75" customHeight="1">
      <c r="A9611" s="12" t="s">
        <v>21654</v>
      </c>
      <c r="B9611" s="13" t="s">
        <v>21655</v>
      </c>
      <c r="C9611" s="14" t="s">
        <v>21656</v>
      </c>
      <c r="D9611" s="1" t="str">
        <f>IFERROR(__xludf.DUMMYFUNCTION("GOOGLETRANSLATE(A9611 , ""auto"", ""ar"")"),"يجب ان اطبخ")</f>
        <v>يجب ان اطبخ</v>
      </c>
    </row>
    <row r="9612" ht="15.75" customHeight="1">
      <c r="A9612" s="12" t="s">
        <v>21657</v>
      </c>
      <c r="B9612" s="13" t="s">
        <v>21658</v>
      </c>
      <c r="C9612" s="14" t="s">
        <v>21659</v>
      </c>
      <c r="D9612" s="1" t="str">
        <f>IFERROR(__xludf.DUMMYFUNCTION("GOOGLETRANSLATE(A9612 , ""auto"", ""ar"")"),"زوجي متأخر")</f>
        <v>زوجي متأخر</v>
      </c>
    </row>
    <row r="9613" ht="15.75" customHeight="1">
      <c r="A9613" s="12" t="s">
        <v>21660</v>
      </c>
      <c r="B9613" s="13" t="s">
        <v>21661</v>
      </c>
      <c r="C9613" s="14" t="s">
        <v>21662</v>
      </c>
      <c r="D9613" s="1" t="str">
        <f>IFERROR(__xludf.DUMMYFUNCTION("GOOGLETRANSLATE(A9613 , ""auto"", ""ar"")"),"زوجي يعمل بجد")</f>
        <v>زوجي يعمل بجد</v>
      </c>
    </row>
    <row r="9614" ht="15.75" customHeight="1">
      <c r="A9614" s="12" t="s">
        <v>8116</v>
      </c>
      <c r="B9614" s="13" t="s">
        <v>21663</v>
      </c>
      <c r="C9614" s="14" t="s">
        <v>21664</v>
      </c>
      <c r="D9614" s="1" t="str">
        <f>IFERROR(__xludf.DUMMYFUNCTION("GOOGLETRANSLATE(A9614 , ""auto"", ""ar"")"),"لا أعرف")</f>
        <v>لا أعرف</v>
      </c>
    </row>
    <row r="9615" ht="15.75" customHeight="1">
      <c r="A9615" s="12" t="s">
        <v>21665</v>
      </c>
      <c r="B9615" s="13" t="s">
        <v>21666</v>
      </c>
      <c r="C9615" s="14" t="s">
        <v>21667</v>
      </c>
      <c r="D9615" s="1" t="str">
        <f>IFERROR(__xludf.DUMMYFUNCTION("GOOGLETRANSLATE(A9615 , ""auto"", ""ar"")"),"والدي يعمل مدرسا")</f>
        <v>والدي يعمل مدرسا</v>
      </c>
    </row>
    <row r="9616" ht="15.75" customHeight="1">
      <c r="A9616" s="12" t="s">
        <v>21668</v>
      </c>
      <c r="B9616" s="13" t="s">
        <v>21669</v>
      </c>
      <c r="C9616" s="14" t="s">
        <v>21670</v>
      </c>
      <c r="D9616" s="1" t="str">
        <f>IFERROR(__xludf.DUMMYFUNCTION("GOOGLETRANSLATE(A9616 , ""auto"", ""ar"")"),"والدي محاسب")</f>
        <v>والدي محاسب</v>
      </c>
    </row>
    <row r="9617" ht="15.75" customHeight="1">
      <c r="A9617" s="12" t="s">
        <v>21671</v>
      </c>
      <c r="B9617" s="13" t="s">
        <v>21672</v>
      </c>
      <c r="C9617" s="14" t="s">
        <v>21673</v>
      </c>
      <c r="D9617" s="1" t="str">
        <f>IFERROR(__xludf.DUMMYFUNCTION("GOOGLETRANSLATE(A9617 , ""auto"", ""ar"")"),"كسرت الكرسي")</f>
        <v>كسرت الكرسي</v>
      </c>
    </row>
    <row r="9618" ht="15.75" customHeight="1">
      <c r="A9618" s="12" t="s">
        <v>21674</v>
      </c>
      <c r="B9618" s="13" t="s">
        <v>21675</v>
      </c>
      <c r="C9618" s="14" t="s">
        <v>21676</v>
      </c>
      <c r="D9618" s="1" t="str">
        <f>IFERROR(__xludf.DUMMYFUNCTION("GOOGLETRANSLATE(A9618 , ""auto"", ""ar"")"),"لقد بدأت من البداية")</f>
        <v>لقد بدأت من البداية</v>
      </c>
    </row>
    <row r="9619" ht="15.75" customHeight="1">
      <c r="A9619" s="12" t="s">
        <v>21677</v>
      </c>
      <c r="B9619" s="13" t="s">
        <v>21678</v>
      </c>
      <c r="C9619" s="14" t="s">
        <v>21679</v>
      </c>
      <c r="D9619" s="1" t="str">
        <f>IFERROR(__xludf.DUMMYFUNCTION("GOOGLETRANSLATE(A9619 , ""auto"", ""ar"")"),"صفق يديك")</f>
        <v>صفق يديك</v>
      </c>
    </row>
    <row r="9620" ht="15.75" customHeight="1">
      <c r="A9620" s="12" t="s">
        <v>21680</v>
      </c>
      <c r="B9620" s="13" t="s">
        <v>21681</v>
      </c>
      <c r="C9620" s="14" t="s">
        <v>21682</v>
      </c>
      <c r="D9620" s="1" t="str">
        <f>IFERROR(__xludf.DUMMYFUNCTION("GOOGLETRANSLATE(A9620 , ""auto"", ""ar"")"),"دعونا نمشي")</f>
        <v>دعونا نمشي</v>
      </c>
    </row>
    <row r="9621" ht="15.75" customHeight="1">
      <c r="A9621" s="12" t="s">
        <v>21683</v>
      </c>
      <c r="B9621" s="13" t="s">
        <v>21684</v>
      </c>
      <c r="C9621" s="14" t="s">
        <v>21685</v>
      </c>
      <c r="D9621" s="1" t="str">
        <f>IFERROR(__xludf.DUMMYFUNCTION("GOOGLETRANSLATE(A9621 , ""auto"", ""ar"")"),"اخرج من هنا")</f>
        <v>اخرج من هنا</v>
      </c>
    </row>
    <row r="9622" ht="15.75" customHeight="1">
      <c r="A9622" s="12" t="s">
        <v>21686</v>
      </c>
      <c r="B9622" s="13" t="s">
        <v>21687</v>
      </c>
      <c r="C9622" s="14" t="s">
        <v>21688</v>
      </c>
      <c r="D9622" s="1" t="str">
        <f>IFERROR(__xludf.DUMMYFUNCTION("GOOGLETRANSLATE(A9622 , ""auto"", ""ar"")"),"السطح كبير")</f>
        <v>السطح كبير</v>
      </c>
    </row>
    <row r="9623" ht="15.75" customHeight="1">
      <c r="A9623" s="12" t="s">
        <v>21689</v>
      </c>
      <c r="B9623" s="13" t="s">
        <v>21690</v>
      </c>
      <c r="C9623" s="14" t="s">
        <v>21691</v>
      </c>
      <c r="D9623" s="1" t="str">
        <f>IFERROR(__xludf.DUMMYFUNCTION("GOOGLETRANSLATE(A9623 , ""auto"", ""ar"")"),"أنجبت قطتي")</f>
        <v>أنجبت قطتي</v>
      </c>
    </row>
    <row r="9624" ht="15.75" customHeight="1">
      <c r="A9624" s="12" t="s">
        <v>21692</v>
      </c>
      <c r="B9624" s="13" t="s">
        <v>21693</v>
      </c>
      <c r="C9624" s="14" t="s">
        <v>21694</v>
      </c>
      <c r="D9624" s="1" t="str">
        <f>IFERROR(__xludf.DUMMYFUNCTION("GOOGLETRANSLATE(A9624 , ""auto"", ""ar"")"),"الأواني جديدة")</f>
        <v>الأواني جديدة</v>
      </c>
    </row>
    <row r="9625" ht="15.75" customHeight="1">
      <c r="A9625" s="12" t="s">
        <v>21695</v>
      </c>
      <c r="B9625" s="13" t="s">
        <v>21696</v>
      </c>
      <c r="C9625" s="14" t="s">
        <v>21697</v>
      </c>
      <c r="D9625" s="1" t="str">
        <f>IFERROR(__xludf.DUMMYFUNCTION("GOOGLETRANSLATE(A9625 , ""auto"", ""ar"")"),"هذا ما أريده")</f>
        <v>هذا ما أريده</v>
      </c>
    </row>
    <row r="9626" ht="15.75" customHeight="1">
      <c r="A9626" s="12" t="s">
        <v>21698</v>
      </c>
      <c r="B9626" s="13" t="s">
        <v>21699</v>
      </c>
      <c r="C9626" s="14" t="s">
        <v>21700</v>
      </c>
      <c r="D9626" s="1" t="str">
        <f>IFERROR(__xludf.DUMMYFUNCTION("GOOGLETRANSLATE(A9626 , ""auto"", ""ar"")"),"هذا ما أبحث عنه")</f>
        <v>هذا ما أبحث عنه</v>
      </c>
    </row>
    <row r="9627" ht="15.75" customHeight="1">
      <c r="A9627" s="12" t="s">
        <v>21701</v>
      </c>
      <c r="B9627" s="13" t="s">
        <v>21702</v>
      </c>
      <c r="C9627" s="14" t="s">
        <v>21703</v>
      </c>
      <c r="D9627" s="1" t="str">
        <f>IFERROR(__xludf.DUMMYFUNCTION("GOOGLETRANSLATE(A9627 , ""auto"", ""ar"")"),"هذه الموسيقى سيئة")</f>
        <v>هذه الموسيقى سيئة</v>
      </c>
    </row>
    <row r="9628" ht="15.75" customHeight="1">
      <c r="A9628" s="12" t="s">
        <v>21704</v>
      </c>
      <c r="B9628" s="13" t="s">
        <v>21705</v>
      </c>
      <c r="C9628" s="14" t="s">
        <v>21706</v>
      </c>
      <c r="D9628" s="1" t="str">
        <f>IFERROR(__xludf.DUMMYFUNCTION("GOOGLETRANSLATE(A9628 , ""auto"", ""ar"")"),"أنا لا أحب الموسيقى")</f>
        <v>أنا لا أحب الموسيقى</v>
      </c>
    </row>
    <row r="9629" ht="15.75" customHeight="1">
      <c r="A9629" s="12" t="s">
        <v>21707</v>
      </c>
      <c r="B9629" s="13" t="s">
        <v>21708</v>
      </c>
      <c r="C9629" s="14" t="s">
        <v>21709</v>
      </c>
      <c r="D9629" s="1" t="str">
        <f>IFERROR(__xludf.DUMMYFUNCTION("GOOGLETRANSLATE(A9629 , ""auto"", ""ar"")"),"أي نوع من الموسيقى تفضل؟")</f>
        <v>أي نوع من الموسيقى تفضل؟</v>
      </c>
    </row>
    <row r="9630" ht="15.75" customHeight="1">
      <c r="A9630" s="12" t="s">
        <v>21710</v>
      </c>
      <c r="B9630" s="13" t="s">
        <v>21711</v>
      </c>
      <c r="C9630" s="14" t="s">
        <v>21712</v>
      </c>
      <c r="D9630" s="1" t="str">
        <f>IFERROR(__xludf.DUMMYFUNCTION("GOOGLETRANSLATE(A9630 , ""auto"", ""ar"")"),"هل تعرف هذا المغني؟")</f>
        <v>هل تعرف هذا المغني؟</v>
      </c>
    </row>
    <row r="9631" ht="15.75" customHeight="1">
      <c r="A9631" s="12" t="s">
        <v>21713</v>
      </c>
      <c r="B9631" s="13" t="s">
        <v>21714</v>
      </c>
      <c r="C9631" s="14" t="s">
        <v>21715</v>
      </c>
      <c r="D9631" s="1" t="str">
        <f>IFERROR(__xludf.DUMMYFUNCTION("GOOGLETRANSLATE(A9631 , ""auto"", ""ar"")"),"هذا المغني مشهور")</f>
        <v>هذا المغني مشهور</v>
      </c>
    </row>
    <row r="9632" ht="15.75" customHeight="1">
      <c r="A9632" s="12" t="s">
        <v>21716</v>
      </c>
      <c r="B9632" s="13" t="s">
        <v>21717</v>
      </c>
      <c r="C9632" s="14" t="s">
        <v>21718</v>
      </c>
      <c r="D9632" s="1" t="str">
        <f>IFERROR(__xludf.DUMMYFUNCTION("GOOGLETRANSLATE(A9632 , ""auto"", ""ar"")"),"أنا أحب البيانو")</f>
        <v>أنا أحب البيانو</v>
      </c>
    </row>
    <row r="9633" ht="15.75" customHeight="1">
      <c r="A9633" s="12" t="s">
        <v>21719</v>
      </c>
      <c r="B9633" s="13" t="s">
        <v>21720</v>
      </c>
      <c r="C9633" s="14" t="s">
        <v>21721</v>
      </c>
      <c r="D9633" s="1" t="str">
        <f>IFERROR(__xludf.DUMMYFUNCTION("GOOGLETRANSLATE(A9633 , ""auto"", ""ar"")"),"لدي تقلصات")</f>
        <v>لدي تقلصات</v>
      </c>
    </row>
    <row r="9634" ht="15.75" customHeight="1">
      <c r="A9634" s="12" t="s">
        <v>21722</v>
      </c>
      <c r="B9634" s="13" t="s">
        <v>21723</v>
      </c>
      <c r="C9634" s="14" t="s">
        <v>21724</v>
      </c>
      <c r="D9634" s="1" t="str">
        <f>IFERROR(__xludf.DUMMYFUNCTION("GOOGLETRANSLATE(A9634 , ""auto"", ""ar"")"),"الماء نظيف")</f>
        <v>الماء نظيف</v>
      </c>
    </row>
    <row r="9635" ht="15.75" customHeight="1">
      <c r="A9635" s="12" t="s">
        <v>21725</v>
      </c>
      <c r="B9635" s="13" t="s">
        <v>21726</v>
      </c>
      <c r="C9635" s="14" t="s">
        <v>21727</v>
      </c>
      <c r="D9635" s="1" t="str">
        <f>IFERROR(__xludf.DUMMYFUNCTION("GOOGLETRANSLATE(A9635 , ""auto"", ""ar"")"),"ذهبت إلى المحكمة")</f>
        <v>ذهبت إلى المحكمة</v>
      </c>
    </row>
    <row r="9636" ht="15.75" customHeight="1">
      <c r="A9636" s="12" t="s">
        <v>21728</v>
      </c>
      <c r="B9636" s="13" t="s">
        <v>21729</v>
      </c>
      <c r="C9636" s="14" t="s">
        <v>21730</v>
      </c>
      <c r="D9636" s="1" t="str">
        <f>IFERROR(__xludf.DUMMYFUNCTION("GOOGLETRANSLATE(A9636 , ""auto"", ""ar"")"),"رفعت دعوى عليه")</f>
        <v>رفعت دعوى عليه</v>
      </c>
    </row>
    <row r="9637" ht="15.75" customHeight="1">
      <c r="A9637" s="12" t="s">
        <v>21731</v>
      </c>
      <c r="B9637" s="13" t="s">
        <v>21732</v>
      </c>
      <c r="C9637" s="14" t="s">
        <v>21733</v>
      </c>
      <c r="D9637" s="1" t="str">
        <f>IFERROR(__xludf.DUMMYFUNCTION("GOOGLETRANSLATE(A9637 , ""auto"", ""ar"")"),"إنه مجرم خطير")</f>
        <v>إنه مجرم خطير</v>
      </c>
    </row>
    <row r="9638" ht="15.75" customHeight="1">
      <c r="A9638" s="12" t="s">
        <v>21734</v>
      </c>
      <c r="B9638" s="13" t="s">
        <v>21735</v>
      </c>
      <c r="C9638" s="14" t="s">
        <v>21736</v>
      </c>
      <c r="D9638" s="1" t="str">
        <f>IFERROR(__xludf.DUMMYFUNCTION("GOOGLETRANSLATE(A9638 , ""auto"", ""ar"")"),"أنا لست مجرمًا")</f>
        <v>أنا لست مجرمًا</v>
      </c>
    </row>
    <row r="9639" ht="15.75" customHeight="1">
      <c r="A9639" s="12" t="s">
        <v>21737</v>
      </c>
      <c r="B9639" s="13" t="s">
        <v>21738</v>
      </c>
      <c r="C9639" s="14" t="s">
        <v>21739</v>
      </c>
      <c r="D9639" s="1" t="str">
        <f>IFERROR(__xludf.DUMMYFUNCTION("GOOGLETRANSLATE(A9639 , ""auto"", ""ar"")"),"كنت خائفة منه")</f>
        <v>كنت خائفة منه</v>
      </c>
    </row>
    <row r="9640" ht="15.75" customHeight="1">
      <c r="A9640" s="12" t="s">
        <v>21740</v>
      </c>
      <c r="B9640" s="13" t="s">
        <v>21741</v>
      </c>
      <c r="C9640" s="14" t="s">
        <v>21742</v>
      </c>
      <c r="D9640" s="1" t="str">
        <f>IFERROR(__xludf.DUMMYFUNCTION("GOOGLETRANSLATE(A9640 , ""auto"", ""ar"")"),"الطريق مغلق")</f>
        <v>الطريق مغلق</v>
      </c>
    </row>
    <row r="9641" ht="15.75" customHeight="1">
      <c r="A9641" s="12" t="s">
        <v>21743</v>
      </c>
      <c r="B9641" s="13" t="s">
        <v>21744</v>
      </c>
      <c r="C9641" s="14" t="s">
        <v>21745</v>
      </c>
      <c r="D9641" s="1" t="str">
        <f>IFERROR(__xludf.DUMMYFUNCTION("GOOGLETRANSLATE(A9641 , ""auto"", ""ar"")"),"هل هناك طريق آخر؟")</f>
        <v>هل هناك طريق آخر؟</v>
      </c>
    </row>
    <row r="9642" ht="15.75" customHeight="1">
      <c r="A9642" s="12" t="s">
        <v>21746</v>
      </c>
      <c r="B9642" s="13" t="s">
        <v>21747</v>
      </c>
      <c r="C9642" s="14" t="s">
        <v>21748</v>
      </c>
      <c r="D9642" s="1" t="str">
        <f>IFERROR(__xludf.DUMMYFUNCTION("GOOGLETRANSLATE(A9642 , ""auto"", ""ar"")"),"اشتريت حقيبة جديدة")</f>
        <v>اشتريت حقيبة جديدة</v>
      </c>
    </row>
    <row r="9643" ht="15.75" customHeight="1">
      <c r="A9643" s="12" t="s">
        <v>21749</v>
      </c>
      <c r="B9643" s="13" t="s">
        <v>21750</v>
      </c>
      <c r="C9643" s="14" t="s">
        <v>21751</v>
      </c>
      <c r="D9643" s="1" t="str">
        <f>IFERROR(__xludf.DUMMYFUNCTION("GOOGLETRANSLATE(A9643 , ""auto"", ""ar"")"),"أقراط ذهبية")</f>
        <v>أقراط ذهبية</v>
      </c>
    </row>
    <row r="9644" ht="15.75" customHeight="1">
      <c r="A9644" s="12" t="s">
        <v>21752</v>
      </c>
      <c r="B9644" s="13" t="s">
        <v>21753</v>
      </c>
      <c r="C9644" s="14" t="s">
        <v>21754</v>
      </c>
      <c r="D9644" s="1" t="str">
        <f>IFERROR(__xludf.DUMMYFUNCTION("GOOGLETRANSLATE(A9644 , ""auto"", ""ar"")"),"حقيبة مزيفة")</f>
        <v>حقيبة مزيفة</v>
      </c>
    </row>
    <row r="9645" ht="15.75" customHeight="1">
      <c r="A9645" s="12" t="s">
        <v>21755</v>
      </c>
      <c r="B9645" s="13" t="s">
        <v>21756</v>
      </c>
      <c r="C9645" s="14" t="s">
        <v>21757</v>
      </c>
      <c r="D9645" s="1" t="str">
        <f>IFERROR(__xludf.DUMMYFUNCTION("GOOGLETRANSLATE(A9645 , ""auto"", ""ar"")"),"سلسلة طويلة")</f>
        <v>سلسلة طويلة</v>
      </c>
    </row>
    <row r="9646" ht="15.75" customHeight="1">
      <c r="A9646" s="12" t="s">
        <v>21758</v>
      </c>
      <c r="B9646" s="13" t="s">
        <v>21759</v>
      </c>
      <c r="C9646" s="14" t="s">
        <v>21760</v>
      </c>
      <c r="D9646" s="1" t="str">
        <f>IFERROR(__xludf.DUMMYFUNCTION("GOOGLETRANSLATE(A9646 , ""auto"", ""ar"")"),"أنت مزعج")</f>
        <v>أنت مزعج</v>
      </c>
    </row>
    <row r="9647" ht="15.75" customHeight="1">
      <c r="A9647" s="12" t="s">
        <v>21761</v>
      </c>
      <c r="B9647" s="13" t="s">
        <v>21762</v>
      </c>
      <c r="C9647" s="14" t="s">
        <v>21763</v>
      </c>
      <c r="D9647" s="1" t="str">
        <f>IFERROR(__xludf.DUMMYFUNCTION("GOOGLETRANSLATE(A9647 , ""auto"", ""ar"")"),"لقد أزعجتني")</f>
        <v>لقد أزعجتني</v>
      </c>
    </row>
    <row r="9648" ht="15.75" customHeight="1">
      <c r="A9648" s="12" t="s">
        <v>21764</v>
      </c>
      <c r="B9648" s="13" t="s">
        <v>21765</v>
      </c>
      <c r="C9648" s="14" t="s">
        <v>21766</v>
      </c>
      <c r="D9648" s="1" t="str">
        <f>IFERROR(__xludf.DUMMYFUNCTION("GOOGLETRANSLATE(A9648 , ""auto"", ""ar"")"),"لا تزعجني")</f>
        <v>لا تزعجني</v>
      </c>
    </row>
    <row r="9649" ht="15.75" customHeight="1">
      <c r="A9649" s="12" t="s">
        <v>21767</v>
      </c>
      <c r="B9649" s="13" t="s">
        <v>21768</v>
      </c>
      <c r="C9649" s="14" t="s">
        <v>21769</v>
      </c>
      <c r="D9649" s="1" t="str">
        <f>IFERROR(__xludf.DUMMYFUNCTION("GOOGLETRANSLATE(A9649 , ""auto"", ""ar"")"),"اهتم بشؤونك")</f>
        <v>اهتم بشؤونك</v>
      </c>
    </row>
    <row r="9650" ht="15.75" customHeight="1">
      <c r="A9650" s="12" t="s">
        <v>21770</v>
      </c>
      <c r="B9650" s="13" t="s">
        <v>21771</v>
      </c>
      <c r="C9650" s="14" t="s">
        <v>21772</v>
      </c>
      <c r="D9650" s="1" t="str">
        <f>IFERROR(__xludf.DUMMYFUNCTION("GOOGLETRANSLATE(A9650 , ""auto"", ""ar"")"),"لا تتحدث عن الآخرين")</f>
        <v>لا تتحدث عن الآخرين</v>
      </c>
    </row>
    <row r="9651" ht="15.75" customHeight="1">
      <c r="A9651" s="12" t="s">
        <v>21773</v>
      </c>
      <c r="B9651" s="13" t="s">
        <v>21774</v>
      </c>
      <c r="C9651" s="14" t="s">
        <v>21775</v>
      </c>
      <c r="D9651" s="1" t="str">
        <f>IFERROR(__xludf.DUMMYFUNCTION("GOOGLETRANSLATE(A9651 , ""auto"", ""ar"")"),"ليس من الجيد الكذب")</f>
        <v>ليس من الجيد الكذب</v>
      </c>
    </row>
    <row r="9652" ht="15.75" customHeight="1">
      <c r="A9652" s="12" t="s">
        <v>21776</v>
      </c>
      <c r="B9652" s="13" t="s">
        <v>21777</v>
      </c>
      <c r="C9652" s="14" t="s">
        <v>21778</v>
      </c>
      <c r="D9652" s="1" t="str">
        <f>IFERROR(__xludf.DUMMYFUNCTION("GOOGLETRANSLATE(A9652 , ""auto"", ""ar"")"),"لم يكن يريد الاعتراف")</f>
        <v>لم يكن يريد الاعتراف</v>
      </c>
    </row>
    <row r="9653" ht="15.75" customHeight="1">
      <c r="A9653" s="12" t="s">
        <v>21779</v>
      </c>
      <c r="B9653" s="13" t="s">
        <v>21780</v>
      </c>
      <c r="C9653" s="14" t="s">
        <v>21781</v>
      </c>
      <c r="D9653" s="1" t="str">
        <f>IFERROR(__xludf.DUMMYFUNCTION("GOOGLETRANSLATE(A9653 , ""auto"", ""ar"")"),"سوف تنام الآن؟")</f>
        <v>سوف تنام الآن؟</v>
      </c>
    </row>
    <row r="9654" ht="15.75" customHeight="1">
      <c r="A9654" s="12" t="s">
        <v>21782</v>
      </c>
      <c r="B9654" s="13" t="s">
        <v>21783</v>
      </c>
      <c r="C9654" s="14" t="s">
        <v>21784</v>
      </c>
      <c r="D9654" s="1" t="str">
        <f>IFERROR(__xludf.DUMMYFUNCTION("GOOGLETRANSLATE(A9654 , ""auto"", ""ar"")"),"هل ستنام هنا؟")</f>
        <v>هل ستنام هنا؟</v>
      </c>
    </row>
    <row r="9655" ht="15.75" customHeight="1">
      <c r="A9655" s="12" t="s">
        <v>21785</v>
      </c>
      <c r="B9655" s="13" t="s">
        <v>21786</v>
      </c>
      <c r="C9655" s="14" t="s">
        <v>21787</v>
      </c>
      <c r="D9655" s="1" t="str">
        <f>IFERROR(__xludf.DUMMYFUNCTION("GOOGLETRANSLATE(A9655 , ""auto"", ""ar"")"),"لديه الربو")</f>
        <v>لديه الربو</v>
      </c>
    </row>
    <row r="9656" ht="15.75" customHeight="1">
      <c r="A9656" s="12" t="s">
        <v>21788</v>
      </c>
      <c r="B9656" s="13" t="s">
        <v>21789</v>
      </c>
      <c r="C9656" s="14" t="s">
        <v>21790</v>
      </c>
      <c r="D9656" s="1" t="str">
        <f>IFERROR(__xludf.DUMMYFUNCTION("GOOGLETRANSLATE(A9656 , ""auto"", ""ar"")"),"إنه مرض السكري")</f>
        <v>إنه مرض السكري</v>
      </c>
    </row>
    <row r="9657" ht="15.75" customHeight="1">
      <c r="A9657" s="12" t="s">
        <v>21791</v>
      </c>
      <c r="B9657" s="13" t="s">
        <v>21792</v>
      </c>
      <c r="C9657" s="14" t="s">
        <v>21793</v>
      </c>
      <c r="D9657" s="1" t="str">
        <f>IFERROR(__xludf.DUMMYFUNCTION("GOOGLETRANSLATE(A9657 , ""auto"", ""ar"")"),"لا أعرف كيف أقرأ")</f>
        <v>لا أعرف كيف أقرأ</v>
      </c>
    </row>
    <row r="9658" ht="15.75" customHeight="1">
      <c r="A9658" s="12" t="s">
        <v>21794</v>
      </c>
      <c r="B9658" s="13" t="s">
        <v>21795</v>
      </c>
      <c r="C9658" s="14" t="s">
        <v>21796</v>
      </c>
      <c r="D9658" s="1" t="str">
        <f>IFERROR(__xludf.DUMMYFUNCTION("GOOGLETRANSLATE(A9658 , ""auto"", ""ar"")"),"مات الكاتب")</f>
        <v>مات الكاتب</v>
      </c>
    </row>
    <row r="9659" ht="15.75" customHeight="1">
      <c r="A9659" s="12" t="s">
        <v>21797</v>
      </c>
      <c r="B9659" s="13" t="s">
        <v>21798</v>
      </c>
      <c r="C9659" s="14" t="s">
        <v>21799</v>
      </c>
      <c r="D9659" s="1" t="str">
        <f>IFERROR(__xludf.DUMMYFUNCTION("GOOGLETRANSLATE(A9659 , ""auto"", ""ar"")"),"هو غني")</f>
        <v>هو غني</v>
      </c>
    </row>
    <row r="9660" ht="15.75" customHeight="1">
      <c r="A9660" s="12" t="s">
        <v>21800</v>
      </c>
      <c r="B9660" s="13" t="s">
        <v>21801</v>
      </c>
      <c r="C9660" s="14" t="s">
        <v>21802</v>
      </c>
      <c r="D9660" s="1" t="str">
        <f>IFERROR(__xludf.DUMMYFUNCTION("GOOGLETRANSLATE(A9660 , ""auto"", ""ar"")"),"هو فقير")</f>
        <v>هو فقير</v>
      </c>
    </row>
    <row r="9661" ht="15.75" customHeight="1">
      <c r="A9661" s="12" t="s">
        <v>21803</v>
      </c>
      <c r="B9661" s="13" t="s">
        <v>21804</v>
      </c>
      <c r="C9661" s="14" t="s">
        <v>21805</v>
      </c>
      <c r="D9661" s="1" t="str">
        <f>IFERROR(__xludf.DUMMYFUNCTION("GOOGLETRANSLATE(A9661 , ""auto"", ""ar"")"),"هو جشع")</f>
        <v>هو جشع</v>
      </c>
    </row>
    <row r="9662" ht="15.75" customHeight="1">
      <c r="A9662" s="12" t="s">
        <v>21806</v>
      </c>
      <c r="B9662" s="13" t="s">
        <v>21807</v>
      </c>
      <c r="C9662" s="14" t="s">
        <v>21808</v>
      </c>
      <c r="D9662" s="1" t="str">
        <f>IFERROR(__xludf.DUMMYFUNCTION("GOOGLETRANSLATE(A9662 , ""auto"", ""ar"")"),"الجشع شيء سيء")</f>
        <v>الجشع شيء سيء</v>
      </c>
    </row>
    <row r="9663" ht="15.75" customHeight="1">
      <c r="A9663" s="12" t="s">
        <v>21809</v>
      </c>
      <c r="B9663" s="13" t="s">
        <v>21810</v>
      </c>
      <c r="C9663" s="14" t="s">
        <v>21811</v>
      </c>
      <c r="D9663" s="1" t="str">
        <f>IFERROR(__xludf.DUMMYFUNCTION("GOOGLETRANSLATE(A9663 , ""auto"", ""ar"")"),"سأغير نظارتي")</f>
        <v>سأغير نظارتي</v>
      </c>
    </row>
    <row r="9664" ht="15.75" customHeight="1">
      <c r="A9664" s="12" t="s">
        <v>21812</v>
      </c>
      <c r="B9664" s="13" t="s">
        <v>21813</v>
      </c>
      <c r="C9664" s="14" t="s">
        <v>21814</v>
      </c>
      <c r="D9664" s="1" t="str">
        <f>IFERROR(__xludf.DUMMYFUNCTION("GOOGLETRANSLATE(A9664 , ""auto"", ""ar"")"),"هذه السترة دافئة")</f>
        <v>هذه السترة دافئة</v>
      </c>
    </row>
    <row r="9665" ht="15.75" customHeight="1">
      <c r="A9665" s="12" t="s">
        <v>21815</v>
      </c>
      <c r="B9665" s="13" t="s">
        <v>21816</v>
      </c>
      <c r="C9665" s="14" t="s">
        <v>21817</v>
      </c>
      <c r="D9665" s="1" t="str">
        <f>IFERROR(__xludf.DUMMYFUNCTION("GOOGLETRANSLATE(A9665 , ""auto"", ""ar"")"),"ما زلت باردًا")</f>
        <v>ما زلت باردًا</v>
      </c>
    </row>
    <row r="9666" ht="15.75" customHeight="1">
      <c r="A9666" s="12" t="s">
        <v>21818</v>
      </c>
      <c r="B9666" s="13" t="s">
        <v>21819</v>
      </c>
      <c r="C9666" s="14" t="s">
        <v>21820</v>
      </c>
      <c r="D9666" s="1" t="str">
        <f>IFERROR(__xludf.DUMMYFUNCTION("GOOGLETRANSLATE(A9666 , ""auto"", ""ar"")"),"ليس دائما")</f>
        <v>ليس دائما</v>
      </c>
    </row>
    <row r="9667" ht="15.75" customHeight="1">
      <c r="A9667" s="12" t="s">
        <v>21821</v>
      </c>
      <c r="B9667" s="13" t="s">
        <v>21822</v>
      </c>
      <c r="C9667" s="14" t="s">
        <v>21823</v>
      </c>
      <c r="D9667" s="1" t="str">
        <f>IFERROR(__xludf.DUMMYFUNCTION("GOOGLETRANSLATE(A9667 , ""auto"", ""ar"")"),"إنها مجرد فكرة")</f>
        <v>إنها مجرد فكرة</v>
      </c>
    </row>
    <row r="9668" ht="15.75" customHeight="1">
      <c r="A9668" s="12" t="s">
        <v>21824</v>
      </c>
      <c r="B9668" s="13" t="s">
        <v>21825</v>
      </c>
      <c r="C9668" s="14" t="s">
        <v>21826</v>
      </c>
      <c r="D9668" s="1" t="str">
        <f>IFERROR(__xludf.DUMMYFUNCTION("GOOGLETRANSLATE(A9668 , ""auto"", ""ar"")"),"يجعلني نائما")</f>
        <v>يجعلني نائما</v>
      </c>
    </row>
    <row r="9669" ht="15.75" customHeight="1">
      <c r="A9669" s="12" t="s">
        <v>21827</v>
      </c>
      <c r="B9669" s="13" t="s">
        <v>21828</v>
      </c>
      <c r="C9669" s="14" t="s">
        <v>21829</v>
      </c>
      <c r="D9669" s="1" t="str">
        <f>IFERROR(__xludf.DUMMYFUNCTION("GOOGLETRANSLATE(A9669 , ""auto"", ""ar"")"),"سأهاجر")</f>
        <v>سأهاجر</v>
      </c>
    </row>
    <row r="9670" ht="15.75" customHeight="1">
      <c r="A9670" s="12" t="s">
        <v>21830</v>
      </c>
      <c r="B9670" s="13" t="s">
        <v>21831</v>
      </c>
      <c r="C9670" s="14" t="s">
        <v>21832</v>
      </c>
      <c r="D9670" s="1" t="str">
        <f>IFERROR(__xludf.DUMMYFUNCTION("GOOGLETRANSLATE(A9670 , ""auto"", ""ar"")"),"مكتب الهجرة")</f>
        <v>مكتب الهجرة</v>
      </c>
    </row>
    <row r="9671" ht="15.75" customHeight="1">
      <c r="A9671" s="12" t="s">
        <v>21833</v>
      </c>
      <c r="B9671" s="13" t="s">
        <v>21834</v>
      </c>
      <c r="C9671" s="14" t="s">
        <v>21835</v>
      </c>
      <c r="D9671" s="1" t="str">
        <f>IFERROR(__xludf.DUMMYFUNCTION("GOOGLETRANSLATE(A9671 , ""auto"", ""ar"")"),"اريد الهجرة")</f>
        <v>اريد الهجرة</v>
      </c>
    </row>
    <row r="9672" ht="15.75" customHeight="1">
      <c r="A9672" s="12" t="s">
        <v>21836</v>
      </c>
      <c r="B9672" s="13" t="s">
        <v>21837</v>
      </c>
      <c r="C9672" s="14" t="s">
        <v>21838</v>
      </c>
      <c r="D9672" s="1" t="str">
        <f>IFERROR(__xludf.DUMMYFUNCTION("GOOGLETRANSLATE(A9672 , ""auto"", ""ar"")"),"لا تكن غبيًا")</f>
        <v>لا تكن غبيًا</v>
      </c>
    </row>
    <row r="9673" ht="15.75" customHeight="1">
      <c r="A9673" s="12" t="s">
        <v>21839</v>
      </c>
      <c r="B9673" s="13" t="s">
        <v>21840</v>
      </c>
      <c r="C9673" s="14" t="s">
        <v>21841</v>
      </c>
      <c r="D9673" s="1" t="str">
        <f>IFERROR(__xludf.DUMMYFUNCTION("GOOGLETRANSLATE(A9673 , ""auto"", ""ar"")"),"لماذا أنت غبي؟")</f>
        <v>لماذا أنت غبي؟</v>
      </c>
    </row>
    <row r="9674" ht="15.75" customHeight="1">
      <c r="A9674" s="12" t="s">
        <v>21842</v>
      </c>
      <c r="B9674" s="13" t="s">
        <v>21843</v>
      </c>
      <c r="C9674" s="14" t="s">
        <v>21844</v>
      </c>
      <c r="D9674" s="1" t="str">
        <f>IFERROR(__xludf.DUMMYFUNCTION("GOOGLETRANSLATE(A9674 , ""auto"", ""ar"")"),"الجمال نعمة")</f>
        <v>الجمال نعمة</v>
      </c>
    </row>
    <row r="9675" ht="15.75" customHeight="1">
      <c r="A9675" s="12" t="s">
        <v>21845</v>
      </c>
      <c r="B9675" s="13" t="s">
        <v>21846</v>
      </c>
      <c r="C9675" s="14" t="s">
        <v>21847</v>
      </c>
      <c r="D9675" s="1" t="str">
        <f>IFERROR(__xludf.DUMMYFUNCTION("GOOGLETRANSLATE(A9675 , ""auto"", ""ar"")"),"الصحة نعمة")</f>
        <v>الصحة نعمة</v>
      </c>
    </row>
    <row r="9676" ht="15.75" customHeight="1">
      <c r="A9676" s="12" t="s">
        <v>21848</v>
      </c>
      <c r="B9676" s="13" t="s">
        <v>21849</v>
      </c>
      <c r="C9676" s="14" t="s">
        <v>21850</v>
      </c>
      <c r="D9676" s="1" t="str">
        <f>IFERROR(__xludf.DUMMYFUNCTION("GOOGLETRANSLATE(A9676 , ""auto"", ""ar"")"),"لدي إجتماع")</f>
        <v>لدي إجتماع</v>
      </c>
    </row>
    <row r="9677" ht="15.75" customHeight="1">
      <c r="A9677" s="12" t="s">
        <v>21851</v>
      </c>
      <c r="B9677" s="13" t="s">
        <v>21852</v>
      </c>
      <c r="C9677" s="14" t="s">
        <v>21853</v>
      </c>
      <c r="D9677" s="1" t="str">
        <f>IFERROR(__xludf.DUMMYFUNCTION("GOOGLETRANSLATE(A9677 , ""auto"", ""ar"")"),"الغي الاجتماع")</f>
        <v>الغي الاجتماع</v>
      </c>
    </row>
    <row r="9678" ht="15.75" customHeight="1">
      <c r="A9678" s="12" t="s">
        <v>21854</v>
      </c>
      <c r="B9678" s="13" t="s">
        <v>21855</v>
      </c>
      <c r="C9678" s="14" t="s">
        <v>21856</v>
      </c>
      <c r="D9678" s="1" t="str">
        <f>IFERROR(__xludf.DUMMYFUNCTION("GOOGLETRANSLATE(A9678 , ""auto"", ""ar"")"),"متى يستغرق الاجتماع وقتًا؟")</f>
        <v>متى يستغرق الاجتماع وقتًا؟</v>
      </c>
    </row>
    <row r="9679" ht="15.75" customHeight="1">
      <c r="A9679" s="12" t="s">
        <v>21857</v>
      </c>
      <c r="B9679" s="13" t="s">
        <v>21858</v>
      </c>
      <c r="C9679" s="14" t="s">
        <v>21859</v>
      </c>
      <c r="D9679" s="1" t="str">
        <f>IFERROR(__xludf.DUMMYFUNCTION("GOOGLETRANSLATE(A9679 , ""auto"", ""ar"")"),"بارك الله فيك")</f>
        <v>بارك الله فيك</v>
      </c>
    </row>
    <row r="9680" ht="15.75" customHeight="1">
      <c r="A9680" s="12" t="s">
        <v>21860</v>
      </c>
      <c r="B9680" s="13" t="s">
        <v>21861</v>
      </c>
      <c r="C9680" s="14" t="s">
        <v>21862</v>
      </c>
      <c r="D9680" s="1" t="str">
        <f>IFERROR(__xludf.DUMMYFUNCTION("GOOGLETRANSLATE(A9680 , ""auto"", ""ar"")"),"الله أعظم")</f>
        <v>الله أعظم</v>
      </c>
    </row>
    <row r="9681" ht="15.75" customHeight="1">
      <c r="A9681" s="12" t="s">
        <v>21863</v>
      </c>
      <c r="B9681" s="13" t="s">
        <v>21864</v>
      </c>
      <c r="C9681" s="14" t="s">
        <v>21865</v>
      </c>
      <c r="D9681" s="1" t="str">
        <f>IFERROR(__xludf.DUMMYFUNCTION("GOOGLETRANSLATE(A9681 , ""auto"", ""ar"")"),"الله معي")</f>
        <v>الله معي</v>
      </c>
    </row>
    <row r="9682" ht="15.75" customHeight="1">
      <c r="A9682" s="12" t="s">
        <v>21866</v>
      </c>
      <c r="B9682" s="13" t="s">
        <v>21867</v>
      </c>
      <c r="C9682" s="14" t="s">
        <v>21868</v>
      </c>
      <c r="D9682" s="1" t="str">
        <f>IFERROR(__xludf.DUMMYFUNCTION("GOOGLETRANSLATE(A9682 , ""auto"", ""ar"")"),"التفكير في هذا")</f>
        <v>التفكير في هذا</v>
      </c>
    </row>
    <row r="9683" ht="15.75" customHeight="1">
      <c r="A9683" s="12" t="s">
        <v>21869</v>
      </c>
      <c r="B9683" s="13" t="s">
        <v>21870</v>
      </c>
      <c r="C9683" s="14" t="s">
        <v>21871</v>
      </c>
      <c r="D9683" s="1" t="str">
        <f>IFERROR(__xludf.DUMMYFUNCTION("GOOGLETRANSLATE(A9683 , ""auto"", ""ar"")"),"فزت في النهاية")</f>
        <v>فزت في النهاية</v>
      </c>
    </row>
    <row r="9684" ht="15.75" customHeight="1">
      <c r="A9684" s="12" t="s">
        <v>21872</v>
      </c>
      <c r="B9684" s="13" t="s">
        <v>21873</v>
      </c>
      <c r="C9684" s="14" t="s">
        <v>21874</v>
      </c>
      <c r="D9684" s="1" t="str">
        <f>IFERROR(__xludf.DUMMYFUNCTION("GOOGLETRANSLATE(A9684 , ""auto"", ""ar"")"),"سألقي خطابا")</f>
        <v>سألقي خطابا</v>
      </c>
    </row>
    <row r="9685" ht="15.75" customHeight="1">
      <c r="A9685" s="12" t="s">
        <v>21875</v>
      </c>
      <c r="B9685" s="13" t="s">
        <v>21876</v>
      </c>
      <c r="C9685" s="14" t="s">
        <v>21877</v>
      </c>
      <c r="D9685" s="1" t="str">
        <f>IFERROR(__xludf.DUMMYFUNCTION("GOOGLETRANSLATE(A9685 , ""auto"", ""ar"")"),"أنا مطلقة")</f>
        <v>أنا مطلقة</v>
      </c>
    </row>
    <row r="9686" ht="15.75" customHeight="1">
      <c r="A9686" s="12" t="s">
        <v>21878</v>
      </c>
      <c r="B9686" s="13" t="s">
        <v>21879</v>
      </c>
      <c r="C9686" s="14" t="s">
        <v>21880</v>
      </c>
      <c r="D9686" s="1" t="str">
        <f>IFERROR(__xludf.DUMMYFUNCTION("GOOGLETRANSLATE(A9686 , ""auto"", ""ar"")"),"أريد أن أطلق")</f>
        <v>أريد أن أطلق</v>
      </c>
    </row>
    <row r="9687" ht="15.75" customHeight="1">
      <c r="A9687" s="12" t="s">
        <v>21881</v>
      </c>
      <c r="B9687" s="13" t="s">
        <v>21882</v>
      </c>
      <c r="C9687" s="14" t="s">
        <v>21883</v>
      </c>
      <c r="D9687" s="1" t="str">
        <f>IFERROR(__xludf.DUMMYFUNCTION("GOOGLETRANSLATE(A9687 , ""auto"", ""ar"")"),"الورقة بيضاء")</f>
        <v>الورقة بيضاء</v>
      </c>
    </row>
    <row r="9688" ht="15.75" customHeight="1">
      <c r="A9688" s="12" t="s">
        <v>21884</v>
      </c>
      <c r="B9688" s="13" t="s">
        <v>21885</v>
      </c>
      <c r="C9688" s="14" t="s">
        <v>21886</v>
      </c>
      <c r="D9688" s="1" t="str">
        <f>IFERROR(__xludf.DUMMYFUNCTION("GOOGLETRANSLATE(A9688 , ""auto"", ""ar"")"),"أي ورقة؟")</f>
        <v>أي ورقة؟</v>
      </c>
    </row>
    <row r="9689" ht="15.75" customHeight="1">
      <c r="A9689" s="12" t="s">
        <v>21887</v>
      </c>
      <c r="B9689" s="13" t="s">
        <v>21888</v>
      </c>
      <c r="C9689" s="14" t="s">
        <v>21889</v>
      </c>
      <c r="D9689" s="1" t="str">
        <f>IFERROR(__xludf.DUMMYFUNCTION("GOOGLETRANSLATE(A9689 , ""auto"", ""ar"")"),"العديد من الأوراق")</f>
        <v>العديد من الأوراق</v>
      </c>
    </row>
    <row r="9690" ht="15.75" customHeight="1">
      <c r="A9690" s="12" t="s">
        <v>21890</v>
      </c>
      <c r="B9690" s="13" t="s">
        <v>21891</v>
      </c>
      <c r="C9690" s="14" t="s">
        <v>21892</v>
      </c>
      <c r="D9690" s="1" t="str">
        <f>IFERROR(__xludf.DUMMYFUNCTION("GOOGLETRANSLATE(A9690 , ""auto"", ""ar"")"),"لم يعجبني في البداية")</f>
        <v>لم يعجبني في البداية</v>
      </c>
    </row>
    <row r="9691" ht="15.75" customHeight="1">
      <c r="A9691" s="12" t="s">
        <v>21893</v>
      </c>
      <c r="B9691" s="13" t="s">
        <v>21894</v>
      </c>
      <c r="C9691" s="14" t="s">
        <v>21895</v>
      </c>
      <c r="D9691" s="1" t="str">
        <f>IFERROR(__xludf.DUMMYFUNCTION("GOOGLETRANSLATE(A9691 , ""auto"", ""ar"")"),"لدي مشكلة في عسر الهضم")</f>
        <v>لدي مشكلة في عسر الهضم</v>
      </c>
    </row>
    <row r="9692" ht="15.75" customHeight="1">
      <c r="A9692" s="12" t="s">
        <v>21896</v>
      </c>
      <c r="B9692" s="13" t="s">
        <v>21897</v>
      </c>
      <c r="C9692" s="14" t="s">
        <v>21898</v>
      </c>
      <c r="D9692" s="1" t="str">
        <f>IFERROR(__xludf.DUMMYFUNCTION("GOOGLETRANSLATE(A9692 , ""auto"", ""ar"")"),"لقد جئت في الوقت المناسب")</f>
        <v>لقد جئت في الوقت المناسب</v>
      </c>
    </row>
    <row r="9693" ht="15.75" customHeight="1">
      <c r="A9693" s="12" t="s">
        <v>21899</v>
      </c>
      <c r="B9693" s="13" t="s">
        <v>21900</v>
      </c>
      <c r="C9693" s="14" t="s">
        <v>21901</v>
      </c>
      <c r="D9693" s="1" t="str">
        <f>IFERROR(__xludf.DUMMYFUNCTION("GOOGLETRANSLATE(A9693 , ""auto"", ""ar"")"),"تعال مرة أخرى")</f>
        <v>تعال مرة أخرى</v>
      </c>
    </row>
    <row r="9694" ht="15.75" customHeight="1">
      <c r="A9694" s="12" t="s">
        <v>21902</v>
      </c>
      <c r="B9694" s="13" t="s">
        <v>21903</v>
      </c>
      <c r="C9694" s="14" t="s">
        <v>21904</v>
      </c>
      <c r="D9694" s="1" t="str">
        <f>IFERROR(__xludf.DUMMYFUNCTION("GOOGLETRANSLATE(A9694 , ""auto"", ""ar"")"),"إنه وقت الصلاة")</f>
        <v>إنه وقت الصلاة</v>
      </c>
    </row>
    <row r="9695" ht="15.75" customHeight="1">
      <c r="A9695" s="12" t="s">
        <v>21905</v>
      </c>
      <c r="B9695" s="13" t="s">
        <v>21906</v>
      </c>
      <c r="C9695" s="14" t="s">
        <v>21907</v>
      </c>
      <c r="D9695" s="1" t="str">
        <f>IFERROR(__xludf.DUMMYFUNCTION("GOOGLETRANSLATE(A9695 , ""auto"", ""ar"")"),"يصلي في الوقت المحدد")</f>
        <v>يصلي في الوقت المحدد</v>
      </c>
    </row>
    <row r="9696" ht="15.75" customHeight="1">
      <c r="A9696" s="12" t="s">
        <v>21908</v>
      </c>
      <c r="B9696" s="13" t="s">
        <v>21909</v>
      </c>
      <c r="C9696" s="14" t="s">
        <v>21910</v>
      </c>
      <c r="D9696" s="1" t="str">
        <f>IFERROR(__xludf.DUMMYFUNCTION("GOOGLETRANSLATE(A9696 , ""auto"", ""ar"")"),"يصلي من أجلي")</f>
        <v>يصلي من أجلي</v>
      </c>
    </row>
    <row r="9697" ht="15.75" customHeight="1">
      <c r="A9697" s="12" t="s">
        <v>21911</v>
      </c>
      <c r="B9697" s="13" t="s">
        <v>21912</v>
      </c>
      <c r="C9697" s="14" t="s">
        <v>21913</v>
      </c>
      <c r="D9697" s="1" t="str">
        <f>IFERROR(__xludf.DUMMYFUNCTION("GOOGLETRANSLATE(A9697 , ""auto"", ""ar"")"),"صلي من اجلي")</f>
        <v>صلي من اجلي</v>
      </c>
    </row>
    <row r="9698" ht="15.75" customHeight="1">
      <c r="A9698" s="12" t="s">
        <v>21914</v>
      </c>
      <c r="B9698" s="13" t="s">
        <v>21915</v>
      </c>
      <c r="C9698" s="14" t="s">
        <v>21916</v>
      </c>
      <c r="D9698" s="1" t="str">
        <f>IFERROR(__xludf.DUMMYFUNCTION("GOOGLETRANSLATE(A9698 , ""auto"", ""ar"")"),"كان دائما يصلي")</f>
        <v>كان دائما يصلي</v>
      </c>
    </row>
    <row r="9699" ht="15.75" customHeight="1">
      <c r="A9699" s="12" t="s">
        <v>21917</v>
      </c>
      <c r="B9699" s="13" t="s">
        <v>21918</v>
      </c>
      <c r="C9699" s="14" t="s">
        <v>21919</v>
      </c>
      <c r="D9699" s="1" t="str">
        <f>IFERROR(__xludf.DUMMYFUNCTION("GOOGLETRANSLATE(A9699 , ""auto"", ""ar"")"),"هو دائما صوم")</f>
        <v>هو دائما صوم</v>
      </c>
    </row>
    <row r="9700" ht="15.75" customHeight="1">
      <c r="A9700" s="12" t="s">
        <v>21920</v>
      </c>
      <c r="B9700" s="13" t="s">
        <v>21921</v>
      </c>
      <c r="C9700" s="14" t="s">
        <v>21922</v>
      </c>
      <c r="D9700" s="1" t="str">
        <f>IFERROR(__xludf.DUMMYFUNCTION("GOOGLETRANSLATE(A9700 , ""auto"", ""ar"")"),"بيننا")</f>
        <v>بيننا</v>
      </c>
    </row>
    <row r="9701" ht="15.75" customHeight="1">
      <c r="A9701" s="12" t="s">
        <v>21923</v>
      </c>
      <c r="B9701" s="13" t="s">
        <v>21924</v>
      </c>
      <c r="C9701" s="14" t="s">
        <v>21925</v>
      </c>
      <c r="D9701" s="1" t="str">
        <f>IFERROR(__xludf.DUMMYFUNCTION("GOOGLETRANSLATE(A9701 , ""auto"", ""ar"")"),"تظاهر لأنك لم تر أي شيء")</f>
        <v>تظاهر لأنك لم تر أي شيء</v>
      </c>
    </row>
    <row r="9702" ht="15.75" customHeight="1">
      <c r="A9702" s="12" t="s">
        <v>21926</v>
      </c>
      <c r="B9702" s="13" t="s">
        <v>21927</v>
      </c>
      <c r="C9702" s="14" t="s">
        <v>21928</v>
      </c>
      <c r="D9702" s="1" t="str">
        <f>IFERROR(__xludf.DUMMYFUNCTION("GOOGLETRANSLATE(A9702 , ""auto"", ""ar"")"),"تظاهر أنك لم تسمع أي شيء")</f>
        <v>تظاهر أنك لم تسمع أي شيء</v>
      </c>
    </row>
    <row r="9703" ht="15.75" customHeight="1">
      <c r="A9703" s="12" t="s">
        <v>21929</v>
      </c>
      <c r="B9703" s="13" t="s">
        <v>21930</v>
      </c>
      <c r="C9703" s="14" t="s">
        <v>21931</v>
      </c>
      <c r="D9703" s="1" t="str">
        <f>IFERROR(__xludf.DUMMYFUNCTION("GOOGLETRANSLATE(A9703 , ""auto"", ""ar"")"),"يتظاهر بأنه غبي")</f>
        <v>يتظاهر بأنه غبي</v>
      </c>
    </row>
    <row r="9704" ht="15.75" customHeight="1">
      <c r="A9704" s="12" t="s">
        <v>21932</v>
      </c>
      <c r="B9704" s="13" t="s">
        <v>21933</v>
      </c>
      <c r="C9704" s="14" t="s">
        <v>21934</v>
      </c>
      <c r="D9704" s="1" t="str">
        <f>IFERROR(__xludf.DUMMYFUNCTION("GOOGLETRANSLATE(A9704 , ""auto"", ""ar"")"),"لا تتظاهر أنك غبي")</f>
        <v>لا تتظاهر أنك غبي</v>
      </c>
    </row>
    <row r="9705" ht="15.75" customHeight="1">
      <c r="A9705" s="12" t="s">
        <v>21935</v>
      </c>
      <c r="B9705" s="13" t="s">
        <v>21936</v>
      </c>
      <c r="C9705" s="14" t="s">
        <v>21937</v>
      </c>
      <c r="D9705" s="1" t="str">
        <f>IFERROR(__xludf.DUMMYFUNCTION("GOOGLETRANSLATE(A9705 , ""auto"", ""ar"")"),"لا تتظاهر أنك تعرفني")</f>
        <v>لا تتظاهر أنك تعرفني</v>
      </c>
    </row>
    <row r="9706" ht="15.75" customHeight="1">
      <c r="A9706" s="12" t="s">
        <v>21938</v>
      </c>
      <c r="B9706" s="13" t="s">
        <v>21939</v>
      </c>
      <c r="C9706" s="14" t="s">
        <v>21940</v>
      </c>
      <c r="D9706" s="1" t="str">
        <f>IFERROR(__xludf.DUMMYFUNCTION("GOOGLETRANSLATE(A9706 , ""auto"", ""ar"")"),"لا تتظاهر أنك آسف")</f>
        <v>لا تتظاهر أنك آسف</v>
      </c>
    </row>
    <row r="9707" ht="15.75" customHeight="1">
      <c r="A9707" s="12" t="s">
        <v>21941</v>
      </c>
      <c r="B9707" s="13" t="s">
        <v>21942</v>
      </c>
      <c r="C9707" s="14" t="s">
        <v>21943</v>
      </c>
      <c r="D9707" s="1" t="str">
        <f>IFERROR(__xludf.DUMMYFUNCTION("GOOGLETRANSLATE(A9707 , ""auto"", ""ar"")"),"تحمل مسؤوليتك")</f>
        <v>تحمل مسؤوليتك</v>
      </c>
    </row>
    <row r="9708" ht="15.75" customHeight="1">
      <c r="A9708" s="12" t="s">
        <v>21944</v>
      </c>
      <c r="B9708" s="13" t="s">
        <v>21945</v>
      </c>
      <c r="C9708" s="14" t="s">
        <v>21946</v>
      </c>
      <c r="D9708" s="1" t="str">
        <f>IFERROR(__xludf.DUMMYFUNCTION("GOOGLETRANSLATE(A9708 , ""auto"", ""ar"")"),"أنا أتحمل المسؤولية")</f>
        <v>أنا أتحمل المسؤولية</v>
      </c>
    </row>
    <row r="9709" ht="15.75" customHeight="1">
      <c r="A9709" s="12" t="s">
        <v>21947</v>
      </c>
      <c r="B9709" s="13" t="s">
        <v>21948</v>
      </c>
      <c r="C9709" s="14" t="s">
        <v>21949</v>
      </c>
      <c r="D9709" s="1" t="str">
        <f>IFERROR(__xludf.DUMMYFUNCTION("GOOGLETRANSLATE(A9709 , ""auto"", ""ar"")"),"حتى الغد")</f>
        <v>حتى الغد</v>
      </c>
    </row>
    <row r="9710" ht="15.75" customHeight="1">
      <c r="A9710" s="12" t="s">
        <v>21950</v>
      </c>
      <c r="B9710" s="13" t="s">
        <v>21951</v>
      </c>
      <c r="C9710" s="14" t="s">
        <v>21952</v>
      </c>
      <c r="D9710" s="1" t="str">
        <f>IFERROR(__xludf.DUMMYFUNCTION("GOOGLETRANSLATE(A9710 , ""auto"", ""ar"")"),"استخدم عقلك")</f>
        <v>استخدم عقلك</v>
      </c>
    </row>
    <row r="9711" ht="15.75" customHeight="1">
      <c r="A9711" s="12" t="s">
        <v>21953</v>
      </c>
      <c r="B9711" s="13" t="s">
        <v>21954</v>
      </c>
      <c r="C9711" s="14" t="s">
        <v>21955</v>
      </c>
      <c r="D9711" s="1" t="str">
        <f>IFERROR(__xludf.DUMMYFUNCTION("GOOGLETRANSLATE(A9711 , ""auto"", ""ar"")"),"أستعد لها")</f>
        <v>أستعد لها</v>
      </c>
    </row>
    <row r="9712" ht="15.75" customHeight="1">
      <c r="A9712" s="12" t="s">
        <v>21956</v>
      </c>
      <c r="B9712" s="13" t="s">
        <v>21957</v>
      </c>
      <c r="C9712" s="14" t="s">
        <v>21958</v>
      </c>
      <c r="D9712" s="1" t="str">
        <f>IFERROR(__xludf.DUMMYFUNCTION("GOOGLETRANSLATE(A9712 , ""auto"", ""ar"")"),"الاستماع الى قلبك")</f>
        <v>الاستماع الى قلبك</v>
      </c>
    </row>
    <row r="9713" ht="15.75" customHeight="1">
      <c r="A9713" s="12" t="s">
        <v>21959</v>
      </c>
      <c r="B9713" s="13" t="s">
        <v>21960</v>
      </c>
      <c r="C9713" s="14" t="s">
        <v>21961</v>
      </c>
      <c r="D9713" s="1" t="str">
        <f>IFERROR(__xludf.DUMMYFUNCTION("GOOGLETRANSLATE(A9713 , ""auto"", ""ar"")"),"أنا أعرق كثيرا")</f>
        <v>أنا أعرق كثيرا</v>
      </c>
    </row>
    <row r="9714" ht="15.75" customHeight="1">
      <c r="A9714" s="12" t="s">
        <v>21962</v>
      </c>
      <c r="B9714" s="13" t="s">
        <v>21963</v>
      </c>
      <c r="C9714" s="14" t="s">
        <v>21964</v>
      </c>
      <c r="D9714" s="1" t="str">
        <f>IFERROR(__xludf.DUMMYFUNCTION("GOOGLETRANSLATE(A9714 , ""auto"", ""ar"")"),"أقلى البطاطس")</f>
        <v>أقلى البطاطس</v>
      </c>
    </row>
    <row r="9715" ht="15.75" customHeight="1">
      <c r="A9715" s="12" t="s">
        <v>21965</v>
      </c>
      <c r="B9715" s="13" t="s">
        <v>21966</v>
      </c>
      <c r="C9715" s="14" t="s">
        <v>21967</v>
      </c>
      <c r="D9715" s="1" t="str">
        <f>IFERROR(__xludf.DUMMYFUNCTION("GOOGLETRANSLATE(A9715 , ""auto"", ""ar"")"),"لقد أضفت الكثير من الفلفل")</f>
        <v>لقد أضفت الكثير من الفلفل</v>
      </c>
    </row>
    <row r="9716" ht="15.75" customHeight="1">
      <c r="A9716" s="12" t="s">
        <v>21968</v>
      </c>
      <c r="B9716" s="13" t="s">
        <v>21969</v>
      </c>
      <c r="C9716" s="14" t="s">
        <v>21970</v>
      </c>
      <c r="D9716" s="1" t="str">
        <f>IFERROR(__xludf.DUMMYFUNCTION("GOOGLETRANSLATE(A9716 , ""auto"", ""ar"")"),"أنا لست جيدًا في فعل أي شيء")</f>
        <v>أنا لست جيدًا في فعل أي شيء</v>
      </c>
    </row>
    <row r="9717" ht="15.75" customHeight="1">
      <c r="A9717" s="12" t="s">
        <v>21971</v>
      </c>
      <c r="B9717" s="13" t="s">
        <v>21972</v>
      </c>
      <c r="C9717" s="14" t="s">
        <v>21973</v>
      </c>
      <c r="D9717" s="1" t="str">
        <f>IFERROR(__xludf.DUMMYFUNCTION("GOOGLETRANSLATE(A9717 , ""auto"", ""ar"")"),"أختي الصغيرة")</f>
        <v>أختي الصغيرة</v>
      </c>
    </row>
    <row r="9718" ht="15.75" customHeight="1">
      <c r="A9718" s="12" t="s">
        <v>21974</v>
      </c>
      <c r="B9718" s="13" t="s">
        <v>21975</v>
      </c>
      <c r="C9718" s="14" t="s">
        <v>21976</v>
      </c>
      <c r="D9718" s="1" t="str">
        <f>IFERROR(__xludf.DUMMYFUNCTION("GOOGLETRANSLATE(A9718 , ""auto"", ""ar"")"),"أخي الصغير")</f>
        <v>أخي الصغير</v>
      </c>
    </row>
    <row r="9719" ht="15.75" customHeight="1">
      <c r="A9719" s="12" t="s">
        <v>21977</v>
      </c>
      <c r="B9719" s="13" t="s">
        <v>21978</v>
      </c>
      <c r="C9719" s="14" t="s">
        <v>21979</v>
      </c>
      <c r="D9719" s="1" t="str">
        <f>IFERROR(__xludf.DUMMYFUNCTION("GOOGLETRANSLATE(A9719 , ""auto"", ""ar"")"),"أريد أن أجرب")</f>
        <v>أريد أن أجرب</v>
      </c>
    </row>
    <row r="9720" ht="15.75" customHeight="1">
      <c r="A9720" s="12" t="s">
        <v>21980</v>
      </c>
      <c r="B9720" s="13" t="s">
        <v>21981</v>
      </c>
      <c r="C9720" s="14" t="s">
        <v>21982</v>
      </c>
      <c r="D9720" s="1" t="str">
        <f>IFERROR(__xludf.DUMMYFUNCTION("GOOGLETRANSLATE(A9720 , ""auto"", ""ar"")"),"علي ان اجرب")</f>
        <v>علي ان اجرب</v>
      </c>
    </row>
    <row r="9721" ht="15.75" customHeight="1">
      <c r="A9721" s="12" t="s">
        <v>21983</v>
      </c>
      <c r="B9721" s="13" t="s">
        <v>21984</v>
      </c>
      <c r="C9721" s="14" t="s">
        <v>21985</v>
      </c>
      <c r="D9721" s="1" t="str">
        <f>IFERROR(__xludf.DUMMYFUNCTION("GOOGLETRANSLATE(A9721 , ""auto"", ""ar"")"),"كلما خرجت")</f>
        <v>كلما خرجت</v>
      </c>
    </row>
    <row r="9722" ht="15.75" customHeight="1">
      <c r="A9722" s="12" t="s">
        <v>21986</v>
      </c>
      <c r="B9722" s="13" t="s">
        <v>21987</v>
      </c>
      <c r="C9722" s="14" t="s">
        <v>21988</v>
      </c>
      <c r="D9722" s="1" t="str">
        <f>IFERROR(__xludf.DUMMYFUNCTION("GOOGLETRANSLATE(A9722 , ""auto"", ""ar"")"),"كيف فعلتها؟")</f>
        <v>كيف فعلتها؟</v>
      </c>
    </row>
    <row r="9723" ht="15.75" customHeight="1">
      <c r="A9723" s="12" t="s">
        <v>21989</v>
      </c>
      <c r="B9723" s="13" t="s">
        <v>21990</v>
      </c>
      <c r="C9723" s="14" t="s">
        <v>21991</v>
      </c>
      <c r="D9723" s="1" t="str">
        <f>IFERROR(__xludf.DUMMYFUNCTION("GOOGLETRANSLATE(A9723 , ""auto"", ""ar"")"),"حليب الماعز")</f>
        <v>حليب الماعز</v>
      </c>
    </row>
    <row r="9724" ht="15.75" customHeight="1">
      <c r="A9724" s="12" t="s">
        <v>21992</v>
      </c>
      <c r="B9724" s="13" t="s">
        <v>21993</v>
      </c>
      <c r="C9724" s="14" t="s">
        <v>21994</v>
      </c>
      <c r="D9724" s="1" t="str">
        <f>IFERROR(__xludf.DUMMYFUNCTION("GOOGLETRANSLATE(A9724 , ""auto"", ""ar"")"),"لا يؤمن بنفسه")</f>
        <v>لا يؤمن بنفسه</v>
      </c>
    </row>
    <row r="9725" ht="15.75" customHeight="1">
      <c r="A9725" s="12" t="s">
        <v>21995</v>
      </c>
      <c r="B9725" s="13" t="s">
        <v>21996</v>
      </c>
      <c r="C9725" s="14" t="s">
        <v>21997</v>
      </c>
      <c r="D9725" s="1" t="str">
        <f>IFERROR(__xludf.DUMMYFUNCTION("GOOGLETRANSLATE(A9725 , ""auto"", ""ar"")"),"ليس لديه ثقة بالنفس")</f>
        <v>ليس لديه ثقة بالنفس</v>
      </c>
    </row>
    <row r="9726" ht="15.75" customHeight="1">
      <c r="A9726" s="12" t="s">
        <v>21998</v>
      </c>
      <c r="B9726" s="13" t="s">
        <v>21999</v>
      </c>
      <c r="C9726" s="14" t="s">
        <v>22000</v>
      </c>
      <c r="D9726" s="1" t="str">
        <f>IFERROR(__xludf.DUMMYFUNCTION("GOOGLETRANSLATE(A9726 , ""auto"", ""ar"")"),"ذهبت وحدي إلى الشاطئ")</f>
        <v>ذهبت وحدي إلى الشاطئ</v>
      </c>
    </row>
    <row r="9727" ht="15.75" customHeight="1">
      <c r="A9727" s="12" t="s">
        <v>22001</v>
      </c>
      <c r="B9727" s="13" t="s">
        <v>22002</v>
      </c>
      <c r="C9727" s="14" t="s">
        <v>22003</v>
      </c>
      <c r="D9727" s="1" t="str">
        <f>IFERROR(__xludf.DUMMYFUNCTION("GOOGLETRANSLATE(A9727 , ""auto"", ""ar"")"),"أنا جالس وحدي")</f>
        <v>أنا جالس وحدي</v>
      </c>
    </row>
    <row r="9728" ht="15.75" customHeight="1">
      <c r="A9728" s="12" t="s">
        <v>22004</v>
      </c>
      <c r="B9728" s="13" t="s">
        <v>22005</v>
      </c>
      <c r="C9728" s="14" t="s">
        <v>22006</v>
      </c>
      <c r="D9728" s="1" t="str">
        <f>IFERROR(__xludf.DUMMYFUNCTION("GOOGLETRANSLATE(A9728 , ""auto"", ""ar"")"),"لا يهمني أي شخص")</f>
        <v>لا يهمني أي شخص</v>
      </c>
    </row>
    <row r="9729" ht="15.75" customHeight="1">
      <c r="A9729" s="12" t="s">
        <v>22007</v>
      </c>
      <c r="B9729" s="13" t="s">
        <v>22008</v>
      </c>
      <c r="C9729" s="14" t="s">
        <v>22009</v>
      </c>
      <c r="D9729" s="1" t="str">
        <f>IFERROR(__xludf.DUMMYFUNCTION("GOOGLETRANSLATE(A9729 , ""auto"", ""ar"")"),"هل تريد رقم هاتفه؟")</f>
        <v>هل تريد رقم هاتفه؟</v>
      </c>
    </row>
    <row r="9730" ht="15.75" customHeight="1">
      <c r="A9730" s="12" t="s">
        <v>22010</v>
      </c>
      <c r="B9730" s="13" t="s">
        <v>22011</v>
      </c>
      <c r="C9730" s="14" t="s">
        <v>22012</v>
      </c>
      <c r="D9730" s="1" t="str">
        <f>IFERROR(__xludf.DUMMYFUNCTION("GOOGLETRANSLATE(A9730 , ""auto"", ""ar"")"),"هل لديك رقم هاتفه؟")</f>
        <v>هل لديك رقم هاتفه؟</v>
      </c>
    </row>
    <row r="9731" ht="15.75" customHeight="1">
      <c r="A9731" s="12" t="s">
        <v>22013</v>
      </c>
      <c r="B9731" s="13" t="s">
        <v>22014</v>
      </c>
      <c r="C9731" s="14" t="s">
        <v>22015</v>
      </c>
      <c r="D9731" s="1" t="str">
        <f>IFERROR(__xludf.DUMMYFUNCTION("GOOGLETRANSLATE(A9731 , ""auto"", ""ar"")"),"ماذا سوف ترتدي؟")</f>
        <v>ماذا سوف ترتدي؟</v>
      </c>
    </row>
    <row r="9732" ht="15.75" customHeight="1">
      <c r="A9732" s="12" t="s">
        <v>22016</v>
      </c>
      <c r="B9732" s="13" t="s">
        <v>22017</v>
      </c>
      <c r="C9732" s="14" t="s">
        <v>22018</v>
      </c>
      <c r="D9732" s="1" t="str">
        <f>IFERROR(__xludf.DUMMYFUNCTION("GOOGLETRANSLATE(A9732 , ""auto"", ""ar"")"),"كل شخص لديه طريقة مختلفة في التفكير")</f>
        <v>كل شخص لديه طريقة مختلفة في التفكير</v>
      </c>
    </row>
    <row r="9733" ht="15.75" customHeight="1">
      <c r="A9733" s="12" t="s">
        <v>22019</v>
      </c>
      <c r="B9733" s="13" t="s">
        <v>22020</v>
      </c>
      <c r="C9733" s="14" t="s">
        <v>22021</v>
      </c>
      <c r="D9733" s="1" t="str">
        <f>IFERROR(__xludf.DUMMYFUNCTION("GOOGLETRANSLATE(A9733 , ""auto"", ""ar"")"),"لن أنتهي")</f>
        <v>لن أنتهي</v>
      </c>
    </row>
    <row r="9734" ht="15.75" customHeight="1">
      <c r="A9734" s="12" t="s">
        <v>22022</v>
      </c>
      <c r="B9734" s="13" t="s">
        <v>22023</v>
      </c>
      <c r="C9734" s="14" t="s">
        <v>22024</v>
      </c>
      <c r="D9734" s="1" t="str">
        <f>IFERROR(__xludf.DUMMYFUNCTION("GOOGLETRANSLATE(A9734 , ""auto"", ""ar"")"),"أنا لست هذا النوع من الناس")</f>
        <v>أنا لست هذا النوع من الناس</v>
      </c>
    </row>
    <row r="9735" ht="15.75" customHeight="1">
      <c r="A9735" s="12" t="s">
        <v>22025</v>
      </c>
      <c r="B9735" s="13" t="s">
        <v>22026</v>
      </c>
      <c r="C9735" s="14" t="s">
        <v>22027</v>
      </c>
      <c r="D9735" s="1" t="str">
        <f>IFERROR(__xludf.DUMMYFUNCTION("GOOGLETRANSLATE(A9735 , ""auto"", ""ar"")"),"لا يحبني")</f>
        <v>لا يحبني</v>
      </c>
    </row>
    <row r="9736" ht="15.75" customHeight="1">
      <c r="A9736" s="12" t="s">
        <v>22028</v>
      </c>
      <c r="B9736" s="13" t="s">
        <v>22029</v>
      </c>
      <c r="C9736" s="14" t="s">
        <v>22030</v>
      </c>
      <c r="D9736" s="1" t="str">
        <f>IFERROR(__xludf.DUMMYFUNCTION("GOOGLETRANSLATE(A9736 , ""auto"", ""ar"")"),"شيء بسيط")</f>
        <v>شيء بسيط</v>
      </c>
    </row>
    <row r="9737" ht="15.75" customHeight="1">
      <c r="A9737" s="12" t="s">
        <v>22031</v>
      </c>
      <c r="B9737" s="13" t="s">
        <v>22032</v>
      </c>
      <c r="C9737" s="14" t="s">
        <v>22033</v>
      </c>
      <c r="D9737" s="1" t="str">
        <f>IFERROR(__xludf.DUMMYFUNCTION("GOOGLETRANSLATE(A9737 , ""auto"", ""ar"")"),"لقد خانني")</f>
        <v>لقد خانني</v>
      </c>
    </row>
    <row r="9738" ht="15.75" customHeight="1">
      <c r="A9738" s="12" t="s">
        <v>22034</v>
      </c>
      <c r="B9738" s="13" t="s">
        <v>22035</v>
      </c>
      <c r="C9738" s="14" t="s">
        <v>22036</v>
      </c>
      <c r="D9738" s="1" t="str">
        <f>IFERROR(__xludf.DUMMYFUNCTION("GOOGLETRANSLATE(A9738 , ""auto"", ""ar"")"),"يغش علي")</f>
        <v>يغش علي</v>
      </c>
    </row>
    <row r="9739" ht="15.75" customHeight="1">
      <c r="A9739" s="12" t="s">
        <v>22037</v>
      </c>
      <c r="B9739" s="13" t="s">
        <v>22038</v>
      </c>
      <c r="C9739" s="14" t="s">
        <v>22039</v>
      </c>
      <c r="D9739" s="1" t="str">
        <f>IFERROR(__xludf.DUMMYFUNCTION("GOOGLETRANSLATE(A9739 , ""auto"", ""ar"")"),"لا أستطيع الغش عليك")</f>
        <v>لا أستطيع الغش عليك</v>
      </c>
    </row>
    <row r="9740" ht="15.75" customHeight="1">
      <c r="A9740" s="12" t="s">
        <v>22040</v>
      </c>
      <c r="B9740" s="13" t="s">
        <v>22041</v>
      </c>
      <c r="C9740" s="14" t="s">
        <v>22042</v>
      </c>
      <c r="D9740" s="1" t="str">
        <f>IFERROR(__xludf.DUMMYFUNCTION("GOOGLETRANSLATE(A9740 , ""auto"", ""ar"")"),"انا ابدا لن اغشك")</f>
        <v>انا ابدا لن اغشك</v>
      </c>
    </row>
    <row r="9741" ht="15.75" customHeight="1">
      <c r="A9741" s="12" t="s">
        <v>22043</v>
      </c>
      <c r="B9741" s="13" t="s">
        <v>22044</v>
      </c>
      <c r="C9741" s="14" t="s">
        <v>22045</v>
      </c>
      <c r="D9741" s="1" t="str">
        <f>IFERROR(__xludf.DUMMYFUNCTION("GOOGLETRANSLATE(A9741 , ""auto"", ""ar"")"),"يخبر كل شيء")</f>
        <v>يخبر كل شيء</v>
      </c>
    </row>
    <row r="9742" ht="15.75" customHeight="1">
      <c r="A9742" s="12" t="s">
        <v>22046</v>
      </c>
      <c r="B9742" s="13" t="s">
        <v>22047</v>
      </c>
      <c r="C9742" s="14" t="s">
        <v>22048</v>
      </c>
      <c r="D9742" s="1" t="str">
        <f>IFERROR(__xludf.DUMMYFUNCTION("GOOGLETRANSLATE(A9742 , ""auto"", ""ar"")"),"بالرغم من")</f>
        <v>بالرغم من</v>
      </c>
    </row>
    <row r="9743" ht="15.75" customHeight="1">
      <c r="A9743" s="12" t="s">
        <v>22049</v>
      </c>
      <c r="B9743" s="13" t="s">
        <v>22050</v>
      </c>
      <c r="C9743" s="14" t="s">
        <v>22051</v>
      </c>
      <c r="D9743" s="1" t="str">
        <f>IFERROR(__xludf.DUMMYFUNCTION("GOOGLETRANSLATE(A9743 , ""auto"", ""ar"")"),"لقد استغرقت الكثير من الوقت")</f>
        <v>لقد استغرقت الكثير من الوقت</v>
      </c>
    </row>
    <row r="9744" ht="15.75" customHeight="1">
      <c r="A9744" s="12" t="s">
        <v>22052</v>
      </c>
      <c r="B9744" s="13" t="s">
        <v>22053</v>
      </c>
      <c r="C9744" s="14" t="s">
        <v>22054</v>
      </c>
      <c r="D9744" s="1" t="str">
        <f>IFERROR(__xludf.DUMMYFUNCTION("GOOGLETRANSLATE(A9744 , ""auto"", ""ar"")"),"يشعر بالفخر بنفسه")</f>
        <v>يشعر بالفخر بنفسه</v>
      </c>
    </row>
    <row r="9745" ht="15.75" customHeight="1">
      <c r="A9745" s="12" t="s">
        <v>22055</v>
      </c>
      <c r="B9745" s="13" t="s">
        <v>22056</v>
      </c>
      <c r="C9745" s="14" t="s">
        <v>22057</v>
      </c>
      <c r="D9745" s="1" t="str">
        <f>IFERROR(__xludf.DUMMYFUNCTION("GOOGLETRANSLATE(A9745 , ""auto"", ""ar"")"),"انا فخور بك")</f>
        <v>انا فخور بك</v>
      </c>
    </row>
    <row r="9746" ht="15.75" customHeight="1">
      <c r="A9746" s="12" t="s">
        <v>22058</v>
      </c>
      <c r="B9746" s="13" t="s">
        <v>22059</v>
      </c>
      <c r="C9746" s="14" t="s">
        <v>22060</v>
      </c>
      <c r="D9746" s="1" t="str">
        <f>IFERROR(__xludf.DUMMYFUNCTION("GOOGLETRANSLATE(A9746 , ""auto"", ""ar"")"),"علاقة سامة")</f>
        <v>علاقة سامة</v>
      </c>
    </row>
    <row r="9747" ht="15.75" customHeight="1">
      <c r="A9747" s="12" t="s">
        <v>22061</v>
      </c>
      <c r="B9747" s="13" t="s">
        <v>22062</v>
      </c>
      <c r="C9747" s="14" t="s">
        <v>22063</v>
      </c>
      <c r="D9747" s="1" t="str">
        <f>IFERROR(__xludf.DUMMYFUNCTION("GOOGLETRANSLATE(A9747 , ""auto"", ""ar"")"),"لم يناسبني")</f>
        <v>لم يناسبني</v>
      </c>
    </row>
    <row r="9748" ht="15.75" customHeight="1">
      <c r="A9748" s="12" t="s">
        <v>22064</v>
      </c>
      <c r="B9748" s="13" t="s">
        <v>22065</v>
      </c>
      <c r="C9748" s="14" t="s">
        <v>22066</v>
      </c>
      <c r="D9748" s="1" t="str">
        <f>IFERROR(__xludf.DUMMYFUNCTION("GOOGLETRANSLATE(A9748 , ""auto"", ""ar"")"),"لم يناسبني")</f>
        <v>لم يناسبني</v>
      </c>
    </row>
    <row r="9749" ht="15.75" customHeight="1">
      <c r="A9749" s="12" t="s">
        <v>22067</v>
      </c>
      <c r="B9749" s="13" t="s">
        <v>22068</v>
      </c>
      <c r="C9749" s="14" t="s">
        <v>22069</v>
      </c>
      <c r="D9749" s="1" t="str">
        <f>IFERROR(__xludf.DUMMYFUNCTION("GOOGLETRANSLATE(A9749 , ""auto"", ""ar"")"),"لا يناسبني")</f>
        <v>لا يناسبني</v>
      </c>
    </row>
    <row r="9750" ht="15.75" customHeight="1">
      <c r="A9750" s="12" t="s">
        <v>22070</v>
      </c>
      <c r="B9750" s="13" t="s">
        <v>22071</v>
      </c>
      <c r="C9750" s="14" t="s">
        <v>22072</v>
      </c>
      <c r="D9750" s="1" t="str">
        <f>IFERROR(__xludf.DUMMYFUNCTION("GOOGLETRANSLATE(A9750 , ""auto"", ""ar"")"),"انها ليست مريحة")</f>
        <v>انها ليست مريحة</v>
      </c>
    </row>
    <row r="9751" ht="15.75" customHeight="1">
      <c r="A9751" s="12" t="s">
        <v>22073</v>
      </c>
      <c r="B9751" s="13" t="s">
        <v>22074</v>
      </c>
      <c r="C9751" s="14" t="s">
        <v>22075</v>
      </c>
      <c r="D9751" s="1" t="str">
        <f>IFERROR(__xludf.DUMMYFUNCTION("GOOGLETRANSLATE(A9751 , ""auto"", ""ar"")"),"أنا أسجل صوتًا")</f>
        <v>أنا أسجل صوتًا</v>
      </c>
    </row>
    <row r="9752" ht="15.75" customHeight="1">
      <c r="A9752" s="12" t="s">
        <v>22076</v>
      </c>
      <c r="B9752" s="13" t="s">
        <v>22077</v>
      </c>
      <c r="C9752" s="14" t="s">
        <v>22078</v>
      </c>
      <c r="D9752" s="1" t="str">
        <f>IFERROR(__xludf.DUMMYFUNCTION("GOOGLETRANSLATE(A9752 , ""auto"", ""ar"")"),"اكتب سؤالك")</f>
        <v>اكتب سؤالك</v>
      </c>
    </row>
    <row r="9753" ht="15.75" customHeight="1">
      <c r="A9753" s="12" t="s">
        <v>22079</v>
      </c>
      <c r="B9753" s="13" t="s">
        <v>22080</v>
      </c>
      <c r="C9753" s="14" t="s">
        <v>22081</v>
      </c>
      <c r="D9753" s="1" t="str">
        <f>IFERROR(__xludf.DUMMYFUNCTION("GOOGLETRANSLATE(A9753 , ""auto"", ""ar"")"),"ما هو سؤالك؟")</f>
        <v>ما هو سؤالك؟</v>
      </c>
    </row>
    <row r="9754" ht="15.75" customHeight="1">
      <c r="A9754" s="12" t="s">
        <v>22082</v>
      </c>
      <c r="B9754" s="13" t="s">
        <v>22083</v>
      </c>
      <c r="C9754" s="14" t="s">
        <v>22084</v>
      </c>
      <c r="D9754" s="1" t="str">
        <f>IFERROR(__xludf.DUMMYFUNCTION("GOOGLETRANSLATE(A9754 , ""auto"", ""ar"")"),"ماذا تحاول أن تفعل؟")</f>
        <v>ماذا تحاول أن تفعل؟</v>
      </c>
    </row>
    <row r="9755" ht="15.75" customHeight="1">
      <c r="A9755" s="12" t="s">
        <v>22085</v>
      </c>
      <c r="B9755" s="13" t="s">
        <v>22086</v>
      </c>
      <c r="C9755" s="14" t="s">
        <v>22087</v>
      </c>
      <c r="D9755" s="1" t="str">
        <f>IFERROR(__xludf.DUMMYFUNCTION("GOOGLETRANSLATE(A9755 , ""auto"", ""ar"")"),"ماذا تحاول ان تقول؟")</f>
        <v>ماذا تحاول ان تقول؟</v>
      </c>
    </row>
    <row r="9756" ht="15.75" customHeight="1">
      <c r="A9756" s="12" t="s">
        <v>22088</v>
      </c>
      <c r="B9756" s="13" t="s">
        <v>22089</v>
      </c>
      <c r="C9756" s="14" t="s">
        <v>22090</v>
      </c>
      <c r="D9756" s="1" t="str">
        <f>IFERROR(__xludf.DUMMYFUNCTION("GOOGLETRANSLATE(A9756 , ""auto"", ""ar"")"),"ليس لدي القدرة")</f>
        <v>ليس لدي القدرة</v>
      </c>
    </row>
    <row r="9757" ht="15.75" customHeight="1">
      <c r="A9757" s="12" t="s">
        <v>22091</v>
      </c>
      <c r="B9757" s="13" t="s">
        <v>22092</v>
      </c>
      <c r="C9757" s="14" t="s">
        <v>22093</v>
      </c>
      <c r="D9757" s="1" t="str">
        <f>IFERROR(__xludf.DUMMYFUNCTION("GOOGLETRANSLATE(A9757 , ""auto"", ""ar"")"),"ليس لدي الشجاعة")</f>
        <v>ليس لدي الشجاعة</v>
      </c>
    </row>
    <row r="9758" ht="15.75" customHeight="1">
      <c r="A9758" s="12" t="s">
        <v>22094</v>
      </c>
      <c r="B9758" s="13" t="s">
        <v>22095</v>
      </c>
      <c r="C9758" s="14" t="s">
        <v>22096</v>
      </c>
      <c r="D9758" s="1" t="str">
        <f>IFERROR(__xludf.DUMMYFUNCTION("GOOGLETRANSLATE(A9758 , ""auto"", ""ar"")"),"بدون احساس")</f>
        <v>بدون احساس</v>
      </c>
    </row>
    <row r="9759" ht="15.75" customHeight="1">
      <c r="A9759" s="12" t="s">
        <v>22097</v>
      </c>
      <c r="B9759" s="13" t="s">
        <v>22098</v>
      </c>
      <c r="C9759" s="14" t="s">
        <v>22099</v>
      </c>
      <c r="D9759" s="1" t="str">
        <f>IFERROR(__xludf.DUMMYFUNCTION("GOOGLETRANSLATE(A9759 , ""auto"", ""ar"")"),"حدثت العديد من المشاكل")</f>
        <v>حدثت العديد من المشاكل</v>
      </c>
    </row>
    <row r="9760" ht="15.75" customHeight="1">
      <c r="A9760" s="12" t="s">
        <v>22100</v>
      </c>
      <c r="B9760" s="13" t="s">
        <v>22101</v>
      </c>
      <c r="C9760" s="14" t="s">
        <v>22102</v>
      </c>
      <c r="D9760" s="1" t="str">
        <f>IFERROR(__xludf.DUMMYFUNCTION("GOOGLETRANSLATE(A9760 , ""auto"", ""ar"")"),"لم أراك")</f>
        <v>لم أراك</v>
      </c>
    </row>
    <row r="9761" ht="15.75" customHeight="1">
      <c r="A9761" s="12" t="s">
        <v>22103</v>
      </c>
      <c r="B9761" s="13" t="s">
        <v>22104</v>
      </c>
      <c r="C9761" s="14" t="s">
        <v>22105</v>
      </c>
      <c r="D9761" s="1" t="str">
        <f>IFERROR(__xludf.DUMMYFUNCTION("GOOGLETRANSLATE(A9761 , ""auto"", ""ar"")"),"رأيتك هناك")</f>
        <v>رأيتك هناك</v>
      </c>
    </row>
    <row r="9762" ht="15.75" customHeight="1">
      <c r="A9762" s="12" t="s">
        <v>22106</v>
      </c>
      <c r="B9762" s="13" t="s">
        <v>22107</v>
      </c>
      <c r="C9762" s="14" t="s">
        <v>22108</v>
      </c>
      <c r="D9762" s="1" t="str">
        <f>IFERROR(__xludf.DUMMYFUNCTION("GOOGLETRANSLATE(A9762 , ""auto"", ""ar"")"),"لم أراك مرة أخرى")</f>
        <v>لم أراك مرة أخرى</v>
      </c>
    </row>
    <row r="9763" ht="15.75" customHeight="1">
      <c r="A9763" s="12" t="s">
        <v>22109</v>
      </c>
      <c r="B9763" s="13" t="s">
        <v>22110</v>
      </c>
      <c r="C9763" s="14" t="s">
        <v>22111</v>
      </c>
      <c r="D9763" s="1" t="str">
        <f>IFERROR(__xludf.DUMMYFUNCTION("GOOGLETRANSLATE(A9763 , ""auto"", ""ar"")"),"لم أراك منذ ذلك")</f>
        <v>لم أراك منذ ذلك</v>
      </c>
    </row>
    <row r="9764" ht="15.75" customHeight="1">
      <c r="A9764" s="12" t="s">
        <v>22112</v>
      </c>
      <c r="B9764" s="13" t="s">
        <v>22113</v>
      </c>
      <c r="C9764" s="14" t="s">
        <v>22114</v>
      </c>
      <c r="D9764" s="1" t="str">
        <f>IFERROR(__xludf.DUMMYFUNCTION("GOOGLETRANSLATE(A9764 , ""auto"", ""ar"")"),"مستوى منخفض")</f>
        <v>مستوى منخفض</v>
      </c>
    </row>
    <row r="9765" ht="15.75" customHeight="1">
      <c r="A9765" s="12" t="s">
        <v>22115</v>
      </c>
      <c r="B9765" s="13" t="s">
        <v>22116</v>
      </c>
      <c r="C9765" s="14" t="s">
        <v>22117</v>
      </c>
      <c r="D9765" s="1" t="str">
        <f>IFERROR(__xludf.DUMMYFUNCTION("GOOGLETRANSLATE(A9765 , ""auto"", ""ar"")"),"أنا أتسكع مع أصدقائي")</f>
        <v>أنا أتسكع مع أصدقائي</v>
      </c>
    </row>
    <row r="9766" ht="15.75" customHeight="1">
      <c r="A9766" s="12" t="s">
        <v>22118</v>
      </c>
      <c r="B9766" s="13" t="s">
        <v>22119</v>
      </c>
      <c r="C9766" s="14" t="s">
        <v>22120</v>
      </c>
      <c r="D9766" s="1" t="str">
        <f>IFERROR(__xludf.DUMMYFUNCTION("GOOGLETRANSLATE(A9766 , ""auto"", ""ar"")"),"لا تزال البداية")</f>
        <v>لا تزال البداية</v>
      </c>
    </row>
    <row r="9767" ht="15.75" customHeight="1">
      <c r="A9767" s="12" t="s">
        <v>22121</v>
      </c>
      <c r="B9767" s="13" t="s">
        <v>22122</v>
      </c>
      <c r="C9767" s="14" t="s">
        <v>22123</v>
      </c>
      <c r="D9767" s="1" t="str">
        <f>IFERROR(__xludf.DUMMYFUNCTION("GOOGLETRANSLATE(A9767 , ""auto"", ""ar"")"),"ما رأيك عنه؟")</f>
        <v>ما رأيك عنه؟</v>
      </c>
    </row>
    <row r="9768" ht="15.75" customHeight="1">
      <c r="A9768" s="12" t="s">
        <v>22124</v>
      </c>
      <c r="B9768" s="13" t="s">
        <v>22125</v>
      </c>
      <c r="C9768" s="14" t="s">
        <v>22126</v>
      </c>
      <c r="D9768" s="1" t="str">
        <f>IFERROR(__xludf.DUMMYFUNCTION("GOOGLETRANSLATE(A9768 , ""auto"", ""ar"")"),"أخشى الظلام")</f>
        <v>أخشى الظلام</v>
      </c>
    </row>
    <row r="9769" ht="15.75" customHeight="1">
      <c r="A9769" s="12" t="s">
        <v>22127</v>
      </c>
      <c r="B9769" s="13" t="s">
        <v>22128</v>
      </c>
      <c r="C9769" s="14" t="s">
        <v>22129</v>
      </c>
      <c r="D9769" s="1" t="str">
        <f>IFERROR(__xludf.DUMMYFUNCTION("GOOGLETRANSLATE(A9769 , ""auto"", ""ar"")"),"هل تخاف من الظلام؟")</f>
        <v>هل تخاف من الظلام؟</v>
      </c>
    </row>
    <row r="9770" ht="15.75" customHeight="1">
      <c r="A9770" s="12" t="s">
        <v>22130</v>
      </c>
      <c r="B9770" s="13" t="s">
        <v>22131</v>
      </c>
      <c r="C9770" s="14" t="s">
        <v>22132</v>
      </c>
      <c r="D9770" s="1" t="str">
        <f>IFERROR(__xludf.DUMMYFUNCTION("GOOGLETRANSLATE(A9770 , ""auto"", ""ar"")"),"اعطني عنوانك")</f>
        <v>اعطني عنوانك</v>
      </c>
    </row>
    <row r="9771" ht="15.75" customHeight="1">
      <c r="A9771" s="12" t="s">
        <v>22133</v>
      </c>
      <c r="B9771" s="13" t="s">
        <v>22134</v>
      </c>
      <c r="C9771" s="14" t="s">
        <v>22135</v>
      </c>
      <c r="D9771" s="1" t="str">
        <f>IFERROR(__xludf.DUMMYFUNCTION("GOOGLETRANSLATE(A9771 , ""auto"", ""ar"")"),"أرسل لي رقم هاتفك")</f>
        <v>أرسل لي رقم هاتفك</v>
      </c>
    </row>
    <row r="9772" ht="15.75" customHeight="1">
      <c r="A9772" s="12" t="s">
        <v>22136</v>
      </c>
      <c r="B9772" s="13" t="s">
        <v>22137</v>
      </c>
      <c r="C9772" s="14" t="s">
        <v>22138</v>
      </c>
      <c r="D9772" s="1" t="str">
        <f>IFERROR(__xludf.DUMMYFUNCTION("GOOGLETRANSLATE(A9772 , ""auto"", ""ar"")"),"لا يستحق هذا")</f>
        <v>لا يستحق هذا</v>
      </c>
    </row>
    <row r="9773" ht="15.75" customHeight="1">
      <c r="A9773" s="12" t="s">
        <v>22139</v>
      </c>
      <c r="B9773" s="13" t="s">
        <v>22140</v>
      </c>
      <c r="C9773" s="14" t="s">
        <v>22141</v>
      </c>
      <c r="D9773" s="1" t="str">
        <f>IFERROR(__xludf.DUMMYFUNCTION("GOOGLETRANSLATE(A9773 , ""auto"", ""ar"")"),"يستحق هذا")</f>
        <v>يستحق هذا</v>
      </c>
    </row>
    <row r="9774" ht="15.75" customHeight="1">
      <c r="A9774" s="12" t="s">
        <v>22142</v>
      </c>
      <c r="B9774" s="13" t="s">
        <v>22143</v>
      </c>
      <c r="C9774" s="14" t="s">
        <v>22144</v>
      </c>
      <c r="D9774" s="1" t="str">
        <f>IFERROR(__xludf.DUMMYFUNCTION("GOOGLETRANSLATE(A9774 , ""auto"", ""ar"")"),"إنه يستحق بشكل أفضل")</f>
        <v>إنه يستحق بشكل أفضل</v>
      </c>
    </row>
    <row r="9775" ht="15.75" customHeight="1">
      <c r="A9775" s="12" t="s">
        <v>22145</v>
      </c>
      <c r="B9775" s="13" t="s">
        <v>22146</v>
      </c>
      <c r="C9775" s="14" t="s">
        <v>22147</v>
      </c>
      <c r="D9775" s="1" t="str">
        <f>IFERROR(__xludf.DUMMYFUNCTION("GOOGLETRANSLATE(A9775 , ""auto"", ""ar"")"),"أنت مثل أخي")</f>
        <v>أنت مثل أخي</v>
      </c>
    </row>
    <row r="9776" ht="15.75" customHeight="1">
      <c r="A9776" s="12" t="s">
        <v>22148</v>
      </c>
      <c r="B9776" s="13" t="s">
        <v>22149</v>
      </c>
      <c r="C9776" s="14" t="s">
        <v>22150</v>
      </c>
      <c r="D9776" s="1" t="str">
        <f>IFERROR(__xludf.DUMMYFUNCTION("GOOGLETRANSLATE(A9776 , ""auto"", ""ar"")"),"حب و سلام")</f>
        <v>حب و سلام</v>
      </c>
    </row>
    <row r="9777" ht="15.75" customHeight="1">
      <c r="A9777" s="12" t="s">
        <v>22151</v>
      </c>
      <c r="B9777" s="13" t="s">
        <v>22152</v>
      </c>
      <c r="C9777" s="14" t="s">
        <v>22153</v>
      </c>
      <c r="D9777" s="1" t="str">
        <f>IFERROR(__xludf.DUMMYFUNCTION("GOOGLETRANSLATE(A9777 , ""auto"", ""ar"")"),"إنه سلمي هنا")</f>
        <v>إنه سلمي هنا</v>
      </c>
    </row>
    <row r="9778" ht="15.75" customHeight="1">
      <c r="A9778" s="12" t="s">
        <v>22154</v>
      </c>
      <c r="B9778" s="13" t="s">
        <v>22155</v>
      </c>
      <c r="C9778" s="14" t="s">
        <v>22156</v>
      </c>
      <c r="D9778" s="1" t="str">
        <f>IFERROR(__xludf.DUMMYFUNCTION("GOOGLETRANSLATE(A9778 , ""auto"", ""ar"")"),"الحب صعب")</f>
        <v>الحب صعب</v>
      </c>
    </row>
    <row r="9779" ht="15.75" customHeight="1">
      <c r="A9779" s="12" t="s">
        <v>22157</v>
      </c>
      <c r="B9779" s="13" t="s">
        <v>22158</v>
      </c>
      <c r="C9779" s="14" t="s">
        <v>22159</v>
      </c>
      <c r="D9779" s="1" t="str">
        <f>IFERROR(__xludf.DUMMYFUNCTION("GOOGLETRANSLATE(A9779 , ""auto"", ""ar"")"),"الحب جميل")</f>
        <v>الحب جميل</v>
      </c>
    </row>
    <row r="9780" ht="15.75" customHeight="1">
      <c r="A9780" s="12" t="s">
        <v>22160</v>
      </c>
      <c r="B9780" s="13" t="s">
        <v>22161</v>
      </c>
      <c r="C9780" s="14" t="s">
        <v>22162</v>
      </c>
      <c r="D9780" s="1" t="str">
        <f>IFERROR(__xludf.DUMMYFUNCTION("GOOGLETRANSLATE(A9780 , ""auto"", ""ar"")"),"الحب مقدس")</f>
        <v>الحب مقدس</v>
      </c>
    </row>
    <row r="9781" ht="15.75" customHeight="1">
      <c r="A9781" s="12" t="s">
        <v>22163</v>
      </c>
      <c r="B9781" s="13" t="s">
        <v>22164</v>
      </c>
      <c r="C9781" s="14" t="s">
        <v>22165</v>
      </c>
      <c r="D9781" s="1" t="str">
        <f>IFERROR(__xludf.DUMMYFUNCTION("GOOGLETRANSLATE(A9781 , ""auto"", ""ar"")"),"الحب الحقيقي لم يعد موجودًا")</f>
        <v>الحب الحقيقي لم يعد موجودًا</v>
      </c>
    </row>
    <row r="9782" ht="15.75" customHeight="1">
      <c r="A9782" s="12" t="s">
        <v>22166</v>
      </c>
      <c r="B9782" s="13" t="s">
        <v>22167</v>
      </c>
      <c r="C9782" s="14" t="s">
        <v>22168</v>
      </c>
      <c r="D9782" s="1" t="str">
        <f>IFERROR(__xludf.DUMMYFUNCTION("GOOGLETRANSLATE(A9782 , ""auto"", ""ar"")"),"أنا لا أؤمن بالحب")</f>
        <v>أنا لا أؤمن بالحب</v>
      </c>
    </row>
    <row r="9783" ht="15.75" customHeight="1">
      <c r="A9783" s="12" t="s">
        <v>22169</v>
      </c>
      <c r="B9783" s="13" t="s">
        <v>22170</v>
      </c>
      <c r="C9783" s="14" t="s">
        <v>22171</v>
      </c>
      <c r="D9783" s="1" t="str">
        <f>IFERROR(__xludf.DUMMYFUNCTION("GOOGLETRANSLATE(A9783 , ""auto"", ""ar"")"),"هل تحب شخص ما؟")</f>
        <v>هل تحب شخص ما؟</v>
      </c>
    </row>
    <row r="9784" ht="15.75" customHeight="1">
      <c r="A9784" s="12" t="s">
        <v>22172</v>
      </c>
      <c r="B9784" s="13" t="s">
        <v>22173</v>
      </c>
      <c r="C9784" s="14" t="s">
        <v>22174</v>
      </c>
      <c r="D9784" s="1" t="str">
        <f>IFERROR(__xludf.DUMMYFUNCTION("GOOGLETRANSLATE(A9784 , ""auto"", ""ar"")"),"هل يحبك أيضا؟")</f>
        <v>هل يحبك أيضا؟</v>
      </c>
    </row>
    <row r="9785" ht="15.75" customHeight="1">
      <c r="A9785" s="12" t="s">
        <v>22175</v>
      </c>
      <c r="B9785" s="13" t="s">
        <v>22176</v>
      </c>
      <c r="C9785" s="14" t="s">
        <v>22177</v>
      </c>
      <c r="D9785" s="1" t="str">
        <f>IFERROR(__xludf.DUMMYFUNCTION("GOOGLETRANSLATE(A9785 , ""auto"", ""ar"")"),"لماذا لا يحبك بعد الآن؟")</f>
        <v>لماذا لا يحبك بعد الآن؟</v>
      </c>
    </row>
    <row r="9786" ht="15.75" customHeight="1">
      <c r="A9786" s="12" t="s">
        <v>22178</v>
      </c>
      <c r="B9786" s="13" t="s">
        <v>22179</v>
      </c>
      <c r="C9786" s="14" t="s">
        <v>22180</v>
      </c>
      <c r="D9786" s="1" t="str">
        <f>IFERROR(__xludf.DUMMYFUNCTION("GOOGLETRANSLATE(A9786 , ""auto"", ""ar"")"),"لماذا لا تحبه؟")</f>
        <v>لماذا لا تحبه؟</v>
      </c>
    </row>
    <row r="9787" ht="15.75" customHeight="1">
      <c r="A9787" s="12" t="s">
        <v>22181</v>
      </c>
      <c r="B9787" s="13" t="s">
        <v>22182</v>
      </c>
      <c r="C9787" s="14" t="s">
        <v>22183</v>
      </c>
      <c r="D9787" s="1" t="str">
        <f>IFERROR(__xludf.DUMMYFUNCTION("GOOGLETRANSLATE(A9787 , ""auto"", ""ar"")"),"اعطيه فرصة")</f>
        <v>اعطيه فرصة</v>
      </c>
    </row>
    <row r="9788" ht="15.75" customHeight="1">
      <c r="A9788" s="12" t="s">
        <v>22184</v>
      </c>
      <c r="B9788" s="13" t="s">
        <v>22185</v>
      </c>
      <c r="C9788" s="14" t="s">
        <v>22186</v>
      </c>
      <c r="D9788" s="1" t="str">
        <f>IFERROR(__xludf.DUMMYFUNCTION("GOOGLETRANSLATE(A9788 , ""auto"", ""ar"")"),"لديك فرصة واحدة فقط")</f>
        <v>لديك فرصة واحدة فقط</v>
      </c>
    </row>
    <row r="9789" ht="15.75" customHeight="1">
      <c r="A9789" s="12" t="s">
        <v>22187</v>
      </c>
      <c r="B9789" s="13" t="s">
        <v>22188</v>
      </c>
      <c r="C9789" s="14" t="s">
        <v>22189</v>
      </c>
      <c r="D9789" s="1" t="str">
        <f>IFERROR(__xludf.DUMMYFUNCTION("GOOGLETRANSLATE(A9789 , ""auto"", ""ar"")"),"هذه هي المحاولة الأخيرة")</f>
        <v>هذه هي المحاولة الأخيرة</v>
      </c>
    </row>
    <row r="9790" ht="15.75" customHeight="1">
      <c r="A9790" s="12" t="s">
        <v>22190</v>
      </c>
      <c r="B9790" s="13" t="s">
        <v>22191</v>
      </c>
      <c r="C9790" s="14" t="s">
        <v>22192</v>
      </c>
      <c r="D9790" s="1" t="str">
        <f>IFERROR(__xludf.DUMMYFUNCTION("GOOGLETRANSLATE(A9790 , ""auto"", ""ar"")"),"أعطني فرصة من فضلك")</f>
        <v>أعطني فرصة من فضلك</v>
      </c>
    </row>
    <row r="9791" ht="15.75" customHeight="1">
      <c r="A9791" s="12" t="s">
        <v>22193</v>
      </c>
      <c r="B9791" s="13" t="s">
        <v>22194</v>
      </c>
      <c r="C9791" s="14" t="s">
        <v>22195</v>
      </c>
      <c r="D9791" s="1" t="str">
        <f>IFERROR(__xludf.DUMMYFUNCTION("GOOGLETRANSLATE(A9791 , ""auto"", ""ar"")"),"آخر يوم من هذا الشهر")</f>
        <v>آخر يوم من هذا الشهر</v>
      </c>
    </row>
    <row r="9792" ht="15.75" customHeight="1">
      <c r="A9792" s="12" t="s">
        <v>22196</v>
      </c>
      <c r="B9792" s="13" t="s">
        <v>22197</v>
      </c>
      <c r="C9792" s="14" t="s">
        <v>22198</v>
      </c>
      <c r="D9792" s="1" t="str">
        <f>IFERROR(__xludf.DUMMYFUNCTION("GOOGLETRANSLATE(A9792 , ""auto"", ""ar"")"),"آخر يوم معك")</f>
        <v>آخر يوم معك</v>
      </c>
    </row>
    <row r="9793" ht="15.75" customHeight="1">
      <c r="A9793" s="12" t="s">
        <v>22199</v>
      </c>
      <c r="B9793" s="13" t="s">
        <v>22200</v>
      </c>
      <c r="C9793" s="14" t="s">
        <v>22201</v>
      </c>
      <c r="D9793" s="1" t="str">
        <f>IFERROR(__xludf.DUMMYFUNCTION("GOOGLETRANSLATE(A9793 , ""auto"", ""ar"")"),"هذا هو يومك الأخير")</f>
        <v>هذا هو يومك الأخير</v>
      </c>
    </row>
    <row r="9794" ht="15.75" customHeight="1">
      <c r="A9794" s="12" t="s">
        <v>22202</v>
      </c>
      <c r="B9794" s="13" t="s">
        <v>22203</v>
      </c>
      <c r="C9794" s="14" t="s">
        <v>22204</v>
      </c>
      <c r="D9794" s="1" t="str">
        <f>IFERROR(__xludf.DUMMYFUNCTION("GOOGLETRANSLATE(A9794 , ""auto"", ""ar"")"),"هل هذا لك؟")</f>
        <v>هل هذا لك؟</v>
      </c>
    </row>
    <row r="9795" ht="15.75" customHeight="1">
      <c r="A9795" s="12" t="s">
        <v>22205</v>
      </c>
      <c r="B9795" s="13" t="s">
        <v>22206</v>
      </c>
      <c r="C9795" s="14" t="s">
        <v>22207</v>
      </c>
      <c r="D9795" s="1" t="str">
        <f>IFERROR(__xludf.DUMMYFUNCTION("GOOGLETRANSLATE(A9795 , ""auto"", ""ar"")"),"هذا لك")</f>
        <v>هذا لك</v>
      </c>
    </row>
    <row r="9796" ht="15.75" customHeight="1">
      <c r="A9796" s="12" t="s">
        <v>22208</v>
      </c>
      <c r="B9796" s="13" t="s">
        <v>22209</v>
      </c>
      <c r="C9796" s="14" t="s">
        <v>22210</v>
      </c>
      <c r="D9796" s="1" t="str">
        <f>IFERROR(__xludf.DUMMYFUNCTION("GOOGLETRANSLATE(A9796 , ""auto"", ""ar"")"),"الأسبوع الأول")</f>
        <v>الأسبوع الأول</v>
      </c>
    </row>
    <row r="9797" ht="15.75" customHeight="1">
      <c r="A9797" s="12" t="s">
        <v>22211</v>
      </c>
      <c r="B9797" s="13" t="s">
        <v>22212</v>
      </c>
      <c r="C9797" s="14" t="s">
        <v>22213</v>
      </c>
      <c r="D9797" s="1" t="str">
        <f>IFERROR(__xludf.DUMMYFUNCTION("GOOGLETRANSLATE(A9797 , ""auto"", ""ar"")"),"الشهر الأول")</f>
        <v>الشهر الأول</v>
      </c>
    </row>
    <row r="9798" ht="15.75" customHeight="1">
      <c r="A9798" s="12" t="s">
        <v>22214</v>
      </c>
      <c r="B9798" s="13" t="s">
        <v>22215</v>
      </c>
      <c r="C9798" s="14" t="s">
        <v>22216</v>
      </c>
      <c r="D9798" s="1" t="str">
        <f>IFERROR(__xludf.DUMMYFUNCTION("GOOGLETRANSLATE(A9798 , ""auto"", ""ar"")"),"العام الأول")</f>
        <v>العام الأول</v>
      </c>
    </row>
    <row r="9799" ht="15.75" customHeight="1">
      <c r="A9799" s="12" t="s">
        <v>22217</v>
      </c>
      <c r="B9799" s="13" t="s">
        <v>22218</v>
      </c>
      <c r="C9799" s="14" t="s">
        <v>22219</v>
      </c>
      <c r="D9799" s="1" t="str">
        <f>IFERROR(__xludf.DUMMYFUNCTION("GOOGLETRANSLATE(A9799 , ""auto"", ""ar"")"),"اليوم الأول")</f>
        <v>اليوم الأول</v>
      </c>
    </row>
    <row r="9800" ht="15.75" customHeight="1">
      <c r="A9800" s="12" t="s">
        <v>22220</v>
      </c>
      <c r="B9800" s="13" t="s">
        <v>22221</v>
      </c>
      <c r="C9800" s="14" t="s">
        <v>22222</v>
      </c>
      <c r="D9800" s="1" t="str">
        <f>IFERROR(__xludf.DUMMYFUNCTION("GOOGLETRANSLATE(A9800 , ""auto"", ""ar"")"),"انا في المدرسة")</f>
        <v>انا في المدرسة</v>
      </c>
    </row>
    <row r="9801" ht="15.75" customHeight="1">
      <c r="A9801" s="12" t="s">
        <v>22223</v>
      </c>
      <c r="B9801" s="13" t="s">
        <v>22224</v>
      </c>
      <c r="C9801" s="14" t="s">
        <v>22225</v>
      </c>
      <c r="D9801" s="1" t="str">
        <f>IFERROR(__xludf.DUMMYFUNCTION("GOOGLETRANSLATE(A9801 , ""auto"", ""ar"")"),"المدرسة بعيدة عن منزلي")</f>
        <v>المدرسة بعيدة عن منزلي</v>
      </c>
    </row>
    <row r="9802" ht="15.75" customHeight="1">
      <c r="A9802" s="12" t="s">
        <v>22226</v>
      </c>
      <c r="B9802" s="13" t="s">
        <v>22227</v>
      </c>
      <c r="C9802" s="14" t="s">
        <v>22228</v>
      </c>
      <c r="D9802" s="1" t="str">
        <f>IFERROR(__xludf.DUMMYFUNCTION("GOOGLETRANSLATE(A9802 , ""auto"", ""ar"")"),"هذا قديم")</f>
        <v>هذا قديم</v>
      </c>
    </row>
    <row r="9803" ht="15.75" customHeight="1">
      <c r="A9803" s="12" t="s">
        <v>22229</v>
      </c>
      <c r="B9803" s="13" t="s">
        <v>22230</v>
      </c>
      <c r="C9803" s="14" t="s">
        <v>22231</v>
      </c>
      <c r="D9803" s="1" t="str">
        <f>IFERROR(__xludf.DUMMYFUNCTION("GOOGLETRANSLATE(A9803 , ""auto"", ""ar"")"),"هذه قصة قديمة")</f>
        <v>هذه قصة قديمة</v>
      </c>
    </row>
    <row r="9804" ht="15.75" customHeight="1">
      <c r="A9804" s="12" t="s">
        <v>22232</v>
      </c>
      <c r="B9804" s="13" t="s">
        <v>22233</v>
      </c>
      <c r="C9804" s="14" t="s">
        <v>22234</v>
      </c>
      <c r="D9804" s="1" t="str">
        <f>IFERROR(__xludf.DUMMYFUNCTION("GOOGLETRANSLATE(A9804 , ""auto"", ""ar"")"),"سأخبرك عن شيء ما")</f>
        <v>سأخبرك عن شيء ما</v>
      </c>
    </row>
    <row r="9805" ht="15.75" customHeight="1">
      <c r="A9805" s="12" t="s">
        <v>22235</v>
      </c>
      <c r="B9805" s="13" t="s">
        <v>22236</v>
      </c>
      <c r="C9805" s="14" t="s">
        <v>22237</v>
      </c>
      <c r="D9805" s="1" t="str">
        <f>IFERROR(__xludf.DUMMYFUNCTION("GOOGLETRANSLATE(A9805 , ""auto"", ""ar"")"),"حب نفسك")</f>
        <v>حب نفسك</v>
      </c>
    </row>
    <row r="9806" ht="15.75" customHeight="1">
      <c r="A9806" s="12" t="s">
        <v>22238</v>
      </c>
      <c r="B9806" s="13" t="s">
        <v>22239</v>
      </c>
      <c r="C9806" s="14" t="s">
        <v>22240</v>
      </c>
      <c r="D9806" s="1" t="str">
        <f>IFERROR(__xludf.DUMMYFUNCTION("GOOGLETRANSLATE(A9806 , ""auto"", ""ar"")"),"من الرائع مساعدة الآخرين")</f>
        <v>من الرائع مساعدة الآخرين</v>
      </c>
    </row>
    <row r="9807" ht="15.75" customHeight="1">
      <c r="A9807" s="12" t="s">
        <v>22241</v>
      </c>
      <c r="B9807" s="13" t="s">
        <v>22242</v>
      </c>
      <c r="C9807" s="14" t="s">
        <v>22243</v>
      </c>
      <c r="D9807" s="1" t="str">
        <f>IFERROR(__xludf.DUMMYFUNCTION("GOOGLETRANSLATE(A9807 , ""auto"", ""ar"")"),"أردت منك مساعدتي")</f>
        <v>أردت منك مساعدتي</v>
      </c>
    </row>
    <row r="9808" ht="15.75" customHeight="1">
      <c r="A9808" s="12" t="s">
        <v>22244</v>
      </c>
      <c r="B9808" s="13" t="s">
        <v>22245</v>
      </c>
      <c r="C9808" s="14" t="s">
        <v>22246</v>
      </c>
      <c r="D9808" s="1" t="str">
        <f>IFERROR(__xludf.DUMMYFUNCTION("GOOGLETRANSLATE(A9808 , ""auto"", ""ar"")"),"لقد جعلت الأمر أسوأ")</f>
        <v>لقد جعلت الأمر أسوأ</v>
      </c>
    </row>
    <row r="9809" ht="15.75" customHeight="1">
      <c r="A9809" s="12" t="s">
        <v>22247</v>
      </c>
      <c r="B9809" s="13" t="s">
        <v>22248</v>
      </c>
      <c r="C9809" s="14" t="s">
        <v>22249</v>
      </c>
      <c r="D9809" s="1" t="str">
        <f>IFERROR(__xludf.DUMMYFUNCTION("GOOGLETRANSLATE(A9809 , ""auto"", ""ar"")"),"لا أستطيع الوثوق به")</f>
        <v>لا أستطيع الوثوق به</v>
      </c>
    </row>
    <row r="9810" ht="15.75" customHeight="1">
      <c r="A9810" s="12" t="s">
        <v>22250</v>
      </c>
      <c r="B9810" s="13" t="s">
        <v>22251</v>
      </c>
      <c r="C9810" s="14" t="s">
        <v>22252</v>
      </c>
      <c r="D9810" s="1" t="str">
        <f>IFERROR(__xludf.DUMMYFUNCTION("GOOGLETRANSLATE(A9810 , ""auto"", ""ar"")"),"فهو أعمى")</f>
        <v>فهو أعمى</v>
      </c>
    </row>
    <row r="9811" ht="15.75" customHeight="1">
      <c r="A9811" s="12" t="s">
        <v>22253</v>
      </c>
      <c r="B9811" s="13" t="s">
        <v>22254</v>
      </c>
      <c r="C9811" s="14" t="s">
        <v>22255</v>
      </c>
      <c r="D9811" s="1" t="str">
        <f>IFERROR(__xludf.DUMMYFUNCTION("GOOGLETRANSLATE(A9811 , ""auto"", ""ar"")"),"هل انت اعمى؟")</f>
        <v>هل انت اعمى؟</v>
      </c>
    </row>
    <row r="9812" ht="15.75" customHeight="1">
      <c r="A9812" s="12" t="s">
        <v>22256</v>
      </c>
      <c r="B9812" s="13" t="s">
        <v>22257</v>
      </c>
      <c r="C9812" s="14" t="s">
        <v>22258</v>
      </c>
      <c r="D9812" s="1" t="str">
        <f>IFERROR(__xludf.DUMMYFUNCTION("GOOGLETRANSLATE(A9812 , ""auto"", ""ar"")"),"كتب مقالًا عني")</f>
        <v>كتب مقالًا عني</v>
      </c>
    </row>
    <row r="9813" ht="15.75" customHeight="1">
      <c r="A9813" s="12" t="s">
        <v>9388</v>
      </c>
      <c r="B9813" s="13" t="s">
        <v>22259</v>
      </c>
      <c r="C9813" s="14" t="s">
        <v>22260</v>
      </c>
      <c r="D9813" s="1" t="str">
        <f>IFERROR(__xludf.DUMMYFUNCTION("GOOGLETRANSLATE(A9813 , ""auto"", ""ar"")"),"كيف حالك؟")</f>
        <v>كيف حالك؟</v>
      </c>
    </row>
    <row r="9814" ht="15.75" customHeight="1">
      <c r="A9814" s="12" t="s">
        <v>22261</v>
      </c>
      <c r="B9814" s="13" t="s">
        <v>22262</v>
      </c>
      <c r="C9814" s="14" t="s">
        <v>22263</v>
      </c>
      <c r="D9814" s="1" t="str">
        <f>IFERROR(__xludf.DUMMYFUNCTION("GOOGLETRANSLATE(A9814 , ""auto"", ""ar"")"),"ما اسمك؟")</f>
        <v>ما اسمك؟</v>
      </c>
    </row>
    <row r="9815" ht="15.75" customHeight="1">
      <c r="A9815" s="12" t="s">
        <v>22264</v>
      </c>
      <c r="B9815" s="13" t="s">
        <v>22265</v>
      </c>
      <c r="C9815" s="14" t="s">
        <v>22266</v>
      </c>
      <c r="D9815" s="1" t="str">
        <f>IFERROR(__xludf.DUMMYFUNCTION("GOOGLETRANSLATE(A9815 , ""auto"", ""ar"")"),"يسعدني أن ألتقي بك")</f>
        <v>يسعدني أن ألتقي بك</v>
      </c>
    </row>
    <row r="9816" ht="15.75" customHeight="1">
      <c r="A9816" s="12" t="s">
        <v>9300</v>
      </c>
      <c r="B9816" s="13" t="s">
        <v>22267</v>
      </c>
      <c r="C9816" s="14" t="s">
        <v>22268</v>
      </c>
      <c r="D9816" s="1" t="str">
        <f>IFERROR(__xludf.DUMMYFUNCTION("GOOGLETRANSLATE(A9816 , ""auto"", ""ar"")"),"كم عمرك؟")</f>
        <v>كم عمرك؟</v>
      </c>
    </row>
    <row r="9817" ht="15.75" customHeight="1">
      <c r="A9817" s="12" t="s">
        <v>22269</v>
      </c>
      <c r="B9817" s="13" t="s">
        <v>22270</v>
      </c>
      <c r="C9817" s="14" t="s">
        <v>22271</v>
      </c>
      <c r="D9817" s="1" t="str">
        <f>IFERROR(__xludf.DUMMYFUNCTION("GOOGLETRANSLATE(A9817 , ""auto"", ""ar"")"),"أنا ... قديم")</f>
        <v>أنا ... قديم</v>
      </c>
    </row>
    <row r="9818" ht="15.75" customHeight="1">
      <c r="A9818" s="12" t="s">
        <v>22272</v>
      </c>
      <c r="B9818" s="13" t="s">
        <v>19030</v>
      </c>
      <c r="C9818" s="14" t="s">
        <v>19031</v>
      </c>
      <c r="D9818" s="1" t="str">
        <f>IFERROR(__xludf.DUMMYFUNCTION("GOOGLETRANSLATE(A9818 , ""auto"", ""ar"")"),"أين تعيش؟")</f>
        <v>أين تعيش؟</v>
      </c>
    </row>
    <row r="9819" ht="15.75" customHeight="1">
      <c r="A9819" s="12" t="s">
        <v>22273</v>
      </c>
      <c r="B9819" s="13" t="s">
        <v>22274</v>
      </c>
      <c r="C9819" s="14" t="s">
        <v>22275</v>
      </c>
      <c r="D9819" s="1" t="str">
        <f>IFERROR(__xludf.DUMMYFUNCTION("GOOGLETRANSLATE(A9819 , ""auto"", ""ar"")"),"انا اعيش فى...")</f>
        <v>انا اعيش فى...</v>
      </c>
    </row>
    <row r="9820" ht="15.75" customHeight="1">
      <c r="A9820" s="12" t="s">
        <v>22276</v>
      </c>
      <c r="B9820" s="13" t="s">
        <v>22277</v>
      </c>
      <c r="C9820" s="14" t="s">
        <v>22278</v>
      </c>
      <c r="D9820" s="1" t="str">
        <f>IFERROR(__xludf.DUMMYFUNCTION("GOOGLETRANSLATE(A9820 , ""auto"", ""ar"")"),"ما هو عملك؟")</f>
        <v>ما هو عملك؟</v>
      </c>
    </row>
    <row r="9821" ht="15.75" customHeight="1">
      <c r="A9821" s="12" t="s">
        <v>22279</v>
      </c>
      <c r="B9821" s="13" t="s">
        <v>22280</v>
      </c>
      <c r="C9821" s="14" t="s">
        <v>22281</v>
      </c>
      <c r="D9821" s="1" t="str">
        <f>IFERROR(__xludf.DUMMYFUNCTION("GOOGLETRANSLATE(A9821 , ""auto"", ""ar"")"),"ما هي هواياتك؟")</f>
        <v>ما هي هواياتك؟</v>
      </c>
    </row>
    <row r="9822" ht="15.75" customHeight="1">
      <c r="A9822" s="12" t="s">
        <v>22282</v>
      </c>
      <c r="B9822" s="13" t="s">
        <v>22283</v>
      </c>
      <c r="C9822" s="14" t="s">
        <v>22284</v>
      </c>
      <c r="D9822" s="1" t="str">
        <f>IFERROR(__xludf.DUMMYFUNCTION("GOOGLETRANSLATE(A9822 , ""auto"", ""ar"")"),"اكتب ببطء")</f>
        <v>اكتب ببطء</v>
      </c>
    </row>
    <row r="9823" ht="15.75" customHeight="1">
      <c r="A9823" s="12" t="s">
        <v>22285</v>
      </c>
      <c r="B9823" s="13" t="s">
        <v>22286</v>
      </c>
      <c r="C9823" s="14" t="s">
        <v>22287</v>
      </c>
      <c r="D9823" s="1" t="str">
        <f>IFERROR(__xludf.DUMMYFUNCTION("GOOGLETRANSLATE(A9823 , ""auto"", ""ar"")"),"مثل ماذا؟")</f>
        <v>مثل ماذا؟</v>
      </c>
    </row>
    <row r="9824" ht="15.75" customHeight="1">
      <c r="A9824" s="12" t="s">
        <v>22288</v>
      </c>
      <c r="B9824" s="13" t="s">
        <v>22289</v>
      </c>
      <c r="C9824" s="14" t="s">
        <v>22290</v>
      </c>
      <c r="D9824" s="1" t="str">
        <f>IFERROR(__xludf.DUMMYFUNCTION("GOOGLETRANSLATE(A9824 , ""auto"", ""ar"")"),"مرحبا بكم في مدينتنا!")</f>
        <v>مرحبا بكم في مدينتنا!</v>
      </c>
    </row>
    <row r="9825" ht="15.75" customHeight="1">
      <c r="A9825" s="12" t="s">
        <v>22291</v>
      </c>
      <c r="B9825" s="13" t="s">
        <v>22292</v>
      </c>
      <c r="C9825" s="14" t="s">
        <v>22293</v>
      </c>
      <c r="D9825" s="1" t="str">
        <f>IFERROR(__xludf.DUMMYFUNCTION("GOOGLETRANSLATE(A9825 , ""auto"", ""ar"")"),"انا اسبح")</f>
        <v>انا اسبح</v>
      </c>
    </row>
    <row r="9826" ht="15.75" customHeight="1">
      <c r="A9826" s="12" t="s">
        <v>22294</v>
      </c>
      <c r="B9826" s="13" t="s">
        <v>22295</v>
      </c>
      <c r="C9826" s="14" t="s">
        <v>22296</v>
      </c>
      <c r="D9826" s="1" t="str">
        <f>IFERROR(__xludf.DUMMYFUNCTION("GOOGLETRANSLATE(A9826 , ""auto"", ""ar"")"),"كم مرة؟")</f>
        <v>كم مرة؟</v>
      </c>
    </row>
    <row r="9827" ht="15.75" customHeight="1">
      <c r="A9827" s="12" t="s">
        <v>22297</v>
      </c>
      <c r="B9827" s="13" t="s">
        <v>22298</v>
      </c>
      <c r="C9827" s="14" t="s">
        <v>22299</v>
      </c>
      <c r="D9827" s="1" t="str">
        <f>IFERROR(__xludf.DUMMYFUNCTION("GOOGLETRANSLATE(A9827 , ""auto"", ""ar"")"),"كل صباح يوم سبت")</f>
        <v>كل صباح يوم سبت</v>
      </c>
    </row>
    <row r="9828" ht="15.75" customHeight="1">
      <c r="A9828" s="12" t="s">
        <v>22300</v>
      </c>
      <c r="B9828" s="13" t="s">
        <v>22301</v>
      </c>
      <c r="C9828" s="14" t="s">
        <v>22302</v>
      </c>
      <c r="D9828" s="1" t="str">
        <f>IFERROR(__xludf.DUMMYFUNCTION("GOOGLETRANSLATE(A9828 , ""auto"", ""ar"")"),"أنا أيضا أفعل بعض اللوحات")</f>
        <v>أنا أيضا أفعل بعض اللوحات</v>
      </c>
    </row>
    <row r="9829" ht="15.75" customHeight="1">
      <c r="A9829" s="12" t="s">
        <v>22303</v>
      </c>
      <c r="B9829" s="13" t="s">
        <v>22304</v>
      </c>
      <c r="C9829" s="14" t="s">
        <v>22305</v>
      </c>
      <c r="D9829" s="1" t="str">
        <f>IFERROR(__xludf.DUMMYFUNCTION("GOOGLETRANSLATE(A9829 , ""auto"", ""ar"")"),"أنا أحب التمرين")</f>
        <v>أنا أحب التمرين</v>
      </c>
    </row>
    <row r="9830" ht="15.75" customHeight="1">
      <c r="A9830" s="12" t="s">
        <v>22306</v>
      </c>
      <c r="B9830" s="13" t="s">
        <v>22307</v>
      </c>
      <c r="C9830" s="14" t="s">
        <v>22308</v>
      </c>
      <c r="D9830" s="1" t="str">
        <f>IFERROR(__xludf.DUMMYFUNCTION("GOOGLETRANSLATE(A9830 , ""auto"", ""ar"")"),"حقًا؟")</f>
        <v>حقًا؟</v>
      </c>
    </row>
    <row r="9831" ht="15.75" customHeight="1">
      <c r="A9831" s="12" t="s">
        <v>22309</v>
      </c>
      <c r="B9831" s="13" t="s">
        <v>22310</v>
      </c>
      <c r="C9831" s="14" t="s">
        <v>22311</v>
      </c>
      <c r="D9831" s="1" t="str">
        <f>IFERROR(__xludf.DUMMYFUNCTION("GOOGLETRANSLATE(A9831 , ""auto"", ""ar"")"),"أنا أيضًا راقصة")</f>
        <v>أنا أيضًا راقصة</v>
      </c>
    </row>
    <row r="9832" ht="15.75" customHeight="1">
      <c r="A9832" s="12" t="s">
        <v>22312</v>
      </c>
      <c r="B9832" s="13" t="s">
        <v>22313</v>
      </c>
      <c r="C9832" s="14" t="s">
        <v>22314</v>
      </c>
      <c r="D9832" s="1" t="str">
        <f>IFERROR(__xludf.DUMMYFUNCTION("GOOGLETRANSLATE(A9832 , ""auto"", ""ar"")"),"ما نوع الرقص الذي تمارسه؟")</f>
        <v>ما نوع الرقص الذي تمارسه؟</v>
      </c>
    </row>
    <row r="9833" ht="15.75" customHeight="1">
      <c r="A9833" s="12" t="s">
        <v>22315</v>
      </c>
      <c r="B9833" s="13" t="s">
        <v>22316</v>
      </c>
      <c r="C9833" s="14" t="s">
        <v>22317</v>
      </c>
      <c r="D9833" s="1" t="str">
        <f>IFERROR(__xludf.DUMMYFUNCTION("GOOGLETRANSLATE(A9833 , ""auto"", ""ar"")"),"أفعل الرقص المعاصر والهيب هوب")</f>
        <v>أفعل الرقص المعاصر والهيب هوب</v>
      </c>
    </row>
    <row r="9834" ht="15.75" customHeight="1">
      <c r="A9834" s="12" t="s">
        <v>17880</v>
      </c>
      <c r="B9834" s="13" t="s">
        <v>22318</v>
      </c>
      <c r="C9834" s="14" t="s">
        <v>22319</v>
      </c>
      <c r="D9834" s="1" t="str">
        <f>IFERROR(__xludf.DUMMYFUNCTION("GOOGLETRANSLATE(A9834 , ""auto"", ""ar"")"),"كم من الأشقاء لديك؟")</f>
        <v>كم من الأشقاء لديك؟</v>
      </c>
    </row>
    <row r="9835" ht="15.75" customHeight="1">
      <c r="A9835" s="12" t="s">
        <v>22320</v>
      </c>
      <c r="B9835" s="13" t="s">
        <v>22321</v>
      </c>
      <c r="C9835" s="14" t="s">
        <v>22322</v>
      </c>
      <c r="D9835" s="1" t="str">
        <f>IFERROR(__xludf.DUMMYFUNCTION("GOOGLETRANSLATE(A9835 , ""auto"", ""ar"")"),"لدي اخ واحد و اختان")</f>
        <v>لدي اخ واحد و اختان</v>
      </c>
    </row>
    <row r="9836" ht="15.75" customHeight="1">
      <c r="A9836" s="12" t="s">
        <v>22323</v>
      </c>
      <c r="B9836" s="13" t="s">
        <v>17477</v>
      </c>
      <c r="C9836" s="14" t="s">
        <v>17478</v>
      </c>
      <c r="D9836" s="1" t="str">
        <f>IFERROR(__xludf.DUMMYFUNCTION("GOOGLETRANSLATE(A9836 , ""auto"", ""ar"")"),"ماذا عنك؟")</f>
        <v>ماذا عنك؟</v>
      </c>
    </row>
    <row r="9837" ht="15.75" customHeight="1">
      <c r="A9837" s="12" t="s">
        <v>22324</v>
      </c>
      <c r="B9837" s="13" t="s">
        <v>22325</v>
      </c>
      <c r="C9837" s="14" t="s">
        <v>22326</v>
      </c>
      <c r="D9837" s="1" t="str">
        <f>IFERROR(__xludf.DUMMYFUNCTION("GOOGLETRANSLATE(A9837 , ""auto"", ""ar"")"),"أنا طفل فريد")</f>
        <v>أنا طفل فريد</v>
      </c>
    </row>
    <row r="9838" ht="15.75" customHeight="1">
      <c r="A9838" s="12" t="s">
        <v>22327</v>
      </c>
      <c r="B9838" s="13" t="s">
        <v>22328</v>
      </c>
      <c r="C9838" s="14" t="s">
        <v>22329</v>
      </c>
      <c r="D9838" s="1" t="str">
        <f>IFERROR(__xludf.DUMMYFUNCTION("GOOGLETRANSLATE(A9838 , ""auto"", ""ar"")"),"ليس لدي أشقاء")</f>
        <v>ليس لدي أشقاء</v>
      </c>
    </row>
    <row r="9839" ht="15.75" customHeight="1">
      <c r="A9839" s="12" t="s">
        <v>22330</v>
      </c>
      <c r="B9839" s="13" t="s">
        <v>22331</v>
      </c>
      <c r="C9839" s="14" t="s">
        <v>22332</v>
      </c>
      <c r="D9839" s="1" t="str">
        <f>IFERROR(__xludf.DUMMYFUNCTION("GOOGLETRANSLATE(A9839 , ""auto"", ""ar"")"),"ماذا تفعل في وقت فراغك؟")</f>
        <v>ماذا تفعل في وقت فراغك؟</v>
      </c>
    </row>
    <row r="9840" ht="15.75" customHeight="1">
      <c r="A9840" s="12" t="s">
        <v>22333</v>
      </c>
      <c r="B9840" s="13" t="s">
        <v>22334</v>
      </c>
      <c r="C9840" s="14" t="s">
        <v>22335</v>
      </c>
      <c r="D9840" s="1" t="str">
        <f>IFERROR(__xludf.DUMMYFUNCTION("GOOGLETRANSLATE(A9840 , ""auto"", ""ar"")"),"انا اخرج مع اصدقائي")</f>
        <v>انا اخرج مع اصدقائي</v>
      </c>
    </row>
    <row r="9841" ht="15.75" customHeight="1">
      <c r="A9841" s="12" t="s">
        <v>22336</v>
      </c>
      <c r="B9841" s="13" t="s">
        <v>22337</v>
      </c>
      <c r="C9841" s="14" t="s">
        <v>22338</v>
      </c>
      <c r="D9841" s="1" t="str">
        <f>IFERROR(__xludf.DUMMYFUNCTION("GOOGLETRANSLATE(A9841 , ""auto"", ""ar"")"),"أنا أذهب إلى النادي الرياضي")</f>
        <v>أنا أذهب إلى النادي الرياضي</v>
      </c>
    </row>
    <row r="9842" ht="15.75" customHeight="1">
      <c r="A9842" s="12" t="s">
        <v>22339</v>
      </c>
      <c r="B9842" s="13" t="s">
        <v>22340</v>
      </c>
      <c r="C9842" s="14" t="s">
        <v>22341</v>
      </c>
      <c r="D9842" s="1" t="str">
        <f>IFERROR(__xludf.DUMMYFUNCTION("GOOGLETRANSLATE(A9842 , ""auto"", ""ar"")"),"انا اقرأ الكتب")</f>
        <v>انا اقرأ الكتب</v>
      </c>
    </row>
    <row r="9843" ht="15.75" customHeight="1">
      <c r="A9843" s="12" t="s">
        <v>22342</v>
      </c>
      <c r="B9843" s="13" t="s">
        <v>22343</v>
      </c>
      <c r="C9843" s="14" t="s">
        <v>22344</v>
      </c>
      <c r="D9843" s="1" t="str">
        <f>IFERROR(__xludf.DUMMYFUNCTION("GOOGLETRANSLATE(A9843 , ""auto"", ""ar"")"),"هل كنت في حامام مغربية من قبل؟")</f>
        <v>هل كنت في حامام مغربية من قبل؟</v>
      </c>
    </row>
    <row r="9844" ht="15.75" customHeight="1">
      <c r="A9844" s="12" t="s">
        <v>22345</v>
      </c>
      <c r="B9844" s="13" t="s">
        <v>22346</v>
      </c>
      <c r="C9844" s="14" t="s">
        <v>22347</v>
      </c>
      <c r="D9844" s="1" t="str">
        <f>IFERROR(__xludf.DUMMYFUNCTION("GOOGLETRANSLATE(A9844 , ""auto"", ""ar"")"),"نعم ذهبت")</f>
        <v>نعم ذهبت</v>
      </c>
    </row>
    <row r="9845" ht="15.75" customHeight="1">
      <c r="A9845" s="12" t="s">
        <v>22348</v>
      </c>
      <c r="B9845" s="13" t="s">
        <v>22349</v>
      </c>
      <c r="C9845" s="14" t="s">
        <v>22350</v>
      </c>
      <c r="D9845" s="1" t="str">
        <f>IFERROR(__xludf.DUMMYFUNCTION("GOOGLETRANSLATE(A9845 , ""auto"", ""ar"")"),"كيف كانت التجربة؟")</f>
        <v>كيف كانت التجربة؟</v>
      </c>
    </row>
    <row r="9846" ht="15.75" customHeight="1">
      <c r="A9846" s="12" t="s">
        <v>9419</v>
      </c>
      <c r="B9846" s="13" t="s">
        <v>22351</v>
      </c>
      <c r="C9846" s="14" t="s">
        <v>22352</v>
      </c>
      <c r="D9846" s="1" t="str">
        <f>IFERROR(__xludf.DUMMYFUNCTION("GOOGLETRANSLATE(A9846 , ""auto"", ""ar"")"),"ليس سيئًا")</f>
        <v>ليس سيئًا</v>
      </c>
    </row>
    <row r="9847" ht="15.75" customHeight="1">
      <c r="A9847" s="12" t="s">
        <v>22353</v>
      </c>
      <c r="B9847" s="13" t="s">
        <v>22354</v>
      </c>
      <c r="C9847" s="14" t="s">
        <v>22355</v>
      </c>
      <c r="D9847" s="1" t="str">
        <f>IFERROR(__xludf.DUMMYFUNCTION("GOOGLETRANSLATE(A9847 , ""auto"", ""ar"")"),"أحببت التصميم")</f>
        <v>أحببت التصميم</v>
      </c>
    </row>
    <row r="9848" ht="15.75" customHeight="1">
      <c r="A9848" s="12" t="s">
        <v>22356</v>
      </c>
      <c r="B9848" s="13" t="s">
        <v>22357</v>
      </c>
      <c r="C9848" s="14" t="s">
        <v>22358</v>
      </c>
      <c r="D9848" s="1" t="str">
        <f>IFERROR(__xludf.DUMMYFUNCTION("GOOGLETRANSLATE(A9848 , ""auto"", ""ar"")"),"لقد استمتعت بالتدليك")</f>
        <v>لقد استمتعت بالتدليك</v>
      </c>
    </row>
    <row r="9849" ht="15.75" customHeight="1">
      <c r="A9849" s="12" t="s">
        <v>22359</v>
      </c>
      <c r="B9849" s="13" t="s">
        <v>22360</v>
      </c>
      <c r="C9849" s="14" t="s">
        <v>22361</v>
      </c>
      <c r="D9849" s="1" t="str">
        <f>IFERROR(__xludf.DUMMYFUNCTION("GOOGLETRANSLATE(A9849 , ""auto"", ""ar"")"),"لكنها كانت ساخنة جدا")</f>
        <v>لكنها كانت ساخنة جدا</v>
      </c>
    </row>
    <row r="9850" ht="15.75" customHeight="1">
      <c r="A9850" s="12" t="s">
        <v>22362</v>
      </c>
      <c r="B9850" s="13" t="s">
        <v>22363</v>
      </c>
      <c r="C9850" s="14" t="s">
        <v>22364</v>
      </c>
      <c r="D9850" s="1" t="str">
        <f>IFERROR(__xludf.DUMMYFUNCTION("GOOGLETRANSLATE(A9850 , ""auto"", ""ar"")"),"حسن يكتب رسالة")</f>
        <v>حسن يكتب رسالة</v>
      </c>
    </row>
    <row r="9851" ht="15.75" customHeight="1">
      <c r="A9851" s="12" t="s">
        <v>22365</v>
      </c>
      <c r="B9851" s="13" t="s">
        <v>22366</v>
      </c>
      <c r="C9851" s="14" t="s">
        <v>22367</v>
      </c>
      <c r="D9851" s="1" t="str">
        <f>IFERROR(__xludf.DUMMYFUNCTION("GOOGLETRANSLATE(A9851 , ""auto"", ""ar"")"),"انا استيقظ مبكرا في الصباح")</f>
        <v>انا استيقظ مبكرا في الصباح</v>
      </c>
    </row>
    <row r="9852" ht="15.75" customHeight="1">
      <c r="A9852" s="12" t="s">
        <v>22368</v>
      </c>
      <c r="B9852" s="13" t="s">
        <v>22369</v>
      </c>
      <c r="C9852" s="14" t="s">
        <v>22370</v>
      </c>
      <c r="D9852" s="1" t="str">
        <f>IFERROR(__xludf.DUMMYFUNCTION("GOOGLETRANSLATE(A9852 , ""auto"", ""ar"")"),"أخي يتحدث بصوت عال")</f>
        <v>أخي يتحدث بصوت عال</v>
      </c>
    </row>
    <row r="9853" ht="15.75" customHeight="1">
      <c r="A9853" s="12" t="s">
        <v>22371</v>
      </c>
      <c r="B9853" s="13" t="s">
        <v>22372</v>
      </c>
      <c r="C9853" s="14" t="s">
        <v>22373</v>
      </c>
      <c r="D9853" s="1" t="str">
        <f>IFERROR(__xludf.DUMMYFUNCTION("GOOGLETRANSLATE(A9853 , ""auto"", ""ar"")"),"انا احاول ان افهم")</f>
        <v>انا احاول ان افهم</v>
      </c>
    </row>
    <row r="9854" ht="15.75" customHeight="1">
      <c r="A9854" s="12" t="s">
        <v>22374</v>
      </c>
      <c r="B9854" s="13" t="s">
        <v>22375</v>
      </c>
      <c r="C9854" s="14" t="s">
        <v>22376</v>
      </c>
      <c r="D9854" s="1" t="str">
        <f>IFERROR(__xludf.DUMMYFUNCTION("GOOGLETRANSLATE(A9854 , ""auto"", ""ar"")"),"لقد اشتريت زوجًا جديدًا من الأحذية")</f>
        <v>لقد اشتريت زوجًا جديدًا من الأحذية</v>
      </c>
    </row>
    <row r="9855" ht="15.75" customHeight="1">
      <c r="A9855" s="12" t="s">
        <v>22377</v>
      </c>
      <c r="B9855" s="13" t="s">
        <v>22378</v>
      </c>
      <c r="C9855" s="14" t="s">
        <v>22379</v>
      </c>
      <c r="D9855" s="1" t="str">
        <f>IFERROR(__xludf.DUMMYFUNCTION("GOOGLETRANSLATE(A9855 , ""auto"", ""ar"")"),"هل تلعب كرة السلة؟")</f>
        <v>هل تلعب كرة السلة؟</v>
      </c>
    </row>
    <row r="9856" ht="15.75" customHeight="1">
      <c r="A9856" s="12" t="s">
        <v>22380</v>
      </c>
      <c r="B9856" s="13" t="s">
        <v>22381</v>
      </c>
      <c r="C9856" s="14" t="s">
        <v>22382</v>
      </c>
      <c r="D9856" s="1" t="str">
        <f>IFERROR(__xludf.DUMMYFUNCTION("GOOGLETRANSLATE(A9856 , ""auto"", ""ar"")"),"انا ضابط شرطة")</f>
        <v>انا ضابط شرطة</v>
      </c>
    </row>
    <row r="9857" ht="15.75" customHeight="1">
      <c r="A9857" s="12" t="s">
        <v>22383</v>
      </c>
      <c r="B9857" s="13" t="s">
        <v>22384</v>
      </c>
      <c r="C9857" s="14" t="s">
        <v>22385</v>
      </c>
      <c r="D9857" s="1" t="str">
        <f>IFERROR(__xludf.DUMMYFUNCTION("GOOGLETRANSLATE(A9857 , ""auto"", ""ar"")"),"أختي طبيبة")</f>
        <v>أختي طبيبة</v>
      </c>
    </row>
    <row r="9858" ht="15.75" customHeight="1">
      <c r="A9858" s="12" t="s">
        <v>22386</v>
      </c>
      <c r="B9858" s="13" t="s">
        <v>22387</v>
      </c>
      <c r="C9858" s="14" t="s">
        <v>22388</v>
      </c>
      <c r="D9858" s="1" t="str">
        <f>IFERROR(__xludf.DUMMYFUNCTION("GOOGLETRANSLATE(A9858 , ""auto"", ""ar"")"),"أنا طاه")</f>
        <v>أنا طاه</v>
      </c>
    </row>
    <row r="9859" ht="15.75" customHeight="1">
      <c r="A9859" s="12" t="s">
        <v>22389</v>
      </c>
      <c r="B9859" s="13" t="s">
        <v>22390</v>
      </c>
      <c r="C9859" s="14" t="s">
        <v>22391</v>
      </c>
      <c r="D9859" s="1" t="str">
        <f>IFERROR(__xludf.DUMMYFUNCTION("GOOGLETRANSLATE(A9859 , ""auto"", ""ar"")"),"أنا سائق سيارة أجرة")</f>
        <v>أنا سائق سيارة أجرة</v>
      </c>
    </row>
    <row r="9860" ht="15.75" customHeight="1">
      <c r="A9860" s="12" t="s">
        <v>22392</v>
      </c>
      <c r="B9860" s="13" t="s">
        <v>22393</v>
      </c>
      <c r="C9860" s="14" t="s">
        <v>22394</v>
      </c>
      <c r="D9860" s="1" t="str">
        <f>IFERROR(__xludf.DUMMYFUNCTION("GOOGLETRANSLATE(A9860 , ""auto"", ""ar"")"),"إنه يخطط لرحلة جديدة")</f>
        <v>إنه يخطط لرحلة جديدة</v>
      </c>
    </row>
    <row r="9861" ht="15.75" customHeight="1">
      <c r="A9861" s="12" t="s">
        <v>22395</v>
      </c>
      <c r="B9861" s="13" t="s">
        <v>22396</v>
      </c>
      <c r="C9861" s="14" t="s">
        <v>22397</v>
      </c>
      <c r="D9861" s="1" t="str">
        <f>IFERROR(__xludf.DUMMYFUNCTION("GOOGLETRANSLATE(A9861 , ""auto"", ""ar"")"),"أنا أعمل بجد أثناء الامتحانات")</f>
        <v>أنا أعمل بجد أثناء الامتحانات</v>
      </c>
    </row>
    <row r="9862" ht="15.75" customHeight="1">
      <c r="A9862" s="12" t="s">
        <v>22398</v>
      </c>
      <c r="B9862" s="13" t="s">
        <v>22399</v>
      </c>
      <c r="C9862" s="14" t="s">
        <v>22400</v>
      </c>
      <c r="D9862" s="1" t="str">
        <f>IFERROR(__xludf.DUMMYFUNCTION("GOOGLETRANSLATE(A9862 , ""auto"", ""ar"")"),"يحب اللعب مع الكلاب")</f>
        <v>يحب اللعب مع الكلاب</v>
      </c>
    </row>
    <row r="9863" ht="15.75" customHeight="1">
      <c r="A9863" s="12" t="s">
        <v>22401</v>
      </c>
      <c r="B9863" s="13" t="s">
        <v>22402</v>
      </c>
      <c r="C9863" s="14" t="s">
        <v>22403</v>
      </c>
      <c r="D9863" s="1" t="str">
        <f>IFERROR(__xludf.DUMMYFUNCTION("GOOGLETRANSLATE(A9863 , ""auto"", ""ar"")"),"هل طهي العشاء؟")</f>
        <v>هل طهي العشاء؟</v>
      </c>
    </row>
    <row r="9864" ht="15.75" customHeight="1">
      <c r="A9864" s="12" t="s">
        <v>22404</v>
      </c>
      <c r="B9864" s="13" t="s">
        <v>22405</v>
      </c>
      <c r="C9864" s="14" t="s">
        <v>22406</v>
      </c>
      <c r="D9864" s="1" t="str">
        <f>IFERROR(__xludf.DUMMYFUNCTION("GOOGLETRANSLATE(A9864 , ""auto"", ""ar"")"),"كسر الزجاج")</f>
        <v>كسر الزجاج</v>
      </c>
    </row>
    <row r="9865" ht="15.75" customHeight="1">
      <c r="A9865" s="12" t="s">
        <v>22407</v>
      </c>
      <c r="B9865" s="13" t="s">
        <v>22408</v>
      </c>
      <c r="C9865" s="14" t="s">
        <v>22409</v>
      </c>
      <c r="D9865" s="1" t="str">
        <f>IFERROR(__xludf.DUMMYFUNCTION("GOOGLETRANSLATE(A9865 , ""auto"", ""ar"")"),"لقد ربحنا المباراة")</f>
        <v>لقد ربحنا المباراة</v>
      </c>
    </row>
    <row r="9866" ht="15.75" customHeight="1">
      <c r="A9866" s="12" t="s">
        <v>22410</v>
      </c>
      <c r="B9866" s="13" t="s">
        <v>22411</v>
      </c>
      <c r="C9866" s="14" t="s">
        <v>22412</v>
      </c>
      <c r="D9866" s="1" t="str">
        <f>IFERROR(__xludf.DUMMYFUNCTION("GOOGLETRANSLATE(A9866 , ""auto"", ""ar"")"),"يتحدثون كثيرا")</f>
        <v>يتحدثون كثيرا</v>
      </c>
    </row>
    <row r="9867" ht="15.75" customHeight="1">
      <c r="A9867" s="12" t="s">
        <v>22413</v>
      </c>
      <c r="B9867" s="13" t="s">
        <v>22414</v>
      </c>
      <c r="C9867" s="14" t="s">
        <v>22415</v>
      </c>
      <c r="D9867" s="1" t="str">
        <f>IFERROR(__xludf.DUMMYFUNCTION("GOOGLETRANSLATE(A9867 , ""auto"", ""ar"")"),"هل يشرب القهوة؟")</f>
        <v>هل يشرب القهوة؟</v>
      </c>
    </row>
    <row r="9868" ht="15.75" customHeight="1">
      <c r="A9868" s="12" t="s">
        <v>22416</v>
      </c>
      <c r="B9868" s="13" t="s">
        <v>22417</v>
      </c>
      <c r="C9868" s="14" t="s">
        <v>22418</v>
      </c>
      <c r="D9868" s="1" t="str">
        <f>IFERROR(__xludf.DUMMYFUNCTION("GOOGLETRANSLATE(A9868 , ""auto"", ""ar"")"),"في بعض الأحيان أنسى مفاتيحي")</f>
        <v>في بعض الأحيان أنسى مفاتيحي</v>
      </c>
    </row>
    <row r="9869" ht="15.75" customHeight="1">
      <c r="A9869" s="12" t="s">
        <v>22419</v>
      </c>
      <c r="B9869" s="13" t="s">
        <v>22420</v>
      </c>
      <c r="C9869" s="14" t="s">
        <v>22421</v>
      </c>
      <c r="D9869" s="1" t="str">
        <f>IFERROR(__xludf.DUMMYFUNCTION("GOOGLETRANSLATE(A9869 , ""auto"", ""ar"")"),"هو ينظف أسنانه")</f>
        <v>هو ينظف أسنانه</v>
      </c>
    </row>
    <row r="9870" ht="15.75" customHeight="1">
      <c r="A9870" s="12" t="s">
        <v>22422</v>
      </c>
      <c r="B9870" s="13" t="s">
        <v>22423</v>
      </c>
      <c r="C9870" s="14" t="s">
        <v>22424</v>
      </c>
      <c r="D9870" s="1" t="str">
        <f>IFERROR(__xludf.DUMMYFUNCTION("GOOGLETRANSLATE(A9870 , ""auto"", ""ar"")"),"أنا آكل الشوكولاتة كل يوم")</f>
        <v>أنا آكل الشوكولاتة كل يوم</v>
      </c>
    </row>
    <row r="9871" ht="15.75" customHeight="1">
      <c r="A9871" s="12" t="s">
        <v>22425</v>
      </c>
      <c r="B9871" s="13" t="s">
        <v>22426</v>
      </c>
      <c r="C9871" s="14" t="s">
        <v>22427</v>
      </c>
      <c r="D9871" s="1" t="str">
        <f>IFERROR(__xludf.DUMMYFUNCTION("GOOGLETRANSLATE(A9871 , ""auto"", ""ar"")"),"يريد شيئا")</f>
        <v>يريد شيئا</v>
      </c>
    </row>
    <row r="9872" ht="15.75" customHeight="1">
      <c r="A9872" s="12" t="s">
        <v>22428</v>
      </c>
      <c r="B9872" s="13" t="s">
        <v>22429</v>
      </c>
      <c r="C9872" s="14" t="s">
        <v>22430</v>
      </c>
      <c r="D9872" s="1" t="str">
        <f>IFERROR(__xludf.DUMMYFUNCTION("GOOGLETRANSLATE(A9872 , ""auto"", ""ar"")"),"هل يعيش في FES؟")</f>
        <v>هل يعيش في FES؟</v>
      </c>
    </row>
    <row r="9873" ht="15.75" customHeight="1">
      <c r="A9873" s="12" t="s">
        <v>22431</v>
      </c>
      <c r="B9873" s="13" t="s">
        <v>22432</v>
      </c>
      <c r="C9873" s="14" t="s">
        <v>22433</v>
      </c>
      <c r="D9873" s="1" t="str">
        <f>IFERROR(__xludf.DUMMYFUNCTION("GOOGLETRANSLATE(A9873 , ""auto"", ""ar"")"),"كل شئ على ما يرام")</f>
        <v>كل شئ على ما يرام</v>
      </c>
    </row>
    <row r="9874" ht="15.75" customHeight="1">
      <c r="A9874" s="12" t="s">
        <v>22434</v>
      </c>
      <c r="B9874" s="13" t="s">
        <v>22435</v>
      </c>
      <c r="C9874" s="14" t="s">
        <v>22436</v>
      </c>
      <c r="D9874" s="1" t="str">
        <f>IFERROR(__xludf.DUMMYFUNCTION("GOOGLETRANSLATE(A9874 , ""auto"", ""ar"")"),"إنها فتاة جميلة")</f>
        <v>إنها فتاة جميلة</v>
      </c>
    </row>
    <row r="9875" ht="15.75" customHeight="1">
      <c r="A9875" s="12" t="s">
        <v>22437</v>
      </c>
      <c r="B9875" s="13" t="s">
        <v>22438</v>
      </c>
      <c r="C9875" s="14" t="s">
        <v>22439</v>
      </c>
      <c r="D9875" s="1" t="str">
        <f>IFERROR(__xludf.DUMMYFUNCTION("GOOGLETRANSLATE(A9875 , ""auto"", ""ar"")"),"نحن نسافر")</f>
        <v>نحن نسافر</v>
      </c>
    </row>
    <row r="9876" ht="15.75" customHeight="1">
      <c r="A9876" s="12" t="s">
        <v>22440</v>
      </c>
      <c r="B9876" s="13" t="s">
        <v>22441</v>
      </c>
      <c r="C9876" s="14" t="s">
        <v>22442</v>
      </c>
      <c r="D9876" s="1" t="str">
        <f>IFERROR(__xludf.DUMMYFUNCTION("GOOGLETRANSLATE(A9876 , ""auto"", ""ar"")"),"سأتصل بك لاحقا")</f>
        <v>سأتصل بك لاحقا</v>
      </c>
    </row>
    <row r="9877" ht="15.75" customHeight="1">
      <c r="A9877" s="12" t="s">
        <v>22443</v>
      </c>
      <c r="B9877" s="13" t="s">
        <v>22444</v>
      </c>
      <c r="C9877" s="14" t="s">
        <v>22445</v>
      </c>
      <c r="D9877" s="1" t="str">
        <f>IFERROR(__xludf.DUMMYFUNCTION("GOOGLETRANSLATE(A9877 , ""auto"", ""ar"")"),"Mouad يشاهد فيلمًا")</f>
        <v>Mouad يشاهد فيلمًا</v>
      </c>
    </row>
    <row r="9878" ht="15.75" customHeight="1">
      <c r="A9878" s="12" t="s">
        <v>22446</v>
      </c>
      <c r="B9878" s="13" t="s">
        <v>22447</v>
      </c>
      <c r="C9878" s="14" t="s">
        <v>22448</v>
      </c>
      <c r="D9878" s="1" t="str">
        <f>IFERROR(__xludf.DUMMYFUNCTION("GOOGLETRANSLATE(A9878 , ""auto"", ""ar"")"),"يقود دراجة")</f>
        <v>يقود دراجة</v>
      </c>
    </row>
    <row r="9879" ht="15.75" customHeight="1">
      <c r="A9879" s="12" t="s">
        <v>22449</v>
      </c>
      <c r="B9879" s="13" t="s">
        <v>22450</v>
      </c>
      <c r="C9879" s="14" t="s">
        <v>22451</v>
      </c>
      <c r="D9879" s="1" t="str">
        <f>IFERROR(__xludf.DUMMYFUNCTION("GOOGLETRANSLATE(A9879 , ""auto"", ""ar"")"),"جعلني سعيدا اليوم")</f>
        <v>جعلني سعيدا اليوم</v>
      </c>
    </row>
    <row r="9880" ht="15.75" customHeight="1">
      <c r="A9880" s="12" t="s">
        <v>22452</v>
      </c>
      <c r="B9880" s="13" t="s">
        <v>22453</v>
      </c>
      <c r="C9880" s="14" t="s">
        <v>22454</v>
      </c>
      <c r="D9880" s="1" t="str">
        <f>IFERROR(__xludf.DUMMYFUNCTION("GOOGLETRANSLATE(A9880 , ""auto"", ""ar"")"),"إنه يبكي من أجل لعبة")</f>
        <v>إنه يبكي من أجل لعبة</v>
      </c>
    </row>
    <row r="9881" ht="15.75" customHeight="1">
      <c r="A9881" s="12" t="s">
        <v>22455</v>
      </c>
      <c r="B9881" s="13" t="s">
        <v>22456</v>
      </c>
      <c r="C9881" s="14" t="s">
        <v>22457</v>
      </c>
      <c r="D9881" s="1" t="str">
        <f>IFERROR(__xludf.DUMMYFUNCTION("GOOGLETRANSLATE(A9881 , ""auto"", ""ar"")"),"لن يذهب إلى مكتبه")</f>
        <v>لن يذهب إلى مكتبه</v>
      </c>
    </row>
    <row r="9882" ht="15.75" customHeight="1">
      <c r="A9882" s="12" t="s">
        <v>22458</v>
      </c>
      <c r="B9882" s="13" t="s">
        <v>22459</v>
      </c>
      <c r="C9882" s="14" t="s">
        <v>22460</v>
      </c>
      <c r="D9882" s="1" t="str">
        <f>IFERROR(__xludf.DUMMYFUNCTION("GOOGLETRANSLATE(A9882 , ""auto"", ""ar"")"),"إنه ليس على ما يرام")</f>
        <v>إنه ليس على ما يرام</v>
      </c>
    </row>
    <row r="9883" ht="15.75" customHeight="1">
      <c r="A9883" s="12" t="s">
        <v>22461</v>
      </c>
      <c r="B9883" s="13" t="s">
        <v>22462</v>
      </c>
      <c r="C9883" s="14" t="s">
        <v>22463</v>
      </c>
      <c r="D9883" s="1" t="str">
        <f>IFERROR(__xludf.DUMMYFUNCTION("GOOGLETRANSLATE(A9883 , ""auto"", ""ar"")"),"إنه لا يتحرك خارج المدينة")</f>
        <v>إنه لا يتحرك خارج المدينة</v>
      </c>
    </row>
    <row r="9884" ht="15.75" customHeight="1">
      <c r="A9884" s="12" t="s">
        <v>22464</v>
      </c>
      <c r="B9884" s="13" t="s">
        <v>22465</v>
      </c>
      <c r="C9884" s="14" t="s">
        <v>22466</v>
      </c>
      <c r="D9884" s="1" t="str">
        <f>IFERROR(__xludf.DUMMYFUNCTION("GOOGLETRANSLATE(A9884 , ""auto"", ""ar"")"),"لن يأتي إلى حفلة عيد ميلادي")</f>
        <v>لن يأتي إلى حفلة عيد ميلادي</v>
      </c>
    </row>
    <row r="9885" ht="15.75" customHeight="1">
      <c r="A9885" s="12" t="s">
        <v>22467</v>
      </c>
      <c r="B9885" s="13" t="s">
        <v>22468</v>
      </c>
      <c r="C9885" s="14" t="s">
        <v>22469</v>
      </c>
      <c r="D9885" s="1" t="str">
        <f>IFERROR(__xludf.DUMMYFUNCTION("GOOGLETRANSLATE(A9885 , ""auto"", ""ar"")"),"المدرب غير راض")</f>
        <v>المدرب غير راض</v>
      </c>
    </row>
    <row r="9886" ht="15.75" customHeight="1">
      <c r="A9886" s="12" t="s">
        <v>22470</v>
      </c>
      <c r="B9886" s="13" t="s">
        <v>22471</v>
      </c>
      <c r="C9886" s="14" t="s">
        <v>22472</v>
      </c>
      <c r="D9886" s="1" t="str">
        <f>IFERROR(__xludf.DUMMYFUNCTION("GOOGLETRANSLATE(A9886 , ""auto"", ""ar"")"),"اللاعب لا يرتدي خوذته")</f>
        <v>اللاعب لا يرتدي خوذته</v>
      </c>
    </row>
    <row r="9887" ht="15.75" customHeight="1">
      <c r="A9887" s="12" t="s">
        <v>22473</v>
      </c>
      <c r="B9887" s="13" t="s">
        <v>22474</v>
      </c>
      <c r="C9887" s="14" t="s">
        <v>22475</v>
      </c>
      <c r="D9887" s="1" t="str">
        <f>IFERROR(__xludf.DUMMYFUNCTION("GOOGLETRANSLATE(A9887 , ""auto"", ""ar"")"),"وقف على أطراف الأصوات له")</f>
        <v>وقف على أطراف الأصوات له</v>
      </c>
    </row>
    <row r="9888" ht="15.75" customHeight="1">
      <c r="A9888" s="12" t="s">
        <v>22476</v>
      </c>
      <c r="B9888" s="13" t="s">
        <v>22477</v>
      </c>
      <c r="C9888" s="14" t="s">
        <v>22478</v>
      </c>
      <c r="D9888" s="1" t="str">
        <f>IFERROR(__xludf.DUMMYFUNCTION("GOOGLETRANSLATE(A9888 , ""auto"", ""ar"")"),"وقال انه فتح الباب")</f>
        <v>وقال انه فتح الباب</v>
      </c>
    </row>
    <row r="9889" ht="15.75" customHeight="1">
      <c r="A9889" s="12" t="s">
        <v>22479</v>
      </c>
      <c r="B9889" s="13" t="s">
        <v>22480</v>
      </c>
      <c r="C9889" s="14" t="s">
        <v>22481</v>
      </c>
      <c r="D9889" s="1" t="str">
        <f>IFERROR(__xludf.DUMMYFUNCTION("GOOGLETRANSLATE(A9889 , ""auto"", ""ar"")"),"يفتح الجرة بعناية")</f>
        <v>يفتح الجرة بعناية</v>
      </c>
    </row>
    <row r="9890" ht="15.75" customHeight="1">
      <c r="A9890" s="12" t="s">
        <v>22482</v>
      </c>
      <c r="B9890" s="13" t="s">
        <v>22483</v>
      </c>
      <c r="C9890" s="14" t="s">
        <v>22484</v>
      </c>
      <c r="D9890" s="1" t="str">
        <f>IFERROR(__xludf.DUMMYFUNCTION("GOOGLETRANSLATE(A9890 , ""auto"", ""ar"")"),"انه يبكي")</f>
        <v>انه يبكي</v>
      </c>
    </row>
    <row r="9891" ht="15.75" customHeight="1">
      <c r="A9891" s="12" t="s">
        <v>22485</v>
      </c>
      <c r="B9891" s="13" t="s">
        <v>22486</v>
      </c>
      <c r="C9891" s="14" t="s">
        <v>22487</v>
      </c>
      <c r="D9891" s="1" t="str">
        <f>IFERROR(__xludf.DUMMYFUNCTION("GOOGLETRANSLATE(A9891 , ""auto"", ""ar"")"),"إنه يبتسم")</f>
        <v>إنه يبتسم</v>
      </c>
    </row>
    <row r="9892" ht="15.75" customHeight="1">
      <c r="A9892" s="12" t="s">
        <v>22488</v>
      </c>
      <c r="B9892" s="13" t="s">
        <v>22489</v>
      </c>
      <c r="C9892" s="14" t="s">
        <v>22490</v>
      </c>
      <c r="D9892" s="1" t="str">
        <f>IFERROR(__xludf.DUMMYFUNCTION("GOOGLETRANSLATE(A9892 , ""auto"", ""ar"")"),"إنه يضحك")</f>
        <v>إنه يضحك</v>
      </c>
    </row>
    <row r="9893" ht="15.75" customHeight="1">
      <c r="A9893" s="12" t="s">
        <v>22491</v>
      </c>
      <c r="B9893" s="13" t="s">
        <v>22492</v>
      </c>
      <c r="C9893" s="14" t="s">
        <v>22493</v>
      </c>
      <c r="D9893" s="1" t="str">
        <f>IFERROR(__xludf.DUMMYFUNCTION("GOOGLETRANSLATE(A9893 , ""auto"", ""ar"")"),"هو نائم")</f>
        <v>هو نائم</v>
      </c>
    </row>
    <row r="9894" ht="15.75" customHeight="1">
      <c r="A9894" s="12" t="s">
        <v>22494</v>
      </c>
      <c r="B9894" s="13" t="s">
        <v>22495</v>
      </c>
      <c r="C9894" s="14" t="s">
        <v>22496</v>
      </c>
      <c r="D9894" s="1" t="str">
        <f>IFERROR(__xludf.DUMMYFUNCTION("GOOGLETRANSLATE(A9894 , ""auto"", ""ar"")"),"فتح كل الهدايا")</f>
        <v>فتح كل الهدايا</v>
      </c>
    </row>
    <row r="9895" ht="15.75" customHeight="1">
      <c r="A9895" s="12" t="s">
        <v>22497</v>
      </c>
      <c r="B9895" s="13" t="s">
        <v>22498</v>
      </c>
      <c r="C9895" s="14" t="s">
        <v>22499</v>
      </c>
      <c r="D9895" s="1" t="str">
        <f>IFERROR(__xludf.DUMMYFUNCTION("GOOGLETRANSLATE(A9895 , ""auto"", ""ar"")"),"كان يأكل ويتحدث")</f>
        <v>كان يأكل ويتحدث</v>
      </c>
    </row>
    <row r="9896" ht="15.75" customHeight="1">
      <c r="A9896" s="12" t="s">
        <v>22500</v>
      </c>
      <c r="B9896" s="13" t="s">
        <v>22501</v>
      </c>
      <c r="C9896" s="14" t="s">
        <v>22502</v>
      </c>
      <c r="D9896" s="1" t="str">
        <f>IFERROR(__xludf.DUMMYFUNCTION("GOOGLETRANSLATE(A9896 , ""auto"", ""ar"")"),"إنه ينتظر القطار")</f>
        <v>إنه ينتظر القطار</v>
      </c>
    </row>
    <row r="9897" ht="15.75" customHeight="1">
      <c r="A9897" s="12" t="s">
        <v>22503</v>
      </c>
      <c r="B9897" s="13" t="s">
        <v>22504</v>
      </c>
      <c r="C9897" s="14" t="s">
        <v>22505</v>
      </c>
      <c r="D9897" s="1" t="str">
        <f>IFERROR(__xludf.DUMMYFUNCTION("GOOGLETRANSLATE(A9897 , ""auto"", ""ar"")"),"القطار متأخر")</f>
        <v>القطار متأخر</v>
      </c>
    </row>
    <row r="9898" ht="15.75" customHeight="1">
      <c r="A9898" s="12" t="s">
        <v>22506</v>
      </c>
      <c r="B9898" s="13" t="s">
        <v>22507</v>
      </c>
      <c r="C9898" s="14" t="s">
        <v>22508</v>
      </c>
      <c r="D9898" s="1" t="str">
        <f>IFERROR(__xludf.DUMMYFUNCTION("GOOGLETRANSLATE(A9898 , ""auto"", ""ar"")"),"كلبه ينبح كثيرا")</f>
        <v>كلبه ينبح كثيرا</v>
      </c>
    </row>
    <row r="9899" ht="15.75" customHeight="1">
      <c r="A9899" s="12" t="s">
        <v>22509</v>
      </c>
      <c r="B9899" s="13" t="s">
        <v>22510</v>
      </c>
      <c r="C9899" s="14" t="s">
        <v>22511</v>
      </c>
      <c r="D9899" s="1" t="str">
        <f>IFERROR(__xludf.DUMMYFUNCTION("GOOGLETRANSLATE(A9899 , ""auto"", ""ar"")"),"هل يلعب التنس؟")</f>
        <v>هل يلعب التنس؟</v>
      </c>
    </row>
    <row r="9900" ht="15.75" customHeight="1">
      <c r="A9900" s="12" t="s">
        <v>22512</v>
      </c>
      <c r="B9900" s="13" t="s">
        <v>22513</v>
      </c>
      <c r="C9900" s="14" t="s">
        <v>22514</v>
      </c>
      <c r="D9900" s="1" t="str">
        <f>IFERROR(__xludf.DUMMYFUNCTION("GOOGLETRANSLATE(A9900 , ""auto"", ""ar"")"),"هل يلعب كرة القدم؟")</f>
        <v>هل يلعب كرة القدم؟</v>
      </c>
    </row>
    <row r="9901" ht="15.75" customHeight="1">
      <c r="A9901" s="12" t="s">
        <v>22515</v>
      </c>
      <c r="B9901" s="13" t="s">
        <v>22516</v>
      </c>
      <c r="C9901" s="14" t="s">
        <v>22517</v>
      </c>
      <c r="D9901" s="1" t="str">
        <f>IFERROR(__xludf.DUMMYFUNCTION("GOOGLETRANSLATE(A9901 , ""auto"", ""ar"")"),"يتحدث الإنجليزية في العمل")</f>
        <v>يتحدث الإنجليزية في العمل</v>
      </c>
    </row>
    <row r="9902" ht="15.75" customHeight="1">
      <c r="A9902" s="12" t="s">
        <v>22518</v>
      </c>
      <c r="B9902" s="13" t="s">
        <v>22519</v>
      </c>
      <c r="C9902" s="14" t="s">
        <v>22520</v>
      </c>
      <c r="D9902" s="1" t="str">
        <f>IFERROR(__xludf.DUMMYFUNCTION("GOOGLETRANSLATE(A9902 , ""auto"", ""ar"")"),"ليس لديه المال في الوقت الحالي")</f>
        <v>ليس لديه المال في الوقت الحالي</v>
      </c>
    </row>
    <row r="9903" ht="15.75" customHeight="1">
      <c r="A9903" s="12" t="s">
        <v>22521</v>
      </c>
      <c r="B9903" s="13" t="s">
        <v>20470</v>
      </c>
      <c r="C9903" s="14" t="s">
        <v>20471</v>
      </c>
      <c r="D9903" s="1" t="str">
        <f>IFERROR(__xludf.DUMMYFUNCTION("GOOGLETRANSLATE(A9903 , ""auto"", ""ar"")"),"لا يستمع إلي")</f>
        <v>لا يستمع إلي</v>
      </c>
    </row>
    <row r="9904" ht="15.75" customHeight="1">
      <c r="A9904" s="12" t="s">
        <v>22522</v>
      </c>
      <c r="B9904" s="13" t="s">
        <v>22523</v>
      </c>
      <c r="C9904" s="14" t="s">
        <v>22524</v>
      </c>
      <c r="D9904" s="1" t="str">
        <f>IFERROR(__xludf.DUMMYFUNCTION("GOOGLETRANSLATE(A9904 , ""auto"", ""ar"")"),"لا يتحدث معي")</f>
        <v>لا يتحدث معي</v>
      </c>
    </row>
    <row r="9905" ht="15.75" customHeight="1">
      <c r="A9905" s="12" t="s">
        <v>22525</v>
      </c>
      <c r="B9905" s="13" t="s">
        <v>22526</v>
      </c>
      <c r="C9905" s="14" t="s">
        <v>22527</v>
      </c>
      <c r="D9905" s="1" t="str">
        <f>IFERROR(__xludf.DUMMYFUNCTION("GOOGLETRANSLATE(A9905 , ""auto"", ""ar"")"),"هو مريض")</f>
        <v>هو مريض</v>
      </c>
    </row>
    <row r="9906" ht="15.75" customHeight="1">
      <c r="A9906" s="12" t="s">
        <v>22528</v>
      </c>
      <c r="B9906" s="13" t="s">
        <v>22529</v>
      </c>
      <c r="C9906" s="14" t="s">
        <v>22530</v>
      </c>
      <c r="D9906" s="1" t="str">
        <f>IFERROR(__xludf.DUMMYFUNCTION("GOOGLETRANSLATE(A9906 , ""auto"", ""ar"")"),"هل يتحدث كثيرا؟")</f>
        <v>هل يتحدث كثيرا؟</v>
      </c>
    </row>
    <row r="9907" ht="15.75" customHeight="1">
      <c r="A9907" s="12" t="s">
        <v>22531</v>
      </c>
      <c r="B9907" s="13" t="s">
        <v>22532</v>
      </c>
      <c r="C9907" s="14" t="s">
        <v>22533</v>
      </c>
      <c r="D9907" s="1" t="str">
        <f>IFERROR(__xludf.DUMMYFUNCTION("GOOGLETRANSLATE(A9907 , ""auto"", ""ar"")"),"هل يشرب الشاي؟")</f>
        <v>هل يشرب الشاي؟</v>
      </c>
    </row>
    <row r="9908" ht="15.75" customHeight="1">
      <c r="A9908" s="12" t="s">
        <v>22534</v>
      </c>
      <c r="B9908" s="13" t="s">
        <v>22535</v>
      </c>
      <c r="C9908" s="14" t="s">
        <v>22536</v>
      </c>
      <c r="D9908" s="1" t="str">
        <f>IFERROR(__xludf.DUMMYFUNCTION("GOOGLETRANSLATE(A9908 , ""auto"", ""ar"")"),"لديه عمل مدرسي للقيام به")</f>
        <v>لديه عمل مدرسي للقيام به</v>
      </c>
    </row>
    <row r="9909" ht="15.75" customHeight="1">
      <c r="A9909" s="12" t="s">
        <v>22537</v>
      </c>
      <c r="B9909" s="13" t="s">
        <v>22538</v>
      </c>
      <c r="C9909" s="14" t="s">
        <v>22539</v>
      </c>
      <c r="D9909" s="1" t="str">
        <f>IFERROR(__xludf.DUMMYFUNCTION("GOOGLETRANSLATE(A9909 , ""auto"", ""ar"")"),"يترك القطار في 10 دقائق")</f>
        <v>يترك القطار في 10 دقائق</v>
      </c>
    </row>
    <row r="9910" ht="15.75" customHeight="1">
      <c r="A9910" s="12" t="s">
        <v>22540</v>
      </c>
      <c r="B9910" s="13" t="s">
        <v>22541</v>
      </c>
      <c r="C9910" s="14" t="s">
        <v>22542</v>
      </c>
      <c r="D9910" s="1" t="str">
        <f>IFERROR(__xludf.DUMMYFUNCTION("GOOGLETRANSLATE(A9910 , ""auto"", ""ar"")"),"يخرج القمامة")</f>
        <v>يخرج القمامة</v>
      </c>
    </row>
    <row r="9911" ht="15.75" customHeight="1">
      <c r="A9911" s="12" t="s">
        <v>22543</v>
      </c>
      <c r="B9911" s="13" t="s">
        <v>22544</v>
      </c>
      <c r="C9911" s="14" t="s">
        <v>22545</v>
      </c>
      <c r="D9911" s="1" t="str">
        <f>IFERROR(__xludf.DUMMYFUNCTION("GOOGLETRANSLATE(A9911 , ""auto"", ""ar"")"),"لا يدرس يوم الاثنين")</f>
        <v>لا يدرس يوم الاثنين</v>
      </c>
    </row>
    <row r="9912" ht="15.75" customHeight="1">
      <c r="A9912" s="12" t="s">
        <v>22546</v>
      </c>
      <c r="B9912" s="13" t="s">
        <v>22547</v>
      </c>
      <c r="C9912" s="14" t="s">
        <v>22548</v>
      </c>
      <c r="D9912" s="1" t="str">
        <f>IFERROR(__xludf.DUMMYFUNCTION("GOOGLETRANSLATE(A9912 , ""auto"", ""ar"")"),"يسبح كل صباح")</f>
        <v>يسبح كل صباح</v>
      </c>
    </row>
    <row r="9913" ht="15.75" customHeight="1">
      <c r="A9913" s="12" t="s">
        <v>22549</v>
      </c>
      <c r="B9913" s="13" t="s">
        <v>22550</v>
      </c>
      <c r="C9913" s="14" t="s">
        <v>22551</v>
      </c>
      <c r="D9913" s="1" t="str">
        <f>IFERROR(__xludf.DUMMYFUNCTION("GOOGLETRANSLATE(A9913 , ""auto"", ""ar"")"),"تبدأ الدورة الأسبوع المقبل")</f>
        <v>تبدأ الدورة الأسبوع المقبل</v>
      </c>
    </row>
    <row r="9914" ht="15.75" customHeight="1">
      <c r="A9914" s="12" t="s">
        <v>22552</v>
      </c>
      <c r="B9914" s="13" t="s">
        <v>22553</v>
      </c>
      <c r="C9914" s="14" t="s">
        <v>22554</v>
      </c>
      <c r="D9914" s="1" t="str">
        <f>IFERROR(__xludf.DUMMYFUNCTION("GOOGLETRANSLATE(A9914 , ""auto"", ""ar"")"),"لا يغسل الأطباق")</f>
        <v>لا يغسل الأطباق</v>
      </c>
    </row>
    <row r="9915" ht="15.75" customHeight="1">
      <c r="A9915" s="12" t="s">
        <v>22555</v>
      </c>
      <c r="B9915" s="13" t="s">
        <v>22556</v>
      </c>
      <c r="C9915" s="14" t="s">
        <v>22557</v>
      </c>
      <c r="D9915" s="1" t="str">
        <f>IFERROR(__xludf.DUMMYFUNCTION("GOOGLETRANSLATE(A9915 , ""auto"", ""ar"")"),"كان دائما ينسى حقيبته")</f>
        <v>كان دائما ينسى حقيبته</v>
      </c>
    </row>
    <row r="9916" ht="15.75" customHeight="1">
      <c r="A9916" s="12" t="s">
        <v>22558</v>
      </c>
      <c r="B9916" s="13" t="s">
        <v>22559</v>
      </c>
      <c r="C9916" s="14" t="s">
        <v>22560</v>
      </c>
      <c r="D9916" s="1" t="str">
        <f>IFERROR(__xludf.DUMMYFUNCTION("GOOGLETRANSLATE(A9916 , ""auto"", ""ar"")"),"ليس لديه أطفال")</f>
        <v>ليس لديه أطفال</v>
      </c>
    </row>
    <row r="9917" ht="15.75" customHeight="1">
      <c r="A9917" s="12" t="s">
        <v>22561</v>
      </c>
      <c r="B9917" s="13" t="s">
        <v>22562</v>
      </c>
      <c r="C9917" s="14" t="s">
        <v>22563</v>
      </c>
      <c r="D9917" s="1" t="str">
        <f>IFERROR(__xludf.DUMMYFUNCTION("GOOGLETRANSLATE(A9917 , ""auto"", ""ar"")"),"لن يذهب إلى المدرسة غدا")</f>
        <v>لن يذهب إلى المدرسة غدا</v>
      </c>
    </row>
    <row r="9918" ht="15.75" customHeight="1">
      <c r="A9918" s="12" t="s">
        <v>22564</v>
      </c>
      <c r="B9918" s="13" t="s">
        <v>18887</v>
      </c>
      <c r="C9918" s="14" t="s">
        <v>18888</v>
      </c>
      <c r="D9918" s="1" t="str">
        <f>IFERROR(__xludf.DUMMYFUNCTION("GOOGLETRANSLATE(A9918 , ""auto"", ""ar"")"),"يتحدث بسرعة كبيرة")</f>
        <v>يتحدث بسرعة كبيرة</v>
      </c>
    </row>
    <row r="9919" ht="15.75" customHeight="1">
      <c r="A9919" s="12" t="s">
        <v>22565</v>
      </c>
      <c r="B9919" s="13" t="s">
        <v>22566</v>
      </c>
      <c r="C9919" s="14" t="s">
        <v>22567</v>
      </c>
      <c r="D9919" s="1" t="str">
        <f>IFERROR(__xludf.DUMMYFUNCTION("GOOGLETRANSLATE(A9919 , ""auto"", ""ar"")"),"يفعل الغسيل")</f>
        <v>يفعل الغسيل</v>
      </c>
    </row>
    <row r="9920" ht="15.75" customHeight="1">
      <c r="A9920" s="12" t="s">
        <v>22568</v>
      </c>
      <c r="B9920" s="13" t="s">
        <v>22569</v>
      </c>
      <c r="C9920" s="14" t="s">
        <v>22570</v>
      </c>
      <c r="D9920" s="1" t="str">
        <f>IFERROR(__xludf.DUMMYFUNCTION("GOOGLETRANSLATE(A9920 , ""auto"", ""ar"")"),"إنه يطرق الباب")</f>
        <v>إنه يطرق الباب</v>
      </c>
    </row>
    <row r="9921" ht="15.75" customHeight="1">
      <c r="A9921" s="12" t="s">
        <v>22571</v>
      </c>
      <c r="B9921" s="13" t="s">
        <v>22572</v>
      </c>
      <c r="C9921" s="14" t="s">
        <v>22573</v>
      </c>
      <c r="D9921" s="1" t="str">
        <f>IFERROR(__xludf.DUMMYFUNCTION("GOOGLETRANSLATE(A9921 , ""auto"", ""ar"")"),"كل شيء جاهز للحفلة")</f>
        <v>كل شيء جاهز للحفلة</v>
      </c>
    </row>
    <row r="9922" ht="15.75" customHeight="1">
      <c r="A9922" s="12" t="s">
        <v>22574</v>
      </c>
      <c r="B9922" s="13" t="s">
        <v>22575</v>
      </c>
      <c r="C9922" s="14" t="s">
        <v>22576</v>
      </c>
      <c r="D9922" s="1" t="str">
        <f>IFERROR(__xludf.DUMMYFUNCTION("GOOGLETRANSLATE(A9922 , ""auto"", ""ar"")"),"لن يأتي أحد من بعده")</f>
        <v>لن يأتي أحد من بعده</v>
      </c>
    </row>
    <row r="9923" ht="15.75" customHeight="1">
      <c r="A9923" s="12" t="s">
        <v>22577</v>
      </c>
      <c r="B9923" s="13" t="s">
        <v>22578</v>
      </c>
      <c r="C9923" s="14" t="s">
        <v>22579</v>
      </c>
      <c r="D9923" s="1" t="str">
        <f>IFERROR(__xludf.DUMMYFUNCTION("GOOGLETRANSLATE(A9923 , ""auto"", ""ar"")"),"ذهب الصيد")</f>
        <v>ذهب الصيد</v>
      </c>
    </row>
    <row r="9924" ht="15.75" customHeight="1">
      <c r="A9924" s="12" t="s">
        <v>22580</v>
      </c>
      <c r="B9924" s="13" t="s">
        <v>22581</v>
      </c>
      <c r="C9924" s="14" t="s">
        <v>22582</v>
      </c>
      <c r="D9924" s="1" t="str">
        <f>IFERROR(__xludf.DUMMYFUNCTION("GOOGLETRANSLATE(A9924 , ""auto"", ""ar"")"),"فهو كسول جدا")</f>
        <v>فهو كسول جدا</v>
      </c>
    </row>
    <row r="9925" ht="15.75" customHeight="1">
      <c r="A9925" s="12" t="s">
        <v>22583</v>
      </c>
      <c r="B9925" s="13" t="s">
        <v>22584</v>
      </c>
      <c r="C9925" s="14" t="s">
        <v>22585</v>
      </c>
      <c r="D9925" s="1" t="str">
        <f>IFERROR(__xludf.DUMMYFUNCTION("GOOGLETRANSLATE(A9925 , ""auto"", ""ar"")"),"يود مساعدتك")</f>
        <v>يود مساعدتك</v>
      </c>
    </row>
    <row r="9926" ht="15.75" customHeight="1">
      <c r="A9926" s="12" t="s">
        <v>22586</v>
      </c>
      <c r="B9926" s="13" t="s">
        <v>22587</v>
      </c>
      <c r="C9926" s="14" t="s">
        <v>22588</v>
      </c>
      <c r="D9926" s="1" t="str">
        <f>IFERROR(__xludf.DUMMYFUNCTION("GOOGLETRANSLATE(A9926 , ""auto"", ""ar"")"),"سوف يحصل على قهوة")</f>
        <v>سوف يحصل على قهوة</v>
      </c>
    </row>
    <row r="9927" ht="15.75" customHeight="1">
      <c r="A9927" s="12" t="s">
        <v>22589</v>
      </c>
      <c r="B9927" s="13" t="s">
        <v>22590</v>
      </c>
      <c r="C9927" s="14" t="s">
        <v>22591</v>
      </c>
      <c r="D9927" s="1" t="str">
        <f>IFERROR(__xludf.DUMMYFUNCTION("GOOGLETRANSLATE(A9927 , ""auto"", ""ar"")"),"لا يذهب إلى صالة الألعاب الرياضية")</f>
        <v>لا يذهب إلى صالة الألعاب الرياضية</v>
      </c>
    </row>
    <row r="9928" ht="15.75" customHeight="1">
      <c r="A9928" s="12" t="s">
        <v>22592</v>
      </c>
      <c r="B9928" s="13" t="s">
        <v>22593</v>
      </c>
      <c r="C9928" s="14" t="s">
        <v>22594</v>
      </c>
      <c r="D9928" s="1" t="str">
        <f>IFERROR(__xludf.DUMMYFUNCTION("GOOGLETRANSLATE(A9928 , ""auto"", ""ar"")"),"إنه يتعلم اللغة الإنجليزية بنفسه")</f>
        <v>إنه يتعلم اللغة الإنجليزية بنفسه</v>
      </c>
    </row>
    <row r="9929" ht="15.75" customHeight="1">
      <c r="A9929" s="12" t="s">
        <v>22595</v>
      </c>
      <c r="B9929" s="13" t="s">
        <v>22596</v>
      </c>
      <c r="C9929" s="14" t="s">
        <v>22597</v>
      </c>
      <c r="D9929" s="1" t="str">
        <f>IFERROR(__xludf.DUMMYFUNCTION("GOOGLETRANSLATE(A9929 , ""auto"", ""ar"")"),"إنه لا يقول الحقيقة")</f>
        <v>إنه لا يقول الحقيقة</v>
      </c>
    </row>
    <row r="9930" ht="15.75" customHeight="1">
      <c r="A9930" s="12" t="s">
        <v>22598</v>
      </c>
      <c r="B9930" s="13" t="s">
        <v>22599</v>
      </c>
      <c r="C9930" s="14" t="s">
        <v>22600</v>
      </c>
      <c r="D9930" s="1" t="str">
        <f>IFERROR(__xludf.DUMMYFUNCTION("GOOGLETRANSLATE(A9930 , ""auto"", ""ar"")"),"قتله")</f>
        <v>قتله</v>
      </c>
    </row>
    <row r="9931" ht="15.75" customHeight="1">
      <c r="A9931" s="12" t="s">
        <v>22601</v>
      </c>
      <c r="B9931" s="13" t="s">
        <v>22602</v>
      </c>
      <c r="C9931" s="14" t="s">
        <v>22603</v>
      </c>
      <c r="D9931" s="1" t="str">
        <f>IFERROR(__xludf.DUMMYFUNCTION("GOOGLETRANSLATE(A9931 , ""auto"", ""ar"")"),"إنه ليس مهندسًا")</f>
        <v>إنه ليس مهندسًا</v>
      </c>
    </row>
    <row r="9932" ht="15.75" customHeight="1">
      <c r="A9932" s="12" t="s">
        <v>22604</v>
      </c>
      <c r="B9932" s="13" t="s">
        <v>22605</v>
      </c>
      <c r="C9932" s="14" t="s">
        <v>22606</v>
      </c>
      <c r="D9932" s="1" t="str">
        <f>IFERROR(__xludf.DUMMYFUNCTION("GOOGLETRANSLATE(A9932 , ""auto"", ""ar"")"),"يحب أن يرسم بنفسه")</f>
        <v>يحب أن يرسم بنفسه</v>
      </c>
    </row>
    <row r="9933" ht="15.75" customHeight="1">
      <c r="A9933" s="12" t="s">
        <v>22607</v>
      </c>
      <c r="B9933" s="13" t="s">
        <v>22608</v>
      </c>
      <c r="C9933" s="14" t="s">
        <v>22609</v>
      </c>
      <c r="D9933" s="1" t="str">
        <f>IFERROR(__xludf.DUMMYFUNCTION("GOOGLETRANSLATE(A9933 , ""auto"", ""ar"")"),"لن يأتي معي")</f>
        <v>لن يأتي معي</v>
      </c>
    </row>
    <row r="9934" ht="15.75" customHeight="1">
      <c r="A9934" s="12" t="s">
        <v>22610</v>
      </c>
      <c r="B9934" s="13" t="s">
        <v>22611</v>
      </c>
      <c r="C9934" s="14" t="s">
        <v>22612</v>
      </c>
      <c r="D9934" s="1" t="str">
        <f>IFERROR(__xludf.DUMMYFUNCTION("GOOGLETRANSLATE(A9934 , ""auto"", ""ar"")"),"انه حقا بحاجة إلى شخص ما")</f>
        <v>انه حقا بحاجة إلى شخص ما</v>
      </c>
    </row>
    <row r="9935" ht="15.75" customHeight="1">
      <c r="A9935" s="12" t="s">
        <v>22613</v>
      </c>
      <c r="B9935" s="13" t="s">
        <v>22614</v>
      </c>
      <c r="C9935" s="14" t="s">
        <v>22615</v>
      </c>
      <c r="D9935" s="1" t="str">
        <f>IFERROR(__xludf.DUMMYFUNCTION("GOOGLETRANSLATE(A9935 , ""auto"", ""ar"")"),"يمكنه التحدث بثلاث لغات")</f>
        <v>يمكنه التحدث بثلاث لغات</v>
      </c>
    </row>
    <row r="9936" ht="15.75" customHeight="1">
      <c r="A9936" s="12" t="s">
        <v>22616</v>
      </c>
      <c r="B9936" s="13" t="s">
        <v>22617</v>
      </c>
      <c r="C9936" s="14" t="s">
        <v>22618</v>
      </c>
      <c r="D9936" s="1" t="str">
        <f>IFERROR(__xludf.DUMMYFUNCTION("GOOGLETRANSLATE(A9936 , ""auto"", ""ar"")"),"هو يستطيع العزف على بيانو")</f>
        <v>هو يستطيع العزف على بيانو</v>
      </c>
    </row>
    <row r="9937" ht="15.75" customHeight="1">
      <c r="A9937" s="12" t="s">
        <v>22619</v>
      </c>
      <c r="B9937" s="13" t="s">
        <v>22620</v>
      </c>
      <c r="C9937" s="14" t="s">
        <v>22621</v>
      </c>
      <c r="D9937" s="1" t="str">
        <f>IFERROR(__xludf.DUMMYFUNCTION("GOOGLETRANSLATE(A9937 , ""auto"", ""ar"")"),"انه يقرأ كتابا")</f>
        <v>انه يقرأ كتابا</v>
      </c>
    </row>
    <row r="9938" ht="15.75" customHeight="1">
      <c r="A9938" s="12" t="s">
        <v>22622</v>
      </c>
      <c r="B9938" s="13" t="s">
        <v>22623</v>
      </c>
      <c r="C9938" s="14" t="s">
        <v>22624</v>
      </c>
      <c r="D9938" s="1" t="str">
        <f>IFERROR(__xludf.DUMMYFUNCTION("GOOGLETRANSLATE(A9938 , ""auto"", ""ar"")"),"هو يحب ان يلعب كرة قدم")</f>
        <v>هو يحب ان يلعب كرة قدم</v>
      </c>
    </row>
    <row r="9939" ht="15.75" customHeight="1">
      <c r="A9939" s="12" t="s">
        <v>22625</v>
      </c>
      <c r="B9939" s="13" t="s">
        <v>22626</v>
      </c>
      <c r="C9939" s="14" t="s">
        <v>22627</v>
      </c>
      <c r="D9939" s="1" t="str">
        <f>IFERROR(__xludf.DUMMYFUNCTION("GOOGLETRANSLATE(A9939 , ""auto"", ""ar"")"),"سيذهب إلى الشاطئ")</f>
        <v>سيذهب إلى الشاطئ</v>
      </c>
    </row>
    <row r="9940" ht="15.75" customHeight="1">
      <c r="A9940" s="12" t="s">
        <v>22628</v>
      </c>
      <c r="B9940" s="13" t="s">
        <v>22629</v>
      </c>
      <c r="C9940" s="14" t="s">
        <v>22630</v>
      </c>
      <c r="D9940" s="1" t="str">
        <f>IFERROR(__xludf.DUMMYFUNCTION("GOOGLETRANSLATE(A9940 , ""auto"", ""ar"")"),"يشرب كوبًا من الماء")</f>
        <v>يشرب كوبًا من الماء</v>
      </c>
    </row>
    <row r="9941" ht="15.75" customHeight="1">
      <c r="A9941" s="12" t="s">
        <v>22631</v>
      </c>
      <c r="B9941" s="13" t="s">
        <v>22632</v>
      </c>
      <c r="C9941" s="14" t="s">
        <v>22633</v>
      </c>
      <c r="D9941" s="1" t="str">
        <f>IFERROR(__xludf.DUMMYFUNCTION("GOOGLETRANSLATE(A9941 , ""auto"", ""ar"")"),"يحب البيتزا")</f>
        <v>يحب البيتزا</v>
      </c>
    </row>
    <row r="9942" ht="15.75" customHeight="1">
      <c r="A9942" s="12" t="s">
        <v>22634</v>
      </c>
      <c r="B9942" s="13" t="s">
        <v>22635</v>
      </c>
      <c r="C9942" s="14" t="s">
        <v>22636</v>
      </c>
      <c r="D9942" s="1" t="str">
        <f>IFERROR(__xludf.DUMMYFUNCTION("GOOGLETRANSLATE(A9942 , ""auto"", ""ar"")"),"انه ذاهب الى المنزل")</f>
        <v>انه ذاهب الى المنزل</v>
      </c>
    </row>
    <row r="9943" ht="15.75" customHeight="1">
      <c r="A9943" s="12" t="s">
        <v>22637</v>
      </c>
      <c r="B9943" s="13" t="s">
        <v>22638</v>
      </c>
      <c r="C9943" s="14" t="s">
        <v>22639</v>
      </c>
      <c r="D9943" s="1" t="str">
        <f>IFERROR(__xludf.DUMMYFUNCTION("GOOGLETRANSLATE(A9943 , ""auto"", ""ar"")"),"إنه يغني أغنية")</f>
        <v>إنه يغني أغنية</v>
      </c>
    </row>
    <row r="9944" ht="15.75" customHeight="1">
      <c r="A9944" s="12" t="s">
        <v>22640</v>
      </c>
      <c r="B9944" s="13" t="s">
        <v>22641</v>
      </c>
      <c r="C9944" s="14" t="s">
        <v>22642</v>
      </c>
      <c r="D9944" s="1" t="str">
        <f>IFERROR(__xludf.DUMMYFUNCTION("GOOGLETRANSLATE(A9944 , ""auto"", ""ar"")"),"هو يكتب رسالة")</f>
        <v>هو يكتب رسالة</v>
      </c>
    </row>
    <row r="9945" ht="15.75" customHeight="1">
      <c r="A9945" s="12" t="s">
        <v>22643</v>
      </c>
      <c r="B9945" s="13" t="s">
        <v>22644</v>
      </c>
      <c r="C9945" s="14" t="s">
        <v>22645</v>
      </c>
      <c r="D9945" s="1" t="str">
        <f>IFERROR(__xludf.DUMMYFUNCTION("GOOGLETRANSLATE(A9945 , ""auto"", ""ar"")"),"يأخذ دش")</f>
        <v>يأخذ دش</v>
      </c>
    </row>
    <row r="9946" ht="15.75" customHeight="1">
      <c r="A9946" s="12" t="s">
        <v>22646</v>
      </c>
      <c r="B9946" s="13" t="s">
        <v>22647</v>
      </c>
      <c r="C9946" s="14" t="s">
        <v>22648</v>
      </c>
      <c r="D9946" s="1" t="str">
        <f>IFERROR(__xludf.DUMMYFUNCTION("GOOGLETRANSLATE(A9946 , ""auto"", ""ar"")"),"ذهب التسوق")</f>
        <v>ذهب التسوق</v>
      </c>
    </row>
    <row r="9947" ht="15.75" customHeight="1">
      <c r="A9947" s="12" t="s">
        <v>22649</v>
      </c>
      <c r="B9947" s="13" t="s">
        <v>22650</v>
      </c>
      <c r="C9947" s="14" t="s">
        <v>22651</v>
      </c>
      <c r="D9947" s="1" t="str">
        <f>IFERROR(__xludf.DUMMYFUNCTION("GOOGLETRANSLATE(A9947 , ""auto"", ""ar"")"),"هو يستمع للموسيقى")</f>
        <v>هو يستمع للموسيقى</v>
      </c>
    </row>
    <row r="9948" ht="15.75" customHeight="1">
      <c r="A9948" s="12" t="s">
        <v>22652</v>
      </c>
      <c r="B9948" s="13" t="s">
        <v>22653</v>
      </c>
      <c r="C9948" s="14" t="s">
        <v>22654</v>
      </c>
      <c r="D9948" s="1" t="str">
        <f>IFERROR(__xludf.DUMMYFUNCTION("GOOGLETRANSLATE(A9948 , ""auto"", ""ar"")"),"انه يشاهد التلفاز")</f>
        <v>انه يشاهد التلفاز</v>
      </c>
    </row>
    <row r="9949" ht="15.75" customHeight="1">
      <c r="A9949" s="12" t="s">
        <v>22655</v>
      </c>
      <c r="B9949" s="13" t="s">
        <v>22656</v>
      </c>
      <c r="C9949" s="14" t="s">
        <v>22657</v>
      </c>
      <c r="D9949" s="1" t="str">
        <f>IFERROR(__xludf.DUMMYFUNCTION("GOOGLETRANSLATE(A9949 , ""auto"", ""ar"")"),"نام جيدا")</f>
        <v>نام جيدا</v>
      </c>
    </row>
    <row r="9950" ht="15.75" customHeight="1">
      <c r="A9950" s="12" t="s">
        <v>22658</v>
      </c>
      <c r="B9950" s="13" t="s">
        <v>22659</v>
      </c>
      <c r="C9950" s="14" t="s">
        <v>22660</v>
      </c>
      <c r="D9950" s="1" t="str">
        <f>IFERROR(__xludf.DUMMYFUNCTION("GOOGLETRANSLATE(A9950 , ""auto"", ""ar"")"),"ذهب في نزهة على الأقدام")</f>
        <v>ذهب في نزهة على الأقدام</v>
      </c>
    </row>
    <row r="9951" ht="15.75" customHeight="1">
      <c r="A9951" s="12" t="s">
        <v>22661</v>
      </c>
      <c r="B9951" s="13" t="s">
        <v>22662</v>
      </c>
      <c r="C9951" s="14" t="s">
        <v>22663</v>
      </c>
      <c r="D9951" s="1" t="str">
        <f>IFERROR(__xludf.DUMMYFUNCTION("GOOGLETRANSLATE(A9951 , ""auto"", ""ar"")"),"إنه يأخذ قيلولة")</f>
        <v>إنه يأخذ قيلولة</v>
      </c>
    </row>
    <row r="9952" ht="15.75" customHeight="1">
      <c r="A9952" s="12" t="s">
        <v>22664</v>
      </c>
      <c r="B9952" s="13" t="s">
        <v>22665</v>
      </c>
      <c r="C9952" s="14" t="s">
        <v>22666</v>
      </c>
      <c r="D9952" s="1" t="str">
        <f>IFERROR(__xludf.DUMMYFUNCTION("GOOGLETRANSLATE(A9952 , ""auto"", ""ar"")"),"لديه نزهة")</f>
        <v>لديه نزهة</v>
      </c>
    </row>
    <row r="9953" ht="15.75" customHeight="1">
      <c r="A9953" s="12" t="s">
        <v>22667</v>
      </c>
      <c r="B9953" s="13" t="s">
        <v>22668</v>
      </c>
      <c r="C9953" s="14" t="s">
        <v>22669</v>
      </c>
      <c r="D9953" s="1" t="str">
        <f>IFERROR(__xludf.DUMMYFUNCTION("GOOGLETRANSLATE(A9953 , ""auto"", ""ar"")"),"يقوم بتنظيف غرفته")</f>
        <v>يقوم بتنظيف غرفته</v>
      </c>
    </row>
    <row r="9954" ht="15.75" customHeight="1">
      <c r="A9954" s="12" t="s">
        <v>22670</v>
      </c>
      <c r="B9954" s="13" t="s">
        <v>22671</v>
      </c>
      <c r="C9954" s="14" t="s">
        <v>22672</v>
      </c>
      <c r="D9954" s="1" t="str">
        <f>IFERROR(__xludf.DUMMYFUNCTION("GOOGLETRANSLATE(A9954 , ""auto"", ""ar"")"),"إنه يتصل بصديقه")</f>
        <v>إنه يتصل بصديقه</v>
      </c>
    </row>
    <row r="9955" ht="15.75" customHeight="1">
      <c r="A9955" s="12" t="s">
        <v>22673</v>
      </c>
      <c r="B9955" s="13" t="s">
        <v>22674</v>
      </c>
      <c r="C9955" s="14" t="s">
        <v>22675</v>
      </c>
      <c r="D9955" s="1" t="str">
        <f>IFERROR(__xludf.DUMMYFUNCTION("GOOGLETRANSLATE(A9955 , ""auto"", ""ar"")"),"إنه يأكل شطيرة")</f>
        <v>إنه يأكل شطيرة</v>
      </c>
    </row>
    <row r="9956" ht="15.75" customHeight="1">
      <c r="A9956" s="12" t="s">
        <v>22676</v>
      </c>
      <c r="B9956" s="13" t="s">
        <v>22677</v>
      </c>
      <c r="C9956" s="14" t="s">
        <v>22678</v>
      </c>
      <c r="D9956" s="1" t="str">
        <f>IFERROR(__xludf.DUMMYFUNCTION("GOOGLETRANSLATE(A9956 , ""auto"", ""ar"")"),"إنه يلعب الورق")</f>
        <v>إنه يلعب الورق</v>
      </c>
    </row>
    <row r="9957" ht="15.75" customHeight="1">
      <c r="A9957" s="12" t="s">
        <v>22679</v>
      </c>
      <c r="B9957" s="13" t="s">
        <v>22680</v>
      </c>
      <c r="C9957" s="14" t="s">
        <v>22681</v>
      </c>
      <c r="D9957" s="1" t="str">
        <f>IFERROR(__xludf.DUMMYFUNCTION("GOOGLETRANSLATE(A9957 , ""auto"", ""ar"")"),"هو يجري في الحديقة")</f>
        <v>هو يجري في الحديقة</v>
      </c>
    </row>
    <row r="9958" ht="15.75" customHeight="1">
      <c r="A9958" s="12" t="s">
        <v>22682</v>
      </c>
      <c r="B9958" s="13" t="s">
        <v>22683</v>
      </c>
      <c r="C9958" s="14" t="s">
        <v>22684</v>
      </c>
      <c r="D9958" s="1" t="str">
        <f>IFERROR(__xludf.DUMMYFUNCTION("GOOGLETRANSLATE(A9958 , ""auto"", ""ar"")"),"إنه يراقب غروب الشمس")</f>
        <v>إنه يراقب غروب الشمس</v>
      </c>
    </row>
    <row r="9959" ht="15.75" customHeight="1">
      <c r="A9959" s="12" t="s">
        <v>22685</v>
      </c>
      <c r="B9959" s="13" t="s">
        <v>22686</v>
      </c>
      <c r="C9959" s="14" t="s">
        <v>22687</v>
      </c>
      <c r="D9959" s="1" t="str">
        <f>IFERROR(__xludf.DUMMYFUNCTION("GOOGLETRANSLATE(A9959 , ""auto"", ""ar"")"),"يأخذ سيارة أجرة")</f>
        <v>يأخذ سيارة أجرة</v>
      </c>
    </row>
    <row r="9960" ht="15.75" customHeight="1">
      <c r="A9960" s="12" t="s">
        <v>22688</v>
      </c>
      <c r="B9960" s="13" t="s">
        <v>22689</v>
      </c>
      <c r="C9960" s="14" t="s">
        <v>22690</v>
      </c>
      <c r="D9960" s="1" t="str">
        <f>IFERROR(__xludf.DUMMYFUNCTION("GOOGLETRANSLATE(A9960 , ""auto"", ""ar"")"),"يكتب قصة")</f>
        <v>يكتب قصة</v>
      </c>
    </row>
    <row r="9961" ht="15.75" customHeight="1">
      <c r="A9961" s="12" t="s">
        <v>22691</v>
      </c>
      <c r="B9961" s="13" t="s">
        <v>22692</v>
      </c>
      <c r="C9961" s="14" t="s">
        <v>22693</v>
      </c>
      <c r="D9961" s="1" t="str">
        <f>IFERROR(__xludf.DUMMYFUNCTION("GOOGLETRANSLATE(A9961 , ""auto"", ""ar"")"),"يلعب مع القط")</f>
        <v>يلعب مع القط</v>
      </c>
    </row>
    <row r="9962" ht="15.75" customHeight="1">
      <c r="A9962" s="12" t="s">
        <v>22694</v>
      </c>
      <c r="B9962" s="13" t="s">
        <v>22695</v>
      </c>
      <c r="C9962" s="14" t="s">
        <v>22696</v>
      </c>
      <c r="D9962" s="1" t="str">
        <f>IFERROR(__xludf.DUMMYFUNCTION("GOOGLETRANSLATE(A9962 , ""auto"", ""ar"")"),"أصلح السيارة")</f>
        <v>أصلح السيارة</v>
      </c>
    </row>
    <row r="9963" ht="15.75" customHeight="1">
      <c r="A9963" s="12" t="s">
        <v>22697</v>
      </c>
      <c r="B9963" s="13" t="s">
        <v>22698</v>
      </c>
      <c r="C9963" s="14" t="s">
        <v>22699</v>
      </c>
      <c r="D9963" s="1" t="str">
        <f>IFERROR(__xludf.DUMMYFUNCTION("GOOGLETRANSLATE(A9963 , ""auto"", ""ar"")"),"ذهب إلى المتحف")</f>
        <v>ذهب إلى المتحف</v>
      </c>
    </row>
    <row r="9964" ht="15.75" customHeight="1">
      <c r="A9964" s="12" t="s">
        <v>22700</v>
      </c>
      <c r="B9964" s="13" t="s">
        <v>22701</v>
      </c>
      <c r="C9964" s="14" t="s">
        <v>22702</v>
      </c>
      <c r="D9964" s="1" t="str">
        <f>IFERROR(__xludf.DUMMYFUNCTION("GOOGLETRANSLATE(A9964 , ""auto"", ""ar"")"),"أدى واجبه")</f>
        <v>أدى واجبه</v>
      </c>
    </row>
    <row r="9965" ht="15.75" customHeight="1">
      <c r="A9965" s="12" t="s">
        <v>22703</v>
      </c>
      <c r="B9965" s="13" t="s">
        <v>22704</v>
      </c>
      <c r="C9965" s="14" t="s">
        <v>22705</v>
      </c>
      <c r="D9965" s="1" t="str">
        <f>IFERROR(__xludf.DUMMYFUNCTION("GOOGLETRANSLATE(A9965 , ""auto"", ""ar"")"),"ذهب إلى الطبيب")</f>
        <v>ذهب إلى الطبيب</v>
      </c>
    </row>
    <row r="9966" ht="15.75" customHeight="1">
      <c r="A9966" s="12" t="s">
        <v>22706</v>
      </c>
      <c r="B9966" s="13" t="s">
        <v>22707</v>
      </c>
      <c r="C9966" s="14" t="s">
        <v>22708</v>
      </c>
      <c r="D9966" s="1" t="str">
        <f>IFERROR(__xludf.DUMMYFUNCTION("GOOGLETRANSLATE(A9966 , ""auto"", ""ar"")"),"كان لديه حفلة شواء")</f>
        <v>كان لديه حفلة شواء</v>
      </c>
    </row>
    <row r="9967" ht="15.75" customHeight="1">
      <c r="A9967" s="12" t="s">
        <v>22709</v>
      </c>
      <c r="B9967" s="13" t="s">
        <v>22710</v>
      </c>
      <c r="C9967" s="14" t="s">
        <v>22711</v>
      </c>
      <c r="D9967" s="1" t="str">
        <f>IFERROR(__xludf.DUMMYFUNCTION("GOOGLETRANSLATE(A9967 , ""auto"", ""ar"")"),"ذهب للتسوق عبر الإنترنت")</f>
        <v>ذهب للتسوق عبر الإنترنت</v>
      </c>
    </row>
    <row r="9968" ht="15.75" customHeight="1">
      <c r="A9968" s="12" t="s">
        <v>22712</v>
      </c>
      <c r="B9968" s="13" t="s">
        <v>22713</v>
      </c>
      <c r="C9968" s="14" t="s">
        <v>22714</v>
      </c>
      <c r="D9968" s="1" t="str">
        <f>IFERROR(__xludf.DUMMYFUNCTION("GOOGLETRANSLATE(A9968 , ""auto"", ""ar"")"),"دعا والدته")</f>
        <v>دعا والدته</v>
      </c>
    </row>
    <row r="9969" ht="15.75" customHeight="1">
      <c r="A9969" s="12" t="s">
        <v>22715</v>
      </c>
      <c r="B9969" s="13" t="s">
        <v>22716</v>
      </c>
      <c r="C9969" s="14" t="s">
        <v>22717</v>
      </c>
      <c r="D9969" s="1" t="str">
        <f>IFERROR(__xludf.DUMMYFUNCTION("GOOGLETRANSLATE(A9969 , ""auto"", ""ar"")"),"كان لديه اجتماع")</f>
        <v>كان لديه اجتماع</v>
      </c>
    </row>
    <row r="9970" ht="15.75" customHeight="1">
      <c r="A9970" s="12" t="s">
        <v>22718</v>
      </c>
      <c r="B9970" s="13" t="s">
        <v>22719</v>
      </c>
      <c r="C9970" s="14" t="s">
        <v>22720</v>
      </c>
      <c r="D9970" s="1" t="str">
        <f>IFERROR(__xludf.DUMMYFUNCTION("GOOGLETRANSLATE(A9970 , ""auto"", ""ar"")"),"ذهب إلى حديقة الحيوان")</f>
        <v>ذهب إلى حديقة الحيوان</v>
      </c>
    </row>
    <row r="9971" ht="15.75" customHeight="1">
      <c r="A9971" s="12" t="s">
        <v>22721</v>
      </c>
      <c r="B9971" s="13" t="s">
        <v>22722</v>
      </c>
      <c r="C9971" s="14" t="s">
        <v>22723</v>
      </c>
      <c r="D9971" s="1" t="str">
        <f>IFERROR(__xludf.DUMMYFUNCTION("GOOGLETRANSLATE(A9971 , ""auto"", ""ar"")"),"شاهد فيلم وثائقي")</f>
        <v>شاهد فيلم وثائقي</v>
      </c>
    </row>
    <row r="9972" ht="15.75" customHeight="1">
      <c r="A9972" s="12" t="s">
        <v>22724</v>
      </c>
      <c r="B9972" s="13" t="s">
        <v>22725</v>
      </c>
      <c r="C9972" s="14" t="s">
        <v>22726</v>
      </c>
      <c r="D9972" s="1" t="str">
        <f>IFERROR(__xludf.DUMMYFUNCTION("GOOGLETRANSLATE(A9972 , ""auto"", ""ar"")"),"ذهب إلى عرض كوميدي")</f>
        <v>ذهب إلى عرض كوميدي</v>
      </c>
    </row>
    <row r="9973" ht="15.75" customHeight="1">
      <c r="A9973" s="12" t="s">
        <v>22727</v>
      </c>
      <c r="B9973" s="13" t="s">
        <v>22728</v>
      </c>
      <c r="C9973" s="14" t="s">
        <v>22729</v>
      </c>
      <c r="D9973" s="1" t="str">
        <f>IFERROR(__xludf.DUMMYFUNCTION("GOOGLETRANSLATE(A9973 , ""auto"", ""ar"")"),"أجرى محادثة مع رئيسه")</f>
        <v>أجرى محادثة مع رئيسه</v>
      </c>
    </row>
    <row r="9974" ht="15.75" customHeight="1">
      <c r="A9974" s="12" t="s">
        <v>22730</v>
      </c>
      <c r="B9974" s="13" t="s">
        <v>22731</v>
      </c>
      <c r="C9974" s="14" t="s">
        <v>22732</v>
      </c>
      <c r="D9974" s="1" t="str">
        <f>IFERROR(__xludf.DUMMYFUNCTION("GOOGLETRANSLATE(A9974 , ""auto"", ""ar"")"),"ذهب إلى حدث خيري")</f>
        <v>ذهب إلى حدث خيري</v>
      </c>
    </row>
    <row r="9975" ht="15.75" customHeight="1">
      <c r="A9975" s="12" t="s">
        <v>22733</v>
      </c>
      <c r="B9975" s="13" t="s">
        <v>22734</v>
      </c>
      <c r="C9975" s="14" t="s">
        <v>22735</v>
      </c>
      <c r="D9975" s="1" t="str">
        <f>IFERROR(__xludf.DUMMYFUNCTION("GOOGLETRANSLATE(A9975 , ""auto"", ""ar"")"),"ذهب إلى سوق السلع المستعملة")</f>
        <v>ذهب إلى سوق السلع المستعملة</v>
      </c>
    </row>
    <row r="9976" ht="15.75" customHeight="1">
      <c r="A9976" s="12" t="s">
        <v>22736</v>
      </c>
      <c r="B9976" s="13" t="s">
        <v>22737</v>
      </c>
      <c r="C9976" s="14" t="s">
        <v>22738</v>
      </c>
      <c r="D9976" s="1" t="str">
        <f>IFERROR(__xludf.DUMMYFUNCTION("GOOGLETRANSLATE(A9976 , ""auto"", ""ar"")"),"أنا آكل ملفات تعريف الارتباط")</f>
        <v>أنا آكل ملفات تعريف الارتباط</v>
      </c>
    </row>
    <row r="9977" ht="15.75" customHeight="1">
      <c r="A9977" s="12" t="s">
        <v>22739</v>
      </c>
      <c r="B9977" s="13" t="s">
        <v>22740</v>
      </c>
      <c r="C9977" s="14" t="s">
        <v>22741</v>
      </c>
      <c r="D9977" s="1" t="str">
        <f>IFERROR(__xludf.DUMMYFUNCTION("GOOGLETRANSLATE(A9977 , ""auto"", ""ar"")"),"ذهب إلى عرض الأزياء")</f>
        <v>ذهب إلى عرض الأزياء</v>
      </c>
    </row>
    <row r="9978" ht="15.75" customHeight="1">
      <c r="A9978" s="12" t="s">
        <v>22742</v>
      </c>
      <c r="B9978" s="13" t="s">
        <v>22743</v>
      </c>
      <c r="C9978" s="14" t="s">
        <v>22744</v>
      </c>
      <c r="D9978" s="1" t="str">
        <f>IFERROR(__xludf.DUMMYFUNCTION("GOOGLETRANSLATE(A9978 , ""auto"", ""ar"")"),"كتب شعر")</f>
        <v>كتب شعر</v>
      </c>
    </row>
    <row r="9979" ht="15.75" customHeight="1">
      <c r="A9979" s="12" t="s">
        <v>22745</v>
      </c>
      <c r="B9979" s="13" t="s">
        <v>22746</v>
      </c>
      <c r="C9979" s="14" t="s">
        <v>22747</v>
      </c>
      <c r="D9979" s="1" t="str">
        <f>IFERROR(__xludf.DUMMYFUNCTION("GOOGLETRANSLATE(A9979 , ""auto"", ""ar"")"),"ذهب إلى متحف العلوم")</f>
        <v>ذهب إلى متحف العلوم</v>
      </c>
    </row>
    <row r="9980" ht="15.75" customHeight="1">
      <c r="A9980" s="12" t="s">
        <v>22748</v>
      </c>
      <c r="B9980" s="13" t="s">
        <v>22749</v>
      </c>
      <c r="C9980" s="14" t="s">
        <v>22750</v>
      </c>
      <c r="D9980" s="1" t="str">
        <f>IFERROR(__xludf.DUMMYFUNCTION("GOOGLETRANSLATE(A9980 , ""auto"", ""ar"")"),"شاهد عرض طبخ")</f>
        <v>شاهد عرض طبخ</v>
      </c>
    </row>
    <row r="9981" ht="15.75" customHeight="1">
      <c r="A9981" s="12" t="s">
        <v>22751</v>
      </c>
      <c r="B9981" s="13" t="s">
        <v>22752</v>
      </c>
      <c r="C9981" s="14" t="s">
        <v>22753</v>
      </c>
      <c r="D9981" s="1" t="str">
        <f>IFERROR(__xludf.DUMMYFUNCTION("GOOGLETRANSLATE(A9981 , ""auto"", ""ar"")"),"ذهب إلى سبا")</f>
        <v>ذهب إلى سبا</v>
      </c>
    </row>
    <row r="9982" ht="15.75" customHeight="1">
      <c r="A9982" s="12" t="s">
        <v>22754</v>
      </c>
      <c r="B9982" s="13" t="s">
        <v>22755</v>
      </c>
      <c r="C9982" s="14" t="s">
        <v>22756</v>
      </c>
      <c r="D9982" s="1" t="str">
        <f>IFERROR(__xludf.DUMMYFUNCTION("GOOGLETRANSLATE(A9982 , ""auto"", ""ar"")"),"ذهب إلى نادي الحياكة")</f>
        <v>ذهب إلى نادي الحياكة</v>
      </c>
    </row>
    <row r="9983" ht="15.75" customHeight="1">
      <c r="A9983" s="12" t="s">
        <v>22757</v>
      </c>
      <c r="B9983" s="13" t="s">
        <v>22758</v>
      </c>
      <c r="C9983" s="14" t="s">
        <v>22759</v>
      </c>
      <c r="D9983" s="1" t="str">
        <f>IFERROR(__xludf.DUMMYFUNCTION("GOOGLETRANSLATE(A9983 , ""auto"", ""ar"")"),"هو سعيد")</f>
        <v>هو سعيد</v>
      </c>
    </row>
    <row r="9984" ht="15.75" customHeight="1">
      <c r="A9984" s="12" t="s">
        <v>22760</v>
      </c>
      <c r="B9984" s="13" t="s">
        <v>22761</v>
      </c>
      <c r="C9984" s="14" t="s">
        <v>19471</v>
      </c>
      <c r="D9984" s="1" t="str">
        <f>IFERROR(__xludf.DUMMYFUNCTION("GOOGLETRANSLATE(A9984 , ""auto"", ""ar"")"),"هو طويل")</f>
        <v>هو طويل</v>
      </c>
    </row>
    <row r="9985" ht="15.75" customHeight="1">
      <c r="A9985" s="12" t="s">
        <v>22762</v>
      </c>
      <c r="B9985" s="13" t="s">
        <v>22763</v>
      </c>
      <c r="C9985" s="14" t="s">
        <v>19477</v>
      </c>
      <c r="D9985" s="1" t="str">
        <f>IFERROR(__xludf.DUMMYFUNCTION("GOOGLETRANSLATE(A9985 , ""auto"", ""ar"")"),"انه قصير")</f>
        <v>انه قصير</v>
      </c>
    </row>
    <row r="9986" ht="15.75" customHeight="1">
      <c r="A9986" s="12" t="s">
        <v>22764</v>
      </c>
      <c r="B9986" s="13" t="s">
        <v>22765</v>
      </c>
      <c r="C9986" s="14" t="s">
        <v>22766</v>
      </c>
      <c r="D9986" s="1" t="str">
        <f>IFERROR(__xludf.DUMMYFUNCTION("GOOGLETRANSLATE(A9986 , ""auto"", ""ar"")"),"انه ضعيف البنية")</f>
        <v>انه ضعيف البنية</v>
      </c>
    </row>
    <row r="9987" ht="15.75" customHeight="1">
      <c r="A9987" s="12" t="s">
        <v>22767</v>
      </c>
      <c r="B9987" s="13" t="s">
        <v>22768</v>
      </c>
      <c r="C9987" s="14" t="s">
        <v>22769</v>
      </c>
      <c r="D9987" s="1" t="str">
        <f>IFERROR(__xludf.DUMMYFUNCTION("GOOGLETRANSLATE(A9987 , ""auto"", ""ar"")"),"يدير سريع")</f>
        <v>يدير سريع</v>
      </c>
    </row>
    <row r="9988" ht="15.75" customHeight="1">
      <c r="A9988" s="12" t="s">
        <v>22770</v>
      </c>
      <c r="B9988" s="13" t="s">
        <v>22771</v>
      </c>
      <c r="C9988" s="14" t="s">
        <v>22772</v>
      </c>
      <c r="D9988" s="1" t="str">
        <f>IFERROR(__xludf.DUMMYFUNCTION("GOOGLETRANSLATE(A9988 , ""auto"", ""ar"")"),"يحب الآيس كريم.")</f>
        <v>يحب الآيس كريم.</v>
      </c>
    </row>
    <row r="9989" ht="15.75" customHeight="1">
      <c r="A9989" s="12" t="s">
        <v>22773</v>
      </c>
      <c r="B9989" s="13" t="s">
        <v>22774</v>
      </c>
      <c r="C9989" s="14" t="s">
        <v>22775</v>
      </c>
      <c r="D9989" s="1" t="str">
        <f>IFERROR(__xludf.DUMMYFUNCTION("GOOGLETRANSLATE(A9989 , ""auto"", ""ar"")"),"إنها تمطر بالخارج")</f>
        <v>إنها تمطر بالخارج</v>
      </c>
    </row>
    <row r="9990" ht="15.75" customHeight="1">
      <c r="A9990" s="12" t="s">
        <v>22776</v>
      </c>
      <c r="B9990" s="13" t="s">
        <v>22777</v>
      </c>
      <c r="C9990" s="14" t="s">
        <v>22778</v>
      </c>
      <c r="D9990" s="1" t="str">
        <f>IFERROR(__xludf.DUMMYFUNCTION("GOOGLETRANSLATE(A9990 , ""auto"", ""ar"")"),"اليوم هو يوم مشمس")</f>
        <v>اليوم هو يوم مشمس</v>
      </c>
    </row>
    <row r="9991" ht="15.75" customHeight="1">
      <c r="A9991" s="12" t="s">
        <v>22779</v>
      </c>
      <c r="B9991" s="13" t="s">
        <v>22780</v>
      </c>
      <c r="C9991" s="14" t="s">
        <v>22781</v>
      </c>
      <c r="D9991" s="1" t="str">
        <f>IFERROR(__xludf.DUMMYFUNCTION("GOOGLETRANSLATE(A9991 , ""auto"", ""ar"")"),"لديه سيارة")</f>
        <v>لديه سيارة</v>
      </c>
    </row>
    <row r="9992" ht="15.75" customHeight="1">
      <c r="A9992" s="12" t="s">
        <v>22782</v>
      </c>
      <c r="B9992" s="13" t="s">
        <v>22783</v>
      </c>
      <c r="C9992" s="14" t="s">
        <v>22784</v>
      </c>
      <c r="D9992" s="1" t="str">
        <f>IFERROR(__xludf.DUMMYFUNCTION("GOOGLETRANSLATE(A9992 , ""auto"", ""ar"")"),"يحب القراءة")</f>
        <v>يحب القراءة</v>
      </c>
    </row>
    <row r="9993" ht="15.75" customHeight="1">
      <c r="A9993" s="12" t="s">
        <v>22785</v>
      </c>
      <c r="B9993" s="13" t="s">
        <v>22786</v>
      </c>
      <c r="C9993" s="14" t="s">
        <v>22787</v>
      </c>
      <c r="D9993" s="1" t="str">
        <f>IFERROR(__xludf.DUMMYFUNCTION("GOOGLETRANSLATE(A9993 , ""auto"", ""ar"")"),"طهي العشاء")</f>
        <v>طهي العشاء</v>
      </c>
    </row>
    <row r="9994" ht="15.75" customHeight="1">
      <c r="A9994" s="12" t="s">
        <v>22788</v>
      </c>
      <c r="B9994" s="13" t="s">
        <v>22789</v>
      </c>
      <c r="C9994" s="14" t="s">
        <v>22790</v>
      </c>
      <c r="D9994" s="1" t="str">
        <f>IFERROR(__xludf.DUMMYFUNCTION("GOOGLETRANSLATE(A9994 , ""auto"", ""ar"")"),"ذهب للتسوق للملابس")</f>
        <v>ذهب للتسوق للملابس</v>
      </c>
    </row>
    <row r="9995" ht="15.75" customHeight="1">
      <c r="A9995" s="12" t="s">
        <v>22791</v>
      </c>
      <c r="B9995" s="13" t="s">
        <v>22792</v>
      </c>
      <c r="C9995" s="14" t="s">
        <v>22793</v>
      </c>
      <c r="D9995" s="1" t="str">
        <f>IFERROR(__xludf.DUMMYFUNCTION("GOOGLETRANSLATE(A9995 , ""auto"", ""ar"")"),"شاهد التلفزيون طوال اليوم")</f>
        <v>شاهد التلفزيون طوال اليوم</v>
      </c>
    </row>
    <row r="9996" ht="15.75" customHeight="1">
      <c r="A9996" s="12" t="s">
        <v>22794</v>
      </c>
      <c r="B9996" s="13" t="s">
        <v>22795</v>
      </c>
      <c r="C9996" s="14" t="s">
        <v>22796</v>
      </c>
      <c r="D9996" s="1" t="str">
        <f>IFERROR(__xludf.DUMMYFUNCTION("GOOGLETRANSLATE(A9996 , ""auto"", ""ar"")"),"ركب دراجته للعمل")</f>
        <v>ركب دراجته للعمل</v>
      </c>
    </row>
    <row r="9997" ht="15.75" customHeight="1">
      <c r="A9997" s="12" t="s">
        <v>22797</v>
      </c>
      <c r="B9997" s="13" t="s">
        <v>22798</v>
      </c>
      <c r="C9997" s="14" t="s">
        <v>22799</v>
      </c>
      <c r="D9997" s="1" t="str">
        <f>IFERROR(__xludf.DUMMYFUNCTION("GOOGLETRANSLATE(A9997 , ""auto"", ""ar"")"),"سبح في حمام السباحة")</f>
        <v>سبح في حمام السباحة</v>
      </c>
    </row>
    <row r="9998" ht="15.75" customHeight="1">
      <c r="A9998" s="12" t="s">
        <v>22800</v>
      </c>
      <c r="B9998" s="13" t="s">
        <v>22801</v>
      </c>
      <c r="C9998" s="14" t="s">
        <v>22802</v>
      </c>
      <c r="D9998" s="1" t="str">
        <f>IFERROR(__xludf.DUMMYFUNCTION("GOOGLETRANSLATE(A9998 , ""auto"", ""ar"")"),"رقص في حفل الزفاف")</f>
        <v>رقص في حفل الزفاف</v>
      </c>
    </row>
    <row r="9999" ht="15.75" customHeight="1">
      <c r="A9999" s="12" t="s">
        <v>22803</v>
      </c>
      <c r="B9999" s="13" t="s">
        <v>22804</v>
      </c>
      <c r="C9999" s="14" t="s">
        <v>22805</v>
      </c>
      <c r="D9999" s="1" t="str">
        <f>IFERROR(__xludf.DUMMYFUNCTION("GOOGLETRANSLATE(A9999 , ""auto"", ""ar"")"),"يدير ماراثون")</f>
        <v>يدير ماراثون</v>
      </c>
    </row>
    <row r="10000" ht="15.75" customHeight="1">
      <c r="A10000" s="12" t="s">
        <v>22806</v>
      </c>
      <c r="B10000" s="13" t="s">
        <v>22807</v>
      </c>
      <c r="C10000" s="14" t="s">
        <v>22808</v>
      </c>
      <c r="D10000" s="1" t="str">
        <f>IFERROR(__xludf.DUMMYFUNCTION("GOOGLETRANSLATE(A10000 , ""auto"", ""ar"")"),"سافر إلى أوروبا")</f>
        <v>سافر إلى أوروبا</v>
      </c>
    </row>
    <row r="10001" ht="15.75" customHeight="1">
      <c r="A10001" s="12" t="s">
        <v>22809</v>
      </c>
      <c r="B10001" s="13" t="s">
        <v>22810</v>
      </c>
      <c r="C10001" s="14" t="s">
        <v>22811</v>
      </c>
      <c r="D10001" s="1" t="str">
        <f>IFERROR(__xludf.DUMMYFUNCTION("GOOGLETRANSLATE(A10001 , ""auto"", ""ar"")"),"ذهب للتخييم في الجبال")</f>
        <v>ذهب للتخييم في الجبال</v>
      </c>
    </row>
    <row r="10002" ht="15.75" customHeight="1">
      <c r="A10002" s="12" t="s">
        <v>22812</v>
      </c>
      <c r="B10002" s="13" t="s">
        <v>22813</v>
      </c>
      <c r="C10002" s="14" t="s">
        <v>22814</v>
      </c>
      <c r="D10002" s="1" t="str">
        <f>IFERROR(__xludf.DUMMYFUNCTION("GOOGLETRANSLATE(A10002 , ""auto"", ""ar"")"),"أخذ أطفاله إلى السينما")</f>
        <v>أخذ أطفاله إلى السينما</v>
      </c>
    </row>
    <row r="10003" ht="15.75" customHeight="1">
      <c r="A10003" s="12" t="s">
        <v>22815</v>
      </c>
      <c r="B10003" s="13" t="s">
        <v>22816</v>
      </c>
      <c r="C10003" s="14" t="s">
        <v>22817</v>
      </c>
      <c r="D10003" s="1" t="str">
        <f>IFERROR(__xludf.DUMMYFUNCTION("GOOGLETRANSLATE(A10003 , ""auto"", ""ar"")"),"رسم غرفته بلون جديد")</f>
        <v>رسم غرفته بلون جديد</v>
      </c>
    </row>
    <row r="10004" ht="15.75" customHeight="1">
      <c r="A10004" s="12" t="s">
        <v>22818</v>
      </c>
      <c r="B10004" s="13" t="s">
        <v>22819</v>
      </c>
      <c r="C10004" s="14" t="s">
        <v>22820</v>
      </c>
      <c r="D10004" s="1" t="str">
        <f>IFERROR(__xludf.DUMMYFUNCTION("GOOGLETRANSLATE(A10004 , ""auto"", ""ar"")"),"زار أجداده")</f>
        <v>زار أجداده</v>
      </c>
    </row>
    <row r="10005" ht="15.75" customHeight="1">
      <c r="A10005" s="12" t="s">
        <v>22821</v>
      </c>
      <c r="B10005" s="13" t="s">
        <v>22822</v>
      </c>
      <c r="C10005" s="14" t="s">
        <v>22823</v>
      </c>
      <c r="D10005" s="1" t="str">
        <f>IFERROR(__xludf.DUMMYFUNCTION("GOOGLETRANSLATE(A10005 , ""auto"", ""ar"")"),"قام بتنظيف غرفته")</f>
        <v>قام بتنظيف غرفته</v>
      </c>
    </row>
    <row r="10006" ht="15.75" customHeight="1">
      <c r="A10006" s="12" t="s">
        <v>22824</v>
      </c>
      <c r="B10006" s="13" t="s">
        <v>22825</v>
      </c>
      <c r="C10006" s="14" t="s">
        <v>22826</v>
      </c>
      <c r="D10006" s="1" t="str">
        <f>IFERROR(__xludf.DUMMYFUNCTION("GOOGLETRANSLATE(A10006 , ""auto"", ""ar"")"),"ذهب إلى طبيب الأسنان")</f>
        <v>ذهب إلى طبيب الأسنان</v>
      </c>
    </row>
    <row r="10007" ht="15.75" customHeight="1">
      <c r="A10007" s="12" t="s">
        <v>22827</v>
      </c>
      <c r="B10007" s="13" t="s">
        <v>22828</v>
      </c>
      <c r="C10007" s="14" t="s">
        <v>22829</v>
      </c>
      <c r="D10007" s="1" t="str">
        <f>IFERROR(__xludf.DUMMYFUNCTION("GOOGLETRANSLATE(A10007 , ""auto"", ""ar"")"),"ذهب إلى المكتبة")</f>
        <v>ذهب إلى المكتبة</v>
      </c>
    </row>
    <row r="10008" ht="15.75" customHeight="1">
      <c r="A10008" s="12" t="s">
        <v>22830</v>
      </c>
      <c r="B10008" s="13" t="s">
        <v>22831</v>
      </c>
      <c r="C10008" s="14" t="s">
        <v>22832</v>
      </c>
      <c r="D10008" s="1" t="str">
        <f>IFERROR(__xludf.DUMMYFUNCTION("GOOGLETRANSLATE(A10008 , ""auto"", ""ar"")"),"شاهد غروب الشمس")</f>
        <v>شاهد غروب الشمس</v>
      </c>
    </row>
    <row r="10009" ht="15.75" customHeight="1">
      <c r="A10009" s="12" t="s">
        <v>22833</v>
      </c>
      <c r="B10009" s="13" t="s">
        <v>22834</v>
      </c>
      <c r="C10009" s="14" t="s">
        <v>22835</v>
      </c>
      <c r="D10009" s="1" t="str">
        <f>IFERROR(__xludf.DUMMYFUNCTION("GOOGLETRANSLATE(A10009 , ""auto"", ""ar"")"),"أخذ دشًا ساخنًا")</f>
        <v>أخذ دشًا ساخنًا</v>
      </c>
    </row>
    <row r="10010" ht="15.75" customHeight="1">
      <c r="A10010" s="12" t="s">
        <v>22836</v>
      </c>
      <c r="B10010" s="13" t="s">
        <v>22837</v>
      </c>
      <c r="C10010" s="14" t="s">
        <v>22838</v>
      </c>
      <c r="D10010" s="1" t="str">
        <f>IFERROR(__xludf.DUMMYFUNCTION("GOOGLETRANSLATE(A10010 , ""auto"", ""ar"")"),"قرأ كتابًا في الحديقة")</f>
        <v>قرأ كتابًا في الحديقة</v>
      </c>
    </row>
    <row r="10011" ht="15.75" customHeight="1">
      <c r="A10011" s="12" t="s">
        <v>22839</v>
      </c>
      <c r="B10011" s="13" t="s">
        <v>22840</v>
      </c>
      <c r="C10011" s="14" t="s">
        <v>22841</v>
      </c>
      <c r="D10011" s="1" t="str">
        <f>IFERROR(__xludf.DUMMYFUNCTION("GOOGLETRANSLATE(A10011 , ""auto"", ""ar"")"),"لقد تعلم وصفة جديدة")</f>
        <v>لقد تعلم وصفة جديدة</v>
      </c>
    </row>
    <row r="10012" ht="15.75" customHeight="1">
      <c r="A10012" s="12" t="s">
        <v>22842</v>
      </c>
      <c r="B10012" s="13" t="s">
        <v>22843</v>
      </c>
      <c r="C10012" s="14" t="s">
        <v>22844</v>
      </c>
      <c r="D10012" s="1" t="str">
        <f>IFERROR(__xludf.DUMMYFUNCTION("GOOGLETRANSLATE(A10012 , ""auto"", ""ar"")"),"هو هنا")</f>
        <v>هو هنا</v>
      </c>
    </row>
    <row r="10013" ht="15.75" customHeight="1">
      <c r="A10013" s="12" t="s">
        <v>22845</v>
      </c>
      <c r="B10013" s="13" t="s">
        <v>22846</v>
      </c>
      <c r="C10013" s="14" t="s">
        <v>22847</v>
      </c>
      <c r="D10013" s="1" t="str">
        <f>IFERROR(__xludf.DUMMYFUNCTION("GOOGLETRANSLATE(A10013 , ""auto"", ""ar"")"),"هو موسيقي")</f>
        <v>هو موسيقي</v>
      </c>
    </row>
    <row r="10014" ht="15.75" customHeight="1">
      <c r="A10014" s="12" t="s">
        <v>22848</v>
      </c>
      <c r="B10014" s="13" t="s">
        <v>22849</v>
      </c>
      <c r="C10014" s="14" t="s">
        <v>22850</v>
      </c>
      <c r="D10014" s="1" t="str">
        <f>IFERROR(__xludf.DUMMYFUNCTION("GOOGLETRANSLATE(A10014 , ""auto"", ""ar"")"),"يستمتع بالصيد")</f>
        <v>يستمتع بالصيد</v>
      </c>
    </row>
    <row r="10015" ht="15.75" customHeight="1">
      <c r="A10015" s="12" t="s">
        <v>22851</v>
      </c>
      <c r="B10015" s="13" t="s">
        <v>22852</v>
      </c>
      <c r="C10015" s="14" t="s">
        <v>22853</v>
      </c>
      <c r="D10015" s="1" t="str">
        <f>IFERROR(__xludf.DUMMYFUNCTION("GOOGLETRANSLATE(A10015 , ""auto"", ""ar"")"),"يستمتع بالمشي الطبيعي")</f>
        <v>يستمتع بالمشي الطبيعي</v>
      </c>
    </row>
    <row r="10016" ht="15.75" customHeight="1">
      <c r="A10016" s="12" t="s">
        <v>22854</v>
      </c>
      <c r="B10016" s="13" t="s">
        <v>22855</v>
      </c>
      <c r="C10016" s="14" t="s">
        <v>22856</v>
      </c>
      <c r="D10016" s="1" t="str">
        <f>IFERROR(__xludf.DUMMYFUNCTION("GOOGLETRANSLATE(A10016 , ""auto"", ""ar"")"),"يحتاج إلى استراحة")</f>
        <v>يحتاج إلى استراحة</v>
      </c>
    </row>
    <row r="10017" ht="15.75" customHeight="1">
      <c r="A10017" s="12" t="s">
        <v>22857</v>
      </c>
      <c r="B10017" s="13" t="s">
        <v>22858</v>
      </c>
      <c r="C10017" s="14" t="s">
        <v>22859</v>
      </c>
      <c r="D10017" s="1" t="str">
        <f>IFERROR(__xludf.DUMMYFUNCTION("GOOGLETRANSLATE(A10017 , ""auto"", ""ar"")"),"إنه يساعد الآخرين")</f>
        <v>إنه يساعد الآخرين</v>
      </c>
    </row>
    <row r="10018" ht="15.75" customHeight="1">
      <c r="A10018" s="12" t="s">
        <v>22860</v>
      </c>
      <c r="B10018" s="13" t="s">
        <v>22861</v>
      </c>
      <c r="C10018" s="14" t="s">
        <v>22862</v>
      </c>
      <c r="D10018" s="1" t="str">
        <f>IFERROR(__xludf.DUMMYFUNCTION("GOOGLETRANSLATE(A10018 , ""auto"", ""ar"")"),"يتعلم أشياء جديدة")</f>
        <v>يتعلم أشياء جديدة</v>
      </c>
    </row>
    <row r="10019" ht="15.75" customHeight="1">
      <c r="A10019" s="12" t="s">
        <v>22863</v>
      </c>
      <c r="B10019" s="13" t="s">
        <v>22864</v>
      </c>
      <c r="C10019" s="14" t="s">
        <v>20395</v>
      </c>
      <c r="D10019" s="1" t="str">
        <f>IFERROR(__xludf.DUMMYFUNCTION("GOOGLETRANSLATE(A10019 , ""auto"", ""ar"")"),"يأكل بسرعة")</f>
        <v>يأكل بسرعة</v>
      </c>
    </row>
    <row r="10020" ht="15.75" customHeight="1">
      <c r="A10020" s="12" t="s">
        <v>22865</v>
      </c>
      <c r="B10020" s="13" t="s">
        <v>21130</v>
      </c>
      <c r="C10020" s="14" t="s">
        <v>21131</v>
      </c>
      <c r="D10020" s="1" t="str">
        <f>IFERROR(__xludf.DUMMYFUNCTION("GOOGLETRANSLATE(A10020 , ""auto"", ""ar"")"),"اغسل يديك")</f>
        <v>اغسل يديك</v>
      </c>
    </row>
    <row r="10021" ht="15.75" customHeight="1">
      <c r="A10021" s="12" t="s">
        <v>22866</v>
      </c>
      <c r="B10021" s="13" t="s">
        <v>22867</v>
      </c>
      <c r="C10021" s="14" t="s">
        <v>22868</v>
      </c>
      <c r="D10021" s="1" t="str">
        <f>IFERROR(__xludf.DUMMYFUNCTION("GOOGLETRANSLATE(A10021 , ""auto"", ""ar"")"),"هل غسل وجهه؟")</f>
        <v>هل غسل وجهه؟</v>
      </c>
    </row>
    <row r="10022" ht="15.75" customHeight="1">
      <c r="A10022" s="12" t="s">
        <v>22869</v>
      </c>
      <c r="B10022" s="13" t="s">
        <v>22870</v>
      </c>
      <c r="C10022" s="14" t="s">
        <v>22871</v>
      </c>
      <c r="D10022" s="1" t="str">
        <f>IFERROR(__xludf.DUMMYFUNCTION("GOOGLETRANSLATE(A10022 , ""auto"", ""ar"")"),"من هذا الطفل؟")</f>
        <v>من هذا الطفل؟</v>
      </c>
    </row>
    <row r="10023" ht="15.75" customHeight="1">
      <c r="A10023" s="12" t="s">
        <v>22872</v>
      </c>
      <c r="B10023" s="13" t="s">
        <v>22873</v>
      </c>
      <c r="C10023" s="14" t="s">
        <v>22874</v>
      </c>
      <c r="D10023" s="1" t="str">
        <f>IFERROR(__xludf.DUMMYFUNCTION("GOOGLETRANSLATE(A10023 , ""auto"", ""ar"")"),"ما الذي يجري؟")</f>
        <v>ما الذي يجري؟</v>
      </c>
    </row>
    <row r="10024" ht="15.75" customHeight="1">
      <c r="A10024" s="12" t="s">
        <v>22875</v>
      </c>
      <c r="B10024" s="13" t="s">
        <v>22876</v>
      </c>
      <c r="C10024" s="14" t="s">
        <v>22877</v>
      </c>
      <c r="D10024" s="1" t="str">
        <f>IFERROR(__xludf.DUMMYFUNCTION("GOOGLETRANSLATE(A10024 , ""auto"", ""ar"")"),"انظر الى السماء")</f>
        <v>انظر الى السماء</v>
      </c>
    </row>
    <row r="10025" ht="15.75" customHeight="1">
      <c r="A10025" s="12" t="s">
        <v>22878</v>
      </c>
      <c r="B10025" s="13" t="s">
        <v>22879</v>
      </c>
      <c r="C10025" s="14" t="s">
        <v>22880</v>
      </c>
      <c r="D10025" s="1" t="str">
        <f>IFERROR(__xludf.DUMMYFUNCTION("GOOGLETRANSLATE(A10025 , ""auto"", ""ar"")"),"أغلق خزانة الملابس")</f>
        <v>أغلق خزانة الملابس</v>
      </c>
    </row>
    <row r="10026" ht="15.75" customHeight="1">
      <c r="A10026" s="12" t="s">
        <v>22881</v>
      </c>
      <c r="B10026" s="13" t="s">
        <v>22882</v>
      </c>
      <c r="C10026" s="14" t="s">
        <v>22883</v>
      </c>
      <c r="D10026" s="1" t="str">
        <f>IFERROR(__xludf.DUMMYFUNCTION("GOOGLETRANSLATE(A10026 , ""auto"", ""ar"")"),"أين صديقك؟")</f>
        <v>أين صديقك؟</v>
      </c>
    </row>
    <row r="10027" ht="15.75" customHeight="1">
      <c r="A10027" s="12" t="s">
        <v>22884</v>
      </c>
      <c r="B10027" s="13" t="s">
        <v>22885</v>
      </c>
      <c r="C10027" s="14" t="s">
        <v>22886</v>
      </c>
      <c r="D10027" s="1" t="str">
        <f>IFERROR(__xludf.DUMMYFUNCTION("GOOGLETRANSLATE(A10027 , ""auto"", ""ar"")"),"لا تتأخر عن الفصل")</f>
        <v>لا تتأخر عن الفصل</v>
      </c>
    </row>
    <row r="10028" ht="15.75" customHeight="1">
      <c r="A10028" s="12" t="s">
        <v>22887</v>
      </c>
      <c r="B10028" s="13" t="s">
        <v>22888</v>
      </c>
      <c r="C10028" s="14" t="s">
        <v>22889</v>
      </c>
      <c r="D10028" s="1" t="str">
        <f>IFERROR(__xludf.DUMMYFUNCTION("GOOGLETRANSLATE(A10028 , ""auto"", ""ar"")"),"هذا غير صحيح")</f>
        <v>هذا غير صحيح</v>
      </c>
    </row>
    <row r="10029" ht="15.75" customHeight="1">
      <c r="A10029" s="12" t="s">
        <v>22890</v>
      </c>
      <c r="B10029" s="13" t="s">
        <v>22891</v>
      </c>
      <c r="C10029" s="14" t="s">
        <v>22892</v>
      </c>
      <c r="D10029" s="1" t="str">
        <f>IFERROR(__xludf.DUMMYFUNCTION("GOOGLETRANSLATE(A10029 , ""auto"", ""ar"")"),"اذهب وينام على سريرك")</f>
        <v>اذهب وينام على سريرك</v>
      </c>
    </row>
    <row r="10030" ht="15.75" customHeight="1">
      <c r="A10030" s="12" t="s">
        <v>22893</v>
      </c>
      <c r="B10030" s="13" t="s">
        <v>22894</v>
      </c>
      <c r="C10030" s="14" t="s">
        <v>22895</v>
      </c>
      <c r="D10030" s="1" t="str">
        <f>IFERROR(__xludf.DUMMYFUNCTION("GOOGLETRANSLATE(A10030 , ""auto"", ""ar"")"),"احترم شيوخك")</f>
        <v>احترم شيوخك</v>
      </c>
    </row>
    <row r="10031" ht="15.75" customHeight="1">
      <c r="A10031" s="12" t="s">
        <v>22896</v>
      </c>
      <c r="B10031" s="13" t="s">
        <v>22897</v>
      </c>
      <c r="C10031" s="14" t="s">
        <v>22898</v>
      </c>
      <c r="D10031" s="1" t="str">
        <f>IFERROR(__xludf.DUMMYFUNCTION("GOOGLETRANSLATE(A10031 , ""auto"", ""ar"")"),"اين ملابسي؟")</f>
        <v>اين ملابسي؟</v>
      </c>
    </row>
    <row r="10032" ht="15.75" customHeight="1">
      <c r="A10032" s="12" t="s">
        <v>22899</v>
      </c>
      <c r="B10032" s="13" t="s">
        <v>22900</v>
      </c>
      <c r="C10032" s="14" t="s">
        <v>22901</v>
      </c>
      <c r="D10032" s="1" t="str">
        <f>IFERROR(__xludf.DUMMYFUNCTION("GOOGLETRANSLATE(A10032 , ""auto"", ""ar"")"),"القمر مشرق")</f>
        <v>القمر مشرق</v>
      </c>
    </row>
    <row r="10033" ht="15.75" customHeight="1">
      <c r="A10033" s="12" t="s">
        <v>22902</v>
      </c>
      <c r="B10033" s="13" t="s">
        <v>22903</v>
      </c>
      <c r="C10033" s="14" t="s">
        <v>22904</v>
      </c>
      <c r="D10033" s="1" t="str">
        <f>IFERROR(__xludf.DUMMYFUNCTION("GOOGLETRANSLATE(A10033 , ""auto"", ""ar"")"),"إنه خائف من الظلام")</f>
        <v>إنه خائف من الظلام</v>
      </c>
    </row>
    <row r="10034" ht="15.75" customHeight="1">
      <c r="A10034" s="12" t="s">
        <v>22905</v>
      </c>
      <c r="B10034" s="13" t="s">
        <v>22906</v>
      </c>
      <c r="C10034" s="14" t="s">
        <v>22907</v>
      </c>
      <c r="D10034" s="1" t="str">
        <f>IFERROR(__xludf.DUMMYFUNCTION("GOOGLETRANSLATE(A10034 , ""auto"", ""ar"")"),"قد تسقط")</f>
        <v>قد تسقط</v>
      </c>
    </row>
    <row r="10035" ht="15.75" customHeight="1">
      <c r="A10035" s="12" t="s">
        <v>22908</v>
      </c>
      <c r="B10035" s="13" t="s">
        <v>22909</v>
      </c>
      <c r="C10035" s="14" t="s">
        <v>22910</v>
      </c>
      <c r="D10035" s="1" t="str">
        <f>IFERROR(__xludf.DUMMYFUNCTION("GOOGLETRANSLATE(A10035 , ""auto"", ""ar"")"),"عليك أن تهدأ")</f>
        <v>عليك أن تهدأ</v>
      </c>
    </row>
    <row r="10036" ht="15.75" customHeight="1">
      <c r="A10036" s="12" t="s">
        <v>22911</v>
      </c>
      <c r="B10036" s="13" t="s">
        <v>22912</v>
      </c>
      <c r="C10036" s="14" t="s">
        <v>22913</v>
      </c>
      <c r="D10036" s="1" t="str">
        <f>IFERROR(__xludf.DUMMYFUNCTION("GOOGLETRANSLATE(A10036 , ""auto"", ""ar"")"),"استعار كتاب من المكتبة")</f>
        <v>استعار كتاب من المكتبة</v>
      </c>
    </row>
    <row r="10037" ht="15.75" customHeight="1">
      <c r="A10037" s="12" t="s">
        <v>22914</v>
      </c>
      <c r="B10037" s="13" t="s">
        <v>22915</v>
      </c>
      <c r="C10037" s="14" t="s">
        <v>22916</v>
      </c>
      <c r="D10037" s="1" t="str">
        <f>IFERROR(__xludf.DUMMYFUNCTION("GOOGLETRANSLATE(A10037 , ""auto"", ""ar"")"),"اذهب وحضور الفصل")</f>
        <v>اذهب وحضور الفصل</v>
      </c>
    </row>
    <row r="10038" ht="15.75" customHeight="1">
      <c r="A10038" s="12" t="s">
        <v>22917</v>
      </c>
      <c r="B10038" s="13" t="s">
        <v>22918</v>
      </c>
      <c r="C10038" s="14" t="s">
        <v>22919</v>
      </c>
      <c r="D10038" s="1" t="str">
        <f>IFERROR(__xludf.DUMMYFUNCTION("GOOGLETRANSLATE(A10038 , ""auto"", ""ar"")"),"هذه الفترة مملة")</f>
        <v>هذه الفترة مملة</v>
      </c>
    </row>
    <row r="10039" ht="15.75" customHeight="1">
      <c r="A10039" s="12" t="s">
        <v>22920</v>
      </c>
      <c r="B10039" s="13" t="s">
        <v>22921</v>
      </c>
      <c r="C10039" s="14" t="s">
        <v>22922</v>
      </c>
      <c r="D10039" s="1" t="str">
        <f>IFERROR(__xludf.DUMMYFUNCTION("GOOGLETRANSLATE(A10039 , ""auto"", ""ar"")"),"إنه لا يذهب إلى أي مكان")</f>
        <v>إنه لا يذهب إلى أي مكان</v>
      </c>
    </row>
    <row r="10040" ht="15.75" customHeight="1">
      <c r="A10040" s="12" t="s">
        <v>22923</v>
      </c>
      <c r="B10040" s="13" t="s">
        <v>22924</v>
      </c>
      <c r="C10040" s="14" t="s">
        <v>22925</v>
      </c>
      <c r="D10040" s="1" t="str">
        <f>IFERROR(__xludf.DUMMYFUNCTION("GOOGLETRANSLATE(A10040 , ""auto"", ""ar"")"),"الواجب المنزلي سهل للغاية")</f>
        <v>الواجب المنزلي سهل للغاية</v>
      </c>
    </row>
    <row r="10041" ht="15.75" customHeight="1">
      <c r="A10041" s="12" t="s">
        <v>22926</v>
      </c>
      <c r="B10041" s="13" t="s">
        <v>22927</v>
      </c>
      <c r="C10041" s="14" t="s">
        <v>22928</v>
      </c>
      <c r="D10041" s="1" t="str">
        <f>IFERROR(__xludf.DUMMYFUNCTION("GOOGLETRANSLATE(A10041 , ""auto"", ""ar"")"),"قد تغفو")</f>
        <v>قد تغفو</v>
      </c>
    </row>
    <row r="10042" ht="15.75" customHeight="1">
      <c r="A10042" s="12" t="s">
        <v>22929</v>
      </c>
      <c r="B10042" s="13" t="s">
        <v>22930</v>
      </c>
      <c r="C10042" s="14" t="s">
        <v>22931</v>
      </c>
      <c r="D10042" s="1" t="str">
        <f>IFERROR(__xludf.DUMMYFUNCTION("GOOGLETRANSLATE(A10042 , ""auto"", ""ar"")"),"يأتي إلى المدرسة بالحافلة")</f>
        <v>يأتي إلى المدرسة بالحافلة</v>
      </c>
    </row>
    <row r="10043" ht="15.75" customHeight="1">
      <c r="A10043" s="12" t="s">
        <v>22932</v>
      </c>
      <c r="B10043" s="13" t="s">
        <v>22933</v>
      </c>
      <c r="C10043" s="14" t="s">
        <v>22934</v>
      </c>
      <c r="D10043" s="1" t="str">
        <f>IFERROR(__xludf.DUMMYFUNCTION("GOOGLETRANSLATE(A10043 , ""auto"", ""ar"")"),"إنه يزعجني")</f>
        <v>إنه يزعجني</v>
      </c>
    </row>
    <row r="10044" ht="15.75" customHeight="1">
      <c r="A10044" s="12" t="s">
        <v>22935</v>
      </c>
      <c r="B10044" s="13" t="s">
        <v>22936</v>
      </c>
      <c r="C10044" s="14" t="s">
        <v>22937</v>
      </c>
      <c r="D10044" s="1" t="str">
        <f>IFERROR(__xludf.DUMMYFUNCTION("GOOGLETRANSLATE(A10044 , ""auto"", ""ar"")"),"يريد أن يكون ناجحا")</f>
        <v>يريد أن يكون ناجحا</v>
      </c>
    </row>
    <row r="10045" ht="15.75" customHeight="1">
      <c r="A10045" s="12" t="s">
        <v>22938</v>
      </c>
      <c r="B10045" s="13" t="s">
        <v>22939</v>
      </c>
      <c r="C10045" s="14" t="s">
        <v>22940</v>
      </c>
      <c r="D10045" s="1" t="str">
        <f>IFERROR(__xludf.DUMMYFUNCTION("GOOGLETRANSLATE(A10045 , ""auto"", ""ar"")"),"استمع إلى شيوخك")</f>
        <v>استمع إلى شيوخك</v>
      </c>
    </row>
    <row r="10046" ht="15.75" customHeight="1">
      <c r="A10046" s="12" t="s">
        <v>22941</v>
      </c>
      <c r="B10046" s="13" t="s">
        <v>22942</v>
      </c>
      <c r="C10046" s="14" t="s">
        <v>22943</v>
      </c>
      <c r="D10046" s="1" t="str">
        <f>IFERROR(__xludf.DUMMYFUNCTION("GOOGLETRANSLATE(A10046 , ""auto"", ""ar"")"),"لا تحدث ضوضاء")</f>
        <v>لا تحدث ضوضاء</v>
      </c>
    </row>
    <row r="10047" ht="15.75" customHeight="1">
      <c r="A10047" s="12" t="s">
        <v>22944</v>
      </c>
      <c r="B10047" s="13" t="s">
        <v>22945</v>
      </c>
      <c r="C10047" s="14" t="s">
        <v>22946</v>
      </c>
      <c r="D10047" s="1" t="str">
        <f>IFERROR(__xludf.DUMMYFUNCTION("GOOGLETRANSLATE(A10047 , ""auto"", ""ar"")"),"توقف عن الحديث في الفصل الدراسي")</f>
        <v>توقف عن الحديث في الفصل الدراسي</v>
      </c>
    </row>
    <row r="10048" ht="15.75" customHeight="1">
      <c r="A10048" s="12" t="s">
        <v>22947</v>
      </c>
      <c r="B10048" s="13" t="s">
        <v>22948</v>
      </c>
      <c r="C10048" s="14" t="s">
        <v>22949</v>
      </c>
      <c r="D10048" s="1" t="str">
        <f>IFERROR(__xludf.DUMMYFUNCTION("GOOGLETRANSLATE(A10048 , ""auto"", ""ar"")"),"كيف تجرؤ على أن تقول ذلك؟")</f>
        <v>كيف تجرؤ على أن تقول ذلك؟</v>
      </c>
    </row>
    <row r="10049" ht="15.75" customHeight="1">
      <c r="A10049" s="12" t="s">
        <v>22950</v>
      </c>
      <c r="B10049" s="13" t="s">
        <v>22951</v>
      </c>
      <c r="C10049" s="14" t="s">
        <v>22952</v>
      </c>
      <c r="D10049" s="1" t="str">
        <f>IFERROR(__xludf.DUMMYFUNCTION("GOOGLETRANSLATE(A10049 , ""auto"", ""ar"")"),"يريد اللعب مع أصدقائه")</f>
        <v>يريد اللعب مع أصدقائه</v>
      </c>
    </row>
    <row r="10050" ht="15.75" customHeight="1">
      <c r="A10050" s="12" t="s">
        <v>22953</v>
      </c>
      <c r="B10050" s="13" t="s">
        <v>22954</v>
      </c>
      <c r="C10050" s="14" t="s">
        <v>22955</v>
      </c>
      <c r="D10050" s="1" t="str">
        <f>IFERROR(__xludf.DUMMYFUNCTION("GOOGLETRANSLATE(A10050 , ""auto"", ""ar"")"),"يتأخر عن المدرسة")</f>
        <v>يتأخر عن المدرسة</v>
      </c>
    </row>
    <row r="10051" ht="15.75" customHeight="1">
      <c r="A10051" s="12" t="s">
        <v>22956</v>
      </c>
      <c r="B10051" s="13" t="s">
        <v>22957</v>
      </c>
      <c r="C10051" s="14" t="s">
        <v>22958</v>
      </c>
      <c r="D10051" s="1" t="str">
        <f>IFERROR(__xludf.DUMMYFUNCTION("GOOGLETRANSLATE(A10051 , ""auto"", ""ar"")"),"والده دائما يسقطه في المدرسة")</f>
        <v>والده دائما يسقطه في المدرسة</v>
      </c>
    </row>
    <row r="10052" ht="15.75" customHeight="1">
      <c r="A10052" s="12" t="s">
        <v>22959</v>
      </c>
      <c r="B10052" s="13" t="s">
        <v>22960</v>
      </c>
      <c r="C10052" s="14" t="s">
        <v>22961</v>
      </c>
      <c r="D10052" s="1" t="str">
        <f>IFERROR(__xludf.DUMMYFUNCTION("GOOGLETRANSLATE(A10052 , ""auto"", ""ar"")"),"صديقي غائب اليوم")</f>
        <v>صديقي غائب اليوم</v>
      </c>
    </row>
    <row r="10053" ht="15.75" customHeight="1">
      <c r="A10053" s="12" t="s">
        <v>22962</v>
      </c>
      <c r="B10053" s="13" t="s">
        <v>22963</v>
      </c>
      <c r="C10053" s="14" t="s">
        <v>22964</v>
      </c>
      <c r="D10053" s="1" t="str">
        <f>IFERROR(__xludf.DUMMYFUNCTION("GOOGLETRANSLATE(A10053 , ""auto"", ""ar"")"),"امسح السبورة")</f>
        <v>امسح السبورة</v>
      </c>
    </row>
    <row r="10054" ht="15.75" customHeight="1">
      <c r="A10054" s="12" t="s">
        <v>22965</v>
      </c>
      <c r="B10054" s="13" t="s">
        <v>22966</v>
      </c>
      <c r="C10054" s="14" t="s">
        <v>22967</v>
      </c>
      <c r="D10054" s="1" t="str">
        <f>IFERROR(__xludf.DUMMYFUNCTION("GOOGLETRANSLATE(A10054 , ""auto"", ""ar"")"),"غدا سيكون عطلة")</f>
        <v>غدا سيكون عطلة</v>
      </c>
    </row>
    <row r="10055" ht="15.75" customHeight="1">
      <c r="A10055" s="12" t="s">
        <v>22968</v>
      </c>
      <c r="B10055" s="13" t="s">
        <v>22969</v>
      </c>
      <c r="C10055" s="14" t="s">
        <v>22970</v>
      </c>
      <c r="D10055" s="1" t="str">
        <f>IFERROR(__xludf.DUMMYFUNCTION("GOOGLETRANSLATE(A10055 , ""auto"", ""ar"")"),"اين احذيتي؟")</f>
        <v>اين احذيتي؟</v>
      </c>
    </row>
    <row r="10056" ht="15.75" customHeight="1">
      <c r="A10056" s="12" t="s">
        <v>22971</v>
      </c>
      <c r="B10056" s="13" t="s">
        <v>22972</v>
      </c>
      <c r="C10056" s="14" t="s">
        <v>22973</v>
      </c>
      <c r="D10056" s="1" t="str">
        <f>IFERROR(__xludf.DUMMYFUNCTION("GOOGLETRANSLATE(A10056 , ""auto"", ""ar"")"),"أنت محق")</f>
        <v>أنت محق</v>
      </c>
    </row>
    <row r="10057" ht="15.75" customHeight="1">
      <c r="A10057" s="12" t="s">
        <v>22974</v>
      </c>
      <c r="B10057" s="13" t="s">
        <v>22975</v>
      </c>
      <c r="C10057" s="14" t="s">
        <v>22976</v>
      </c>
      <c r="D10057" s="1" t="str">
        <f>IFERROR(__xludf.DUMMYFUNCTION("GOOGLETRANSLATE(A10057 , ""auto"", ""ar"")"),"يقطع شعره وأظافره")</f>
        <v>يقطع شعره وأظافره</v>
      </c>
    </row>
    <row r="10058" ht="15.75" customHeight="1">
      <c r="A10058" s="12" t="s">
        <v>22977</v>
      </c>
      <c r="B10058" s="13" t="s">
        <v>22978</v>
      </c>
      <c r="C10058" s="14" t="s">
        <v>22979</v>
      </c>
      <c r="D10058" s="1" t="str">
        <f>IFERROR(__xludf.DUMMYFUNCTION("GOOGLETRANSLATE(A10058 , ""auto"", ""ar"")"),"القهوة غير صحية")</f>
        <v>القهوة غير صحية</v>
      </c>
    </row>
    <row r="10059" ht="15.75" customHeight="1">
      <c r="A10059" s="12" t="s">
        <v>22980</v>
      </c>
      <c r="B10059" s="13" t="s">
        <v>22981</v>
      </c>
      <c r="C10059" s="14" t="s">
        <v>22982</v>
      </c>
      <c r="D10059" s="1" t="str">
        <f>IFERROR(__xludf.DUMMYFUNCTION("GOOGLETRANSLATE(A10059 , ""auto"", ""ar"")"),"الطائر يجلس على الفرع")</f>
        <v>الطائر يجلس على الفرع</v>
      </c>
    </row>
    <row r="10060" ht="15.75" customHeight="1">
      <c r="A10060" s="12" t="s">
        <v>22983</v>
      </c>
      <c r="B10060" s="13" t="s">
        <v>22984</v>
      </c>
      <c r="C10060" s="14" t="s">
        <v>22985</v>
      </c>
      <c r="D10060" s="1" t="str">
        <f>IFERROR(__xludf.DUMMYFUNCTION("GOOGLETRANSLATE(A10060 , ""auto"", ""ar"")"),"حافظ على هذا السر")</f>
        <v>حافظ على هذا السر</v>
      </c>
    </row>
    <row r="10061" ht="15.75" customHeight="1">
      <c r="A10061" s="12" t="s">
        <v>22986</v>
      </c>
      <c r="B10061" s="13" t="s">
        <v>22987</v>
      </c>
      <c r="C10061" s="14" t="s">
        <v>22988</v>
      </c>
      <c r="D10061" s="1" t="str">
        <f>IFERROR(__xludf.DUMMYFUNCTION("GOOGLETRANSLATE(A10061 , ""auto"", ""ar"")"),"اغلق الباب من فضلك")</f>
        <v>اغلق الباب من فضلك</v>
      </c>
    </row>
    <row r="10062" ht="15.75" customHeight="1">
      <c r="A10062" s="12" t="s">
        <v>22989</v>
      </c>
      <c r="B10062" s="13" t="s">
        <v>22990</v>
      </c>
      <c r="C10062" s="14" t="s">
        <v>22991</v>
      </c>
      <c r="D10062" s="1" t="str">
        <f>IFERROR(__xludf.DUMMYFUNCTION("GOOGLETRANSLATE(A10062 , ""auto"", ""ar"")"),"اذهب مباشرة ، ثم خذ اليسار الأول")</f>
        <v>اذهب مباشرة ، ثم خذ اليسار الأول</v>
      </c>
    </row>
    <row r="10063" ht="15.75" customHeight="1">
      <c r="A10063" s="12" t="s">
        <v>22992</v>
      </c>
      <c r="B10063" s="13" t="s">
        <v>22993</v>
      </c>
      <c r="C10063" s="14" t="s">
        <v>22994</v>
      </c>
      <c r="D10063" s="1" t="str">
        <f>IFERROR(__xludf.DUMMYFUNCTION("GOOGLETRANSLATE(A10063 , ""auto"", ""ar"")"),"ما الذي يزعجك؟")</f>
        <v>ما الذي يزعجك؟</v>
      </c>
    </row>
    <row r="10064" ht="15.75" customHeight="1">
      <c r="A10064" s="12" t="s">
        <v>22995</v>
      </c>
      <c r="B10064" s="13" t="s">
        <v>22996</v>
      </c>
      <c r="C10064" s="14" t="s">
        <v>22997</v>
      </c>
      <c r="D10064" s="1" t="str">
        <f>IFERROR(__xludf.DUMMYFUNCTION("GOOGLETRANSLATE(A10064 , ""auto"", ""ar"")"),"اقترب مني")</f>
        <v>اقترب مني</v>
      </c>
    </row>
    <row r="10065" ht="15.75" customHeight="1">
      <c r="A10065" s="12" t="s">
        <v>22998</v>
      </c>
      <c r="B10065" s="13" t="s">
        <v>22999</v>
      </c>
      <c r="C10065" s="14" t="s">
        <v>23000</v>
      </c>
      <c r="D10065" s="1" t="str">
        <f>IFERROR(__xludf.DUMMYFUNCTION("GOOGLETRANSLATE(A10065 , ""auto"", ""ar"")"),"كان يستحم أطفاله")</f>
        <v>كان يستحم أطفاله</v>
      </c>
    </row>
    <row r="10066" ht="15.75" customHeight="1">
      <c r="A10066" s="12" t="s">
        <v>23001</v>
      </c>
      <c r="B10066" s="13" t="s">
        <v>23002</v>
      </c>
      <c r="C10066" s="14" t="s">
        <v>23003</v>
      </c>
      <c r="D10066" s="1" t="str">
        <f>IFERROR(__xludf.DUMMYFUNCTION("GOOGLETRANSLATE(A10066 , ""auto"", ""ar"")"),"معلمنا جيد جدا في التدريس")</f>
        <v>معلمنا جيد جدا في التدريس</v>
      </c>
    </row>
    <row r="10067" ht="15.75" customHeight="1">
      <c r="A10067" s="12" t="s">
        <v>23004</v>
      </c>
      <c r="B10067" s="13" t="s">
        <v>23005</v>
      </c>
      <c r="C10067" s="14" t="s">
        <v>23006</v>
      </c>
      <c r="D10067" s="1" t="str">
        <f>IFERROR(__xludf.DUMMYFUNCTION("GOOGLETRANSLATE(A10067 , ""auto"", ""ar"")"),"أين كتابي؟")</f>
        <v>أين كتابي؟</v>
      </c>
    </row>
    <row r="10068" ht="15.75" customHeight="1">
      <c r="A10068" s="12" t="s">
        <v>23007</v>
      </c>
      <c r="B10068" s="13" t="s">
        <v>23008</v>
      </c>
      <c r="C10068" s="14" t="s">
        <v>23009</v>
      </c>
      <c r="D10068" s="1" t="str">
        <f>IFERROR(__xludf.DUMMYFUNCTION("GOOGLETRANSLATE(A10068 , ""auto"", ""ar"")"),"أكمل الإفطار الخاص بك")</f>
        <v>أكمل الإفطار الخاص بك</v>
      </c>
    </row>
    <row r="10069" ht="15.75" customHeight="1">
      <c r="A10069" s="12" t="s">
        <v>23010</v>
      </c>
      <c r="B10069" s="13" t="s">
        <v>23011</v>
      </c>
      <c r="C10069" s="14" t="s">
        <v>23012</v>
      </c>
      <c r="D10069" s="1" t="str">
        <f>IFERROR(__xludf.DUMMYFUNCTION("GOOGLETRANSLATE(A10069 , ""auto"", ""ar"")"),"فكر في نفسك")</f>
        <v>فكر في نفسك</v>
      </c>
    </row>
    <row r="10070" ht="15.75" customHeight="1">
      <c r="A10070" s="12" t="s">
        <v>23013</v>
      </c>
      <c r="B10070" s="13" t="s">
        <v>23014</v>
      </c>
      <c r="C10070" s="14" t="s">
        <v>23015</v>
      </c>
      <c r="D10070" s="1" t="str">
        <f>IFERROR(__xludf.DUMMYFUNCTION("GOOGLETRANSLATE(A10070 , ""auto"", ""ar"")"),"والده رجل أعمال")</f>
        <v>والده رجل أعمال</v>
      </c>
    </row>
    <row r="10071" ht="15.75" customHeight="1">
      <c r="A10071" s="12" t="s">
        <v>23016</v>
      </c>
      <c r="B10071" s="13" t="s">
        <v>23017</v>
      </c>
      <c r="C10071" s="14" t="s">
        <v>23018</v>
      </c>
      <c r="D10071" s="1" t="str">
        <f>IFERROR(__xludf.DUMMYFUNCTION("GOOGLETRANSLATE(A10071 , ""auto"", ""ar"")"),"كم من الوقت سيبقى هنا؟")</f>
        <v>كم من الوقت سيبقى هنا؟</v>
      </c>
    </row>
    <row r="10072" ht="15.75" customHeight="1">
      <c r="A10072" s="12" t="s">
        <v>23019</v>
      </c>
      <c r="B10072" s="13" t="s">
        <v>23020</v>
      </c>
      <c r="C10072" s="14" t="s">
        <v>23021</v>
      </c>
      <c r="D10072" s="1" t="str">
        <f>IFERROR(__xludf.DUMMYFUNCTION("GOOGLETRANSLATE(A10072 , ""auto"", ""ar"")"),"حدد كلماتي")</f>
        <v>حدد كلماتي</v>
      </c>
    </row>
    <row r="10073" ht="15.75" customHeight="1">
      <c r="A10073" s="12" t="s">
        <v>23022</v>
      </c>
      <c r="B10073" s="13" t="s">
        <v>23023</v>
      </c>
      <c r="C10073" s="14" t="s">
        <v>23024</v>
      </c>
      <c r="D10073" s="1" t="str">
        <f>IFERROR(__xludf.DUMMYFUNCTION("GOOGLETRANSLATE(A10073 , ""auto"", ""ar"")"),"لا يستطيع أن يفهم")</f>
        <v>لا يستطيع أن يفهم</v>
      </c>
    </row>
    <row r="10074" ht="15.75" customHeight="1">
      <c r="A10074" s="12" t="s">
        <v>23025</v>
      </c>
      <c r="B10074" s="13" t="s">
        <v>23026</v>
      </c>
      <c r="C10074" s="14" t="s">
        <v>23027</v>
      </c>
      <c r="D10074" s="1" t="str">
        <f>IFERROR(__xludf.DUMMYFUNCTION("GOOGLETRANSLATE(A10074 , ""auto"", ""ar"")"),"لا يهم")</f>
        <v>لا يهم</v>
      </c>
    </row>
    <row r="10075" ht="15.75" customHeight="1">
      <c r="A10075" s="12" t="s">
        <v>23028</v>
      </c>
      <c r="B10075" s="13" t="s">
        <v>23029</v>
      </c>
      <c r="C10075" s="14" t="s">
        <v>23030</v>
      </c>
      <c r="D10075" s="1" t="str">
        <f>IFERROR(__xludf.DUMMYFUNCTION("GOOGLETRANSLATE(A10075 , ""auto"", ""ar"")"),"هذا ليس عادل")</f>
        <v>هذا ليس عادل</v>
      </c>
    </row>
    <row r="10076" ht="15.75" customHeight="1">
      <c r="A10076" s="12" t="s">
        <v>23031</v>
      </c>
      <c r="B10076" s="13" t="s">
        <v>23032</v>
      </c>
      <c r="C10076" s="14" t="s">
        <v>23033</v>
      </c>
      <c r="D10076" s="1" t="str">
        <f>IFERROR(__xludf.DUMMYFUNCTION("GOOGLETRANSLATE(A10076 , ""auto"", ""ar"")"),"في أسرع وقت ممكن")</f>
        <v>في أسرع وقت ممكن</v>
      </c>
    </row>
    <row r="10077" ht="15.75" customHeight="1">
      <c r="A10077" s="12" t="s">
        <v>23034</v>
      </c>
      <c r="B10077" s="13" t="s">
        <v>23035</v>
      </c>
      <c r="C10077" s="14" t="s">
        <v>23036</v>
      </c>
      <c r="D10077" s="1" t="str">
        <f>IFERROR(__xludf.DUMMYFUNCTION("GOOGLETRANSLATE(A10077 , ""auto"", ""ar"")"),"أرك لاحقًا")</f>
        <v>أرك لاحقًا</v>
      </c>
    </row>
    <row r="10078" ht="15.75" customHeight="1">
      <c r="A10078" s="12" t="s">
        <v>23037</v>
      </c>
      <c r="B10078" s="13" t="s">
        <v>23038</v>
      </c>
      <c r="C10078" s="14" t="s">
        <v>23039</v>
      </c>
      <c r="D10078" s="1" t="str">
        <f>IFERROR(__xludf.DUMMYFUNCTION("GOOGLETRANSLATE(A10078 , ""auto"", ""ar"")"),"المسألة واضحة")</f>
        <v>المسألة واضحة</v>
      </c>
    </row>
    <row r="10079" ht="15.75" customHeight="1">
      <c r="A10079" s="12" t="s">
        <v>23040</v>
      </c>
      <c r="B10079" s="13" t="s">
        <v>23041</v>
      </c>
      <c r="C10079" s="14" t="s">
        <v>23042</v>
      </c>
      <c r="D10079" s="1" t="str">
        <f>IFERROR(__xludf.DUMMYFUNCTION("GOOGLETRANSLATE(A10079 , ""auto"", ""ar"")"),"ماذا قال؟")</f>
        <v>ماذا قال؟</v>
      </c>
    </row>
    <row r="10080" ht="15.75" customHeight="1">
      <c r="A10080" s="12" t="s">
        <v>23043</v>
      </c>
      <c r="B10080" s="13" t="s">
        <v>23044</v>
      </c>
      <c r="C10080" s="14" t="s">
        <v>23045</v>
      </c>
      <c r="D10080" s="1" t="str">
        <f>IFERROR(__xludf.DUMMYFUNCTION("GOOGLETRANSLATE(A10080 , ""auto"", ""ar"")"),"كم تبيعها؟")</f>
        <v>كم تبيعها؟</v>
      </c>
    </row>
    <row r="10081" ht="15.75" customHeight="1">
      <c r="A10081" s="12" t="s">
        <v>23046</v>
      </c>
      <c r="B10081" s="13" t="s">
        <v>23047</v>
      </c>
      <c r="C10081" s="14" t="s">
        <v>23048</v>
      </c>
      <c r="D10081" s="1" t="str">
        <f>IFERROR(__xludf.DUMMYFUNCTION("GOOGLETRANSLATE(A10081 , ""auto"", ""ar"")"),"ما الذي يمكنني أن أفعله من أجلك؟")</f>
        <v>ما الذي يمكنني أن أفعله من أجلك؟</v>
      </c>
    </row>
    <row r="10082" ht="15.75" customHeight="1">
      <c r="A10082" s="12" t="s">
        <v>23049</v>
      </c>
      <c r="B10082" s="13" t="s">
        <v>23050</v>
      </c>
      <c r="C10082" s="14" t="s">
        <v>23051</v>
      </c>
      <c r="D10082" s="1" t="str">
        <f>IFERROR(__xludf.DUMMYFUNCTION("GOOGLETRANSLATE(A10082 , ""auto"", ""ar"")"),"آمل أن يفهم")</f>
        <v>آمل أن يفهم</v>
      </c>
    </row>
    <row r="10083" ht="15.75" customHeight="1">
      <c r="A10083" s="12" t="s">
        <v>23052</v>
      </c>
      <c r="B10083" s="13" t="s">
        <v>23053</v>
      </c>
      <c r="C10083" s="14" t="s">
        <v>23054</v>
      </c>
      <c r="D10083" s="1" t="str">
        <f>IFERROR(__xludf.DUMMYFUNCTION("GOOGLETRANSLATE(A10083 , ""auto"", ""ar"")"),"هل لديك بعض المال؟")</f>
        <v>هل لديك بعض المال؟</v>
      </c>
    </row>
    <row r="10084" ht="15.75" customHeight="1">
      <c r="A10084" s="12" t="s">
        <v>23055</v>
      </c>
      <c r="B10084" s="13" t="s">
        <v>23056</v>
      </c>
      <c r="C10084" s="14" t="s">
        <v>23057</v>
      </c>
      <c r="D10084" s="1" t="str">
        <f>IFERROR(__xludf.DUMMYFUNCTION("GOOGLETRANSLATE(A10084 , ""auto"", ""ar"")"),"ما هو الوقت من ساعتك؟")</f>
        <v>ما هو الوقت من ساعتك؟</v>
      </c>
    </row>
    <row r="10085" ht="15.75" customHeight="1">
      <c r="A10085" s="12" t="s">
        <v>23058</v>
      </c>
      <c r="B10085" s="13" t="s">
        <v>23059</v>
      </c>
      <c r="C10085" s="14" t="s">
        <v>23060</v>
      </c>
      <c r="D10085" s="1" t="str">
        <f>IFERROR(__xludf.DUMMYFUNCTION("GOOGLETRANSLATE(A10085 , ""auto"", ""ar"")"),"هل تحتاج لأي شيء؟")</f>
        <v>هل تحتاج لأي شيء؟</v>
      </c>
    </row>
    <row r="10086" ht="15.75" customHeight="1">
      <c r="A10086" s="12" t="s">
        <v>23061</v>
      </c>
      <c r="B10086" s="13" t="s">
        <v>23062</v>
      </c>
      <c r="C10086" s="14" t="s">
        <v>23063</v>
      </c>
      <c r="D10086" s="1" t="str">
        <f>IFERROR(__xludf.DUMMYFUNCTION("GOOGLETRANSLATE(A10086 , ""auto"", ""ar"")"),"لا يعرف قول كذبة")</f>
        <v>لا يعرف قول كذبة</v>
      </c>
    </row>
    <row r="10087" ht="15.75" customHeight="1">
      <c r="A10087" s="12" t="s">
        <v>23064</v>
      </c>
      <c r="B10087" s="13" t="s">
        <v>23065</v>
      </c>
      <c r="C10087" s="14" t="s">
        <v>23066</v>
      </c>
      <c r="D10087" s="1" t="str">
        <f>IFERROR(__xludf.DUMMYFUNCTION("GOOGLETRANSLATE(A10087 , ""auto"", ""ar"")"),"لا تقلق!")</f>
        <v>لا تقلق!</v>
      </c>
    </row>
    <row r="10088" ht="15.75" customHeight="1">
      <c r="A10088" s="12" t="s">
        <v>23067</v>
      </c>
      <c r="B10088" s="13" t="s">
        <v>23068</v>
      </c>
      <c r="C10088" s="14" t="s">
        <v>23069</v>
      </c>
      <c r="D10088" s="1" t="str">
        <f>IFERROR(__xludf.DUMMYFUNCTION("GOOGLETRANSLATE(A10088 , ""auto"", ""ar"")"),"لا يريد ذلك")</f>
        <v>لا يريد ذلك</v>
      </c>
    </row>
    <row r="10089" ht="15.75" customHeight="1">
      <c r="A10089" s="12" t="s">
        <v>23070</v>
      </c>
      <c r="B10089" s="13" t="s">
        <v>23071</v>
      </c>
      <c r="C10089" s="14" t="s">
        <v>23072</v>
      </c>
      <c r="D10089" s="1" t="str">
        <f>IFERROR(__xludf.DUMMYFUNCTION("GOOGLETRANSLATE(A10089 , ""auto"", ""ar"")"),"احترس!")</f>
        <v>احترس!</v>
      </c>
    </row>
    <row r="10090" ht="15.75" customHeight="1">
      <c r="A10090" s="12" t="s">
        <v>23073</v>
      </c>
      <c r="B10090" s="13" t="s">
        <v>23074</v>
      </c>
      <c r="C10090" s="14" t="s">
        <v>23075</v>
      </c>
      <c r="D10090" s="1" t="str">
        <f>IFERROR(__xludf.DUMMYFUNCTION("GOOGLETRANSLATE(A10090 , ""auto"", ""ar"")"),"لا تتحرك!")</f>
        <v>لا تتحرك!</v>
      </c>
    </row>
    <row r="10091" ht="15.75" customHeight="1">
      <c r="A10091" s="12" t="s">
        <v>23076</v>
      </c>
      <c r="B10091" s="13" t="s">
        <v>23077</v>
      </c>
      <c r="C10091" s="14" t="s">
        <v>23078</v>
      </c>
      <c r="D10091" s="1" t="str">
        <f>IFERROR(__xludf.DUMMYFUNCTION("GOOGLETRANSLATE(A10091 , ""auto"", ""ar"")"),"يبدو عصبيا")</f>
        <v>يبدو عصبيا</v>
      </c>
    </row>
    <row r="10092" ht="15.75" customHeight="1">
      <c r="A10092" s="12" t="s">
        <v>23079</v>
      </c>
      <c r="B10092" s="13" t="s">
        <v>23080</v>
      </c>
      <c r="C10092" s="14" t="s">
        <v>23081</v>
      </c>
      <c r="D10092" s="1" t="str">
        <f>IFERROR(__xludf.DUMMYFUNCTION("GOOGLETRANSLATE(A10092 , ""auto"", ""ar"")"),"يبدو غاضبًا")</f>
        <v>يبدو غاضبًا</v>
      </c>
    </row>
    <row r="10093" ht="15.75" customHeight="1">
      <c r="A10093" s="12" t="s">
        <v>23082</v>
      </c>
      <c r="B10093" s="13" t="s">
        <v>23083</v>
      </c>
      <c r="C10093" s="14" t="s">
        <v>23084</v>
      </c>
      <c r="D10093" s="1" t="str">
        <f>IFERROR(__xludf.DUMMYFUNCTION("GOOGLETRANSLATE(A10093 , ""auto"", ""ar"")"),"ما هي مشكلتك؟")</f>
        <v>ما هي مشكلتك؟</v>
      </c>
    </row>
    <row r="10094" ht="15.75" customHeight="1">
      <c r="A10094" s="12" t="s">
        <v>11581</v>
      </c>
      <c r="B10094" s="13" t="s">
        <v>23085</v>
      </c>
      <c r="C10094" s="14" t="s">
        <v>23086</v>
      </c>
      <c r="D10094" s="1" t="str">
        <f>IFERROR(__xludf.DUMMYFUNCTION("GOOGLETRANSLATE(A10094 , ""auto"", ""ar"")"),"الأمر متروك لك")</f>
        <v>الأمر متروك لك</v>
      </c>
    </row>
    <row r="10095" ht="15.75" customHeight="1">
      <c r="A10095" s="12" t="s">
        <v>23087</v>
      </c>
      <c r="B10095" s="13" t="s">
        <v>23088</v>
      </c>
      <c r="C10095" s="14" t="s">
        <v>23089</v>
      </c>
      <c r="D10095" s="1" t="str">
        <f>IFERROR(__xludf.DUMMYFUNCTION("GOOGLETRANSLATE(A10095 , ""auto"", ""ar"")"),"ضع الكتب بالترتيب")</f>
        <v>ضع الكتب بالترتيب</v>
      </c>
    </row>
    <row r="10096" ht="15.75" customHeight="1">
      <c r="A10096" s="12" t="s">
        <v>23090</v>
      </c>
      <c r="B10096" s="13" t="s">
        <v>23091</v>
      </c>
      <c r="C10096" s="14" t="s">
        <v>23092</v>
      </c>
      <c r="D10096" s="1" t="str">
        <f>IFERROR(__xludf.DUMMYFUNCTION("GOOGLETRANSLATE(A10096 , ""auto"", ""ar"")"),"سوف يتصل بك لاحقًا")</f>
        <v>سوف يتصل بك لاحقًا</v>
      </c>
    </row>
    <row r="10097" ht="15.75" customHeight="1">
      <c r="A10097" s="12" t="s">
        <v>23093</v>
      </c>
      <c r="B10097" s="13" t="s">
        <v>23094</v>
      </c>
      <c r="C10097" s="14" t="s">
        <v>23095</v>
      </c>
      <c r="D10097" s="1" t="str">
        <f>IFERROR(__xludf.DUMMYFUNCTION("GOOGLETRANSLATE(A10097 , ""auto"", ""ar"")"),"أشكركم على دعوتكم لنا")</f>
        <v>أشكركم على دعوتكم لنا</v>
      </c>
    </row>
    <row r="10098" ht="15.75" customHeight="1">
      <c r="A10098" s="12" t="s">
        <v>23096</v>
      </c>
      <c r="B10098" s="13" t="s">
        <v>23097</v>
      </c>
      <c r="C10098" s="14" t="s">
        <v>23098</v>
      </c>
      <c r="D10098" s="1" t="str">
        <f>IFERROR(__xludf.DUMMYFUNCTION("GOOGLETRANSLATE(A10098 , ""auto"", ""ar"")"),"هل انت قادم؟")</f>
        <v>هل انت قادم؟</v>
      </c>
    </row>
    <row r="10099" ht="15.75" customHeight="1">
      <c r="A10099" s="12" t="s">
        <v>23099</v>
      </c>
      <c r="B10099" s="13" t="s">
        <v>23100</v>
      </c>
      <c r="C10099" s="14" t="s">
        <v>23101</v>
      </c>
      <c r="D10099" s="1" t="str">
        <f>IFERROR(__xludf.DUMMYFUNCTION("GOOGLETRANSLATE(A10099 , ""auto"", ""ar"")"),"ليس لديه فكرة")</f>
        <v>ليس لديه فكرة</v>
      </c>
    </row>
    <row r="10100" ht="15.75" customHeight="1">
      <c r="A10100" s="12" t="s">
        <v>23102</v>
      </c>
      <c r="B10100" s="13" t="s">
        <v>23103</v>
      </c>
      <c r="C10100" s="14" t="s">
        <v>23104</v>
      </c>
      <c r="D10100" s="1" t="str">
        <f>IFERROR(__xludf.DUMMYFUNCTION("GOOGLETRANSLATE(A10100 , ""auto"", ""ar"")"),"إنه يشعر بالتعب اليوم")</f>
        <v>إنه يشعر بالتعب اليوم</v>
      </c>
    </row>
    <row r="10101" ht="15.75" customHeight="1">
      <c r="A10101" s="12" t="s">
        <v>23105</v>
      </c>
      <c r="B10101" s="13" t="s">
        <v>23106</v>
      </c>
      <c r="C10101" s="14" t="s">
        <v>23107</v>
      </c>
      <c r="D10101" s="1" t="str">
        <f>IFERROR(__xludf.DUMMYFUNCTION("GOOGLETRANSLATE(A10101 , ""auto"", ""ar"")"),"لماذا هو مستاء؟")</f>
        <v>لماذا هو مستاء؟</v>
      </c>
    </row>
    <row r="10102" ht="15.75" customHeight="1">
      <c r="A10102" s="12" t="s">
        <v>23108</v>
      </c>
      <c r="B10102" s="13" t="s">
        <v>23109</v>
      </c>
      <c r="C10102" s="14" t="s">
        <v>23110</v>
      </c>
      <c r="D10102" s="1" t="str">
        <f>IFERROR(__xludf.DUMMYFUNCTION("GOOGLETRANSLATE(A10102 , ""auto"", ""ar"")"),"يوم جيد لك")</f>
        <v>يوم جيد لك</v>
      </c>
    </row>
    <row r="10103" ht="15.75" customHeight="1">
      <c r="A10103" s="12" t="s">
        <v>23111</v>
      </c>
      <c r="B10103" s="13" t="s">
        <v>21139</v>
      </c>
      <c r="C10103" s="14" t="s">
        <v>21140</v>
      </c>
      <c r="D10103" s="1" t="str">
        <f>IFERROR(__xludf.DUMMYFUNCTION("GOOGLETRANSLATE(A10103 , ""auto"", ""ar"")"),"اتبعني")</f>
        <v>اتبعني</v>
      </c>
    </row>
    <row r="10104" ht="15.75" customHeight="1">
      <c r="A10104" s="12" t="s">
        <v>23112</v>
      </c>
      <c r="B10104" s="13" t="s">
        <v>23113</v>
      </c>
      <c r="C10104" s="14" t="s">
        <v>23114</v>
      </c>
      <c r="D10104" s="1" t="str">
        <f>IFERROR(__xludf.DUMMYFUNCTION("GOOGLETRANSLATE(A10104 , ""auto"", ""ar"")"),"أعمل لي معروفا")</f>
        <v>أعمل لي معروفا</v>
      </c>
    </row>
    <row r="10105" ht="15.75" customHeight="1">
      <c r="A10105" s="12" t="s">
        <v>23115</v>
      </c>
      <c r="B10105" s="13" t="s">
        <v>23116</v>
      </c>
      <c r="C10105" s="14" t="s">
        <v>23117</v>
      </c>
      <c r="D10105" s="1" t="str">
        <f>IFERROR(__xludf.DUMMYFUNCTION("GOOGLETRANSLATE(A10105 , ""auto"", ""ar"")"),"أخرج من عيني")</f>
        <v>أخرج من عيني</v>
      </c>
    </row>
    <row r="10106" ht="15.75" customHeight="1">
      <c r="A10106" s="12" t="s">
        <v>23118</v>
      </c>
      <c r="B10106" s="13" t="s">
        <v>23119</v>
      </c>
      <c r="C10106" s="14" t="s">
        <v>23120</v>
      </c>
      <c r="D10106" s="1" t="str">
        <f>IFERROR(__xludf.DUMMYFUNCTION("GOOGLETRANSLATE(A10106 , ""auto"", ""ar"")"),"ماذا تريد مني")</f>
        <v>ماذا تريد مني</v>
      </c>
    </row>
    <row r="10107" ht="15.75" customHeight="1">
      <c r="A10107" s="12" t="s">
        <v>9516</v>
      </c>
      <c r="B10107" s="13" t="s">
        <v>12173</v>
      </c>
      <c r="C10107" s="14" t="s">
        <v>12174</v>
      </c>
      <c r="D10107" s="1" t="str">
        <f>IFERROR(__xludf.DUMMYFUNCTION("GOOGLETRANSLATE(A10107 , ""auto"", ""ar"")"),"تعال معي")</f>
        <v>تعال معي</v>
      </c>
    </row>
    <row r="10108" ht="15.75" customHeight="1">
      <c r="A10108" s="12" t="s">
        <v>23121</v>
      </c>
      <c r="B10108" s="13" t="s">
        <v>23122</v>
      </c>
      <c r="C10108" s="14" t="s">
        <v>23123</v>
      </c>
      <c r="D10108" s="1" t="str">
        <f>IFERROR(__xludf.DUMMYFUNCTION("GOOGLETRANSLATE(A10108 , ""auto"", ""ar"")"),"عليه أن يغادر مبكرًا اليوم")</f>
        <v>عليه أن يغادر مبكرًا اليوم</v>
      </c>
    </row>
    <row r="10109" ht="15.75" customHeight="1">
      <c r="A10109" s="12" t="s">
        <v>23124</v>
      </c>
      <c r="B10109" s="13" t="s">
        <v>23125</v>
      </c>
      <c r="C10109" s="14" t="s">
        <v>23126</v>
      </c>
      <c r="D10109" s="1" t="str">
        <f>IFERROR(__xludf.DUMMYFUNCTION("GOOGLETRANSLATE(A10109 , ""auto"", ""ar"")"),"الجدول قصير")</f>
        <v>الجدول قصير</v>
      </c>
    </row>
    <row r="10110" ht="15.75" customHeight="1">
      <c r="A10110" s="12" t="s">
        <v>23127</v>
      </c>
      <c r="B10110" s="13" t="s">
        <v>23128</v>
      </c>
      <c r="C10110" s="14" t="s">
        <v>23129</v>
      </c>
      <c r="D10110" s="1" t="str">
        <f>IFERROR(__xludf.DUMMYFUNCTION("GOOGLETRANSLATE(A10110 , ""auto"", ""ar"")"),"يشعر بتحسن كبير")</f>
        <v>يشعر بتحسن كبير</v>
      </c>
    </row>
    <row r="10111" ht="15.75" customHeight="1">
      <c r="A10111" s="12" t="s">
        <v>23130</v>
      </c>
      <c r="B10111" s="13" t="s">
        <v>23131</v>
      </c>
      <c r="C10111" s="14" t="s">
        <v>23132</v>
      </c>
      <c r="D10111" s="1" t="str">
        <f>IFERROR(__xludf.DUMMYFUNCTION("GOOGLETRANSLATE(A10111 , ""auto"", ""ar"")"),"استمتع!")</f>
        <v>استمتع!</v>
      </c>
    </row>
    <row r="10112" ht="15.75" customHeight="1">
      <c r="A10112" s="12" t="s">
        <v>17431</v>
      </c>
      <c r="B10112" s="13" t="s">
        <v>17432</v>
      </c>
      <c r="C10112" s="14" t="s">
        <v>17433</v>
      </c>
      <c r="D10112" s="1" t="str">
        <f>IFERROR(__xludf.DUMMYFUNCTION("GOOGLETRANSLATE(A10112 , ""auto"", ""ar"")"),"من أين أنت؟")</f>
        <v>من أين أنت؟</v>
      </c>
    </row>
    <row r="10113" ht="15.75" customHeight="1">
      <c r="A10113" s="12" t="s">
        <v>23133</v>
      </c>
      <c r="B10113" s="13" t="s">
        <v>23134</v>
      </c>
      <c r="C10113" s="14" t="s">
        <v>8115</v>
      </c>
      <c r="D10113" s="1" t="str">
        <f>IFERROR(__xludf.DUMMYFUNCTION("GOOGLETRANSLATE(A10113 , ""auto"", ""ar"")"),"حصلت عليه")</f>
        <v>حصلت عليه</v>
      </c>
    </row>
    <row r="10114" ht="15.75" customHeight="1">
      <c r="A10114" s="12" t="s">
        <v>23135</v>
      </c>
      <c r="B10114" s="13" t="s">
        <v>23136</v>
      </c>
      <c r="C10114" s="14" t="s">
        <v>23137</v>
      </c>
      <c r="D10114" s="1" t="str">
        <f>IFERROR(__xludf.DUMMYFUNCTION("GOOGLETRANSLATE(A10114 , ""auto"", ""ar"")"),"هل يمزح؟")</f>
        <v>هل يمزح؟</v>
      </c>
    </row>
    <row r="10115" ht="15.75" customHeight="1">
      <c r="A10115" s="12" t="s">
        <v>9500</v>
      </c>
      <c r="B10115" s="13" t="s">
        <v>23138</v>
      </c>
      <c r="C10115" s="14" t="s">
        <v>23139</v>
      </c>
      <c r="D10115" s="1" t="str">
        <f>IFERROR(__xludf.DUMMYFUNCTION("GOOGLETRANSLATE(A10115 , ""auto"", ""ar"")"),"أنا آسف")</f>
        <v>أنا آسف</v>
      </c>
    </row>
    <row r="10116" ht="15.75" customHeight="1">
      <c r="A10116" s="12" t="s">
        <v>23140</v>
      </c>
      <c r="B10116" s="13" t="s">
        <v>23141</v>
      </c>
      <c r="C10116" s="14" t="s">
        <v>23142</v>
      </c>
      <c r="D10116" s="1" t="str">
        <f>IFERROR(__xludf.DUMMYFUNCTION("GOOGLETRANSLATE(A10116 , ""auto"", ""ar"")"),"كله لك")</f>
        <v>كله لك</v>
      </c>
    </row>
    <row r="10117" ht="15.75" customHeight="1">
      <c r="A10117" s="12" t="s">
        <v>23143</v>
      </c>
      <c r="B10117" s="13" t="s">
        <v>23144</v>
      </c>
      <c r="C10117" s="14" t="s">
        <v>23145</v>
      </c>
      <c r="D10117" s="1" t="str">
        <f>IFERROR(__xludf.DUMMYFUNCTION("GOOGLETRANSLATE(A10117 , ""auto"", ""ar"")"),"لم يكن لديه مال")</f>
        <v>لم يكن لديه مال</v>
      </c>
    </row>
    <row r="10118" ht="15.75" customHeight="1">
      <c r="A10118" s="12" t="s">
        <v>23146</v>
      </c>
      <c r="B10118" s="13" t="s">
        <v>23147</v>
      </c>
      <c r="C10118" s="14" t="s">
        <v>23148</v>
      </c>
      <c r="D10118" s="1" t="str">
        <f>IFERROR(__xludf.DUMMYFUNCTION("GOOGLETRANSLATE(A10118 , ""auto"", ""ar"")"),"اتصل بي في أي يوم")</f>
        <v>اتصل بي في أي يوم</v>
      </c>
    </row>
    <row r="10119" ht="15.75" customHeight="1">
      <c r="A10119" s="12" t="s">
        <v>23149</v>
      </c>
      <c r="B10119" s="13" t="s">
        <v>23150</v>
      </c>
      <c r="C10119" s="14" t="s">
        <v>23151</v>
      </c>
      <c r="D10119" s="1" t="str">
        <f>IFERROR(__xludf.DUMMYFUNCTION("GOOGLETRANSLATE(A10119 , ""auto"", ""ar"")"),"يجب أن يصل بحلول 5")</f>
        <v>يجب أن يصل بحلول 5</v>
      </c>
    </row>
    <row r="10120" ht="15.75" customHeight="1">
      <c r="A10120" s="12" t="s">
        <v>23152</v>
      </c>
      <c r="B10120" s="13" t="s">
        <v>23153</v>
      </c>
      <c r="C10120" s="14" t="s">
        <v>23154</v>
      </c>
      <c r="D10120" s="1" t="str">
        <f>IFERROR(__xludf.DUMMYFUNCTION("GOOGLETRANSLATE(A10120 , ""auto"", ""ar"")"),"لا لا يريد ذلك")</f>
        <v>لا لا يريد ذلك</v>
      </c>
    </row>
    <row r="10121" ht="15.75" customHeight="1">
      <c r="A10121" s="12" t="s">
        <v>23155</v>
      </c>
      <c r="B10121" s="13" t="s">
        <v>23156</v>
      </c>
      <c r="C10121" s="14" t="s">
        <v>23157</v>
      </c>
      <c r="D10121" s="1" t="str">
        <f>IFERROR(__xludf.DUMMYFUNCTION("GOOGLETRANSLATE(A10121 , ""auto"", ""ar"")"),"هل يمكننى ان اسألك شيئا؟")</f>
        <v>هل يمكننى ان اسألك شيئا؟</v>
      </c>
    </row>
    <row r="10122" ht="15.75" customHeight="1">
      <c r="A10122" s="12" t="s">
        <v>9051</v>
      </c>
      <c r="B10122" s="13" t="s">
        <v>23158</v>
      </c>
      <c r="C10122" s="14" t="s">
        <v>23159</v>
      </c>
      <c r="D10122" s="1" t="str">
        <f>IFERROR(__xludf.DUMMYFUNCTION("GOOGLETRANSLATE(A10122 , ""auto"", ""ar"")"),"انه في المنزل")</f>
        <v>انه في المنزل</v>
      </c>
    </row>
    <row r="10123" ht="15.75" customHeight="1">
      <c r="A10123" s="12" t="s">
        <v>23160</v>
      </c>
      <c r="B10123" s="13" t="s">
        <v>23161</v>
      </c>
      <c r="C10123" s="14" t="s">
        <v>23162</v>
      </c>
      <c r="D10123" s="1" t="str">
        <f>IFERROR(__xludf.DUMMYFUNCTION("GOOGLETRANSLATE(A10123 , ""auto"", ""ar"")"),"أسرع - بسرعة!")</f>
        <v>أسرع - بسرعة!</v>
      </c>
    </row>
    <row r="10124" ht="15.75" customHeight="1">
      <c r="A10124" s="12" t="s">
        <v>23163</v>
      </c>
      <c r="B10124" s="13" t="s">
        <v>23164</v>
      </c>
      <c r="C10124" s="14" t="s">
        <v>23165</v>
      </c>
      <c r="D10124" s="1" t="str">
        <f>IFERROR(__xludf.DUMMYFUNCTION("GOOGLETRANSLATE(A10124 , ""auto"", ""ar"")"),"إنه يضيع وقتي")</f>
        <v>إنه يضيع وقتي</v>
      </c>
    </row>
    <row r="10125" ht="15.75" customHeight="1">
      <c r="A10125" s="12" t="s">
        <v>23166</v>
      </c>
      <c r="B10125" s="13" t="s">
        <v>23167</v>
      </c>
      <c r="C10125" s="14" t="s">
        <v>23168</v>
      </c>
      <c r="D10125" s="1" t="str">
        <f>IFERROR(__xludf.DUMMYFUNCTION("GOOGLETRANSLATE(A10125 , ""auto"", ""ar"")"),"شكرا لك على نصيحتك")</f>
        <v>شكرا لك على نصيحتك</v>
      </c>
    </row>
    <row r="10126" ht="15.75" customHeight="1">
      <c r="A10126" s="12" t="s">
        <v>23169</v>
      </c>
      <c r="B10126" s="13" t="s">
        <v>23170</v>
      </c>
      <c r="C10126" s="14" t="s">
        <v>23171</v>
      </c>
      <c r="D10126" s="1" t="str">
        <f>IFERROR(__xludf.DUMMYFUNCTION("GOOGLETRANSLATE(A10126 , ""auto"", ""ar"")"),"تعال!")</f>
        <v>تعال!</v>
      </c>
    </row>
    <row r="10127" ht="15.75" customHeight="1">
      <c r="A10127" s="12" t="s">
        <v>23172</v>
      </c>
      <c r="B10127" s="13" t="s">
        <v>23173</v>
      </c>
      <c r="C10127" s="14" t="s">
        <v>23174</v>
      </c>
      <c r="D10127" s="1" t="str">
        <f>IFERROR(__xludf.DUMMYFUNCTION("GOOGLETRANSLATE(A10127 , ""auto"", ""ar"")"),"هل ينضم إلينا؟")</f>
        <v>هل ينضم إلينا؟</v>
      </c>
    </row>
    <row r="10128" ht="15.75" customHeight="1">
      <c r="A10128" s="12" t="s">
        <v>23175</v>
      </c>
      <c r="B10128" s="13" t="s">
        <v>23176</v>
      </c>
      <c r="C10128" s="14" t="s">
        <v>23177</v>
      </c>
      <c r="D10128" s="1" t="str">
        <f>IFERROR(__xludf.DUMMYFUNCTION("GOOGLETRANSLATE(A10128 , ""auto"", ""ar"")"),"حقا يستغرق بعض الوقت")</f>
        <v>حقا يستغرق بعض الوقت</v>
      </c>
    </row>
    <row r="10129" ht="15.75" customHeight="1">
      <c r="A10129" s="12" t="s">
        <v>23178</v>
      </c>
      <c r="B10129" s="13" t="s">
        <v>23179</v>
      </c>
      <c r="C10129" s="14" t="s">
        <v>23180</v>
      </c>
      <c r="D10129" s="1" t="str">
        <f>IFERROR(__xludf.DUMMYFUNCTION("GOOGLETRANSLATE(A10129 , ""auto"", ""ar"")"),"لماذا يتأخر؟")</f>
        <v>لماذا يتأخر؟</v>
      </c>
    </row>
    <row r="10130" ht="15.75" customHeight="1">
      <c r="A10130" s="12" t="s">
        <v>23181</v>
      </c>
      <c r="B10130" s="13" t="s">
        <v>23182</v>
      </c>
      <c r="C10130" s="14" t="s">
        <v>23183</v>
      </c>
      <c r="D10130" s="1" t="str">
        <f>IFERROR(__xludf.DUMMYFUNCTION("GOOGLETRANSLATE(A10130 , ""auto"", ""ar"")"),"هل فهمتها؟")</f>
        <v>هل فهمتها؟</v>
      </c>
    </row>
    <row r="10131" ht="15.75" customHeight="1">
      <c r="A10131" s="12" t="s">
        <v>23184</v>
      </c>
      <c r="B10131" s="13" t="s">
        <v>23185</v>
      </c>
      <c r="C10131" s="14" t="s">
        <v>23186</v>
      </c>
      <c r="D10131" s="1" t="str">
        <f>IFERROR(__xludf.DUMMYFUNCTION("GOOGLETRANSLATE(A10131 , ""auto"", ""ar"")"),"لا أصدق ذلك")</f>
        <v>لا أصدق ذلك</v>
      </c>
    </row>
    <row r="10132" ht="15.75" customHeight="1">
      <c r="A10132" s="12" t="s">
        <v>23187</v>
      </c>
      <c r="B10132" s="13" t="s">
        <v>23188</v>
      </c>
      <c r="C10132" s="14" t="s">
        <v>23189</v>
      </c>
      <c r="D10132" s="1" t="str">
        <f>IFERROR(__xludf.DUMMYFUNCTION("GOOGLETRANSLATE(A10132 , ""auto"", ""ar"")"),"ماذا يحصل هنا؟")</f>
        <v>ماذا يحصل هنا؟</v>
      </c>
    </row>
    <row r="10133" ht="15.75" customHeight="1">
      <c r="A10133" s="12" t="s">
        <v>23190</v>
      </c>
      <c r="B10133" s="13" t="s">
        <v>23191</v>
      </c>
      <c r="C10133" s="14" t="s">
        <v>23192</v>
      </c>
      <c r="D10133" s="1" t="str">
        <f>IFERROR(__xludf.DUMMYFUNCTION("GOOGLETRANSLATE(A10133 , ""auto"", ""ar"")"),"كان يعرف ذلك")</f>
        <v>كان يعرف ذلك</v>
      </c>
    </row>
    <row r="10134" ht="15.75" customHeight="1">
      <c r="A10134" s="12" t="s">
        <v>9494</v>
      </c>
      <c r="B10134" s="13" t="s">
        <v>23193</v>
      </c>
      <c r="C10134" s="14" t="s">
        <v>23194</v>
      </c>
      <c r="D10134" s="1" t="str">
        <f>IFERROR(__xludf.DUMMYFUNCTION("GOOGLETRANSLATE(A10134 , ""auto"", ""ar"")"),"أراك المرة القادمة")</f>
        <v>أراك المرة القادمة</v>
      </c>
    </row>
    <row r="10135" ht="15.75" customHeight="1">
      <c r="A10135" s="12" t="s">
        <v>23195</v>
      </c>
      <c r="B10135" s="13" t="s">
        <v>23196</v>
      </c>
      <c r="C10135" s="14" t="s">
        <v>23197</v>
      </c>
      <c r="D10135" s="1" t="str">
        <f>IFERROR(__xludf.DUMMYFUNCTION("GOOGLETRANSLATE(A10135 , ""auto"", ""ar"")"),"هل انتهيت؟")</f>
        <v>هل انتهيت؟</v>
      </c>
    </row>
    <row r="10136" ht="15.75" customHeight="1">
      <c r="A10136" s="12" t="s">
        <v>18710</v>
      </c>
      <c r="B10136" s="13" t="s">
        <v>21068</v>
      </c>
      <c r="C10136" s="14" t="s">
        <v>18712</v>
      </c>
      <c r="D10136" s="1" t="str">
        <f>IFERROR(__xludf.DUMMYFUNCTION("GOOGLETRANSLATE(A10136 , ""auto"", ""ar"")"),"ليس لدي وقت")</f>
        <v>ليس لدي وقت</v>
      </c>
    </row>
    <row r="10137" ht="15.75" customHeight="1">
      <c r="A10137" s="12" t="s">
        <v>23198</v>
      </c>
      <c r="B10137" s="13" t="s">
        <v>23199</v>
      </c>
      <c r="C10137" s="14" t="s">
        <v>23200</v>
      </c>
      <c r="D10137" s="1" t="str">
        <f>IFERROR(__xludf.DUMMYFUNCTION("GOOGLETRANSLATE(A10137 , ""auto"", ""ar"")"),"هل هو متزوج؟")</f>
        <v>هل هو متزوج؟</v>
      </c>
    </row>
    <row r="10138" ht="15.75" customHeight="1">
      <c r="A10138" s="12" t="s">
        <v>23201</v>
      </c>
      <c r="B10138" s="13" t="s">
        <v>23202</v>
      </c>
      <c r="C10138" s="14" t="s">
        <v>23203</v>
      </c>
      <c r="D10138" s="1" t="str">
        <f>IFERROR(__xludf.DUMMYFUNCTION("GOOGLETRANSLATE(A10138 , ""auto"", ""ar"")"),"ماحدث قد حدث")</f>
        <v>ماحدث قد حدث</v>
      </c>
    </row>
    <row r="10139" ht="15.75" customHeight="1">
      <c r="A10139" s="12" t="s">
        <v>23204</v>
      </c>
      <c r="B10139" s="13" t="s">
        <v>23205</v>
      </c>
      <c r="C10139" s="14" t="s">
        <v>23206</v>
      </c>
      <c r="D10139" s="1" t="str">
        <f>IFERROR(__xludf.DUMMYFUNCTION("GOOGLETRANSLATE(A10139 , ""auto"", ""ar"")"),"أرجوك قل شيئا")</f>
        <v>أرجوك قل شيئا</v>
      </c>
    </row>
    <row r="10140" ht="15.75" customHeight="1">
      <c r="A10140" s="12" t="s">
        <v>23207</v>
      </c>
      <c r="B10140" s="13" t="s">
        <v>23208</v>
      </c>
      <c r="C10140" s="14" t="s">
        <v>23209</v>
      </c>
      <c r="D10140" s="1" t="str">
        <f>IFERROR(__xludf.DUMMYFUNCTION("GOOGLETRANSLATE(A10140 , ""auto"", ""ar"")"),"مساء الخير!")</f>
        <v>مساء الخير!</v>
      </c>
    </row>
    <row r="10141" ht="15.75" customHeight="1">
      <c r="A10141" s="12" t="s">
        <v>23210</v>
      </c>
      <c r="B10141" s="13" t="s">
        <v>23211</v>
      </c>
      <c r="C10141" s="14" t="s">
        <v>23212</v>
      </c>
      <c r="D10141" s="1" t="str">
        <f>IFERROR(__xludf.DUMMYFUNCTION("GOOGLETRANSLATE(A10141 , ""auto"", ""ar"")"),"لا يعني ذلك")</f>
        <v>لا يعني ذلك</v>
      </c>
    </row>
    <row r="10142" ht="15.75" customHeight="1">
      <c r="A10142" s="12" t="s">
        <v>23213</v>
      </c>
      <c r="B10142" s="13" t="s">
        <v>23214</v>
      </c>
      <c r="C10142" s="14" t="s">
        <v>23215</v>
      </c>
      <c r="D10142" s="1" t="str">
        <f>IFERROR(__xludf.DUMMYFUNCTION("GOOGLETRANSLATE(A10142 , ""auto"", ""ar"")"),"فعل كما قيل له")</f>
        <v>فعل كما قيل له</v>
      </c>
    </row>
    <row r="10143" ht="15.75" customHeight="1">
      <c r="A10143" s="12" t="s">
        <v>23216</v>
      </c>
      <c r="B10143" s="13" t="s">
        <v>23217</v>
      </c>
      <c r="C10143" s="14" t="s">
        <v>23218</v>
      </c>
      <c r="D10143" s="1" t="str">
        <f>IFERROR(__xludf.DUMMYFUNCTION("GOOGLETRANSLATE(A10143 , ""auto"", ""ar"")"),"إنه على نظام غذائي")</f>
        <v>إنه على نظام غذائي</v>
      </c>
    </row>
    <row r="10144" ht="15.75" customHeight="1">
      <c r="A10144" s="12" t="s">
        <v>23219</v>
      </c>
      <c r="B10144" s="13" t="s">
        <v>23220</v>
      </c>
      <c r="C10144" s="14" t="s">
        <v>23221</v>
      </c>
      <c r="D10144" s="1" t="str">
        <f>IFERROR(__xludf.DUMMYFUNCTION("GOOGLETRANSLATE(A10144 , ""auto"", ""ar"")"),"كم يدين لك؟")</f>
        <v>كم يدين لك؟</v>
      </c>
    </row>
    <row r="10145" ht="15.75" customHeight="1">
      <c r="A10145" s="12" t="s">
        <v>23222</v>
      </c>
      <c r="B10145" s="13" t="s">
        <v>23223</v>
      </c>
      <c r="C10145" s="14" t="s">
        <v>1117</v>
      </c>
      <c r="D10145" s="1" t="str">
        <f>IFERROR(__xludf.DUMMYFUNCTION("GOOGLETRANSLATE(A10145 , ""auto"", ""ar"")"),"هو مشغول")</f>
        <v>هو مشغول</v>
      </c>
    </row>
    <row r="10146" ht="15.75" customHeight="1">
      <c r="A10146" s="12" t="s">
        <v>23224</v>
      </c>
      <c r="B10146" s="13" t="s">
        <v>23225</v>
      </c>
      <c r="C10146" s="14" t="s">
        <v>23226</v>
      </c>
      <c r="D10146" s="1" t="str">
        <f>IFERROR(__xludf.DUMMYFUNCTION("GOOGLETRANSLATE(A10146 , ""auto"", ""ar"")"),"هذا العمل غير مناسب له")</f>
        <v>هذا العمل غير مناسب له</v>
      </c>
    </row>
    <row r="10147" ht="15.75" customHeight="1">
      <c r="A10147" s="12" t="s">
        <v>23227</v>
      </c>
      <c r="B10147" s="13" t="s">
        <v>23228</v>
      </c>
      <c r="C10147" s="14" t="s">
        <v>6201</v>
      </c>
      <c r="D10147" s="1" t="str">
        <f>IFERROR(__xludf.DUMMYFUNCTION("GOOGLETRANSLATE(A10147 , ""auto"", ""ar"")"),"ليس بعد")</f>
        <v>ليس بعد</v>
      </c>
    </row>
    <row r="10148" ht="15.75" customHeight="1">
      <c r="A10148" s="12" t="s">
        <v>8541</v>
      </c>
      <c r="B10148" s="13" t="s">
        <v>8542</v>
      </c>
      <c r="C10148" s="14" t="s">
        <v>23229</v>
      </c>
      <c r="D10148" s="1" t="str">
        <f>IFERROR(__xludf.DUMMYFUNCTION("GOOGLETRANSLATE(A10148 , ""auto"", ""ar"")"),"أحبك")</f>
        <v>أحبك</v>
      </c>
    </row>
    <row r="10149" ht="15.75" customHeight="1">
      <c r="A10149" s="12" t="s">
        <v>23230</v>
      </c>
      <c r="B10149" s="13" t="s">
        <v>23231</v>
      </c>
      <c r="C10149" s="14" t="s">
        <v>23232</v>
      </c>
      <c r="D10149" s="1" t="str">
        <f>IFERROR(__xludf.DUMMYFUNCTION("GOOGLETRANSLATE(A10149 , ""auto"", ""ar"")"),"لا يستطيع الانتظار بعد الآن")</f>
        <v>لا يستطيع الانتظار بعد الآن</v>
      </c>
    </row>
    <row r="10150" ht="15.75" customHeight="1">
      <c r="A10150" s="12" t="s">
        <v>23233</v>
      </c>
      <c r="B10150" s="13" t="s">
        <v>23234</v>
      </c>
      <c r="C10150" s="14" t="s">
        <v>23235</v>
      </c>
      <c r="D10150" s="1" t="str">
        <f>IFERROR(__xludf.DUMMYFUNCTION("GOOGLETRANSLATE(A10150 , ""auto"", ""ar"")"),"ابطئ!")</f>
        <v>ابطئ!</v>
      </c>
    </row>
    <row r="10151" ht="15.75" customHeight="1">
      <c r="A10151" s="12" t="s">
        <v>23236</v>
      </c>
      <c r="B10151" s="13" t="s">
        <v>23237</v>
      </c>
      <c r="C10151" s="14" t="s">
        <v>23238</v>
      </c>
      <c r="D10151" s="1" t="str">
        <f>IFERROR(__xludf.DUMMYFUNCTION("GOOGLETRANSLATE(A10151 , ""auto"", ""ar"")"),"أكلمك غدا")</f>
        <v>أكلمك غدا</v>
      </c>
    </row>
    <row r="10152" ht="15.75" customHeight="1">
      <c r="A10152" s="12" t="s">
        <v>23239</v>
      </c>
      <c r="B10152" s="13" t="s">
        <v>23240</v>
      </c>
      <c r="C10152" s="14" t="s">
        <v>23241</v>
      </c>
      <c r="D10152" s="1" t="str">
        <f>IFERROR(__xludf.DUMMYFUNCTION("GOOGLETRANSLATE(A10152 , ""auto"", ""ar"")"),"أنا أعتذر")</f>
        <v>أنا أعتذر</v>
      </c>
    </row>
    <row r="10153" ht="15.75" customHeight="1">
      <c r="A10153" s="12" t="s">
        <v>23242</v>
      </c>
      <c r="B10153" s="13" t="s">
        <v>23243</v>
      </c>
      <c r="C10153" s="14" t="s">
        <v>23244</v>
      </c>
      <c r="D10153" s="1" t="str">
        <f>IFERROR(__xludf.DUMMYFUNCTION("GOOGLETRANSLATE(A10153 , ""auto"", ""ar"")"),"ما هو حال الطقس؟")</f>
        <v>ما هو حال الطقس؟</v>
      </c>
    </row>
    <row r="10154" ht="15.75" customHeight="1">
      <c r="A10154" s="12" t="s">
        <v>23245</v>
      </c>
      <c r="B10154" s="13" t="s">
        <v>23246</v>
      </c>
      <c r="C10154" s="14" t="s">
        <v>23247</v>
      </c>
      <c r="D10154" s="1" t="str">
        <f>IFERROR(__xludf.DUMMYFUNCTION("GOOGLETRANSLATE(A10154 , ""auto"", ""ar"")"),"إنه يسير بسرعة كبيرة")</f>
        <v>إنه يسير بسرعة كبيرة</v>
      </c>
    </row>
    <row r="10155" ht="15.75" customHeight="1">
      <c r="A10155" s="12" t="s">
        <v>23248</v>
      </c>
      <c r="B10155" s="13" t="s">
        <v>23249</v>
      </c>
      <c r="C10155" s="14" t="s">
        <v>23250</v>
      </c>
      <c r="D10155" s="1" t="str">
        <f>IFERROR(__xludf.DUMMYFUNCTION("GOOGLETRANSLATE(A10155 , ""auto"", ""ar"")"),"إنها بداية جيدة")</f>
        <v>إنها بداية جيدة</v>
      </c>
    </row>
    <row r="10156" ht="15.75" customHeight="1">
      <c r="A10156" s="12" t="s">
        <v>23251</v>
      </c>
      <c r="B10156" s="13" t="s">
        <v>23252</v>
      </c>
      <c r="C10156" s="14" t="s">
        <v>23253</v>
      </c>
      <c r="D10156" s="1" t="str">
        <f>IFERROR(__xludf.DUMMYFUNCTION("GOOGLETRANSLATE(A10156 , ""auto"", ""ar"")"),"أشعر بالحزن بالنسبة لك")</f>
        <v>أشعر بالحزن بالنسبة لك</v>
      </c>
    </row>
    <row r="10157" ht="15.75" customHeight="1">
      <c r="A10157" s="12" t="s">
        <v>9422</v>
      </c>
      <c r="B10157" s="13" t="s">
        <v>23254</v>
      </c>
      <c r="C10157" s="14" t="s">
        <v>23255</v>
      </c>
      <c r="D10157" s="1" t="str">
        <f>IFERROR(__xludf.DUMMYFUNCTION("GOOGLETRANSLATE(A10157 , ""auto"", ""ar"")"),"بالطبع")</f>
        <v>بالطبع</v>
      </c>
    </row>
    <row r="10158" ht="15.75" customHeight="1">
      <c r="A10158" s="12" t="s">
        <v>23256</v>
      </c>
      <c r="B10158" s="13" t="s">
        <v>23257</v>
      </c>
      <c r="C10158" s="14" t="s">
        <v>23258</v>
      </c>
      <c r="D10158" s="1" t="str">
        <f>IFERROR(__xludf.DUMMYFUNCTION("GOOGLETRANSLATE(A10158 , ""auto"", ""ar"")"),"أساء لي")</f>
        <v>أساء لي</v>
      </c>
    </row>
    <row r="10159" ht="15.75" customHeight="1">
      <c r="A10159" s="12" t="s">
        <v>23259</v>
      </c>
      <c r="B10159" s="13" t="s">
        <v>23260</v>
      </c>
      <c r="C10159" s="14" t="s">
        <v>23261</v>
      </c>
      <c r="D10159" s="1" t="str">
        <f>IFERROR(__xludf.DUMMYFUNCTION("GOOGLETRANSLATE(A10159 , ""auto"", ""ar"")"),"من اين حصلت عليه؟")</f>
        <v>من اين حصلت عليه؟</v>
      </c>
    </row>
    <row r="10160" ht="15.75" customHeight="1">
      <c r="A10160" s="12" t="s">
        <v>23262</v>
      </c>
      <c r="B10160" s="13" t="s">
        <v>23263</v>
      </c>
      <c r="C10160" s="14" t="s">
        <v>23264</v>
      </c>
      <c r="D10160" s="1" t="str">
        <f>IFERROR(__xludf.DUMMYFUNCTION("GOOGLETRANSLATE(A10160 , ""auto"", ""ar"")"),"أي شيء آخر؟")</f>
        <v>أي شيء آخر؟</v>
      </c>
    </row>
    <row r="10161" ht="15.75" customHeight="1">
      <c r="A10161" s="12" t="s">
        <v>23265</v>
      </c>
      <c r="B10161" s="13" t="s">
        <v>23266</v>
      </c>
      <c r="C10161" s="14" t="s">
        <v>23267</v>
      </c>
      <c r="D10161" s="1" t="str">
        <f>IFERROR(__xludf.DUMMYFUNCTION("GOOGLETRANSLATE(A10161 , ""auto"", ""ar"")"),"المشي بعناية")</f>
        <v>المشي بعناية</v>
      </c>
    </row>
    <row r="10162" ht="15.75" customHeight="1">
      <c r="A10162" s="12" t="s">
        <v>14588</v>
      </c>
      <c r="B10162" s="13" t="s">
        <v>23268</v>
      </c>
      <c r="C10162" s="14" t="s">
        <v>23269</v>
      </c>
      <c r="D10162" s="1" t="str">
        <f>IFERROR(__xludf.DUMMYFUNCTION("GOOGLETRANSLATE(A10162 , ""auto"", ""ar"")"),"أنا موافق")</f>
        <v>أنا موافق</v>
      </c>
    </row>
    <row r="10163" ht="15.75" customHeight="1">
      <c r="A10163" s="12" t="s">
        <v>23270</v>
      </c>
      <c r="B10163" s="13" t="s">
        <v>23271</v>
      </c>
      <c r="C10163" s="14" t="s">
        <v>23272</v>
      </c>
      <c r="D10163" s="1" t="str">
        <f>IFERROR(__xludf.DUMMYFUNCTION("GOOGLETRANSLATE(A10163 , ""auto"", ""ar"")"),"اذهب إذا استطعت")</f>
        <v>اذهب إذا استطعت</v>
      </c>
    </row>
    <row r="10164" ht="15.75" customHeight="1">
      <c r="A10164" s="12" t="s">
        <v>23273</v>
      </c>
      <c r="B10164" s="13" t="s">
        <v>23274</v>
      </c>
      <c r="C10164" s="14" t="s">
        <v>23275</v>
      </c>
      <c r="D10164" s="1" t="str">
        <f>IFERROR(__xludf.DUMMYFUNCTION("GOOGLETRANSLATE(A10164 , ""auto"", ""ar"")"),"لقد حان الوقت")</f>
        <v>لقد حان الوقت</v>
      </c>
    </row>
    <row r="10165" ht="15.75" customHeight="1">
      <c r="A10165" s="12" t="s">
        <v>23276</v>
      </c>
      <c r="B10165" s="13" t="s">
        <v>23277</v>
      </c>
      <c r="C10165" s="14" t="s">
        <v>23278</v>
      </c>
      <c r="D10165" s="1" t="str">
        <f>IFERROR(__xludf.DUMMYFUNCTION("GOOGLETRANSLATE(A10165 , ""auto"", ""ar"")"),"لا يوافق")</f>
        <v>لا يوافق</v>
      </c>
    </row>
    <row r="10166" ht="15.75" customHeight="1">
      <c r="A10166" s="12" t="s">
        <v>14445</v>
      </c>
      <c r="B10166" s="13" t="s">
        <v>23279</v>
      </c>
      <c r="C10166" s="14" t="s">
        <v>23280</v>
      </c>
      <c r="D10166" s="1" t="str">
        <f>IFERROR(__xludf.DUMMYFUNCTION("GOOGLETRANSLATE(A10166 , ""auto"", ""ar"")"),"هل أنت متأكد؟")</f>
        <v>هل أنت متأكد؟</v>
      </c>
    </row>
    <row r="10167" ht="15.75" customHeight="1">
      <c r="A10167" s="12" t="s">
        <v>23281</v>
      </c>
      <c r="B10167" s="13" t="s">
        <v>23282</v>
      </c>
      <c r="C10167" s="14" t="s">
        <v>23283</v>
      </c>
      <c r="D10167" s="1" t="str">
        <f>IFERROR(__xludf.DUMMYFUNCTION("GOOGLETRANSLATE(A10167 , ""auto"", ""ar"")"),"إنه شيء غريب")</f>
        <v>إنه شيء غريب</v>
      </c>
    </row>
    <row r="10168" ht="15.75" customHeight="1">
      <c r="A10168" s="12" t="s">
        <v>23284</v>
      </c>
      <c r="B10168" s="13" t="s">
        <v>23285</v>
      </c>
      <c r="C10168" s="14" t="s">
        <v>23286</v>
      </c>
      <c r="D10168" s="1" t="str">
        <f>IFERROR(__xludf.DUMMYFUNCTION("GOOGLETRANSLATE(A10168 , ""auto"", ""ar"")"),"أنا آسف لمقاطعتك")</f>
        <v>أنا آسف لمقاطعتك</v>
      </c>
    </row>
    <row r="10169" ht="15.75" customHeight="1">
      <c r="A10169" s="12" t="s">
        <v>23287</v>
      </c>
      <c r="B10169" s="13" t="s">
        <v>23288</v>
      </c>
      <c r="C10169" s="14" t="s">
        <v>23289</v>
      </c>
      <c r="D10169" s="1" t="str">
        <f>IFERROR(__xludf.DUMMYFUNCTION("GOOGLETRANSLATE(A10169 , ""auto"", ""ar"")"),"سوف نذهب الى هناك؟")</f>
        <v>سوف نذهب الى هناك؟</v>
      </c>
    </row>
    <row r="10170" ht="15.75" customHeight="1">
      <c r="A10170" s="12" t="s">
        <v>23290</v>
      </c>
      <c r="B10170" s="13" t="s">
        <v>23291</v>
      </c>
      <c r="C10170" s="14" t="s">
        <v>23292</v>
      </c>
      <c r="D10170" s="1" t="str">
        <f>IFERROR(__xludf.DUMMYFUNCTION("GOOGLETRANSLATE(A10170 , ""auto"", ""ar"")"),"هل يمكنك رفع مستوى الصوت؟")</f>
        <v>هل يمكنك رفع مستوى الصوت؟</v>
      </c>
    </row>
    <row r="10171" ht="15.75" customHeight="1">
      <c r="A10171" s="12" t="s">
        <v>23293</v>
      </c>
      <c r="B10171" s="13" t="s">
        <v>23294</v>
      </c>
      <c r="C10171" s="14" t="s">
        <v>23295</v>
      </c>
      <c r="D10171" s="1" t="str">
        <f>IFERROR(__xludf.DUMMYFUNCTION("GOOGLETRANSLATE(A10171 , ""auto"", ""ar"")"),"ماذا تعتقد؟")</f>
        <v>ماذا تعتقد؟</v>
      </c>
    </row>
    <row r="10172" ht="15.75" customHeight="1">
      <c r="A10172" s="12" t="s">
        <v>23296</v>
      </c>
      <c r="B10172" s="13" t="s">
        <v>23297</v>
      </c>
      <c r="C10172" s="14" t="s">
        <v>23298</v>
      </c>
      <c r="D10172" s="1" t="str">
        <f>IFERROR(__xludf.DUMMYFUNCTION("GOOGLETRANSLATE(A10172 , ""auto"", ""ar"")"),"الى أين هو ذاهب؟")</f>
        <v>الى أين هو ذاهب؟</v>
      </c>
    </row>
    <row r="10173" ht="15.75" customHeight="1">
      <c r="A10173" s="12" t="s">
        <v>23299</v>
      </c>
      <c r="B10173" s="13" t="s">
        <v>23300</v>
      </c>
      <c r="C10173" s="14" t="s">
        <v>23301</v>
      </c>
      <c r="D10173" s="1" t="str">
        <f>IFERROR(__xludf.DUMMYFUNCTION("GOOGLETRANSLATE(A10173 , ""auto"", ""ar"")"),"توقف عن البكاء")</f>
        <v>توقف عن البكاء</v>
      </c>
    </row>
    <row r="10174" ht="15.75" customHeight="1">
      <c r="A10174" s="12" t="s">
        <v>23302</v>
      </c>
      <c r="B10174" s="13" t="s">
        <v>23303</v>
      </c>
      <c r="C10174" s="14" t="s">
        <v>23304</v>
      </c>
      <c r="D10174" s="1" t="str">
        <f>IFERROR(__xludf.DUMMYFUNCTION("GOOGLETRANSLATE(A10174 , ""auto"", ""ar"")"),"إفعل كما أقول")</f>
        <v>إفعل كما أقول</v>
      </c>
    </row>
    <row r="10175" ht="15.75" customHeight="1">
      <c r="A10175" s="12" t="s">
        <v>23305</v>
      </c>
      <c r="B10175" s="13" t="s">
        <v>23306</v>
      </c>
      <c r="C10175" s="14" t="s">
        <v>23307</v>
      </c>
      <c r="D10175" s="1" t="str">
        <f>IFERROR(__xludf.DUMMYFUNCTION("GOOGLETRANSLATE(A10175 , ""auto"", ""ar"")"),"لديه الكثير ليتحدث عنه")</f>
        <v>لديه الكثير ليتحدث عنه</v>
      </c>
    </row>
    <row r="10176" ht="15.75" customHeight="1">
      <c r="A10176" s="12" t="s">
        <v>23308</v>
      </c>
      <c r="B10176" s="13" t="s">
        <v>23309</v>
      </c>
      <c r="C10176" s="14" t="s">
        <v>23310</v>
      </c>
      <c r="D10176" s="1" t="str">
        <f>IFERROR(__xludf.DUMMYFUNCTION("GOOGLETRANSLATE(A10176 , ""auto"", ""ar"")"),"ما هو الجديد؟")</f>
        <v>ما هو الجديد؟</v>
      </c>
    </row>
    <row r="10177" ht="15.75" customHeight="1">
      <c r="A10177" s="12" t="s">
        <v>23311</v>
      </c>
      <c r="B10177" s="13" t="s">
        <v>23312</v>
      </c>
      <c r="C10177" s="14" t="s">
        <v>23313</v>
      </c>
      <c r="D10177" s="1" t="str">
        <f>IFERROR(__xludf.DUMMYFUNCTION("GOOGLETRANSLATE(A10177 , ""auto"", ""ar"")"),"لا يمكن الشكوى")</f>
        <v>لا يمكن الشكوى</v>
      </c>
    </row>
    <row r="10178" ht="15.75" customHeight="1">
      <c r="A10178" s="12" t="s">
        <v>23314</v>
      </c>
      <c r="B10178" s="13" t="s">
        <v>23315</v>
      </c>
      <c r="C10178" s="14" t="s">
        <v>23316</v>
      </c>
      <c r="D10178" s="1" t="str">
        <f>IFERROR(__xludf.DUMMYFUNCTION("GOOGLETRANSLATE(A10178 , ""auto"", ""ar"")"),"لقد كان مشغولاً")</f>
        <v>لقد كان مشغولاً</v>
      </c>
    </row>
    <row r="10179" ht="15.75" customHeight="1">
      <c r="A10179" s="12" t="s">
        <v>23317</v>
      </c>
      <c r="B10179" s="13" t="s">
        <v>23318</v>
      </c>
      <c r="C10179" s="14" t="s">
        <v>23319</v>
      </c>
      <c r="D10179" s="1" t="str">
        <f>IFERROR(__xludf.DUMMYFUNCTION("GOOGLETRANSLATE(A10179 , ""auto"", ""ar"")"),"هل ترغب بشرب شيء؟")</f>
        <v>هل ترغب بشرب شيء؟</v>
      </c>
    </row>
    <row r="10180" ht="15.75" customHeight="1">
      <c r="A10180" s="12" t="s">
        <v>23320</v>
      </c>
      <c r="B10180" s="13" t="s">
        <v>23321</v>
      </c>
      <c r="C10180" s="14" t="s">
        <v>23322</v>
      </c>
      <c r="D10180" s="1" t="str">
        <f>IFERROR(__xludf.DUMMYFUNCTION("GOOGLETRANSLATE(A10180 , ""auto"", ""ar"")"),"إنه ليس مستعدًا بعد")</f>
        <v>إنه ليس مستعدًا بعد</v>
      </c>
    </row>
    <row r="10181" ht="15.75" customHeight="1">
      <c r="A10181" s="12" t="s">
        <v>23323</v>
      </c>
      <c r="B10181" s="13" t="s">
        <v>23324</v>
      </c>
      <c r="C10181" s="14" t="s">
        <v>23325</v>
      </c>
      <c r="D10181" s="1" t="str">
        <f>IFERROR(__xludf.DUMMYFUNCTION("GOOGLETRANSLATE(A10181 , ""auto"", ""ar"")"),"سوف يدفع الثمن")</f>
        <v>سوف يدفع الثمن</v>
      </c>
    </row>
    <row r="10182" ht="15.75" customHeight="1">
      <c r="A10182" s="12" t="s">
        <v>23326</v>
      </c>
      <c r="B10182" s="13" t="s">
        <v>23327</v>
      </c>
      <c r="C10182" s="14" t="s">
        <v>23328</v>
      </c>
      <c r="D10182" s="1" t="str">
        <f>IFERROR(__xludf.DUMMYFUNCTION("GOOGLETRANSLATE(A10182 , ""auto"", ""ar"")"),"كيف يجرى العمل؟")</f>
        <v>كيف يجرى العمل؟</v>
      </c>
    </row>
    <row r="10183" ht="15.75" customHeight="1">
      <c r="A10183" s="12" t="s">
        <v>23329</v>
      </c>
      <c r="B10183" s="13" t="s">
        <v>23330</v>
      </c>
      <c r="C10183" s="14" t="s">
        <v>23331</v>
      </c>
      <c r="D10183" s="1" t="str">
        <f>IFERROR(__xludf.DUMMYFUNCTION("GOOGLETRANSLATE(A10183 , ""auto"", ""ar"")"),"كان أقل ما يمكنني فعله")</f>
        <v>كان أقل ما يمكنني فعله</v>
      </c>
    </row>
    <row r="10184" ht="15.75" customHeight="1">
      <c r="A10184" s="12" t="s">
        <v>23332</v>
      </c>
      <c r="B10184" s="13" t="s">
        <v>23333</v>
      </c>
      <c r="C10184" s="14" t="s">
        <v>23334</v>
      </c>
      <c r="D10184" s="1" t="str">
        <f>IFERROR(__xludf.DUMMYFUNCTION("GOOGLETRANSLATE(A10184 , ""auto"", ""ar"")"),"إنه نور حياتي")</f>
        <v>إنه نور حياتي</v>
      </c>
    </row>
    <row r="10185" ht="15.75" customHeight="1">
      <c r="A10185" s="12" t="s">
        <v>23335</v>
      </c>
      <c r="B10185" s="13" t="s">
        <v>23336</v>
      </c>
      <c r="C10185" s="14" t="s">
        <v>23337</v>
      </c>
      <c r="D10185" s="1" t="str">
        <f>IFERROR(__xludf.DUMMYFUNCTION("GOOGLETRANSLATE(A10185 , ""auto"", ""ar"")"),"سوف يأخذها")</f>
        <v>سوف يأخذها</v>
      </c>
    </row>
    <row r="10186" ht="15.75" customHeight="1">
      <c r="A10186" s="12" t="s">
        <v>23338</v>
      </c>
      <c r="B10186" s="13" t="s">
        <v>23339</v>
      </c>
      <c r="C10186" s="14" t="s">
        <v>23340</v>
      </c>
      <c r="D10186" s="1" t="str">
        <f>IFERROR(__xludf.DUMMYFUNCTION("GOOGLETRANSLATE(A10186 , ""auto"", ""ar"")"),"لا يريد أن يزعجك")</f>
        <v>لا يريد أن يزعجك</v>
      </c>
    </row>
    <row r="10187" ht="15.75" customHeight="1">
      <c r="A10187" s="12" t="s">
        <v>9497</v>
      </c>
      <c r="B10187" s="13" t="s">
        <v>23341</v>
      </c>
      <c r="C10187" s="14" t="s">
        <v>23342</v>
      </c>
      <c r="D10187" s="1" t="str">
        <f>IFERROR(__xludf.DUMMYFUNCTION("GOOGLETRANSLATE(A10187 , ""auto"", ""ar"")"),"لا مشكلة")</f>
        <v>لا مشكلة</v>
      </c>
    </row>
    <row r="10188" ht="15.75" customHeight="1">
      <c r="A10188" s="12" t="s">
        <v>23343</v>
      </c>
      <c r="B10188" s="13" t="s">
        <v>23344</v>
      </c>
      <c r="C10188" s="14" t="s">
        <v>23345</v>
      </c>
      <c r="D10188" s="1" t="str">
        <f>IFERROR(__xludf.DUMMYFUNCTION("GOOGLETRANSLATE(A10188 , ""auto"", ""ar"")"),"هو كل شيء بالنسبة لي")</f>
        <v>هو كل شيء بالنسبة لي</v>
      </c>
    </row>
    <row r="10189" ht="15.75" customHeight="1">
      <c r="A10189" s="12" t="s">
        <v>23346</v>
      </c>
      <c r="B10189" s="13" t="s">
        <v>23347</v>
      </c>
      <c r="C10189" s="14" t="s">
        <v>23348</v>
      </c>
      <c r="D10189" s="1" t="str">
        <f>IFERROR(__xludf.DUMMYFUNCTION("GOOGLETRANSLATE(A10189 , ""auto"", ""ar"")"),"إنه مطلق")</f>
        <v>إنه مطلق</v>
      </c>
    </row>
    <row r="10190" ht="15.75" customHeight="1">
      <c r="A10190" s="12" t="s">
        <v>23349</v>
      </c>
      <c r="B10190" s="13" t="s">
        <v>23350</v>
      </c>
      <c r="C10190" s="14" t="s">
        <v>23351</v>
      </c>
      <c r="D10190" s="1" t="str">
        <f>IFERROR(__xludf.DUMMYFUNCTION("GOOGLETRANSLATE(A10190 , ""auto"", ""ar"")"),"انه عطشان")</f>
        <v>انه عطشان</v>
      </c>
    </row>
    <row r="10191" ht="15.75" customHeight="1">
      <c r="A10191" s="12" t="s">
        <v>23352</v>
      </c>
      <c r="B10191" s="13" t="s">
        <v>23353</v>
      </c>
      <c r="C10191" s="14" t="s">
        <v>23354</v>
      </c>
      <c r="D10191" s="1" t="str">
        <f>IFERROR(__xludf.DUMMYFUNCTION("GOOGLETRANSLATE(A10191 , ""auto"", ""ar"")"),"إنه أمريكي")</f>
        <v>إنه أمريكي</v>
      </c>
    </row>
    <row r="10192" ht="15.75" customHeight="1">
      <c r="A10192" s="12" t="s">
        <v>23355</v>
      </c>
      <c r="B10192" s="13" t="s">
        <v>23356</v>
      </c>
      <c r="C10192" s="14" t="s">
        <v>23357</v>
      </c>
      <c r="D10192" s="1" t="str">
        <f>IFERROR(__xludf.DUMMYFUNCTION("GOOGLETRANSLATE(A10192 , ""auto"", ""ar"")"),"إنه يتضور جوعا")</f>
        <v>إنه يتضور جوعا</v>
      </c>
    </row>
    <row r="10193" ht="15.75" customHeight="1">
      <c r="A10193" s="12" t="s">
        <v>19817</v>
      </c>
      <c r="B10193" s="13" t="s">
        <v>23358</v>
      </c>
      <c r="C10193" s="14" t="s">
        <v>19819</v>
      </c>
      <c r="D10193" s="1" t="str">
        <f>IFERROR(__xludf.DUMMYFUNCTION("GOOGLETRANSLATE(A10193 , ""auto"", ""ar"")"),"افتقد الضحكة الخاص بك")</f>
        <v>افتقد الضحكة الخاص بك</v>
      </c>
    </row>
    <row r="10194" ht="15.75" customHeight="1">
      <c r="A10194" s="12" t="s">
        <v>23359</v>
      </c>
      <c r="B10194" s="13" t="s">
        <v>23360</v>
      </c>
      <c r="C10194" s="14" t="s">
        <v>23361</v>
      </c>
      <c r="D10194" s="1" t="str">
        <f>IFERROR(__xludf.DUMMYFUNCTION("GOOGLETRANSLATE(A10194 , ""auto"", ""ar"")"),"ليس لديه وقت الآن")</f>
        <v>ليس لديه وقت الآن</v>
      </c>
    </row>
    <row r="10195" ht="15.75" customHeight="1">
      <c r="A10195" s="12" t="s">
        <v>23362</v>
      </c>
      <c r="B10195" s="13" t="s">
        <v>23363</v>
      </c>
      <c r="C10195" s="14" t="s">
        <v>23364</v>
      </c>
      <c r="D10195" s="1" t="str">
        <f>IFERROR(__xludf.DUMMYFUNCTION("GOOGLETRANSLATE(A10195 , ""auto"", ""ar"")"),"لديه صداع")</f>
        <v>لديه صداع</v>
      </c>
    </row>
    <row r="10196" ht="15.75" customHeight="1">
      <c r="A10196" s="12" t="s">
        <v>23365</v>
      </c>
      <c r="B10196" s="13" t="s">
        <v>23366</v>
      </c>
      <c r="C10196" s="14" t="s">
        <v>23367</v>
      </c>
      <c r="D10196" s="1" t="str">
        <f>IFERROR(__xludf.DUMMYFUNCTION("GOOGLETRANSLATE(A10196 , ""auto"", ""ar"")"),"يمكنك الرجاء تكرار ذلك؟")</f>
        <v>يمكنك الرجاء تكرار ذلك؟</v>
      </c>
    </row>
    <row r="10197" ht="15.75" customHeight="1">
      <c r="A10197" s="12" t="s">
        <v>23368</v>
      </c>
      <c r="B10197" s="13" t="s">
        <v>23369</v>
      </c>
      <c r="C10197" s="14" t="s">
        <v>23370</v>
      </c>
      <c r="D10197" s="1" t="str">
        <f>IFERROR(__xludf.DUMMYFUNCTION("GOOGLETRANSLATE(A10197 , ""auto"", ""ar"")"),"ما هو رقم هاتفك؟")</f>
        <v>ما هو رقم هاتفك؟</v>
      </c>
    </row>
    <row r="10198" ht="15.75" customHeight="1">
      <c r="A10198" s="12" t="s">
        <v>23371</v>
      </c>
      <c r="B10198" s="13" t="s">
        <v>23372</v>
      </c>
      <c r="C10198" s="14" t="s">
        <v>23373</v>
      </c>
      <c r="D10198" s="1" t="str">
        <f>IFERROR(__xludf.DUMMYFUNCTION("GOOGLETRANSLATE(A10198 , ""auto"", ""ar"")"),"ماذا تريد أن تفعل؟")</f>
        <v>ماذا تريد أن تفعل؟</v>
      </c>
    </row>
    <row r="10199" ht="15.75" customHeight="1">
      <c r="A10199" s="12" t="s">
        <v>23374</v>
      </c>
      <c r="B10199" s="13" t="s">
        <v>23375</v>
      </c>
      <c r="C10199" s="14" t="s">
        <v>23376</v>
      </c>
      <c r="D10199" s="1" t="str">
        <f>IFERROR(__xludf.DUMMYFUNCTION("GOOGLETRANSLATE(A10199 , ""auto"", ""ar"")"),"انسى ذلك")</f>
        <v>انسى ذلك</v>
      </c>
    </row>
    <row r="10200" ht="15.75" customHeight="1">
      <c r="A10200" s="12" t="s">
        <v>23377</v>
      </c>
      <c r="B10200" s="13" t="s">
        <v>23378</v>
      </c>
      <c r="C10200" s="14" t="s">
        <v>23379</v>
      </c>
      <c r="D10200" s="1" t="str">
        <f>IFERROR(__xludf.DUMMYFUNCTION("GOOGLETRANSLATE(A10200 , ""auto"", ""ar"")"),"اعد الإتصال بي")</f>
        <v>اعد الإتصال بي</v>
      </c>
    </row>
    <row r="10201" ht="15.75" customHeight="1">
      <c r="A10201" s="12" t="s">
        <v>23380</v>
      </c>
      <c r="B10201" s="13" t="s">
        <v>23381</v>
      </c>
      <c r="C10201" s="14" t="s">
        <v>23382</v>
      </c>
      <c r="D10201" s="1" t="str">
        <f>IFERROR(__xludf.DUMMYFUNCTION("GOOGLETRANSLATE(A10201 , ""auto"", ""ar"")"),"متى ستصل؟")</f>
        <v>متى ستصل؟</v>
      </c>
    </row>
    <row r="10202" ht="15.75" customHeight="1">
      <c r="A10202" s="12" t="s">
        <v>23383</v>
      </c>
      <c r="B10202" s="13" t="s">
        <v>23384</v>
      </c>
      <c r="C10202" s="14" t="s">
        <v>23385</v>
      </c>
      <c r="D10202" s="1" t="str">
        <f>IFERROR(__xludf.DUMMYFUNCTION("GOOGLETRANSLATE(A10202 , ""auto"", ""ar"")"),"أعطني يوم")</f>
        <v>أعطني يوم</v>
      </c>
    </row>
    <row r="10203" ht="15.75" customHeight="1">
      <c r="A10203" s="12" t="s">
        <v>23386</v>
      </c>
      <c r="B10203" s="13" t="s">
        <v>23387</v>
      </c>
      <c r="C10203" s="14" t="s">
        <v>23388</v>
      </c>
      <c r="D10203" s="1" t="str">
        <f>IFERROR(__xludf.DUMMYFUNCTION("GOOGLETRANSLATE(A10203 , ""auto"", ""ar"")"),"اسكت")</f>
        <v>اسكت</v>
      </c>
    </row>
    <row r="10204" ht="15.75" customHeight="1">
      <c r="A10204" s="12" t="s">
        <v>23389</v>
      </c>
      <c r="B10204" s="13" t="s">
        <v>23390</v>
      </c>
      <c r="C10204" s="14" t="s">
        <v>23391</v>
      </c>
      <c r="D10204" s="1" t="str">
        <f>IFERROR(__xludf.DUMMYFUNCTION("GOOGLETRANSLATE(A10204 , ""auto"", ""ar"")"),"لقد عبرت عقلي")</f>
        <v>لقد عبرت عقلي</v>
      </c>
    </row>
    <row r="10205" ht="15.75" customHeight="1">
      <c r="A10205" s="12" t="s">
        <v>23392</v>
      </c>
      <c r="B10205" s="13" t="s">
        <v>23393</v>
      </c>
      <c r="C10205" s="14" t="s">
        <v>23394</v>
      </c>
      <c r="D10205" s="1" t="str">
        <f>IFERROR(__xludf.DUMMYFUNCTION("GOOGLETRANSLATE(A10205 , ""auto"", ""ar"")"),"هو في الصين")</f>
        <v>هو في الصين</v>
      </c>
    </row>
    <row r="10206" ht="15.75" customHeight="1">
      <c r="A10206" s="12" t="s">
        <v>23395</v>
      </c>
      <c r="B10206" s="13" t="s">
        <v>23396</v>
      </c>
      <c r="C10206" s="14" t="s">
        <v>23397</v>
      </c>
      <c r="D10206" s="1" t="str">
        <f>IFERROR(__xludf.DUMMYFUNCTION("GOOGLETRANSLATE(A10206 , ""auto"", ""ar"")"),"أنا لا أحبه")</f>
        <v>أنا لا أحبه</v>
      </c>
    </row>
    <row r="10207" ht="15.75" customHeight="1">
      <c r="A10207" s="12" t="s">
        <v>23398</v>
      </c>
      <c r="B10207" s="13" t="s">
        <v>23399</v>
      </c>
      <c r="C10207" s="14" t="s">
        <v>23400</v>
      </c>
      <c r="D10207" s="1" t="str">
        <f>IFERROR(__xludf.DUMMYFUNCTION("GOOGLETRANSLATE(A10207 , ""auto"", ""ar"")"),"احضرها!")</f>
        <v>احضرها!</v>
      </c>
    </row>
    <row r="10208" ht="15.75" customHeight="1">
      <c r="A10208" s="12" t="s">
        <v>23401</v>
      </c>
      <c r="B10208" s="13" t="s">
        <v>23402</v>
      </c>
      <c r="C10208" s="14" t="s">
        <v>23403</v>
      </c>
      <c r="D10208" s="1" t="str">
        <f>IFERROR(__xludf.DUMMYFUNCTION("GOOGLETRANSLATE(A10208 , ""auto"", ""ar"")"),"هو يشرب الماء")</f>
        <v>هو يشرب الماء</v>
      </c>
    </row>
    <row r="10209" ht="15.75" customHeight="1">
      <c r="A10209" s="12" t="s">
        <v>23404</v>
      </c>
      <c r="B10209" s="13" t="s">
        <v>23405</v>
      </c>
      <c r="C10209" s="14" t="s">
        <v>23406</v>
      </c>
      <c r="D10209" s="1" t="str">
        <f>IFERROR(__xludf.DUMMYFUNCTION("GOOGLETRANSLATE(A10209 , ""auto"", ""ar"")"),"استيقظ!")</f>
        <v>استيقظ!</v>
      </c>
    </row>
    <row r="10210" ht="15.75" customHeight="1">
      <c r="A10210" s="12" t="s">
        <v>23407</v>
      </c>
      <c r="B10210" s="13" t="s">
        <v>23408</v>
      </c>
      <c r="C10210" s="14" t="s">
        <v>23409</v>
      </c>
      <c r="D10210" s="1" t="str">
        <f>IFERROR(__xludf.DUMMYFUNCTION("GOOGLETRANSLATE(A10210 , ""auto"", ""ar"")"),"حاول ثانية")</f>
        <v>حاول ثانية</v>
      </c>
    </row>
    <row r="10211" ht="15.75" customHeight="1">
      <c r="A10211" s="12" t="s">
        <v>23410</v>
      </c>
      <c r="B10211" s="13" t="s">
        <v>23411</v>
      </c>
      <c r="C10211" s="14" t="s">
        <v>23412</v>
      </c>
      <c r="D10211" s="1" t="str">
        <f>IFERROR(__xludf.DUMMYFUNCTION("GOOGLETRANSLATE(A10211 , ""auto"", ""ar"")"),"اسألني")</f>
        <v>اسألني</v>
      </c>
    </row>
    <row r="10212" ht="15.75" customHeight="1">
      <c r="A10212" s="12" t="s">
        <v>23413</v>
      </c>
      <c r="B10212" s="13" t="s">
        <v>23414</v>
      </c>
      <c r="C10212" s="14" t="s">
        <v>23415</v>
      </c>
      <c r="D10212" s="1" t="str">
        <f>IFERROR(__xludf.DUMMYFUNCTION("GOOGLETRANSLATE(A10212 , ""auto"", ""ar"")"),"استيقظ")</f>
        <v>استيقظ</v>
      </c>
    </row>
    <row r="10213" ht="15.75" customHeight="1">
      <c r="A10213" s="12" t="s">
        <v>23416</v>
      </c>
      <c r="B10213" s="13" t="s">
        <v>19545</v>
      </c>
      <c r="C10213" s="14" t="s">
        <v>19546</v>
      </c>
      <c r="D10213" s="1" t="str">
        <f>IFERROR(__xludf.DUMMYFUNCTION("GOOGLETRANSLATE(A10213 , ""auto"", ""ar"")"),"اشعل ضوء")</f>
        <v>اشعل ضوء</v>
      </c>
    </row>
    <row r="10214" ht="15.75" customHeight="1">
      <c r="A10214" s="12" t="s">
        <v>23417</v>
      </c>
      <c r="B10214" s="13" t="s">
        <v>23418</v>
      </c>
      <c r="C10214" s="14" t="s">
        <v>23419</v>
      </c>
      <c r="D10214" s="1" t="str">
        <f>IFERROR(__xludf.DUMMYFUNCTION("GOOGLETRANSLATE(A10214 , ""auto"", ""ar"")"),"الحيوانات تسكن الغابة")</f>
        <v>الحيوانات تسكن الغابة</v>
      </c>
    </row>
    <row r="10215" ht="15.75" customHeight="1">
      <c r="A10215" s="12" t="s">
        <v>23420</v>
      </c>
      <c r="B10215" s="13" t="s">
        <v>23421</v>
      </c>
      <c r="C10215" s="14" t="s">
        <v>23422</v>
      </c>
      <c r="D10215" s="1" t="str">
        <f>IFERROR(__xludf.DUMMYFUNCTION("GOOGLETRANSLATE(A10215 , ""auto"", ""ar"")"),"تعيش الحيوانات البرية في الغابة")</f>
        <v>تعيش الحيوانات البرية في الغابة</v>
      </c>
    </row>
    <row r="10216" ht="15.75" customHeight="1">
      <c r="A10216" s="12" t="s">
        <v>23423</v>
      </c>
      <c r="B10216" s="13" t="s">
        <v>23424</v>
      </c>
      <c r="C10216" s="14" t="s">
        <v>23425</v>
      </c>
      <c r="D10216" s="1" t="str">
        <f>IFERROR(__xludf.DUMMYFUNCTION("GOOGLETRANSLATE(A10216 , ""auto"", ""ar"")"),"الماوس حيوان صغير")</f>
        <v>الماوس حيوان صغير</v>
      </c>
    </row>
    <row r="10217" ht="15.75" customHeight="1">
      <c r="A10217" s="12" t="s">
        <v>23426</v>
      </c>
      <c r="B10217" s="13" t="s">
        <v>23427</v>
      </c>
      <c r="C10217" s="14" t="s">
        <v>23428</v>
      </c>
      <c r="D10217" s="1" t="str">
        <f>IFERROR(__xludf.DUMMYFUNCTION("GOOGLETRANSLATE(A10217 , ""auto"", ""ar"")"),"تعيش العديد من الحيوانات البرية في أفريقيا")</f>
        <v>تعيش العديد من الحيوانات البرية في أفريقيا</v>
      </c>
    </row>
    <row r="10218" ht="15.75" customHeight="1">
      <c r="A10218" s="12" t="s">
        <v>23429</v>
      </c>
      <c r="B10218" s="13" t="s">
        <v>23430</v>
      </c>
      <c r="C10218" s="14" t="s">
        <v>23431</v>
      </c>
      <c r="D10218" s="1" t="str">
        <f>IFERROR(__xludf.DUMMYFUNCTION("GOOGLETRANSLATE(A10218 , ""auto"", ""ar"")"),"يُعرف أسرع حيوان باسم الفهد")</f>
        <v>يُعرف أسرع حيوان باسم الفهد</v>
      </c>
    </row>
    <row r="10219" ht="15.75" customHeight="1">
      <c r="A10219" s="12" t="s">
        <v>23432</v>
      </c>
      <c r="B10219" s="13" t="s">
        <v>23433</v>
      </c>
      <c r="C10219" s="14" t="s">
        <v>23434</v>
      </c>
      <c r="D10219" s="1" t="str">
        <f>IFERROR(__xludf.DUMMYFUNCTION("GOOGLETRANSLATE(A10219 , ""auto"", ""ar"")"),"أحب الحيوانات ، على سبيل المثال ، القطط والكلاب.")</f>
        <v>أحب الحيوانات ، على سبيل المثال ، القطط والكلاب.</v>
      </c>
    </row>
    <row r="10220" ht="15.75" customHeight="1">
      <c r="A10220" s="12" t="s">
        <v>23435</v>
      </c>
      <c r="B10220" s="13" t="s">
        <v>23436</v>
      </c>
      <c r="C10220" s="14" t="s">
        <v>23437</v>
      </c>
      <c r="D10220" s="1" t="str">
        <f>IFERROR(__xludf.DUMMYFUNCTION("GOOGLETRANSLATE(A10220 , ""auto"", ""ar"")"),"أكبر حيوان في العالم هو الحوت الأزرق")</f>
        <v>أكبر حيوان في العالم هو الحوت الأزرق</v>
      </c>
    </row>
    <row r="10221" ht="15.75" customHeight="1">
      <c r="A10221" s="12" t="s">
        <v>23438</v>
      </c>
      <c r="B10221" s="13" t="s">
        <v>23439</v>
      </c>
      <c r="C10221" s="14" t="s">
        <v>23440</v>
      </c>
      <c r="D10221" s="1" t="str">
        <f>IFERROR(__xludf.DUMMYFUNCTION("GOOGLETRANSLATE(A10221 , ""auto"", ""ar"")"),"البقرة تعطينا الحليب")</f>
        <v>البقرة تعطينا الحليب</v>
      </c>
    </row>
    <row r="10222" ht="15.75" customHeight="1">
      <c r="A10222" s="12" t="s">
        <v>23441</v>
      </c>
      <c r="B10222" s="13" t="s">
        <v>23442</v>
      </c>
      <c r="C10222" s="14" t="s">
        <v>23443</v>
      </c>
      <c r="D10222" s="1" t="str">
        <f>IFERROR(__xludf.DUMMYFUNCTION("GOOGLETRANSLATE(A10222 , ""auto"", ""ar"")"),"يجب ألا تؤذي الحيوانات")</f>
        <v>يجب ألا تؤذي الحيوانات</v>
      </c>
    </row>
    <row r="10223" ht="15.75" customHeight="1">
      <c r="A10223" s="12" t="s">
        <v>23444</v>
      </c>
      <c r="B10223" s="13" t="s">
        <v>23445</v>
      </c>
      <c r="C10223" s="14" t="s">
        <v>23446</v>
      </c>
      <c r="D10223" s="1" t="str">
        <f>IFERROR(__xludf.DUMMYFUNCTION("GOOGLETRANSLATE(A10223 , ""auto"", ""ar"")"),"يجب أن نعتني بهم")</f>
        <v>يجب أن نعتني بهم</v>
      </c>
    </row>
    <row r="10224" ht="15.75" customHeight="1">
      <c r="A10224" s="12" t="s">
        <v>23447</v>
      </c>
      <c r="B10224" s="13" t="s">
        <v>23448</v>
      </c>
      <c r="C10224" s="14" t="s">
        <v>23449</v>
      </c>
      <c r="D10224" s="1" t="str">
        <f>IFERROR(__xludf.DUMMYFUNCTION("GOOGLETRANSLATE(A10224 , ""auto"", ""ar"")"),"الحيوانات الأليفة")</f>
        <v>الحيوانات الأليفة</v>
      </c>
    </row>
    <row r="10225" ht="15.75" customHeight="1">
      <c r="A10225" s="12" t="s">
        <v>23450</v>
      </c>
      <c r="B10225" s="13" t="s">
        <v>23451</v>
      </c>
      <c r="C10225" s="14" t="s">
        <v>23452</v>
      </c>
      <c r="D10225" s="1" t="str">
        <f>IFERROR(__xludf.DUMMYFUNCTION("GOOGLETRANSLATE(A10225 , ""auto"", ""ar"")"),"يعطوننا اللحوم والنقل والرفيق")</f>
        <v>يعطوننا اللحوم والنقل والرفيق</v>
      </c>
    </row>
    <row r="10226" ht="15.75" customHeight="1">
      <c r="A10226" s="12" t="s">
        <v>23453</v>
      </c>
      <c r="B10226" s="13" t="s">
        <v>23454</v>
      </c>
      <c r="C10226" s="14" t="s">
        <v>23455</v>
      </c>
      <c r="D10226" s="1" t="str">
        <f>IFERROR(__xludf.DUMMYFUNCTION("GOOGLETRANSLATE(A10226 , ""auto"", ""ar"")"),"نعطيهم الحماية والمأوى")</f>
        <v>نعطيهم الحماية والمأوى</v>
      </c>
    </row>
    <row r="10227" ht="15.75" customHeight="1">
      <c r="A10227" s="12" t="s">
        <v>23456</v>
      </c>
      <c r="B10227" s="13" t="s">
        <v>23457</v>
      </c>
      <c r="C10227" s="14" t="s">
        <v>23458</v>
      </c>
      <c r="D10227" s="1" t="str">
        <f>IFERROR(__xludf.DUMMYFUNCTION("GOOGLETRANSLATE(A10227 , ""auto"", ""ar"")"),"الكلب مخلص")</f>
        <v>الكلب مخلص</v>
      </c>
    </row>
    <row r="10228" ht="15.75" customHeight="1">
      <c r="A10228" s="12" t="s">
        <v>23459</v>
      </c>
      <c r="B10228" s="13" t="s">
        <v>23460</v>
      </c>
      <c r="C10228" s="14" t="s">
        <v>23461</v>
      </c>
      <c r="D10228" s="1" t="str">
        <f>IFERROR(__xludf.DUMMYFUNCTION("GOOGLETRANSLATE(A10228 , ""auto"", ""ar"")"),"تعايش الحيوانات الأليفة مع البشر")</f>
        <v>تعايش الحيوانات الأليفة مع البشر</v>
      </c>
    </row>
    <row r="10229" ht="15.75" customHeight="1">
      <c r="A10229" s="12" t="s">
        <v>23462</v>
      </c>
      <c r="B10229" s="13" t="s">
        <v>23463</v>
      </c>
      <c r="C10229" s="14" t="s">
        <v>23464</v>
      </c>
      <c r="D10229" s="1" t="str">
        <f>IFERROR(__xludf.DUMMYFUNCTION("GOOGLETRANSLATE(A10229 , ""auto"", ""ar"")"),"على عكس الحيوانات البرية")</f>
        <v>على عكس الحيوانات البرية</v>
      </c>
    </row>
    <row r="10230" ht="15.75" customHeight="1">
      <c r="A10230" s="12" t="s">
        <v>23465</v>
      </c>
      <c r="B10230" s="13" t="s">
        <v>23466</v>
      </c>
      <c r="C10230" s="14" t="s">
        <v>23467</v>
      </c>
      <c r="D10230" s="1" t="str">
        <f>IFERROR(__xludf.DUMMYFUNCTION("GOOGLETRANSLATE(A10230 , ""auto"", ""ar"")"),"هل ستشوي الدجاج؟")</f>
        <v>هل ستشوي الدجاج؟</v>
      </c>
    </row>
    <row r="10231" ht="15.75" customHeight="1">
      <c r="A10231" s="12" t="s">
        <v>23468</v>
      </c>
      <c r="B10231" s="13" t="s">
        <v>23469</v>
      </c>
      <c r="C10231" s="14" t="s">
        <v>23470</v>
      </c>
      <c r="D10231" s="1" t="str">
        <f>IFERROR(__xludf.DUMMYFUNCTION("GOOGLETRANSLATE(A10231 , ""auto"", ""ar"")"),"ضع قطع الدجاج في خزفي")</f>
        <v>ضع قطع الدجاج في خزفي</v>
      </c>
    </row>
    <row r="10232" ht="15.75" customHeight="1">
      <c r="A10232" s="12" t="s">
        <v>23471</v>
      </c>
      <c r="B10232" s="13" t="s">
        <v>23472</v>
      </c>
      <c r="C10232" s="14" t="s">
        <v>23473</v>
      </c>
      <c r="D10232" s="1" t="str">
        <f>IFERROR(__xludf.DUMMYFUNCTION("GOOGLETRANSLATE(A10232 , ""auto"", ""ar"")"),"ماء مالح صدور الدجاج")</f>
        <v>ماء مالح صدور الدجاج</v>
      </c>
    </row>
    <row r="10233" ht="15.75" customHeight="1">
      <c r="A10233" s="12" t="s">
        <v>23474</v>
      </c>
      <c r="B10233" s="13" t="s">
        <v>23475</v>
      </c>
      <c r="C10233" s="14" t="s">
        <v>23476</v>
      </c>
      <c r="D10233" s="1" t="str">
        <f>IFERROR(__xludf.DUMMYFUNCTION("GOOGLETRANSLATE(A10233 , ""auto"", ""ar"")"),"إنه لا يحب أجنحة الدجاج")</f>
        <v>إنه لا يحب أجنحة الدجاج</v>
      </c>
    </row>
    <row r="10234" ht="15.75" customHeight="1">
      <c r="A10234" s="12" t="s">
        <v>23477</v>
      </c>
      <c r="B10234" s="13" t="s">
        <v>23478</v>
      </c>
      <c r="C10234" s="14" t="s">
        <v>23479</v>
      </c>
      <c r="D10234" s="1" t="str">
        <f>IFERROR(__xludf.DUMMYFUNCTION("GOOGLETRANSLATE(A10234 , ""auto"", ""ar"")"),"هناك رائحة الدجاج المقلي")</f>
        <v>هناك رائحة الدجاج المقلي</v>
      </c>
    </row>
    <row r="10235" ht="15.75" customHeight="1">
      <c r="A10235" s="12" t="s">
        <v>23480</v>
      </c>
      <c r="B10235" s="13" t="s">
        <v>23481</v>
      </c>
      <c r="C10235" s="14" t="s">
        <v>23482</v>
      </c>
      <c r="D10235" s="1" t="str">
        <f>IFERROR(__xludf.DUMMYFUNCTION("GOOGLETRANSLATE(A10235 , ""auto"", ""ar"")"),"صنع شطيرة الدجاج")</f>
        <v>صنع شطيرة الدجاج</v>
      </c>
    </row>
    <row r="10236" ht="15.75" customHeight="1">
      <c r="A10236" s="12" t="s">
        <v>23483</v>
      </c>
      <c r="B10236" s="13" t="s">
        <v>23484</v>
      </c>
      <c r="C10236" s="14" t="s">
        <v>23485</v>
      </c>
      <c r="D10236" s="1" t="str">
        <f>IFERROR(__xludf.DUMMYFUNCTION("GOOGLETRANSLATE(A10236 , ""auto"", ""ar"")"),"القطط تحب اللعب")</f>
        <v>القطط تحب اللعب</v>
      </c>
    </row>
    <row r="10237" ht="15.75" customHeight="1">
      <c r="A10237" s="12" t="s">
        <v>23486</v>
      </c>
      <c r="B10237" s="13" t="s">
        <v>23487</v>
      </c>
      <c r="C10237" s="14" t="s">
        <v>23488</v>
      </c>
      <c r="D10237" s="1" t="str">
        <f>IFERROR(__xludf.DUMMYFUNCTION("GOOGLETRANSLATE(A10237 , ""auto"", ""ar"")"),"يعيش الجمل في الصحارى")</f>
        <v>يعيش الجمل في الصحارى</v>
      </c>
    </row>
    <row r="10238" ht="15.75" customHeight="1">
      <c r="A10238" s="12" t="s">
        <v>23489</v>
      </c>
      <c r="B10238" s="13" t="s">
        <v>23490</v>
      </c>
      <c r="C10238" s="14" t="s">
        <v>23491</v>
      </c>
      <c r="D10238" s="1" t="str">
        <f>IFERROR(__xludf.DUMMYFUNCTION("GOOGLETRANSLATE(A10238 , ""auto"", ""ar"")"),"الجمل له فم سميك")</f>
        <v>الجمل له فم سميك</v>
      </c>
    </row>
    <row r="10239" ht="15.75" customHeight="1">
      <c r="A10239" s="12" t="s">
        <v>23492</v>
      </c>
      <c r="B10239" s="13" t="s">
        <v>23493</v>
      </c>
      <c r="C10239" s="14" t="s">
        <v>23494</v>
      </c>
      <c r="D10239" s="1" t="str">
        <f>IFERROR(__xludf.DUMMYFUNCTION("GOOGLETRANSLATE(A10239 , ""auto"", ""ar"")"),"يتحركون في عبوات")</f>
        <v>يتحركون في عبوات</v>
      </c>
    </row>
    <row r="10240" ht="15.75" customHeight="1">
      <c r="A10240" s="12" t="s">
        <v>23495</v>
      </c>
      <c r="B10240" s="13" t="s">
        <v>23496</v>
      </c>
      <c r="C10240" s="14" t="s">
        <v>23497</v>
      </c>
      <c r="D10240" s="1" t="str">
        <f>IFERROR(__xludf.DUMMYFUNCTION("GOOGLETRANSLATE(A10240 , ""auto"", ""ar"")"),"قتل الأفعى")</f>
        <v>قتل الأفعى</v>
      </c>
    </row>
    <row r="10241" ht="15.75" customHeight="1">
      <c r="A10241" s="12" t="s">
        <v>23498</v>
      </c>
      <c r="B10241" s="13" t="s">
        <v>23499</v>
      </c>
      <c r="C10241" s="14" t="s">
        <v>23500</v>
      </c>
      <c r="D10241" s="1" t="str">
        <f>IFERROR(__xludf.DUMMYFUNCTION("GOOGLETRANSLATE(A10241 , ""auto"", ""ar"")"),"كان خائفا من الثعبان")</f>
        <v>كان خائفا من الثعبان</v>
      </c>
    </row>
    <row r="10242" ht="15.75" customHeight="1">
      <c r="A10242" s="12" t="s">
        <v>23501</v>
      </c>
      <c r="B10242" s="13" t="s">
        <v>23502</v>
      </c>
      <c r="C10242" s="14" t="s">
        <v>23503</v>
      </c>
      <c r="D10242" s="1" t="str">
        <f>IFERROR(__xludf.DUMMYFUNCTION("GOOGLETRANSLATE(A10242 , ""auto"", ""ar"")"),"تعرض للعض من ثعبان سام")</f>
        <v>تعرض للعض من ثعبان سام</v>
      </c>
    </row>
    <row r="10243" ht="15.75" customHeight="1">
      <c r="A10243" s="12" t="s">
        <v>23504</v>
      </c>
      <c r="B10243" s="13" t="s">
        <v>23505</v>
      </c>
      <c r="C10243" s="14" t="s">
        <v>23506</v>
      </c>
      <c r="D10243" s="1" t="str">
        <f>IFERROR(__xludf.DUMMYFUNCTION("GOOGLETRANSLATE(A10243 , ""auto"", ""ar"")"),"الحصان هو حيواني المفضل")</f>
        <v>الحصان هو حيواني المفضل</v>
      </c>
    </row>
    <row r="10244" ht="15.75" customHeight="1">
      <c r="A10244" s="12" t="s">
        <v>23507</v>
      </c>
      <c r="B10244" s="13" t="s">
        <v>23508</v>
      </c>
      <c r="C10244" s="14" t="s">
        <v>23509</v>
      </c>
      <c r="D10244" s="1" t="str">
        <f>IFERROR(__xludf.DUMMYFUNCTION("GOOGLETRANSLATE(A10244 , ""auto"", ""ar"")"),"الحصان حيوان مهيب")</f>
        <v>الحصان حيوان مهيب</v>
      </c>
    </row>
    <row r="10245" ht="15.75" customHeight="1">
      <c r="A10245" s="12" t="s">
        <v>23510</v>
      </c>
      <c r="B10245" s="13" t="s">
        <v>23511</v>
      </c>
      <c r="C10245" s="14" t="s">
        <v>23512</v>
      </c>
      <c r="D10245" s="1" t="str">
        <f>IFERROR(__xludf.DUMMYFUNCTION("GOOGLETRANSLATE(A10245 , ""auto"", ""ar"")"),"تعيش الخيول في مستقر")</f>
        <v>تعيش الخيول في مستقر</v>
      </c>
    </row>
    <row r="10246" ht="15.75" customHeight="1">
      <c r="A10246" s="12" t="s">
        <v>23513</v>
      </c>
      <c r="B10246" s="13" t="s">
        <v>23514</v>
      </c>
      <c r="C10246" s="14" t="s">
        <v>23515</v>
      </c>
      <c r="D10246" s="1" t="str">
        <f>IFERROR(__xludf.DUMMYFUNCTION("GOOGLETRANSLATE(A10246 , ""auto"", ""ar"")"),"الفراشة هي حشرة صغيرة")</f>
        <v>الفراشة هي حشرة صغيرة</v>
      </c>
    </row>
    <row r="10247" ht="15.75" customHeight="1">
      <c r="A10247" s="12" t="s">
        <v>23516</v>
      </c>
      <c r="B10247" s="13" t="s">
        <v>23517</v>
      </c>
      <c r="C10247" s="14" t="s">
        <v>23518</v>
      </c>
      <c r="D10247" s="1" t="str">
        <f>IFERROR(__xludf.DUMMYFUNCTION("GOOGLETRANSLATE(A10247 , ""auto"", ""ar"")"),"يمكن أن تطير الفراشات")</f>
        <v>يمكن أن تطير الفراشات</v>
      </c>
    </row>
    <row r="10248" ht="15.75" customHeight="1">
      <c r="A10248" s="12" t="s">
        <v>23519</v>
      </c>
      <c r="B10248" s="13" t="s">
        <v>23520</v>
      </c>
      <c r="C10248" s="14" t="s">
        <v>23521</v>
      </c>
      <c r="D10248" s="1" t="str">
        <f>IFERROR(__xludf.DUMMYFUNCTION("GOOGLETRANSLATE(A10248 , ""auto"", ""ar"")"),"الأرنب لديه أسنان حادة")</f>
        <v>الأرنب لديه أسنان حادة</v>
      </c>
    </row>
    <row r="10249" ht="15.75" customHeight="1">
      <c r="A10249" s="12" t="s">
        <v>23522</v>
      </c>
      <c r="B10249" s="13" t="s">
        <v>23523</v>
      </c>
      <c r="C10249" s="14" t="s">
        <v>23524</v>
      </c>
      <c r="D10249" s="1" t="str">
        <f>IFERROR(__xludf.DUMMYFUNCTION("GOOGLETRANSLATE(A10249 , ""auto"", ""ar"")"),"الأرانب قفز من مكان إلى آخر")</f>
        <v>الأرانب قفز من مكان إلى آخر</v>
      </c>
    </row>
    <row r="10250" ht="15.75" customHeight="1">
      <c r="A10250" s="12" t="s">
        <v>23525</v>
      </c>
      <c r="B10250" s="13" t="s">
        <v>23526</v>
      </c>
      <c r="C10250" s="14" t="s">
        <v>23527</v>
      </c>
      <c r="D10250" s="1" t="str">
        <f>IFERROR(__xludf.DUMMYFUNCTION("GOOGLETRANSLATE(A10250 , ""auto"", ""ar"")"),"يُعرف الأسد باسم ملك الغابة")</f>
        <v>يُعرف الأسد باسم ملك الغابة</v>
      </c>
    </row>
    <row r="10251" ht="15.75" customHeight="1">
      <c r="A10251" s="12" t="s">
        <v>23528</v>
      </c>
      <c r="B10251" s="13" t="s">
        <v>23529</v>
      </c>
      <c r="C10251" s="14" t="s">
        <v>23530</v>
      </c>
      <c r="D10251" s="1" t="str">
        <f>IFERROR(__xludf.DUMMYFUNCTION("GOOGLETRANSLATE(A10251 , ""auto"", ""ar"")"),"البط أيضا وضع بيض مثل الدجاج")</f>
        <v>البط أيضا وضع بيض مثل الدجاج</v>
      </c>
    </row>
    <row r="10252" ht="15.75" customHeight="1">
      <c r="A10252" s="12" t="s">
        <v>23531</v>
      </c>
      <c r="B10252" s="13" t="s">
        <v>23532</v>
      </c>
      <c r="C10252" s="14" t="s">
        <v>23533</v>
      </c>
      <c r="D10252" s="1" t="str">
        <f>IFERROR(__xludf.DUMMYFUNCTION("GOOGLETRANSLATE(A10252 , ""auto"", ""ar"")"),"جاء ركوب على حمار")</f>
        <v>جاء ركوب على حمار</v>
      </c>
    </row>
    <row r="10253" ht="15.75" customHeight="1">
      <c r="A10253" s="12" t="s">
        <v>23534</v>
      </c>
      <c r="B10253" s="13" t="s">
        <v>23535</v>
      </c>
      <c r="C10253" s="14" t="s">
        <v>23536</v>
      </c>
      <c r="D10253" s="1" t="str">
        <f>IFERROR(__xludf.DUMMYFUNCTION("GOOGLETRANSLATE(A10253 , ""auto"", ""ar"")"),"عمر السنجاب حوالي 3 إلى 8 سنوات")</f>
        <v>عمر السنجاب حوالي 3 إلى 8 سنوات</v>
      </c>
    </row>
    <row r="10254" ht="15.75" customHeight="1">
      <c r="A10254" s="12" t="s">
        <v>23537</v>
      </c>
      <c r="B10254" s="13" t="s">
        <v>23538</v>
      </c>
      <c r="C10254" s="14" t="s">
        <v>23539</v>
      </c>
      <c r="D10254" s="1" t="str">
        <f>IFERROR(__xludf.DUMMYFUNCTION("GOOGLETRANSLATE(A10254 , ""auto"", ""ar"")"),"النمر حيوان بري")</f>
        <v>النمر حيوان بري</v>
      </c>
    </row>
    <row r="10255" ht="15.75" customHeight="1">
      <c r="A10255" s="12" t="s">
        <v>23540</v>
      </c>
      <c r="B10255" s="13" t="s">
        <v>23541</v>
      </c>
      <c r="C10255" s="14" t="s">
        <v>23542</v>
      </c>
      <c r="D10255" s="1" t="str">
        <f>IFERROR(__xludf.DUMMYFUNCTION("GOOGLETRANSLATE(A10255 , ""auto"", ""ar"")"),"الزرافة لا يمكن للسباحة")</f>
        <v>الزرافة لا يمكن للسباحة</v>
      </c>
    </row>
    <row r="10256" ht="15.75" customHeight="1">
      <c r="A10256" s="12" t="s">
        <v>23543</v>
      </c>
      <c r="B10256" s="13" t="s">
        <v>23544</v>
      </c>
      <c r="C10256" s="14" t="s">
        <v>23545</v>
      </c>
      <c r="D10256" s="1" t="str">
        <f>IFERROR(__xludf.DUMMYFUNCTION("GOOGLETRANSLATE(A10256 , ""auto"", ""ar"")"),"الدب لديه أظافر قوية وحادة")</f>
        <v>الدب لديه أظافر قوية وحادة</v>
      </c>
    </row>
    <row r="10257" ht="15.75" customHeight="1">
      <c r="A10257" s="12" t="s">
        <v>23546</v>
      </c>
      <c r="B10257" s="13" t="s">
        <v>23547</v>
      </c>
      <c r="C10257" s="14" t="s">
        <v>23548</v>
      </c>
      <c r="D10257" s="1" t="str">
        <f>IFERROR(__xludf.DUMMYFUNCTION("GOOGLETRANSLATE(A10257 , ""auto"", ""ar"")"),"الغوريلا لديها جبين ضخم")</f>
        <v>الغوريلا لديها جبين ضخم</v>
      </c>
    </row>
    <row r="10258" ht="15.75" customHeight="1">
      <c r="A10258" s="12" t="s">
        <v>23549</v>
      </c>
      <c r="B10258" s="13" t="s">
        <v>23550</v>
      </c>
      <c r="C10258" s="14" t="s">
        <v>23551</v>
      </c>
      <c r="D10258" s="1" t="str">
        <f>IFERROR(__xludf.DUMMYFUNCTION("GOOGLETRANSLATE(A10258 , ""auto"", ""ar"")"),"الباندا مخلوق خجول")</f>
        <v>الباندا مخلوق خجول</v>
      </c>
    </row>
    <row r="10259" ht="15.75" customHeight="1">
      <c r="A10259" s="12" t="s">
        <v>23552</v>
      </c>
      <c r="B10259" s="13" t="s">
        <v>23553</v>
      </c>
      <c r="C10259" s="14" t="s">
        <v>23554</v>
      </c>
      <c r="D10259" s="1" t="str">
        <f>IFERROR(__xludf.DUMMYFUNCTION("GOOGLETRANSLATE(A10259 , ""auto"", ""ar"")"),"الباندا الآن حيوان نادر")</f>
        <v>الباندا الآن حيوان نادر</v>
      </c>
    </row>
    <row r="10260" ht="15.75" customHeight="1">
      <c r="A10260" s="12" t="s">
        <v>23555</v>
      </c>
      <c r="B10260" s="13" t="s">
        <v>23556</v>
      </c>
      <c r="C10260" s="14" t="s">
        <v>23557</v>
      </c>
      <c r="D10260" s="1" t="str">
        <f>IFERROR(__xludf.DUMMYFUNCTION("GOOGLETRANSLATE(A10260 , ""auto"", ""ar"")"),"إنه جلد تمساح حقيقي")</f>
        <v>إنه جلد تمساح حقيقي</v>
      </c>
    </row>
    <row r="10261" ht="15.75" customHeight="1">
      <c r="A10261" s="12" t="s">
        <v>23558</v>
      </c>
      <c r="B10261" s="13" t="s">
        <v>23559</v>
      </c>
      <c r="C10261" s="14" t="s">
        <v>23560</v>
      </c>
      <c r="D10261" s="1" t="str">
        <f>IFERROR(__xludf.DUMMYFUNCTION("GOOGLETRANSLATE(A10261 , ""auto"", ""ar"")"),"خرج ضفدع من الماء")</f>
        <v>خرج ضفدع من الماء</v>
      </c>
    </row>
    <row r="10262" ht="15.75" customHeight="1">
      <c r="A10262" s="12" t="s">
        <v>23561</v>
      </c>
      <c r="B10262" s="13" t="s">
        <v>23562</v>
      </c>
      <c r="C10262" s="14" t="s">
        <v>23563</v>
      </c>
      <c r="D10262" s="1" t="str">
        <f>IFERROR(__xludf.DUMMYFUNCTION("GOOGLETRANSLATE(A10262 , ""auto"", ""ar"")"),"ابتلع الثعبان ضفدع")</f>
        <v>ابتلع الثعبان ضفدع</v>
      </c>
    </row>
    <row r="10263" ht="15.75" customHeight="1">
      <c r="A10263" s="12" t="s">
        <v>23564</v>
      </c>
      <c r="B10263" s="13" t="s">
        <v>23565</v>
      </c>
      <c r="C10263" s="14" t="s">
        <v>23566</v>
      </c>
      <c r="D10263" s="1" t="str">
        <f>IFERROR(__xludf.DUMMYFUNCTION("GOOGLETRANSLATE(A10263 , ""auto"", ""ar"")"),"ذئب أخافني")</f>
        <v>ذئب أخافني</v>
      </c>
    </row>
    <row r="10264" ht="15.75" customHeight="1">
      <c r="A10264" s="12" t="s">
        <v>23567</v>
      </c>
      <c r="B10264" s="13" t="s">
        <v>23568</v>
      </c>
      <c r="C10264" s="14" t="s">
        <v>23569</v>
      </c>
      <c r="D10264" s="1" t="str">
        <f>IFERROR(__xludf.DUMMYFUNCTION("GOOGLETRANSLATE(A10264 , ""auto"", ""ar"")"),"القرش حيوان مائي")</f>
        <v>القرش حيوان مائي</v>
      </c>
    </row>
    <row r="10265" ht="15.75" customHeight="1">
      <c r="A10265" s="12" t="s">
        <v>23570</v>
      </c>
      <c r="B10265" s="13" t="s">
        <v>23571</v>
      </c>
      <c r="C10265" s="14" t="s">
        <v>23572</v>
      </c>
      <c r="D10265" s="1" t="str">
        <f>IFERROR(__xludf.DUMMYFUNCTION("GOOGLETRANSLATE(A10265 , ""auto"", ""ar"")"),"إنه مثل الثعلب")</f>
        <v>إنه مثل الثعلب</v>
      </c>
    </row>
    <row r="10266" ht="15.75" customHeight="1">
      <c r="A10266" s="12" t="s">
        <v>17654</v>
      </c>
      <c r="B10266" s="13" t="s">
        <v>19380</v>
      </c>
      <c r="C10266" s="14" t="s">
        <v>17656</v>
      </c>
      <c r="D10266" s="1" t="str">
        <f>IFERROR(__xludf.DUMMYFUNCTION("GOOGLETRANSLATE(A10266 , ""auto"", ""ar"")"),"هذا المنزل كبير")</f>
        <v>هذا المنزل كبير</v>
      </c>
    </row>
    <row r="10267" ht="15.75" customHeight="1">
      <c r="A10267" s="12" t="s">
        <v>23573</v>
      </c>
      <c r="B10267" s="13" t="s">
        <v>23574</v>
      </c>
      <c r="C10267" s="14" t="s">
        <v>23575</v>
      </c>
      <c r="D10267" s="1" t="str">
        <f>IFERROR(__xludf.DUMMYFUNCTION("GOOGLETRANSLATE(A10267 , ""auto"", ""ar"")"),"لديه منزل خاص به")</f>
        <v>لديه منزل خاص به</v>
      </c>
    </row>
    <row r="10268" ht="15.75" customHeight="1">
      <c r="A10268" s="12" t="s">
        <v>23576</v>
      </c>
      <c r="B10268" s="13" t="s">
        <v>23577</v>
      </c>
      <c r="C10268" s="14" t="s">
        <v>23578</v>
      </c>
      <c r="D10268" s="1" t="str">
        <f>IFERROR(__xludf.DUMMYFUNCTION("GOOGLETRANSLATE(A10268 , ""auto"", ""ar"")"),"يحتاج هذا المنزل إلى الرسم")</f>
        <v>يحتاج هذا المنزل إلى الرسم</v>
      </c>
    </row>
    <row r="10269" ht="15.75" customHeight="1">
      <c r="A10269" s="12" t="s">
        <v>23579</v>
      </c>
      <c r="B10269" s="13" t="s">
        <v>23580</v>
      </c>
      <c r="C10269" s="14" t="s">
        <v>23581</v>
      </c>
      <c r="D10269" s="1" t="str">
        <f>IFERROR(__xludf.DUMMYFUNCTION("GOOGLETRANSLATE(A10269 , ""auto"", ""ar"")"),"رسم المنزل باللون الأخضر")</f>
        <v>رسم المنزل باللون الأخضر</v>
      </c>
    </row>
    <row r="10270" ht="15.75" customHeight="1">
      <c r="A10270" s="12" t="s">
        <v>23582</v>
      </c>
      <c r="B10270" s="13" t="s">
        <v>23583</v>
      </c>
      <c r="C10270" s="14" t="s">
        <v>23584</v>
      </c>
      <c r="D10270" s="1" t="str">
        <f>IFERROR(__xludf.DUMMYFUNCTION("GOOGLETRANSLATE(A10270 , ""auto"", ""ar"")"),"يحتوي هذا المنزل على أحد عشر غرفة")</f>
        <v>يحتوي هذا المنزل على أحد عشر غرفة</v>
      </c>
    </row>
    <row r="10271" ht="15.75" customHeight="1">
      <c r="A10271" s="12" t="s">
        <v>23585</v>
      </c>
      <c r="B10271" s="13" t="s">
        <v>23586</v>
      </c>
      <c r="C10271" s="14" t="s">
        <v>23587</v>
      </c>
      <c r="D10271" s="1" t="str">
        <f>IFERROR(__xludf.DUMMYFUNCTION("GOOGLETRANSLATE(A10271 , ""auto"", ""ar"")"),"لديها حمامين")</f>
        <v>لديها حمامين</v>
      </c>
    </row>
    <row r="10272" ht="15.75" customHeight="1">
      <c r="A10272" s="12" t="s">
        <v>23585</v>
      </c>
      <c r="B10272" s="13" t="s">
        <v>23588</v>
      </c>
      <c r="C10272" s="14" t="s">
        <v>23589</v>
      </c>
      <c r="D10272" s="1" t="str">
        <f>IFERROR(__xludf.DUMMYFUNCTION("GOOGLETRANSLATE(A10272 , ""auto"", ""ar"")"),"لديها حمامين")</f>
        <v>لديها حمامين</v>
      </c>
    </row>
    <row r="10273" ht="15.75" customHeight="1">
      <c r="A10273" s="12" t="s">
        <v>23590</v>
      </c>
      <c r="B10273" s="13" t="s">
        <v>23591</v>
      </c>
      <c r="C10273" s="14" t="s">
        <v>23592</v>
      </c>
      <c r="D10273" s="1" t="str">
        <f>IFERROR(__xludf.DUMMYFUNCTION("GOOGLETRANSLATE(A10273 , ""auto"", ""ar"")"),"سمعت أنه باع منزله")</f>
        <v>سمعت أنه باع منزله</v>
      </c>
    </row>
    <row r="10274" ht="15.75" customHeight="1">
      <c r="A10274" s="12" t="s">
        <v>23593</v>
      </c>
      <c r="B10274" s="13" t="s">
        <v>23594</v>
      </c>
      <c r="C10274" s="14" t="s">
        <v>23595</v>
      </c>
      <c r="D10274" s="1" t="str">
        <f>IFERROR(__xludf.DUMMYFUNCTION("GOOGLETRANSLATE(A10274 , ""auto"", ""ar"")"),"منزله ليس بعيدًا عن هنا")</f>
        <v>منزله ليس بعيدًا عن هنا</v>
      </c>
    </row>
    <row r="10275" ht="15.75" customHeight="1">
      <c r="A10275" s="12" t="s">
        <v>23596</v>
      </c>
      <c r="B10275" s="13" t="s">
        <v>23597</v>
      </c>
      <c r="C10275" s="14" t="s">
        <v>23598</v>
      </c>
      <c r="D10275" s="1" t="str">
        <f>IFERROR(__xludf.DUMMYFUNCTION("GOOGLETRANSLATE(A10275 , ""auto"", ""ar"")"),"يعيش في هذا المنزل بمفرده")</f>
        <v>يعيش في هذا المنزل بمفرده</v>
      </c>
    </row>
    <row r="10276" ht="15.75" customHeight="1">
      <c r="A10276" s="12" t="s">
        <v>23599</v>
      </c>
      <c r="B10276" s="13" t="s">
        <v>23600</v>
      </c>
      <c r="C10276" s="14" t="s">
        <v>23601</v>
      </c>
      <c r="D10276" s="1" t="str">
        <f>IFERROR(__xludf.DUMMYFUNCTION("GOOGLETRANSLATE(A10276 , ""auto"", ""ar"")"),"يقال إن المنزل مسكون")</f>
        <v>يقال إن المنزل مسكون</v>
      </c>
    </row>
    <row r="10277" ht="15.75" customHeight="1">
      <c r="A10277" s="12" t="s">
        <v>23602</v>
      </c>
      <c r="B10277" s="13" t="s">
        <v>23603</v>
      </c>
      <c r="C10277" s="14" t="s">
        <v>23604</v>
      </c>
      <c r="D10277" s="1" t="str">
        <f>IFERROR(__xludf.DUMMYFUNCTION("GOOGLETRANSLATE(A10277 , ""auto"", ""ar"")"),"من فضلك انتظر بالخارج")</f>
        <v>من فضلك انتظر بالخارج</v>
      </c>
    </row>
    <row r="10278" ht="15.75" customHeight="1">
      <c r="A10278" s="12" t="s">
        <v>23605</v>
      </c>
      <c r="B10278" s="13" t="s">
        <v>23606</v>
      </c>
      <c r="C10278" s="14" t="s">
        <v>23607</v>
      </c>
      <c r="D10278" s="1" t="str">
        <f>IFERROR(__xludf.DUMMYFUNCTION("GOOGLETRANSLATE(A10278 , ""auto"", ""ar"")"),"الباب مغلق")</f>
        <v>الباب مغلق</v>
      </c>
    </row>
    <row r="10279" ht="15.75" customHeight="1">
      <c r="A10279" s="12" t="s">
        <v>23608</v>
      </c>
      <c r="B10279" s="13" t="s">
        <v>23609</v>
      </c>
      <c r="C10279" s="14" t="s">
        <v>23610</v>
      </c>
      <c r="D10279" s="1" t="str">
        <f>IFERROR(__xludf.DUMMYFUNCTION("GOOGLETRANSLATE(A10279 , ""auto"", ""ar"")"),"لقد تخليت عن فكرة شراء منزل")</f>
        <v>لقد تخليت عن فكرة شراء منزل</v>
      </c>
    </row>
    <row r="10280" ht="15.75" customHeight="1">
      <c r="A10280" s="12" t="s">
        <v>23611</v>
      </c>
      <c r="B10280" s="13" t="s">
        <v>23612</v>
      </c>
      <c r="C10280" s="14" t="s">
        <v>23613</v>
      </c>
      <c r="D10280" s="1" t="str">
        <f>IFERROR(__xludf.DUMMYFUNCTION("GOOGLETRANSLATE(A10280 , ""auto"", ""ar"")"),"يستسلم")</f>
        <v>يستسلم</v>
      </c>
    </row>
    <row r="10281" ht="15.75" customHeight="1">
      <c r="A10281" s="12" t="s">
        <v>23614</v>
      </c>
      <c r="B10281" s="13" t="s">
        <v>23615</v>
      </c>
      <c r="C10281" s="14" t="s">
        <v>23616</v>
      </c>
      <c r="D10281" s="1" t="str">
        <f>IFERROR(__xludf.DUMMYFUNCTION("GOOGLETRANSLATE(A10281 , ""auto"", ""ar"")"),"هناك محطة للحافلات بالقرب من الشقة")</f>
        <v>هناك محطة للحافلات بالقرب من الشقة</v>
      </c>
    </row>
    <row r="10282" ht="15.75" customHeight="1">
      <c r="A10282" s="12" t="s">
        <v>23617</v>
      </c>
      <c r="B10282" s="13" t="s">
        <v>23618</v>
      </c>
      <c r="C10282" s="14" t="s">
        <v>23619</v>
      </c>
      <c r="D10282" s="1" t="str">
        <f>IFERROR(__xludf.DUMMYFUNCTION("GOOGLETRANSLATE(A10282 , ""auto"", ""ar"")"),"أين الخزانة")</f>
        <v>أين الخزانة</v>
      </c>
    </row>
    <row r="10283" ht="15.75" customHeight="1">
      <c r="A10283" s="12" t="s">
        <v>23617</v>
      </c>
      <c r="B10283" s="13" t="s">
        <v>23620</v>
      </c>
      <c r="C10283" s="14" t="s">
        <v>23621</v>
      </c>
      <c r="D10283" s="1" t="str">
        <f>IFERROR(__xludf.DUMMYFUNCTION("GOOGLETRANSLATE(A10283 , ""auto"", ""ar"")"),"أين الخزانة")</f>
        <v>أين الخزانة</v>
      </c>
    </row>
    <row r="10284" ht="15.75" customHeight="1">
      <c r="A10284" s="12" t="s">
        <v>23622</v>
      </c>
      <c r="B10284" s="13" t="s">
        <v>23623</v>
      </c>
      <c r="C10284" s="14" t="s">
        <v>23624</v>
      </c>
      <c r="D10284" s="1" t="str">
        <f>IFERROR(__xludf.DUMMYFUNCTION("GOOGLETRANSLATE(A10284 , ""auto"", ""ar"")"),"رسم المطبخ باللون الأصفر")</f>
        <v>رسم المطبخ باللون الأصفر</v>
      </c>
    </row>
    <row r="10285" ht="15.75" customHeight="1">
      <c r="A10285" s="12" t="s">
        <v>23625</v>
      </c>
      <c r="B10285" s="13" t="s">
        <v>23626</v>
      </c>
      <c r="C10285" s="14" t="s">
        <v>23627</v>
      </c>
      <c r="D10285" s="1" t="str">
        <f>IFERROR(__xludf.DUMMYFUNCTION("GOOGLETRANSLATE(A10285 , ""auto"", ""ar"")"),"الرجاء إغلاق المنزل")</f>
        <v>الرجاء إغلاق المنزل</v>
      </c>
    </row>
    <row r="10286" ht="15.75" customHeight="1">
      <c r="A10286" s="12" t="s">
        <v>23628</v>
      </c>
      <c r="B10286" s="13" t="s">
        <v>23629</v>
      </c>
      <c r="C10286" s="14" t="s">
        <v>23630</v>
      </c>
      <c r="D10286" s="1" t="str">
        <f>IFERROR(__xludf.DUMMYFUNCTION("GOOGLETRANSLATE(A10286 , ""auto"", ""ar"")"),"إنه يضع على الأريكة")</f>
        <v>إنه يضع على الأريكة</v>
      </c>
    </row>
    <row r="10287" ht="15.75" customHeight="1">
      <c r="A10287" s="12" t="s">
        <v>23631</v>
      </c>
      <c r="B10287" s="13" t="s">
        <v>23632</v>
      </c>
      <c r="C10287" s="14" t="s">
        <v>23633</v>
      </c>
      <c r="D10287" s="1" t="str">
        <f>IFERROR(__xludf.DUMMYFUNCTION("GOOGLETRANSLATE(A10287 , ""auto"", ""ar"")"),"يحتاج إلى وسادة")</f>
        <v>يحتاج إلى وسادة</v>
      </c>
    </row>
    <row r="10288" ht="15.75" customHeight="1">
      <c r="A10288" s="12" t="s">
        <v>23634</v>
      </c>
      <c r="B10288" s="13" t="s">
        <v>23635</v>
      </c>
      <c r="C10288" s="14" t="s">
        <v>23636</v>
      </c>
      <c r="D10288" s="1" t="str">
        <f>IFERROR(__xludf.DUMMYFUNCTION("GOOGLETRANSLATE(A10288 , ""auto"", ""ar"")"),"يحتاج إلى بطانية")</f>
        <v>يحتاج إلى بطانية</v>
      </c>
    </row>
    <row r="10289" ht="15.75" customHeight="1">
      <c r="A10289" s="12" t="s">
        <v>23637</v>
      </c>
      <c r="B10289" s="13" t="s">
        <v>23638</v>
      </c>
      <c r="C10289" s="14" t="s">
        <v>23639</v>
      </c>
      <c r="D10289" s="1" t="str">
        <f>IFERROR(__xludf.DUMMYFUNCTION("GOOGLETRANSLATE(A10289 , ""auto"", ""ar"")"),"إنه يشرب القهوة في الشرفة")</f>
        <v>إنه يشرب القهوة في الشرفة</v>
      </c>
    </row>
    <row r="10290" ht="15.75" customHeight="1">
      <c r="A10290" s="12" t="s">
        <v>23640</v>
      </c>
      <c r="B10290" s="13" t="s">
        <v>23641</v>
      </c>
      <c r="C10290" s="14" t="s">
        <v>23642</v>
      </c>
      <c r="D10290" s="1" t="str">
        <f>IFERROR(__xludf.DUMMYFUNCTION("GOOGLETRANSLATE(A10290 , ""auto"", ""ar"")"),"لديه قبو")</f>
        <v>لديه قبو</v>
      </c>
    </row>
    <row r="10291" ht="15.75" customHeight="1">
      <c r="A10291" s="12" t="s">
        <v>23643</v>
      </c>
      <c r="B10291" s="13" t="s">
        <v>23644</v>
      </c>
      <c r="C10291" s="14" t="s">
        <v>23645</v>
      </c>
      <c r="D10291" s="1" t="str">
        <f>IFERROR(__xludf.DUMMYFUNCTION("GOOGLETRANSLATE(A10291 , ""auto"", ""ar"")"),"إنه يجلس على الكرسي")</f>
        <v>إنه يجلس على الكرسي</v>
      </c>
    </row>
    <row r="10292" ht="15.75" customHeight="1">
      <c r="A10292" s="12" t="s">
        <v>23646</v>
      </c>
      <c r="B10292" s="13" t="s">
        <v>23647</v>
      </c>
      <c r="C10292" s="14" t="s">
        <v>23648</v>
      </c>
      <c r="D10292" s="1" t="str">
        <f>IFERROR(__xludf.DUMMYFUNCTION("GOOGLETRANSLATE(A10292 , ""auto"", ""ar"")"),"الحوض قذر")</f>
        <v>الحوض قذر</v>
      </c>
    </row>
    <row r="10293" ht="15.75" customHeight="1">
      <c r="A10293" s="12" t="s">
        <v>23649</v>
      </c>
      <c r="B10293" s="13" t="s">
        <v>23650</v>
      </c>
      <c r="C10293" s="14" t="s">
        <v>23651</v>
      </c>
      <c r="D10293" s="1" t="str">
        <f>IFERROR(__xludf.DUMMYFUNCTION("GOOGLETRANSLATE(A10293 , ""auto"", ""ar"")"),"المكتب فوضوي")</f>
        <v>المكتب فوضوي</v>
      </c>
    </row>
    <row r="10294" ht="15.75" customHeight="1">
      <c r="A10294" s="12" t="s">
        <v>23652</v>
      </c>
      <c r="B10294" s="13" t="s">
        <v>23653</v>
      </c>
      <c r="C10294" s="14" t="s">
        <v>23654</v>
      </c>
      <c r="D10294" s="1" t="str">
        <f>IFERROR(__xludf.DUMMYFUNCTION("GOOGLETRANSLATE(A10294 , ""auto"", ""ar"")"),"الآيس كريم في الفريزر")</f>
        <v>الآيس كريم في الفريزر</v>
      </c>
    </row>
    <row r="10295" ht="15.75" customHeight="1">
      <c r="A10295" s="12" t="s">
        <v>23655</v>
      </c>
      <c r="B10295" s="13" t="s">
        <v>23656</v>
      </c>
      <c r="C10295" s="14" t="s">
        <v>23657</v>
      </c>
      <c r="D10295" s="1" t="str">
        <f>IFERROR(__xludf.DUMMYFUNCTION("GOOGLETRANSLATE(A10295 , ""auto"", ""ar"")"),"غادر السيارة في المرآب")</f>
        <v>غادر السيارة في المرآب</v>
      </c>
    </row>
    <row r="10296" ht="15.75" customHeight="1">
      <c r="A10296" s="12" t="s">
        <v>23658</v>
      </c>
      <c r="B10296" s="13" t="s">
        <v>23659</v>
      </c>
      <c r="C10296" s="14" t="s">
        <v>23660</v>
      </c>
      <c r="D10296" s="1" t="str">
        <f>IFERROR(__xludf.DUMMYFUNCTION("GOOGLETRANSLATE(A10296 , ""auto"", ""ar"")"),"التلفزيون لا يعمل")</f>
        <v>التلفزيون لا يعمل</v>
      </c>
    </row>
    <row r="10297" ht="15.75" customHeight="1">
      <c r="A10297" s="12" t="s">
        <v>23658</v>
      </c>
      <c r="B10297" s="13" t="s">
        <v>23661</v>
      </c>
      <c r="C10297" s="14" t="s">
        <v>23662</v>
      </c>
      <c r="D10297" s="1" t="str">
        <f>IFERROR(__xludf.DUMMYFUNCTION("GOOGLETRANSLATE(A10297 , ""auto"", ""ar"")"),"التلفزيون لا يعمل")</f>
        <v>التلفزيون لا يعمل</v>
      </c>
    </row>
    <row r="10298" ht="15.75" customHeight="1">
      <c r="A10298" s="12" t="s">
        <v>23663</v>
      </c>
      <c r="B10298" s="13" t="s">
        <v>23664</v>
      </c>
      <c r="C10298" s="14" t="s">
        <v>23665</v>
      </c>
      <c r="D10298" s="1" t="str">
        <f>IFERROR(__xludf.DUMMYFUNCTION("GOOGLETRANSLATE(A10298 , ""auto"", ""ar"")"),"الهاتف يرن")</f>
        <v>الهاتف يرن</v>
      </c>
    </row>
    <row r="10299" ht="15.75" customHeight="1">
      <c r="A10299" s="12" t="s">
        <v>23666</v>
      </c>
      <c r="B10299" s="13" t="s">
        <v>23667</v>
      </c>
      <c r="C10299" s="14" t="s">
        <v>23668</v>
      </c>
      <c r="D10299" s="1" t="str">
        <f>IFERROR(__xludf.DUMMYFUNCTION("GOOGLETRANSLATE(A10299 , ""auto"", ""ar"")"),"يا إلهي! الجدار يتحرك")</f>
        <v>يا إلهي! الجدار يتحرك</v>
      </c>
    </row>
    <row r="10300" ht="15.75" customHeight="1">
      <c r="A10300" s="12" t="s">
        <v>23669</v>
      </c>
      <c r="B10300" s="13" t="s">
        <v>23670</v>
      </c>
      <c r="C10300" s="14" t="s">
        <v>23671</v>
      </c>
      <c r="D10300" s="1" t="str">
        <f>IFERROR(__xludf.DUMMYFUNCTION("GOOGLETRANSLATE(A10300 , ""auto"", ""ar"")"),"لم أحصل على ستائر بعد")</f>
        <v>لم أحصل على ستائر بعد</v>
      </c>
    </row>
    <row r="10301" ht="15.75" customHeight="1">
      <c r="A10301" s="12" t="s">
        <v>23672</v>
      </c>
      <c r="B10301" s="13" t="s">
        <v>23673</v>
      </c>
      <c r="C10301" s="14" t="s">
        <v>23674</v>
      </c>
      <c r="D10301" s="1" t="str">
        <f>IFERROR(__xludf.DUMMYFUNCTION("GOOGLETRANSLATE(A10301 , ""auto"", ""ar"")"),"الجدول مصنوع من الخشب")</f>
        <v>الجدول مصنوع من الخشب</v>
      </c>
    </row>
    <row r="10302" ht="15.75" customHeight="1">
      <c r="A10302" s="12" t="s">
        <v>23675</v>
      </c>
      <c r="B10302" s="13" t="s">
        <v>23676</v>
      </c>
      <c r="C10302" s="14" t="s">
        <v>23677</v>
      </c>
      <c r="D10302" s="1" t="str">
        <f>IFERROR(__xludf.DUMMYFUNCTION("GOOGLETRANSLATE(A10302 , ""auto"", ""ar"")"),"إنها ثريا جميلة")</f>
        <v>إنها ثريا جميلة</v>
      </c>
    </row>
    <row r="10303" ht="15.75" customHeight="1">
      <c r="A10303" s="12" t="s">
        <v>23678</v>
      </c>
      <c r="B10303" s="13" t="s">
        <v>23679</v>
      </c>
      <c r="C10303" s="14" t="s">
        <v>23680</v>
      </c>
      <c r="D10303" s="1" t="str">
        <f>IFERROR(__xludf.DUMMYFUNCTION("GOOGLETRANSLATE(A10303 , ""auto"", ""ar"")"),"الثلاجة فارغة")</f>
        <v>الثلاجة فارغة</v>
      </c>
    </row>
    <row r="10304" ht="15.75" customHeight="1">
      <c r="A10304" s="12" t="s">
        <v>23681</v>
      </c>
      <c r="B10304" s="13" t="s">
        <v>23682</v>
      </c>
      <c r="C10304" s="14" t="s">
        <v>23683</v>
      </c>
      <c r="D10304" s="1" t="str">
        <f>IFERROR(__xludf.DUMMYFUNCTION("GOOGLETRANSLATE(A10304 , ""auto"", ""ar"")"),"المرآة مكسورة")</f>
        <v>المرآة مكسورة</v>
      </c>
    </row>
    <row r="10305" ht="15.75" customHeight="1">
      <c r="A10305" s="12" t="s">
        <v>23684</v>
      </c>
      <c r="B10305" s="13" t="s">
        <v>23685</v>
      </c>
      <c r="C10305" s="14" t="s">
        <v>23686</v>
      </c>
      <c r="D10305" s="1" t="str">
        <f>IFERROR(__xludf.DUMMYFUNCTION("GOOGLETRANSLATE(A10305 , ""auto"", ""ar"")"),"لم يفعل الأطباق")</f>
        <v>لم يفعل الأطباق</v>
      </c>
    </row>
    <row r="10306" ht="15.75" customHeight="1">
      <c r="A10306" s="12" t="s">
        <v>23687</v>
      </c>
      <c r="B10306" s="13" t="s">
        <v>23688</v>
      </c>
      <c r="C10306" s="14" t="s">
        <v>23689</v>
      </c>
      <c r="D10306" s="1" t="str">
        <f>IFERROR(__xludf.DUMMYFUNCTION("GOOGLETRANSLATE(A10306 , ""auto"", ""ar"")"),"تشغيل مصباح")</f>
        <v>تشغيل مصباح</v>
      </c>
    </row>
    <row r="10307" ht="15.75" customHeight="1">
      <c r="A10307" s="12" t="s">
        <v>23690</v>
      </c>
      <c r="B10307" s="13" t="s">
        <v>23691</v>
      </c>
      <c r="C10307" s="14" t="s">
        <v>23692</v>
      </c>
      <c r="D10307" s="1" t="str">
        <f>IFERROR(__xludf.DUMMYFUNCTION("GOOGLETRANSLATE(A10307 , ""auto"", ""ar"")"),"أود أن أشرب كوب من الشاي")</f>
        <v>أود أن أشرب كوب من الشاي</v>
      </c>
    </row>
    <row r="10308" ht="15.75" customHeight="1">
      <c r="A10308" s="12" t="s">
        <v>23693</v>
      </c>
      <c r="B10308" s="13" t="s">
        <v>23694</v>
      </c>
      <c r="C10308" s="14" t="s">
        <v>23695</v>
      </c>
      <c r="D10308" s="1" t="str">
        <f>IFERROR(__xludf.DUMMYFUNCTION("GOOGLETRANSLATE(A10308 , ""auto"", ""ar"")"),"لم يفعل الغسيل")</f>
        <v>لم يفعل الغسيل</v>
      </c>
    </row>
    <row r="10309" ht="15.75" customHeight="1">
      <c r="A10309" s="12" t="s">
        <v>23696</v>
      </c>
      <c r="B10309" s="13" t="s">
        <v>23697</v>
      </c>
      <c r="C10309" s="14" t="s">
        <v>23698</v>
      </c>
      <c r="D10309" s="1" t="str">
        <f>IFERROR(__xludf.DUMMYFUNCTION("GOOGLETRANSLATE(A10309 , ""auto"", ""ar"")"),"الغسالة لا تعمل")</f>
        <v>الغسالة لا تعمل</v>
      </c>
    </row>
    <row r="10310" ht="15.75" customHeight="1">
      <c r="A10310" s="12" t="s">
        <v>23699</v>
      </c>
      <c r="B10310" s="13" t="s">
        <v>23700</v>
      </c>
      <c r="C10310" s="14" t="s">
        <v>23701</v>
      </c>
      <c r="D10310" s="1" t="str">
        <f>IFERROR(__xludf.DUMMYFUNCTION("GOOGLETRANSLATE(A10310 , ""auto"", ""ar"")"),"قضى اليوم بأكمله على الشاطئ")</f>
        <v>قضى اليوم بأكمله على الشاطئ</v>
      </c>
    </row>
    <row r="10311" ht="15.75" customHeight="1">
      <c r="A10311" s="12" t="s">
        <v>23702</v>
      </c>
      <c r="B10311" s="13" t="s">
        <v>23703</v>
      </c>
      <c r="C10311" s="14" t="s">
        <v>23704</v>
      </c>
      <c r="D10311" s="1" t="str">
        <f>IFERROR(__xludf.DUMMYFUNCTION("GOOGLETRANSLATE(A10311 , ""auto"", ""ar"")"),"هل تستمتع بالمشي على الشاطئ؟")</f>
        <v>هل تستمتع بالمشي على الشاطئ؟</v>
      </c>
    </row>
    <row r="10312" ht="15.75" customHeight="1">
      <c r="A10312" s="12" t="s">
        <v>23705</v>
      </c>
      <c r="B10312" s="13" t="s">
        <v>23706</v>
      </c>
      <c r="C10312" s="14" t="s">
        <v>23707</v>
      </c>
      <c r="D10312" s="1" t="str">
        <f>IFERROR(__xludf.DUMMYFUNCTION("GOOGLETRANSLATE(A10312 , ""auto"", ""ar"")"),"أحب مشاهدة غروب الشمس")</f>
        <v>أحب مشاهدة غروب الشمس</v>
      </c>
    </row>
    <row r="10313" ht="15.75" customHeight="1">
      <c r="A10313" s="12" t="s">
        <v>23708</v>
      </c>
      <c r="B10313" s="13" t="s">
        <v>23709</v>
      </c>
      <c r="C10313" s="14" t="s">
        <v>23710</v>
      </c>
      <c r="D10313" s="1" t="str">
        <f>IFERROR(__xludf.DUMMYFUNCTION("GOOGLETRANSLATE(A10313 , ""auto"", ""ar"")"),"أعيش بالقرب من البحر")</f>
        <v>أعيش بالقرب من البحر</v>
      </c>
    </row>
    <row r="10314" ht="15.75" customHeight="1">
      <c r="A10314" s="12" t="s">
        <v>23711</v>
      </c>
      <c r="B10314" s="13" t="s">
        <v>23712</v>
      </c>
      <c r="C10314" s="14" t="s">
        <v>23713</v>
      </c>
      <c r="D10314" s="1" t="str">
        <f>IFERROR(__xludf.DUMMYFUNCTION("GOOGLETRANSLATE(A10314 , ""auto"", ""ar"")"),"أنا أحب صوت الأمواج")</f>
        <v>أنا أحب صوت الأمواج</v>
      </c>
    </row>
    <row r="10315" ht="15.75" customHeight="1">
      <c r="A10315" s="12" t="s">
        <v>23714</v>
      </c>
      <c r="B10315" s="13" t="s">
        <v>23715</v>
      </c>
      <c r="C10315" s="14" t="s">
        <v>23716</v>
      </c>
      <c r="D10315" s="1" t="str">
        <f>IFERROR(__xludf.DUMMYFUNCTION("GOOGLETRANSLATE(A10315 , ""auto"", ""ar"")"),"ذهب إلى الشاطئ")</f>
        <v>ذهب إلى الشاطئ</v>
      </c>
    </row>
    <row r="10316" ht="15.75" customHeight="1">
      <c r="A10316" s="12" t="s">
        <v>23717</v>
      </c>
      <c r="B10316" s="13" t="s">
        <v>23718</v>
      </c>
      <c r="C10316" s="14" t="s">
        <v>23719</v>
      </c>
      <c r="D10316" s="1" t="str">
        <f>IFERROR(__xludf.DUMMYFUNCTION("GOOGLETRANSLATE(A10316 , ""auto"", ""ar"")"),"هيا لنذهب إلى الشاطئ")</f>
        <v>هيا لنذهب إلى الشاطئ</v>
      </c>
    </row>
    <row r="10317" ht="15.75" customHeight="1">
      <c r="A10317" s="12" t="s">
        <v>23720</v>
      </c>
      <c r="B10317" s="13" t="s">
        <v>23721</v>
      </c>
      <c r="C10317" s="14" t="s">
        <v>23722</v>
      </c>
      <c r="D10317" s="1" t="str">
        <f>IFERROR(__xludf.DUMMYFUNCTION("GOOGLETRANSLATE(A10317 , ""auto"", ""ar"")"),"التقط بعض القذائف")</f>
        <v>التقط بعض القذائف</v>
      </c>
    </row>
    <row r="10318" ht="15.75" customHeight="1">
      <c r="A10318" s="12" t="s">
        <v>23723</v>
      </c>
      <c r="B10318" s="13" t="s">
        <v>23724</v>
      </c>
      <c r="C10318" s="14" t="s">
        <v>23725</v>
      </c>
      <c r="D10318" s="1" t="str">
        <f>IFERROR(__xludf.DUMMYFUNCTION("GOOGLETRANSLATE(A10318 , ""auto"", ""ar"")"),"أحب جمع القذائف")</f>
        <v>أحب جمع القذائف</v>
      </c>
    </row>
    <row r="10319" ht="15.75" customHeight="1">
      <c r="A10319" s="12" t="s">
        <v>23726</v>
      </c>
      <c r="B10319" s="13" t="s">
        <v>23727</v>
      </c>
      <c r="C10319" s="14" t="s">
        <v>23728</v>
      </c>
      <c r="D10319" s="1" t="str">
        <f>IFERROR(__xludf.DUMMYFUNCTION("GOOGLETRANSLATE(A10319 , ""auto"", ""ar"")"),"هل تذهب هذه الحافلة إلى الشاطئ؟")</f>
        <v>هل تذهب هذه الحافلة إلى الشاطئ؟</v>
      </c>
    </row>
    <row r="10320" ht="15.75" customHeight="1">
      <c r="A10320" s="12" t="s">
        <v>23729</v>
      </c>
      <c r="B10320" s="13" t="s">
        <v>23730</v>
      </c>
      <c r="C10320" s="14" t="s">
        <v>23731</v>
      </c>
      <c r="D10320" s="1" t="str">
        <f>IFERROR(__xludf.DUMMYFUNCTION("GOOGLETRANSLATE(A10320 , ""auto"", ""ar"")"),"منزلنا يواجه الشاطئ")</f>
        <v>منزلنا يواجه الشاطئ</v>
      </c>
    </row>
    <row r="10321" ht="15.75" customHeight="1">
      <c r="A10321" s="12" t="s">
        <v>23732</v>
      </c>
      <c r="B10321" s="13" t="s">
        <v>23733</v>
      </c>
      <c r="C10321" s="14" t="s">
        <v>23734</v>
      </c>
      <c r="D10321" s="1" t="str">
        <f>IFERROR(__xludf.DUMMYFUNCTION("GOOGLETRANSLATE(A10321 , ""auto"", ""ar"")"),"ذهب للسباحة على الشاطئ")</f>
        <v>ذهب للسباحة على الشاطئ</v>
      </c>
    </row>
    <row r="10322" ht="15.75" customHeight="1">
      <c r="A10322" s="12" t="s">
        <v>23735</v>
      </c>
      <c r="B10322" s="13" t="s">
        <v>23736</v>
      </c>
      <c r="C10322" s="14" t="s">
        <v>23737</v>
      </c>
      <c r="D10322" s="1" t="str">
        <f>IFERROR(__xludf.DUMMYFUNCTION("GOOGLETRANSLATE(A10322 , ""auto"", ""ar"")"),"دادي نفسي على الشاطئ")</f>
        <v>دادي نفسي على الشاطئ</v>
      </c>
    </row>
    <row r="10323" ht="15.75" customHeight="1">
      <c r="A10323" s="12" t="s">
        <v>23738</v>
      </c>
      <c r="B10323" s="13" t="s">
        <v>23739</v>
      </c>
      <c r="C10323" s="14" t="s">
        <v>23740</v>
      </c>
      <c r="D10323" s="1" t="str">
        <f>IFERROR(__xludf.DUMMYFUNCTION("GOOGLETRANSLATE(A10323 , ""auto"", ""ar"")"),"أنا أفضل الشاطئ من المسبح")</f>
        <v>أنا أفضل الشاطئ من المسبح</v>
      </c>
    </row>
    <row r="10324" ht="15.75" customHeight="1">
      <c r="A10324" s="12" t="s">
        <v>23741</v>
      </c>
      <c r="B10324" s="13" t="s">
        <v>23742</v>
      </c>
      <c r="C10324" s="14" t="s">
        <v>23743</v>
      </c>
      <c r="D10324" s="1" t="str">
        <f>IFERROR(__xludf.DUMMYFUNCTION("GOOGLETRANSLATE(A10324 , ""auto"", ""ar"")"),"كانت الرمال بيضاء")</f>
        <v>كانت الرمال بيضاء</v>
      </c>
    </row>
    <row r="10325" ht="15.75" customHeight="1">
      <c r="A10325" s="12" t="s">
        <v>23744</v>
      </c>
      <c r="B10325" s="13" t="s">
        <v>23745</v>
      </c>
      <c r="C10325" s="14" t="s">
        <v>23746</v>
      </c>
      <c r="D10325" s="1" t="str">
        <f>IFERROR(__xludf.DUMMYFUNCTION("GOOGLETRANSLATE(A10325 , ""auto"", ""ar"")"),"الأسبوع المقبل")</f>
        <v>الأسبوع المقبل</v>
      </c>
    </row>
    <row r="10326" ht="15.75" customHeight="1">
      <c r="A10326" s="12" t="s">
        <v>23747</v>
      </c>
      <c r="B10326" s="13" t="s">
        <v>23748</v>
      </c>
      <c r="C10326" s="14" t="s">
        <v>23749</v>
      </c>
      <c r="D10326" s="1" t="str">
        <f>IFERROR(__xludf.DUMMYFUNCTION("GOOGLETRANSLATE(A10326 , ""auto"", ""ar"")"),"الأسبوع الماضي")</f>
        <v>الأسبوع الماضي</v>
      </c>
    </row>
    <row r="10327" ht="15.75" customHeight="1">
      <c r="A10327" s="12" t="s">
        <v>23747</v>
      </c>
      <c r="B10327" s="13" t="s">
        <v>23750</v>
      </c>
      <c r="C10327" s="14" t="s">
        <v>23751</v>
      </c>
      <c r="D10327" s="1" t="str">
        <f>IFERROR(__xludf.DUMMYFUNCTION("GOOGLETRANSLATE(A10327 , ""auto"", ""ar"")"),"الأسبوع الماضي")</f>
        <v>الأسبوع الماضي</v>
      </c>
    </row>
    <row r="10328" ht="15.75" customHeight="1">
      <c r="A10328" s="12" t="s">
        <v>23752</v>
      </c>
      <c r="B10328" s="13" t="s">
        <v>23753</v>
      </c>
      <c r="C10328" s="14" t="s">
        <v>23754</v>
      </c>
      <c r="D10328" s="1" t="str">
        <f>IFERROR(__xludf.DUMMYFUNCTION("GOOGLETRANSLATE(A10328 , ""auto"", ""ar"")"),"بالأمس ذهبت إلى صالة الألعاب الرياضية")</f>
        <v>بالأمس ذهبت إلى صالة الألعاب الرياضية</v>
      </c>
    </row>
    <row r="10329" ht="15.75" customHeight="1">
      <c r="A10329" s="12" t="s">
        <v>23755</v>
      </c>
      <c r="B10329" s="13" t="s">
        <v>23756</v>
      </c>
      <c r="C10329" s="14" t="s">
        <v>23757</v>
      </c>
      <c r="D10329" s="1" t="str">
        <f>IFERROR(__xludf.DUMMYFUNCTION("GOOGLETRANSLATE(A10329 , ""auto"", ""ar"")"),"عندي اختبار غدا")</f>
        <v>عندي اختبار غدا</v>
      </c>
    </row>
    <row r="10330" ht="15.75" customHeight="1">
      <c r="A10330" s="12" t="s">
        <v>23758</v>
      </c>
      <c r="B10330" s="13" t="s">
        <v>23759</v>
      </c>
      <c r="C10330" s="14" t="s">
        <v>23760</v>
      </c>
      <c r="D10330" s="1" t="str">
        <f>IFERROR(__xludf.DUMMYFUNCTION("GOOGLETRANSLATE(A10330 , ""auto"", ""ar"")"),"هل أنت متاح السبت المقبل؟")</f>
        <v>هل أنت متاح السبت المقبل؟</v>
      </c>
    </row>
    <row r="10331" ht="15.75" customHeight="1">
      <c r="A10331" s="12" t="s">
        <v>23761</v>
      </c>
      <c r="B10331" s="13" t="s">
        <v>23762</v>
      </c>
      <c r="C10331" s="14" t="s">
        <v>23763</v>
      </c>
      <c r="D10331" s="1" t="str">
        <f>IFERROR(__xludf.DUMMYFUNCTION("GOOGLETRANSLATE(A10331 , ""auto"", ""ar"")"),"أنا مشغول يوم الجمعة المقبل")</f>
        <v>أنا مشغول يوم الجمعة المقبل</v>
      </c>
    </row>
    <row r="10332" ht="15.75" customHeight="1">
      <c r="A10332" s="12" t="s">
        <v>23764</v>
      </c>
      <c r="B10332" s="13" t="s">
        <v>23765</v>
      </c>
      <c r="C10332" s="14" t="s">
        <v>23766</v>
      </c>
      <c r="D10332" s="1" t="str">
        <f>IFERROR(__xludf.DUMMYFUNCTION("GOOGLETRANSLATE(A10332 , ""auto"", ""ar"")"),"أنا أكره أيام الاثنين")</f>
        <v>أنا أكره أيام الاثنين</v>
      </c>
    </row>
    <row r="10333" ht="15.75" customHeight="1">
      <c r="A10333" s="12" t="s">
        <v>23767</v>
      </c>
      <c r="B10333" s="13" t="s">
        <v>23768</v>
      </c>
      <c r="C10333" s="14" t="s">
        <v>23769</v>
      </c>
      <c r="D10333" s="1" t="str">
        <f>IFERROR(__xludf.DUMMYFUNCTION("GOOGLETRANSLATE(A10333 , ""auto"", ""ar"")"),"أنا أسافر يوم الثلاثاء")</f>
        <v>أنا أسافر يوم الثلاثاء</v>
      </c>
    </row>
    <row r="10334" ht="15.75" customHeight="1">
      <c r="A10334" s="12" t="s">
        <v>23770</v>
      </c>
      <c r="B10334" s="13" t="s">
        <v>23771</v>
      </c>
      <c r="C10334" s="14" t="s">
        <v>23772</v>
      </c>
      <c r="D10334" s="1" t="str">
        <f>IFERROR(__xludf.DUMMYFUNCTION("GOOGLETRANSLATE(A10334 , ""auto"", ""ar"")"),"أجرى عملية الخميس المقبل")</f>
        <v>أجرى عملية الخميس المقبل</v>
      </c>
    </row>
    <row r="10335" ht="15.75" customHeight="1">
      <c r="A10335" s="12" t="s">
        <v>23773</v>
      </c>
      <c r="B10335" s="13" t="s">
        <v>23774</v>
      </c>
      <c r="C10335" s="14" t="s">
        <v>23775</v>
      </c>
      <c r="D10335" s="1" t="str">
        <f>IFERROR(__xludf.DUMMYFUNCTION("GOOGLETRANSLATE(A10335 , ""auto"", ""ar"")"),"المغربيون يأكلون الكسكس كل يوم جمعة")</f>
        <v>المغربيون يأكلون الكسكس كل يوم جمعة</v>
      </c>
    </row>
    <row r="10336" ht="15.75" customHeight="1">
      <c r="A10336" s="12" t="s">
        <v>23776</v>
      </c>
      <c r="B10336" s="13" t="s">
        <v>23777</v>
      </c>
      <c r="C10336" s="14" t="s">
        <v>23778</v>
      </c>
      <c r="D10336" s="1" t="str">
        <f>IFERROR(__xludf.DUMMYFUNCTION("GOOGLETRANSLATE(A10336 , ""auto"", ""ar"")"),"الأحد هو يوم إجازتي")</f>
        <v>الأحد هو يوم إجازتي</v>
      </c>
    </row>
    <row r="10337" ht="15.75" customHeight="1">
      <c r="A10337" s="12" t="s">
        <v>23779</v>
      </c>
      <c r="B10337" s="13" t="s">
        <v>23780</v>
      </c>
      <c r="C10337" s="14" t="s">
        <v>23781</v>
      </c>
      <c r="D10337" s="1" t="str">
        <f>IFERROR(__xludf.DUMMYFUNCTION("GOOGLETRANSLATE(A10337 , ""auto"", ""ar"")"),"ذهب إلى السينما يوم الأربعاء الماضي")</f>
        <v>ذهب إلى السينما يوم الأربعاء الماضي</v>
      </c>
    </row>
    <row r="10338" ht="15.75" customHeight="1">
      <c r="A10338" s="12" t="s">
        <v>23782</v>
      </c>
      <c r="B10338" s="13" t="s">
        <v>23783</v>
      </c>
      <c r="C10338" s="14" t="s">
        <v>23784</v>
      </c>
      <c r="D10338" s="1" t="str">
        <f>IFERROR(__xludf.DUMMYFUNCTION("GOOGLETRANSLATE(A10338 , ""auto"", ""ar"")"),"الشهر الماضي")</f>
        <v>الشهر الماضي</v>
      </c>
    </row>
    <row r="10339" ht="15.75" customHeight="1">
      <c r="A10339" s="12" t="s">
        <v>23782</v>
      </c>
      <c r="B10339" s="13" t="s">
        <v>23785</v>
      </c>
      <c r="C10339" s="14" t="s">
        <v>23786</v>
      </c>
      <c r="D10339" s="1" t="str">
        <f>IFERROR(__xludf.DUMMYFUNCTION("GOOGLETRANSLATE(A10339 , ""auto"", ""ar"")"),"الشهر الماضي")</f>
        <v>الشهر الماضي</v>
      </c>
    </row>
    <row r="10340" ht="15.75" customHeight="1">
      <c r="A10340" s="12" t="s">
        <v>23787</v>
      </c>
      <c r="B10340" s="13" t="s">
        <v>23788</v>
      </c>
      <c r="C10340" s="14" t="s">
        <v>23789</v>
      </c>
      <c r="D10340" s="1" t="str">
        <f>IFERROR(__xludf.DUMMYFUNCTION("GOOGLETRANSLATE(A10340 , ""auto"", ""ar"")"),"أنا أتخرج العام المقبل")</f>
        <v>أنا أتخرج العام المقبل</v>
      </c>
    </row>
    <row r="10341" ht="15.75" customHeight="1">
      <c r="A10341" s="12" t="s">
        <v>23790</v>
      </c>
      <c r="B10341" s="13" t="s">
        <v>23791</v>
      </c>
      <c r="C10341" s="14" t="s">
        <v>23792</v>
      </c>
      <c r="D10341" s="1" t="str">
        <f>IFERROR(__xludf.DUMMYFUNCTION("GOOGLETRANSLATE(A10341 , ""auto"", ""ar"")"),"ترك الوظيفة")</f>
        <v>ترك الوظيفة</v>
      </c>
    </row>
    <row r="10342" ht="15.75" customHeight="1">
      <c r="A10342" s="12" t="s">
        <v>23793</v>
      </c>
      <c r="B10342" s="13" t="s">
        <v>23794</v>
      </c>
      <c r="C10342" s="14" t="s">
        <v>23795</v>
      </c>
      <c r="D10342" s="1" t="str">
        <f>IFERROR(__xludf.DUMMYFUNCTION("GOOGLETRANSLATE(A10342 , ""auto"", ""ar"")"),"أنا أحب وظيفتي")</f>
        <v>أنا أحب وظيفتي</v>
      </c>
    </row>
    <row r="10343" ht="15.75" customHeight="1">
      <c r="A10343" s="12" t="s">
        <v>23796</v>
      </c>
      <c r="B10343" s="13" t="s">
        <v>23797</v>
      </c>
      <c r="C10343" s="14" t="s">
        <v>23798</v>
      </c>
      <c r="D10343" s="1" t="str">
        <f>IFERROR(__xludf.DUMMYFUNCTION("GOOGLETRANSLATE(A10343 , ""auto"", ""ar"")"),"إنه يبحث عن وظيفة")</f>
        <v>إنه يبحث عن وظيفة</v>
      </c>
    </row>
    <row r="10344" ht="15.75" customHeight="1">
      <c r="A10344" s="12" t="s">
        <v>23799</v>
      </c>
      <c r="B10344" s="13" t="s">
        <v>23800</v>
      </c>
      <c r="C10344" s="14" t="s">
        <v>23801</v>
      </c>
      <c r="D10344" s="1" t="str">
        <f>IFERROR(__xludf.DUMMYFUNCTION("GOOGLETRANSLATE(A10344 , ""auto"", ""ar"")"),"يتوجب علي الذهاب إلى العمل")</f>
        <v>يتوجب علي الذهاب إلى العمل</v>
      </c>
    </row>
    <row r="10345" ht="15.75" customHeight="1">
      <c r="A10345" s="12" t="s">
        <v>23802</v>
      </c>
      <c r="B10345" s="13" t="s">
        <v>23803</v>
      </c>
      <c r="C10345" s="14" t="s">
        <v>23804</v>
      </c>
      <c r="D10345" s="1" t="str">
        <f>IFERROR(__xludf.DUMMYFUNCTION("GOOGLETRANSLATE(A10345 , ""auto"", ""ar"")"),"لقد سئمت من عملي")</f>
        <v>لقد سئمت من عملي</v>
      </c>
    </row>
    <row r="10346" ht="15.75" customHeight="1">
      <c r="A10346" s="12" t="s">
        <v>23805</v>
      </c>
      <c r="B10346" s="13" t="s">
        <v>23806</v>
      </c>
      <c r="C10346" s="14" t="s">
        <v>23807</v>
      </c>
      <c r="D10346" s="1" t="str">
        <f>IFERROR(__xludf.DUMMYFUNCTION("GOOGLETRANSLATE(A10346 , ""auto"", ""ar"")"),"لا تتأخر عن العمل")</f>
        <v>لا تتأخر عن العمل</v>
      </c>
    </row>
    <row r="10347" ht="15.75" customHeight="1">
      <c r="A10347" s="12" t="s">
        <v>23808</v>
      </c>
      <c r="B10347" s="13" t="s">
        <v>23809</v>
      </c>
      <c r="C10347" s="14" t="s">
        <v>23810</v>
      </c>
      <c r="D10347" s="1" t="str">
        <f>IFERROR(__xludf.DUMMYFUNCTION("GOOGLETRANSLATE(A10347 , ""auto"", ""ar"")"),"يتركز مع عمله")</f>
        <v>يتركز مع عمله</v>
      </c>
    </row>
    <row r="10348" ht="15.75" customHeight="1">
      <c r="A10348" s="12" t="s">
        <v>23811</v>
      </c>
      <c r="B10348" s="13" t="s">
        <v>23812</v>
      </c>
      <c r="C10348" s="14" t="s">
        <v>23813</v>
      </c>
      <c r="D10348" s="1" t="str">
        <f>IFERROR(__xludf.DUMMYFUNCTION("GOOGLETRANSLATE(A10348 , ""auto"", ""ar"")"),"متى انتهيت من العمل؟")</f>
        <v>متى انتهيت من العمل؟</v>
      </c>
    </row>
    <row r="10349" ht="15.75" customHeight="1">
      <c r="A10349" s="12" t="s">
        <v>23811</v>
      </c>
      <c r="B10349" s="13" t="s">
        <v>23814</v>
      </c>
      <c r="C10349" s="14" t="s">
        <v>23815</v>
      </c>
      <c r="D10349" s="1" t="str">
        <f>IFERROR(__xludf.DUMMYFUNCTION("GOOGLETRANSLATE(A10349 , ""auto"", ""ar"")"),"متى انتهيت من العمل؟")</f>
        <v>متى انتهيت من العمل؟</v>
      </c>
    </row>
    <row r="10350" ht="15.75" customHeight="1">
      <c r="A10350" s="12" t="s">
        <v>23816</v>
      </c>
      <c r="B10350" s="13" t="s">
        <v>23817</v>
      </c>
      <c r="C10350" s="14" t="s">
        <v>23818</v>
      </c>
      <c r="D10350" s="1" t="str">
        <f>IFERROR(__xludf.DUMMYFUNCTION("GOOGLETRANSLATE(A10350 , ""auto"", ""ar"")"),"أحتاج وظيفة")</f>
        <v>أحتاج وظيفة</v>
      </c>
    </row>
    <row r="10351" ht="15.75" customHeight="1">
      <c r="A10351" s="12" t="s">
        <v>23819</v>
      </c>
      <c r="B10351" s="13" t="s">
        <v>23820</v>
      </c>
      <c r="C10351" s="14" t="s">
        <v>23821</v>
      </c>
      <c r="D10351" s="1" t="str">
        <f>IFERROR(__xludf.DUMMYFUNCTION("GOOGLETRANSLATE(A10351 , ""auto"", ""ar"")"),"لا يمكنه العثور على وظيفة")</f>
        <v>لا يمكنه العثور على وظيفة</v>
      </c>
    </row>
    <row r="10352" ht="15.75" customHeight="1">
      <c r="A10352" s="12" t="s">
        <v>23822</v>
      </c>
      <c r="B10352" s="13" t="s">
        <v>23823</v>
      </c>
      <c r="C10352" s="14" t="s">
        <v>23824</v>
      </c>
      <c r="D10352" s="1" t="str">
        <f>IFERROR(__xludf.DUMMYFUNCTION("GOOGLETRANSLATE(A10352 , ""auto"", ""ar"")"),"لماذا ترك الوظيفة؟")</f>
        <v>لماذا ترك الوظيفة؟</v>
      </c>
    </row>
    <row r="10353" ht="15.75" customHeight="1">
      <c r="A10353" s="12" t="s">
        <v>23825</v>
      </c>
      <c r="B10353" s="13" t="s">
        <v>23826</v>
      </c>
      <c r="C10353" s="14" t="s">
        <v>23827</v>
      </c>
      <c r="D10353" s="1" t="str">
        <f>IFERROR(__xludf.DUMMYFUNCTION("GOOGLETRANSLATE(A10353 , ""auto"", ""ar"")"),"هذا هو السبب في أنني تركت الوظيفة")</f>
        <v>هذا هو السبب في أنني تركت الوظيفة</v>
      </c>
    </row>
    <row r="10354" ht="15.75" customHeight="1">
      <c r="A10354" s="12" t="s">
        <v>23828</v>
      </c>
      <c r="B10354" s="13" t="s">
        <v>23829</v>
      </c>
      <c r="C10354" s="14" t="s">
        <v>23830</v>
      </c>
      <c r="D10354" s="1" t="str">
        <f>IFERROR(__xludf.DUMMYFUNCTION("GOOGLETRANSLATE(A10354 , ""auto"", ""ar"")"),"هل المهمة أكثر من اللازم بالنسبة لك؟")</f>
        <v>هل المهمة أكثر من اللازم بالنسبة لك؟</v>
      </c>
    </row>
    <row r="10355" ht="15.75" customHeight="1">
      <c r="A10355" s="12" t="s">
        <v>23831</v>
      </c>
      <c r="B10355" s="13" t="s">
        <v>23832</v>
      </c>
      <c r="C10355" s="14" t="s">
        <v>23833</v>
      </c>
      <c r="D10355" s="1" t="str">
        <f>IFERROR(__xludf.DUMMYFUNCTION("GOOGLETRANSLATE(A10355 , ""auto"", ""ar"")"),"أنا محام")</f>
        <v>أنا محام</v>
      </c>
    </row>
    <row r="10356" ht="15.75" customHeight="1">
      <c r="A10356" s="12" t="s">
        <v>23834</v>
      </c>
      <c r="B10356" s="13" t="s">
        <v>23835</v>
      </c>
      <c r="C10356" s="14" t="s">
        <v>23836</v>
      </c>
      <c r="D10356" s="1" t="str">
        <f>IFERROR(__xludf.DUMMYFUNCTION("GOOGLETRANSLATE(A10356 , ""auto"", ""ar"")"),"هو مترجم")</f>
        <v>هو مترجم</v>
      </c>
    </row>
    <row r="10357" ht="15.75" customHeight="1">
      <c r="A10357" s="12" t="s">
        <v>23837</v>
      </c>
      <c r="B10357" s="13" t="s">
        <v>23838</v>
      </c>
      <c r="C10357" s="14" t="s">
        <v>23839</v>
      </c>
      <c r="D10357" s="1" t="str">
        <f>IFERROR(__xludf.DUMMYFUNCTION("GOOGLETRANSLATE(A10357 , ""auto"", ""ar"")"),"اريد ان اكون طيار")</f>
        <v>اريد ان اكون طيار</v>
      </c>
    </row>
    <row r="10358" ht="15.75" customHeight="1">
      <c r="A10358" s="12" t="s">
        <v>23840</v>
      </c>
      <c r="B10358" s="13" t="s">
        <v>23841</v>
      </c>
      <c r="C10358" s="14" t="s">
        <v>23842</v>
      </c>
      <c r="D10358" s="1" t="str">
        <f>IFERROR(__xludf.DUMMYFUNCTION("GOOGLETRANSLATE(A10358 , ""auto"", ""ar"")"),"أحضر لنا النادل القائمة")</f>
        <v>أحضر لنا النادل القائمة</v>
      </c>
    </row>
    <row r="10359" ht="15.75" customHeight="1">
      <c r="A10359" s="12" t="s">
        <v>23843</v>
      </c>
      <c r="B10359" s="13" t="s">
        <v>23844</v>
      </c>
      <c r="C10359" s="14" t="s">
        <v>23845</v>
      </c>
      <c r="D10359" s="1" t="str">
        <f>IFERROR(__xludf.DUMMYFUNCTION("GOOGLETRANSLATE(A10359 , ""auto"", ""ar"")"),"والدها كهربائي")</f>
        <v>والدها كهربائي</v>
      </c>
    </row>
    <row r="10360" ht="15.75" customHeight="1">
      <c r="A10360" s="12" t="s">
        <v>23846</v>
      </c>
      <c r="B10360" s="13" t="s">
        <v>23847</v>
      </c>
      <c r="C10360" s="14" t="s">
        <v>23848</v>
      </c>
      <c r="D10360" s="1" t="str">
        <f>IFERROR(__xludf.DUMMYFUNCTION("GOOGLETRANSLATE(A10360 , ""auto"", ""ar"")"),"إنها طالبة جامعية")</f>
        <v>إنها طالبة جامعية</v>
      </c>
    </row>
    <row r="10361" ht="15.75" customHeight="1">
      <c r="A10361" s="12" t="s">
        <v>23849</v>
      </c>
      <c r="B10361" s="13" t="s">
        <v>23850</v>
      </c>
      <c r="C10361" s="14" t="s">
        <v>23851</v>
      </c>
      <c r="D10361" s="1" t="str">
        <f>IFERROR(__xludf.DUMMYFUNCTION("GOOGLETRANSLATE(A10361 , ""auto"", ""ar"")"),"لقد فتح مصفف الشعر صالون جديد")</f>
        <v>لقد فتح مصفف الشعر صالون جديد</v>
      </c>
    </row>
    <row r="10362" ht="15.75" customHeight="1">
      <c r="A10362" s="12" t="s">
        <v>23852</v>
      </c>
      <c r="B10362" s="13" t="s">
        <v>23853</v>
      </c>
      <c r="C10362" s="14" t="s">
        <v>23854</v>
      </c>
      <c r="D10362" s="1" t="str">
        <f>IFERROR(__xludf.DUMMYFUNCTION("GOOGLETRANSLATE(A10362 , ""auto"", ""ar"")"),"هل تريد حقًا أن تكون مصفف شعر؟")</f>
        <v>هل تريد حقًا أن تكون مصفف شعر؟</v>
      </c>
    </row>
    <row r="10363" ht="15.75" customHeight="1">
      <c r="A10363" s="12" t="s">
        <v>23855</v>
      </c>
      <c r="B10363" s="13" t="s">
        <v>23856</v>
      </c>
      <c r="C10363" s="14" t="s">
        <v>23857</v>
      </c>
      <c r="D10363" s="1" t="str">
        <f>IFERROR(__xludf.DUMMYFUNCTION("GOOGLETRANSLATE(A10363 , ""auto"", ""ar"")"),"أنا صحفي")</f>
        <v>أنا صحفي</v>
      </c>
    </row>
    <row r="10364" ht="15.75" customHeight="1">
      <c r="A10364" s="12" t="s">
        <v>23858</v>
      </c>
      <c r="B10364" s="13" t="s">
        <v>23859</v>
      </c>
      <c r="C10364" s="14" t="s">
        <v>23860</v>
      </c>
      <c r="D10364" s="1" t="str">
        <f>IFERROR(__xludf.DUMMYFUNCTION("GOOGLETRANSLATE(A10364 , ""auto"", ""ar"")"),"هذا هو مصورتي")</f>
        <v>هذا هو مصورتي</v>
      </c>
    </row>
    <row r="10365" ht="15.75" customHeight="1">
      <c r="A10365" s="12" t="s">
        <v>23861</v>
      </c>
      <c r="B10365" s="13" t="s">
        <v>23862</v>
      </c>
      <c r="C10365" s="14" t="s">
        <v>23863</v>
      </c>
      <c r="D10365" s="1" t="str">
        <f>IFERROR(__xludf.DUMMYFUNCTION("GOOGLETRANSLATE(A10365 , ""auto"", ""ar"")"),"كان علينا أن ندعو سباك")</f>
        <v>كان علينا أن ندعو سباك</v>
      </c>
    </row>
    <row r="10366" ht="15.75" customHeight="1">
      <c r="A10366" s="12" t="s">
        <v>9385</v>
      </c>
      <c r="B10366" s="13" t="s">
        <v>12129</v>
      </c>
      <c r="C10366" s="14" t="s">
        <v>12130</v>
      </c>
      <c r="D10366" s="1" t="str">
        <f>IFERROR(__xludf.DUMMYFUNCTION("GOOGLETRANSLATE(A10366 , ""auto"", ""ar"")"),"لماذا؟")</f>
        <v>لماذا؟</v>
      </c>
    </row>
    <row r="10367" ht="15.75" customHeight="1">
      <c r="A10367" s="12" t="s">
        <v>23864</v>
      </c>
      <c r="B10367" s="13" t="s">
        <v>23865</v>
      </c>
      <c r="C10367" s="14" t="s">
        <v>23866</v>
      </c>
      <c r="D10367" s="1" t="str">
        <f>IFERROR(__xludf.DUMMYFUNCTION("GOOGLETRANSLATE(A10367 , ""auto"", ""ar"")"),"لإلغاء حظر المصارف")</f>
        <v>لإلغاء حظر المصارف</v>
      </c>
    </row>
    <row r="10368" ht="15.75" customHeight="1">
      <c r="A10368" s="12" t="s">
        <v>23867</v>
      </c>
      <c r="B10368" s="13" t="s">
        <v>23868</v>
      </c>
      <c r="C10368" s="14" t="s">
        <v>23869</v>
      </c>
      <c r="D10368" s="1" t="str">
        <f>IFERROR(__xludf.DUMMYFUNCTION("GOOGLETRANSLATE(A10368 , ""auto"", ""ar"")"),"إنه طاهي جيد")</f>
        <v>إنه طاهي جيد</v>
      </c>
    </row>
    <row r="10369" ht="15.75" customHeight="1">
      <c r="A10369" s="12" t="s">
        <v>23870</v>
      </c>
      <c r="B10369" s="13" t="s">
        <v>23871</v>
      </c>
      <c r="C10369" s="14" t="s">
        <v>23872</v>
      </c>
      <c r="D10369" s="1" t="str">
        <f>IFERROR(__xludf.DUMMYFUNCTION("GOOGLETRANSLATE(A10369 , ""auto"", ""ar"")"),"أختي نموذج")</f>
        <v>أختي نموذج</v>
      </c>
    </row>
    <row r="10370" ht="15.75" customHeight="1">
      <c r="A10370" s="12" t="s">
        <v>23873</v>
      </c>
      <c r="B10370" s="13" t="s">
        <v>23874</v>
      </c>
      <c r="C10370" s="14" t="s">
        <v>23875</v>
      </c>
      <c r="D10370" s="1" t="str">
        <f>IFERROR(__xludf.DUMMYFUNCTION("GOOGLETRANSLATE(A10370 , ""auto"", ""ar"")"),"استأجرت محققًا خاصًا")</f>
        <v>استأجرت محققًا خاصًا</v>
      </c>
    </row>
    <row r="10371" ht="15.75" customHeight="1">
      <c r="A10371" s="12" t="s">
        <v>23876</v>
      </c>
      <c r="B10371" s="13" t="s">
        <v>23877</v>
      </c>
      <c r="C10371" s="14" t="s">
        <v>23878</v>
      </c>
      <c r="D10371" s="1" t="str">
        <f>IFERROR(__xludf.DUMMYFUNCTION("GOOGLETRANSLATE(A10371 , ""auto"", ""ar"")"),"لا أرى نفسي ربة منزل")</f>
        <v>لا أرى نفسي ربة منزل</v>
      </c>
    </row>
    <row r="10372" ht="15.75" customHeight="1">
      <c r="A10372" s="12" t="s">
        <v>23879</v>
      </c>
      <c r="B10372" s="13" t="s">
        <v>23880</v>
      </c>
      <c r="C10372" s="14" t="s">
        <v>23881</v>
      </c>
      <c r="D10372" s="1" t="str">
        <f>IFERROR(__xludf.DUMMYFUNCTION("GOOGLETRANSLATE(A10372 , ""auto"", ""ar"")"),"هي أسوأ مغنية أعرفها")</f>
        <v>هي أسوأ مغنية أعرفها</v>
      </c>
    </row>
    <row r="10373" ht="15.75" customHeight="1">
      <c r="A10373" s="12" t="s">
        <v>23882</v>
      </c>
      <c r="B10373" s="13" t="s">
        <v>23883</v>
      </c>
      <c r="C10373" s="14" t="s">
        <v>23884</v>
      </c>
      <c r="D10373" s="1" t="str">
        <f>IFERROR(__xludf.DUMMYFUNCTION("GOOGLETRANSLATE(A10373 , ""auto"", ""ar"")"),"إنها مغنيتي المفضلة")</f>
        <v>إنها مغنيتي المفضلة</v>
      </c>
    </row>
    <row r="10374" ht="15.75" customHeight="1">
      <c r="A10374" s="12" t="s">
        <v>23885</v>
      </c>
      <c r="B10374" s="13" t="s">
        <v>23886</v>
      </c>
      <c r="C10374" s="14" t="s">
        <v>23887</v>
      </c>
      <c r="D10374" s="1" t="str">
        <f>IFERROR(__xludf.DUMMYFUNCTION("GOOGLETRANSLATE(A10374 , ""auto"", ""ar"")"),"تخرج كمهندس")</f>
        <v>تخرج كمهندس</v>
      </c>
    </row>
    <row r="10375" ht="15.75" customHeight="1">
      <c r="A10375" s="12" t="s">
        <v>23888</v>
      </c>
      <c r="B10375" s="13" t="s">
        <v>23889</v>
      </c>
      <c r="C10375" s="14" t="s">
        <v>23890</v>
      </c>
      <c r="D10375" s="1" t="str">
        <f>IFERROR(__xludf.DUMMYFUNCTION("GOOGLETRANSLATE(A10375 , ""auto"", ""ar"")"),"يوظف بستانيًا جديدًا")</f>
        <v>يوظف بستانيًا جديدًا</v>
      </c>
    </row>
    <row r="10376" ht="15.75" customHeight="1">
      <c r="A10376" s="12" t="s">
        <v>23891</v>
      </c>
      <c r="B10376" s="13" t="s">
        <v>23892</v>
      </c>
      <c r="C10376" s="14" t="s">
        <v>23893</v>
      </c>
      <c r="D10376" s="1" t="str">
        <f>IFERROR(__xludf.DUMMYFUNCTION("GOOGLETRANSLATE(A10376 , ""auto"", ""ar"")"),"قام المزارع بتسمم الفئران")</f>
        <v>قام المزارع بتسمم الفئران</v>
      </c>
    </row>
    <row r="10377" ht="15.75" customHeight="1">
      <c r="A10377" s="12" t="s">
        <v>23894</v>
      </c>
      <c r="B10377" s="13" t="s">
        <v>23895</v>
      </c>
      <c r="C10377" s="14" t="s">
        <v>23896</v>
      </c>
      <c r="D10377" s="1" t="str">
        <f>IFERROR(__xludf.DUMMYFUNCTION("GOOGLETRANSLATE(A10377 , ""auto"", ""ar"")"),"قام بائع الزهور بباقة جذابة")</f>
        <v>قام بائع الزهور بباقة جذابة</v>
      </c>
    </row>
    <row r="10378" ht="15.75" customHeight="1">
      <c r="A10378" s="12" t="s">
        <v>23897</v>
      </c>
      <c r="B10378" s="13" t="s">
        <v>23898</v>
      </c>
      <c r="C10378" s="14" t="s">
        <v>23899</v>
      </c>
      <c r="D10378" s="1" t="str">
        <f>IFERROR(__xludf.DUMMYFUNCTION("GOOGLETRANSLATE(A10378 , ""auto"", ""ar"")"),"أريدك أن تكوني زوجتي")</f>
        <v>أريدك أن تكوني زوجتي</v>
      </c>
    </row>
    <row r="10379" ht="15.75" customHeight="1">
      <c r="A10379" s="12" t="s">
        <v>23900</v>
      </c>
      <c r="B10379" s="13" t="s">
        <v>23901</v>
      </c>
      <c r="C10379" s="14" t="s">
        <v>23902</v>
      </c>
      <c r="D10379" s="1" t="str">
        <f>IFERROR(__xludf.DUMMYFUNCTION("GOOGLETRANSLATE(A10379 , ""auto"", ""ar"")"),"أريدك أن تكون زوجي")</f>
        <v>أريدك أن تكون زوجي</v>
      </c>
    </row>
    <row r="10380" ht="15.75" customHeight="1">
      <c r="A10380" s="12" t="s">
        <v>23903</v>
      </c>
      <c r="B10380" s="13" t="s">
        <v>23904</v>
      </c>
      <c r="C10380" s="14" t="s">
        <v>23905</v>
      </c>
      <c r="D10380" s="1" t="str">
        <f>IFERROR(__xludf.DUMMYFUNCTION("GOOGLETRANSLATE(A10380 , ""auto"", ""ar"")"),"أحب التسكع")</f>
        <v>أحب التسكع</v>
      </c>
    </row>
    <row r="10381" ht="15.75" customHeight="1">
      <c r="A10381" s="12" t="s">
        <v>23906</v>
      </c>
      <c r="B10381" s="13" t="s">
        <v>23907</v>
      </c>
      <c r="C10381" s="14" t="s">
        <v>23908</v>
      </c>
      <c r="D10381" s="1" t="str">
        <f>IFERROR(__xludf.DUMMYFUNCTION("GOOGLETRANSLATE(A10381 , ""auto"", ""ar"")"),"أحب الطبخ")</f>
        <v>أحب الطبخ</v>
      </c>
    </row>
    <row r="10382" ht="15.75" customHeight="1">
      <c r="A10382" s="12" t="s">
        <v>23909</v>
      </c>
      <c r="B10382" s="13" t="s">
        <v>23910</v>
      </c>
      <c r="C10382" s="14" t="s">
        <v>23911</v>
      </c>
      <c r="D10382" s="1" t="str">
        <f>IFERROR(__xludf.DUMMYFUNCTION("GOOGLETRANSLATE(A10382 , ""auto"", ""ar"")"),"الملح أمر بالغ الأهمية للطهي")</f>
        <v>الملح أمر بالغ الأهمية للطهي</v>
      </c>
    </row>
    <row r="10383" ht="15.75" customHeight="1">
      <c r="A10383" s="12" t="s">
        <v>23912</v>
      </c>
      <c r="B10383" s="13" t="s">
        <v>23913</v>
      </c>
      <c r="C10383" s="14" t="s">
        <v>23914</v>
      </c>
      <c r="D10383" s="1" t="str">
        <f>IFERROR(__xludf.DUMMYFUNCTION("GOOGLETRANSLATE(A10383 , ""auto"", ""ar"")"),"لا تسخن الزيت")</f>
        <v>لا تسخن الزيت</v>
      </c>
    </row>
    <row r="10384" ht="15.75" customHeight="1">
      <c r="A10384" s="12" t="s">
        <v>23915</v>
      </c>
      <c r="B10384" s="13" t="s">
        <v>23916</v>
      </c>
      <c r="C10384" s="14" t="s">
        <v>23917</v>
      </c>
      <c r="D10384" s="1" t="str">
        <f>IFERROR(__xludf.DUMMYFUNCTION("GOOGLETRANSLATE(A10384 , ""auto"", ""ar"")"),"ماذا لديك بعد ظهر هذا اليوم؟")</f>
        <v>ماذا لديك بعد ظهر هذا اليوم؟</v>
      </c>
    </row>
    <row r="10385" ht="15.75" customHeight="1">
      <c r="A10385" s="12" t="s">
        <v>23918</v>
      </c>
      <c r="B10385" s="13" t="s">
        <v>23919</v>
      </c>
      <c r="C10385" s="14" t="s">
        <v>23920</v>
      </c>
      <c r="D10385" s="1" t="str">
        <f>IFERROR(__xludf.DUMMYFUNCTION("GOOGLETRANSLATE(A10385 , ""auto"", ""ar"")"),"في وقت فراغها ، قرأت الكتب على الطهي")</f>
        <v>في وقت فراغها ، قرأت الكتب على الطهي</v>
      </c>
    </row>
    <row r="10386" ht="15.75" customHeight="1">
      <c r="A10386" s="12" t="s">
        <v>23921</v>
      </c>
      <c r="B10386" s="13" t="s">
        <v>23922</v>
      </c>
      <c r="C10386" s="14" t="s">
        <v>23923</v>
      </c>
      <c r="D10386" s="1" t="str">
        <f>IFERROR(__xludf.DUMMYFUNCTION("GOOGLETRANSLATE(A10386 , ""auto"", ""ar"")"),"ما هي أفضل طريقة لطهي لحم البقر؟")</f>
        <v>ما هي أفضل طريقة لطهي لحم البقر؟</v>
      </c>
    </row>
    <row r="10387" ht="15.75" customHeight="1">
      <c r="A10387" s="12" t="s">
        <v>23924</v>
      </c>
      <c r="B10387" s="13" t="s">
        <v>23925</v>
      </c>
      <c r="C10387" s="14" t="s">
        <v>23926</v>
      </c>
      <c r="D10387" s="1" t="str">
        <f>IFERROR(__xludf.DUMMYFUNCTION("GOOGLETRANSLATE(A10387 , ""auto"", ""ar"")"),"أمي لديها موقد غاز")</f>
        <v>أمي لديها موقد غاز</v>
      </c>
    </row>
    <row r="10388" ht="15.75" customHeight="1">
      <c r="A10388" s="12" t="s">
        <v>23927</v>
      </c>
      <c r="B10388" s="13" t="s">
        <v>23928</v>
      </c>
      <c r="C10388" s="14" t="s">
        <v>23929</v>
      </c>
      <c r="D10388" s="1" t="str">
        <f>IFERROR(__xludf.DUMMYFUNCTION("GOOGLETRANSLATE(A10388 , ""auto"", ""ar"")"),"الطبخ هو هوايته")</f>
        <v>الطبخ هو هوايته</v>
      </c>
    </row>
    <row r="10389" ht="15.75" customHeight="1">
      <c r="A10389" s="12" t="s">
        <v>23930</v>
      </c>
      <c r="B10389" s="13" t="s">
        <v>23931</v>
      </c>
      <c r="C10389" s="14" t="s">
        <v>23932</v>
      </c>
      <c r="D10389" s="1" t="str">
        <f>IFERROR(__xludf.DUMMYFUNCTION("GOOGLETRANSLATE(A10389 , ""auto"", ""ar"")"),"تحضير الصلصة")</f>
        <v>تحضير الصلصة</v>
      </c>
    </row>
    <row r="10390" ht="15.75" customHeight="1">
      <c r="A10390" s="12" t="s">
        <v>23933</v>
      </c>
      <c r="B10390" s="13" t="s">
        <v>23934</v>
      </c>
      <c r="C10390" s="14" t="s">
        <v>23935</v>
      </c>
      <c r="D10390" s="1" t="str">
        <f>IFERROR(__xludf.DUMMYFUNCTION("GOOGLETRANSLATE(A10390 , ""auto"", ""ar"")"),"المعكرونة جاهزة تقريبا")</f>
        <v>المعكرونة جاهزة تقريبا</v>
      </c>
    </row>
    <row r="10391" ht="15.75" customHeight="1">
      <c r="A10391" s="12" t="s">
        <v>23936</v>
      </c>
      <c r="B10391" s="13" t="s">
        <v>23937</v>
      </c>
      <c r="C10391" s="14" t="s">
        <v>23938</v>
      </c>
      <c r="D10391" s="1" t="str">
        <f>IFERROR(__xludf.DUMMYFUNCTION("GOOGLETRANSLATE(A10391 , ""auto"", ""ar"")"),"أنت لا تحب طهي")</f>
        <v>أنت لا تحب طهي</v>
      </c>
    </row>
    <row r="10392" ht="15.75" customHeight="1">
      <c r="A10392" s="12" t="s">
        <v>23939</v>
      </c>
      <c r="B10392" s="13" t="s">
        <v>23940</v>
      </c>
      <c r="C10392" s="14" t="s">
        <v>23941</v>
      </c>
      <c r="D10392" s="1" t="str">
        <f>IFERROR(__xludf.DUMMYFUNCTION("GOOGLETRANSLATE(A10392 , ""auto"", ""ar"")"),"أنا أحب الطعام الحلو")</f>
        <v>أنا أحب الطعام الحلو</v>
      </c>
    </row>
    <row r="10393" ht="15.75" customHeight="1">
      <c r="A10393" s="12" t="s">
        <v>23942</v>
      </c>
      <c r="B10393" s="13" t="s">
        <v>23943</v>
      </c>
      <c r="C10393" s="14" t="s">
        <v>23944</v>
      </c>
      <c r="D10393" s="1" t="str">
        <f>IFERROR(__xludf.DUMMYFUNCTION("GOOGLETRANSLATE(A10393 , ""auto"", ""ar"")"),"أنا لا أحب الطعام الحار")</f>
        <v>أنا لا أحب الطعام الحار</v>
      </c>
    </row>
    <row r="10394" ht="15.75" customHeight="1">
      <c r="A10394" s="12" t="s">
        <v>23945</v>
      </c>
      <c r="B10394" s="13" t="s">
        <v>23946</v>
      </c>
      <c r="C10394" s="14" t="s">
        <v>23947</v>
      </c>
      <c r="D10394" s="1" t="str">
        <f>IFERROR(__xludf.DUMMYFUNCTION("GOOGLETRANSLATE(A10394 , ""auto"", ""ar"")"),"كان للطب طعم مرير")</f>
        <v>كان للطب طعم مرير</v>
      </c>
    </row>
    <row r="10395" ht="15.75" customHeight="1">
      <c r="A10395" s="12" t="s">
        <v>23948</v>
      </c>
      <c r="B10395" s="13" t="s">
        <v>23949</v>
      </c>
      <c r="C10395" s="14" t="s">
        <v>23950</v>
      </c>
      <c r="D10395" s="1" t="str">
        <f>IFERROR(__xludf.DUMMYFUNCTION("GOOGLETRANSLATE(A10395 , ""auto"", ""ar"")"),"هذه التفاحة حامضة حقًا")</f>
        <v>هذه التفاحة حامضة حقًا</v>
      </c>
    </row>
    <row r="10396" ht="15.75" customHeight="1">
      <c r="A10396" s="12" t="s">
        <v>23951</v>
      </c>
      <c r="B10396" s="13" t="s">
        <v>23952</v>
      </c>
      <c r="C10396" s="14" t="s">
        <v>23953</v>
      </c>
      <c r="D10396" s="1" t="str">
        <f>IFERROR(__xludf.DUMMYFUNCTION("GOOGLETRANSLATE(A10396 , ""auto"", ""ar"")"),"تحول الحليب الحامض")</f>
        <v>تحول الحليب الحامض</v>
      </c>
    </row>
    <row r="10397" ht="15.75" customHeight="1">
      <c r="A10397" s="12" t="s">
        <v>23954</v>
      </c>
      <c r="B10397" s="13" t="s">
        <v>23955</v>
      </c>
      <c r="C10397" s="14" t="s">
        <v>23956</v>
      </c>
      <c r="D10397" s="1" t="str">
        <f>IFERROR(__xludf.DUMMYFUNCTION("GOOGLETRANSLATE(A10397 , ""auto"", ""ar"")"),"كانت الفاكهة حامضة للغاية")</f>
        <v>كانت الفاكهة حامضة للغاية</v>
      </c>
    </row>
    <row r="10398" ht="15.75" customHeight="1">
      <c r="A10398" s="12" t="s">
        <v>23957</v>
      </c>
      <c r="B10398" s="13" t="s">
        <v>23958</v>
      </c>
      <c r="C10398" s="14" t="s">
        <v>23959</v>
      </c>
      <c r="D10398" s="1" t="str">
        <f>IFERROR(__xludf.DUMMYFUNCTION("GOOGLETRANSLATE(A10398 , ""auto"", ""ar"")"),"لقد ذهب الحساء الحامض")</f>
        <v>لقد ذهب الحساء الحامض</v>
      </c>
    </row>
    <row r="10399" ht="15.75" customHeight="1">
      <c r="A10399" s="12" t="s">
        <v>23960</v>
      </c>
      <c r="B10399" s="13" t="s">
        <v>23961</v>
      </c>
      <c r="C10399" s="14" t="s">
        <v>23962</v>
      </c>
      <c r="D10399" s="1" t="str">
        <f>IFERROR(__xludf.DUMMYFUNCTION("GOOGLETRANSLATE(A10399 , ""auto"", ""ar"")"),"تحولت الحرارة الحليب الحامض")</f>
        <v>تحولت الحرارة الحليب الحامض</v>
      </c>
    </row>
    <row r="10400" ht="15.75" customHeight="1">
      <c r="A10400" s="12" t="s">
        <v>23963</v>
      </c>
      <c r="B10400" s="13" t="s">
        <v>23964</v>
      </c>
      <c r="C10400" s="14" t="s">
        <v>23965</v>
      </c>
      <c r="D10400" s="1" t="str">
        <f>IFERROR(__xludf.DUMMYFUNCTION("GOOGLETRANSLATE(A10400 , ""auto"", ""ar"")"),"أعطاها مياه مالحة")</f>
        <v>أعطاها مياه مالحة</v>
      </c>
    </row>
    <row r="10401" ht="15.75" customHeight="1">
      <c r="A10401" s="12" t="s">
        <v>23966</v>
      </c>
      <c r="B10401" s="13" t="s">
        <v>23967</v>
      </c>
      <c r="C10401" s="14" t="s">
        <v>23968</v>
      </c>
      <c r="D10401" s="1" t="str">
        <f>IFERROR(__xludf.DUMMYFUNCTION("GOOGLETRANSLATE(A10401 , ""auto"", ""ar"")"),"لجعل القيء لها")</f>
        <v>لجعل القيء لها</v>
      </c>
    </row>
    <row r="10402" ht="15.75" customHeight="1">
      <c r="A10402" s="12" t="s">
        <v>23969</v>
      </c>
      <c r="B10402" s="13" t="s">
        <v>23970</v>
      </c>
      <c r="C10402" s="14" t="s">
        <v>23971</v>
      </c>
      <c r="D10402" s="1" t="str">
        <f>IFERROR(__xludf.DUMMYFUNCTION("GOOGLETRANSLATE(A10402 , ""auto"", ""ar"")"),"الطعام المالح يجعل العطش واحد")</f>
        <v>الطعام المالح يجعل العطش واحد</v>
      </c>
    </row>
    <row r="10403" ht="15.75" customHeight="1">
      <c r="A10403" s="12" t="s">
        <v>23972</v>
      </c>
      <c r="B10403" s="13" t="s">
        <v>23973</v>
      </c>
      <c r="C10403" s="14" t="s">
        <v>23974</v>
      </c>
      <c r="D10403" s="1" t="str">
        <f>IFERROR(__xludf.DUMMYFUNCTION("GOOGLETRANSLATE(A10403 , ""auto"", ""ar"")"),"ليس لدي الكثير من تجربة الطبخ")</f>
        <v>ليس لدي الكثير من تجربة الطبخ</v>
      </c>
    </row>
    <row r="10404" ht="15.75" customHeight="1">
      <c r="A10404" s="12" t="s">
        <v>23975</v>
      </c>
      <c r="B10404" s="13" t="s">
        <v>23976</v>
      </c>
      <c r="C10404" s="14" t="s">
        <v>23977</v>
      </c>
      <c r="D10404" s="1" t="str">
        <f>IFERROR(__xludf.DUMMYFUNCTION("GOOGLETRANSLATE(A10404 , ""auto"", ""ar"")"),"هل تطبخ العشاء؟")</f>
        <v>هل تطبخ العشاء؟</v>
      </c>
    </row>
    <row r="10405" ht="15.75" customHeight="1">
      <c r="A10405" s="12" t="s">
        <v>23978</v>
      </c>
      <c r="B10405" s="13" t="s">
        <v>23979</v>
      </c>
      <c r="C10405" s="14" t="s">
        <v>23980</v>
      </c>
      <c r="D10405" s="1" t="str">
        <f>IFERROR(__xludf.DUMMYFUNCTION("GOOGLETRANSLATE(A10405 , ""auto"", ""ar"")"),"لديه عرض طبخ")</f>
        <v>لديه عرض طبخ</v>
      </c>
    </row>
    <row r="10406" ht="15.75" customHeight="1">
      <c r="A10406" s="12" t="s">
        <v>23981</v>
      </c>
      <c r="B10406" s="13" t="s">
        <v>23982</v>
      </c>
      <c r="C10406" s="14" t="s">
        <v>23983</v>
      </c>
      <c r="D10406" s="1" t="str">
        <f>IFERROR(__xludf.DUMMYFUNCTION("GOOGLETRANSLATE(A10406 , ""auto"", ""ar"")"),"افتقدها طبخها")</f>
        <v>افتقدها طبخها</v>
      </c>
    </row>
    <row r="10407" ht="15.75" customHeight="1">
      <c r="A10407" s="12" t="s">
        <v>23984</v>
      </c>
      <c r="B10407" s="13" t="s">
        <v>23985</v>
      </c>
      <c r="C10407" s="14" t="s">
        <v>23986</v>
      </c>
      <c r="D10407" s="1" t="str">
        <f>IFERROR(__xludf.DUMMYFUNCTION("GOOGLETRANSLATE(A10407 , ""auto"", ""ar"")"),"ألا تفوتك الطبخ في المنزل؟")</f>
        <v>ألا تفوتك الطبخ في المنزل؟</v>
      </c>
    </row>
    <row r="10408" ht="15.75" customHeight="1">
      <c r="A10408" s="12" t="s">
        <v>23987</v>
      </c>
      <c r="B10408" s="13" t="s">
        <v>23988</v>
      </c>
      <c r="C10408" s="14" t="s">
        <v>23989</v>
      </c>
      <c r="D10408" s="1" t="str">
        <f>IFERROR(__xludf.DUMMYFUNCTION("GOOGLETRANSLATE(A10408 , ""auto"", ""ar"")"),"سأفتقد طهيك")</f>
        <v>سأفتقد طهيك</v>
      </c>
    </row>
    <row r="10409" ht="15.75" customHeight="1">
      <c r="A10409" s="12" t="s">
        <v>23990</v>
      </c>
      <c r="B10409" s="13" t="s">
        <v>23991</v>
      </c>
      <c r="C10409" s="14" t="s">
        <v>23992</v>
      </c>
      <c r="D10409" s="1" t="str">
        <f>IFERROR(__xludf.DUMMYFUNCTION("GOOGLETRANSLATE(A10409 , ""auto"", ""ar"")"),"افتقد طبخ أمي")</f>
        <v>افتقد طبخ أمي</v>
      </c>
    </row>
    <row r="10410" ht="15.75" customHeight="1">
      <c r="A10410" s="12" t="s">
        <v>23993</v>
      </c>
      <c r="B10410" s="13" t="s">
        <v>23994</v>
      </c>
      <c r="C10410" s="14" t="s">
        <v>23995</v>
      </c>
      <c r="D10410" s="1" t="str">
        <f>IFERROR(__xludf.DUMMYFUNCTION("GOOGLETRANSLATE(A10410 , ""auto"", ""ar"")"),"ساعد والدته في الطبخ")</f>
        <v>ساعد والدته في الطبخ</v>
      </c>
    </row>
    <row r="10411" ht="15.75" customHeight="1">
      <c r="A10411" s="12" t="s">
        <v>23996</v>
      </c>
      <c r="B10411" s="13" t="s">
        <v>23997</v>
      </c>
      <c r="C10411" s="14" t="s">
        <v>23998</v>
      </c>
      <c r="D10411" s="1" t="str">
        <f>IFERROR(__xludf.DUMMYFUNCTION("GOOGLETRANSLATE(A10411 , ""auto"", ""ar"")"),"ابنته سيئة في الطبخ")</f>
        <v>ابنته سيئة في الطبخ</v>
      </c>
    </row>
    <row r="10412" ht="15.75" customHeight="1">
      <c r="A10412" s="12" t="s">
        <v>23999</v>
      </c>
      <c r="B10412" s="13" t="s">
        <v>24000</v>
      </c>
      <c r="C10412" s="14" t="s">
        <v>24001</v>
      </c>
      <c r="D10412" s="1" t="str">
        <f>IFERROR(__xludf.DUMMYFUNCTION("GOOGLETRANSLATE(A10412 , ""auto"", ""ar"")"),"أنا الطهي الآن")</f>
        <v>أنا الطهي الآن</v>
      </c>
    </row>
    <row r="10413" ht="15.75" customHeight="1">
      <c r="A10413" s="12" t="s">
        <v>24002</v>
      </c>
      <c r="B10413" s="13" t="s">
        <v>24003</v>
      </c>
      <c r="C10413" s="14" t="s">
        <v>24004</v>
      </c>
      <c r="D10413" s="1" t="str">
        <f>IFERROR(__xludf.DUMMYFUNCTION("GOOGLETRANSLATE(A10413 , ""auto"", ""ar"")"),"أختي تطبخ في المطبخ")</f>
        <v>أختي تطبخ في المطبخ</v>
      </c>
    </row>
    <row r="10414" ht="15.75" customHeight="1">
      <c r="A10414" s="12" t="s">
        <v>24005</v>
      </c>
      <c r="B10414" s="13" t="s">
        <v>24006</v>
      </c>
      <c r="C10414" s="14" t="s">
        <v>24007</v>
      </c>
      <c r="D10414" s="1" t="str">
        <f>IFERROR(__xludf.DUMMYFUNCTION("GOOGLETRANSLATE(A10414 , ""auto"", ""ar"")"),"إنه غير معتاد على الطهي")</f>
        <v>إنه غير معتاد على الطهي</v>
      </c>
    </row>
    <row r="10415" ht="15.75" customHeight="1">
      <c r="A10415" s="12" t="s">
        <v>24008</v>
      </c>
      <c r="B10415" s="13" t="s">
        <v>24009</v>
      </c>
      <c r="C10415" s="14" t="s">
        <v>24010</v>
      </c>
      <c r="D10415" s="1" t="str">
        <f>IFERROR(__xludf.DUMMYFUNCTION("GOOGLETRANSLATE(A10415 , ""auto"", ""ar"")"),"ليس لدي اهتمام كبير بالطبخ")</f>
        <v>ليس لدي اهتمام كبير بالطبخ</v>
      </c>
    </row>
    <row r="10416" ht="15.75" customHeight="1">
      <c r="A10416" s="12" t="s">
        <v>24011</v>
      </c>
      <c r="B10416" s="13" t="s">
        <v>24012</v>
      </c>
      <c r="C10416" s="14" t="s">
        <v>24013</v>
      </c>
      <c r="D10416" s="1" t="str">
        <f>IFERROR(__xludf.DUMMYFUNCTION("GOOGLETRANSLATE(A10416 , ""auto"", ""ar"")"),"رائحة الطهي تجعلني جائعًا")</f>
        <v>رائحة الطهي تجعلني جائعًا</v>
      </c>
    </row>
    <row r="10417" ht="15.75" customHeight="1">
      <c r="A10417" s="12" t="s">
        <v>24014</v>
      </c>
      <c r="B10417" s="13" t="s">
        <v>24015</v>
      </c>
      <c r="C10417" s="14" t="s">
        <v>24016</v>
      </c>
      <c r="D10417" s="1" t="str">
        <f>IFERROR(__xludf.DUMMYFUNCTION("GOOGLETRANSLATE(A10417 , ""auto"", ""ar"")"),"هي معتادة على الطهي")</f>
        <v>هي معتادة على الطهي</v>
      </c>
    </row>
    <row r="10418" ht="15.75" customHeight="1">
      <c r="A10418" s="12" t="s">
        <v>24017</v>
      </c>
      <c r="B10418" s="13" t="s">
        <v>24018</v>
      </c>
      <c r="C10418" s="14" t="s">
        <v>24019</v>
      </c>
      <c r="D10418" s="1" t="str">
        <f>IFERROR(__xludf.DUMMYFUNCTION("GOOGLETRANSLATE(A10418 , ""auto"", ""ar"")"),"أسمع أنك جيد في الطهي")</f>
        <v>أسمع أنك جيد في الطهي</v>
      </c>
    </row>
    <row r="10419" ht="15.75" customHeight="1">
      <c r="A10419" s="12" t="s">
        <v>24020</v>
      </c>
      <c r="B10419" s="13" t="s">
        <v>24021</v>
      </c>
      <c r="C10419" s="14" t="s">
        <v>24022</v>
      </c>
      <c r="D10419" s="1" t="str">
        <f>IFERROR(__xludf.DUMMYFUNCTION("GOOGLETRANSLATE(A10419 , ""auto"", ""ar"")"),"يستغرق الطبخ الكثير من الوقت")</f>
        <v>يستغرق الطبخ الكثير من الوقت</v>
      </c>
    </row>
    <row r="10420" ht="15.75" customHeight="1">
      <c r="A10420" s="12" t="s">
        <v>24023</v>
      </c>
      <c r="B10420" s="13" t="s">
        <v>24024</v>
      </c>
      <c r="C10420" s="14" t="s">
        <v>24025</v>
      </c>
      <c r="D10420" s="1" t="str">
        <f>IFERROR(__xludf.DUMMYFUNCTION("GOOGLETRANSLATE(A10420 , ""auto"", ""ar"")"),"لا بد لي من الذهاب وأطبخ العشاء")</f>
        <v>لا بد لي من الذهاب وأطبخ العشاء</v>
      </c>
    </row>
    <row r="10421" ht="15.75" customHeight="1">
      <c r="A10421" s="12" t="s">
        <v>24026</v>
      </c>
      <c r="B10421" s="13" t="s">
        <v>24027</v>
      </c>
      <c r="C10421" s="14" t="s">
        <v>24028</v>
      </c>
      <c r="D10421" s="1" t="str">
        <f>IFERROR(__xludf.DUMMYFUNCTION("GOOGLETRANSLATE(A10421 , ""auto"", ""ar"")"),"هل تناولت الغداء؟")</f>
        <v>هل تناولت الغداء؟</v>
      </c>
    </row>
    <row r="10422" ht="15.75" customHeight="1">
      <c r="A10422" s="12" t="s">
        <v>24029</v>
      </c>
      <c r="B10422" s="13" t="s">
        <v>24030</v>
      </c>
      <c r="C10422" s="14" t="s">
        <v>24031</v>
      </c>
      <c r="D10422" s="1" t="str">
        <f>IFERROR(__xludf.DUMMYFUNCTION("GOOGLETRANSLATE(A10422 , ""auto"", ""ar"")"),"أنا دائما تناول البيض المغلي على الإفطار")</f>
        <v>أنا دائما تناول البيض المغلي على الإفطار</v>
      </c>
    </row>
    <row r="10423" ht="15.75" customHeight="1">
      <c r="A10423" s="12" t="s">
        <v>24032</v>
      </c>
      <c r="B10423" s="13" t="s">
        <v>24033</v>
      </c>
      <c r="C10423" s="14" t="s">
        <v>24034</v>
      </c>
      <c r="D10423" s="1" t="str">
        <f>IFERROR(__xludf.DUMMYFUNCTION("GOOGLETRANSLATE(A10423 , ""auto"", ""ar"")"),"هل انتهيت من الإفطار؟")</f>
        <v>هل انتهيت من الإفطار؟</v>
      </c>
    </row>
    <row r="10424" ht="15.75" customHeight="1">
      <c r="A10424" s="12" t="s">
        <v>24032</v>
      </c>
      <c r="B10424" s="13" t="s">
        <v>24035</v>
      </c>
      <c r="C10424" s="14" t="s">
        <v>24036</v>
      </c>
      <c r="D10424" s="1" t="str">
        <f>IFERROR(__xludf.DUMMYFUNCTION("GOOGLETRANSLATE(A10424 , ""auto"", ""ar"")"),"هل انتهيت من الإفطار؟")</f>
        <v>هل انتهيت من الإفطار؟</v>
      </c>
    </row>
    <row r="10425" ht="15.75" customHeight="1">
      <c r="A10425" s="12" t="s">
        <v>24037</v>
      </c>
      <c r="B10425" s="13" t="s">
        <v>24038</v>
      </c>
      <c r="C10425" s="14" t="s">
        <v>24039</v>
      </c>
      <c r="D10425" s="1" t="str">
        <f>IFERROR(__xludf.DUMMYFUNCTION("GOOGLETRANSLATE(A10425 , ""auto"", ""ar"")"),"انه المحمص الخبز")</f>
        <v>انه المحمص الخبز</v>
      </c>
    </row>
    <row r="10426" ht="15.75" customHeight="1">
      <c r="A10426" s="12" t="s">
        <v>24040</v>
      </c>
      <c r="B10426" s="13" t="s">
        <v>24041</v>
      </c>
      <c r="C10426" s="14" t="s">
        <v>24042</v>
      </c>
      <c r="D10426" s="1" t="str">
        <f>IFERROR(__xludf.DUMMYFUNCTION("GOOGLETRANSLATE(A10426 , ""auto"", ""ar"")"),"لتناول الإفطار ، لدي كوب من عصير البرتقال")</f>
        <v>لتناول الإفطار ، لدي كوب من عصير البرتقال</v>
      </c>
    </row>
    <row r="10427" ht="15.75" customHeight="1">
      <c r="A10427" s="12" t="s">
        <v>24043</v>
      </c>
      <c r="B10427" s="13" t="s">
        <v>24044</v>
      </c>
      <c r="C10427" s="14" t="s">
        <v>24045</v>
      </c>
      <c r="D10427" s="1" t="str">
        <f>IFERROR(__xludf.DUMMYFUNCTION("GOOGLETRANSLATE(A10427 , ""auto"", ""ar"")"),"كوب من الحليب البارد")</f>
        <v>كوب من الحليب البارد</v>
      </c>
    </row>
    <row r="10428" ht="15.75" customHeight="1">
      <c r="A10428" s="12" t="s">
        <v>24046</v>
      </c>
      <c r="B10428" s="13" t="s">
        <v>24047</v>
      </c>
      <c r="C10428" s="14" t="s">
        <v>24048</v>
      </c>
      <c r="D10428" s="1" t="str">
        <f>IFERROR(__xludf.DUMMYFUNCTION("GOOGLETRANSLATE(A10428 , ""auto"", ""ar"")"),"كوب من الحليب الساخن")</f>
        <v>كوب من الحليب الساخن</v>
      </c>
    </row>
    <row r="10429" ht="15.75" customHeight="1">
      <c r="A10429" s="12" t="s">
        <v>24049</v>
      </c>
      <c r="B10429" s="13" t="s">
        <v>24050</v>
      </c>
      <c r="C10429" s="14" t="s">
        <v>24051</v>
      </c>
      <c r="D10429" s="1" t="str">
        <f>IFERROR(__xludf.DUMMYFUNCTION("GOOGLETRANSLATE(A10429 , ""auto"", ""ar"")"),"كوب من الشوكولاتة الساخنة")</f>
        <v>كوب من الشوكولاتة الساخنة</v>
      </c>
    </row>
    <row r="10430" ht="15.75" customHeight="1">
      <c r="A10430" s="12" t="s">
        <v>24052</v>
      </c>
      <c r="B10430" s="13" t="s">
        <v>24053</v>
      </c>
      <c r="C10430" s="14" t="s">
        <v>24054</v>
      </c>
      <c r="D10430" s="1" t="str">
        <f>IFERROR(__xludf.DUMMYFUNCTION("GOOGLETRANSLATE(A10430 , ""auto"", ""ar"")"),"أنا أحب الجبن")</f>
        <v>أنا أحب الجبن</v>
      </c>
    </row>
    <row r="10431" ht="15.75" customHeight="1">
      <c r="A10431" s="12" t="s">
        <v>24055</v>
      </c>
      <c r="B10431" s="13" t="s">
        <v>24056</v>
      </c>
      <c r="C10431" s="14" t="s">
        <v>24057</v>
      </c>
      <c r="D10431" s="1" t="str">
        <f>IFERROR(__xludf.DUMMYFUNCTION("GOOGLETRANSLATE(A10431 , ""auto"", ""ar"")"),"أنا دائما أستخدم الزبدة في الطهي")</f>
        <v>أنا دائما أستخدم الزبدة في الطهي</v>
      </c>
    </row>
    <row r="10432" ht="15.75" customHeight="1">
      <c r="A10432" s="12" t="s">
        <v>24058</v>
      </c>
      <c r="B10432" s="13" t="s">
        <v>24059</v>
      </c>
      <c r="C10432" s="14" t="s">
        <v>24060</v>
      </c>
      <c r="D10432" s="1" t="str">
        <f>IFERROR(__xludf.DUMMYFUNCTION("GOOGLETRANSLATE(A10432 , ""auto"", ""ar"")"),"أفضل كرواسون من الخبز")</f>
        <v>أفضل كرواسون من الخبز</v>
      </c>
    </row>
    <row r="10433" ht="15.75" customHeight="1">
      <c r="A10433" s="12" t="s">
        <v>24061</v>
      </c>
      <c r="B10433" s="13" t="s">
        <v>24062</v>
      </c>
      <c r="C10433" s="14" t="s">
        <v>24063</v>
      </c>
      <c r="D10433" s="1" t="str">
        <f>IFERROR(__xludf.DUMMYFUNCTION("GOOGLETRANSLATE(A10433 , ""auto"", ""ar"")"),"لدي فقط زبادي في العشاء")</f>
        <v>لدي فقط زبادي في العشاء</v>
      </c>
    </row>
    <row r="10434" ht="15.75" customHeight="1">
      <c r="A10434" s="12" t="s">
        <v>24064</v>
      </c>
      <c r="B10434" s="13" t="s">
        <v>24065</v>
      </c>
      <c r="C10434" s="14" t="s">
        <v>24066</v>
      </c>
      <c r="D10434" s="1" t="str">
        <f>IFERROR(__xludf.DUMMYFUNCTION("GOOGLETRANSLATE(A10434 , ""auto"", ""ar"")"),"أكل وعاء كامل من المربى")</f>
        <v>أكل وعاء كامل من المربى</v>
      </c>
    </row>
    <row r="10435" ht="15.75" customHeight="1">
      <c r="A10435" s="12" t="s">
        <v>24067</v>
      </c>
      <c r="B10435" s="13" t="s">
        <v>24068</v>
      </c>
      <c r="C10435" s="14" t="s">
        <v>24069</v>
      </c>
      <c r="D10435" s="1" t="str">
        <f>IFERROR(__xludf.DUMMYFUNCTION("GOOGLETRANSLATE(A10435 , ""auto"", ""ar"")"),"العسل مفيد لك")</f>
        <v>العسل مفيد لك</v>
      </c>
    </row>
    <row r="10436" ht="15.75" customHeight="1">
      <c r="A10436" s="12" t="s">
        <v>24070</v>
      </c>
      <c r="B10436" s="13" t="s">
        <v>24071</v>
      </c>
      <c r="C10436" s="14" t="s">
        <v>24072</v>
      </c>
      <c r="D10436" s="1" t="str">
        <f>IFERROR(__xludf.DUMMYFUNCTION("GOOGLETRANSLATE(A10436 , ""auto"", ""ar"")"),"أريد أن أتناول وجبة خفيفة")</f>
        <v>أريد أن أتناول وجبة خفيفة</v>
      </c>
    </row>
    <row r="10437" ht="15.75" customHeight="1">
      <c r="A10437" s="12" t="s">
        <v>24073</v>
      </c>
      <c r="B10437" s="13" t="s">
        <v>24074</v>
      </c>
      <c r="C10437" s="14" t="s">
        <v>24075</v>
      </c>
      <c r="D10437" s="1" t="str">
        <f>IFERROR(__xludf.DUMMYFUNCTION("GOOGLETRANSLATE(A10437 , ""auto"", ""ar"")"),"لقد صنعت كعكة الشوكولاتة")</f>
        <v>لقد صنعت كعكة الشوكولاتة</v>
      </c>
    </row>
    <row r="10438" ht="15.75" customHeight="1">
      <c r="A10438" s="12" t="s">
        <v>24073</v>
      </c>
      <c r="B10438" s="13" t="s">
        <v>24076</v>
      </c>
      <c r="C10438" s="14" t="s">
        <v>24077</v>
      </c>
      <c r="D10438" s="1" t="str">
        <f>IFERROR(__xludf.DUMMYFUNCTION("GOOGLETRANSLATE(A10438 , ""auto"", ""ar"")"),"لقد صنعت كعكة الشوكولاتة")</f>
        <v>لقد صنعت كعكة الشوكولاتة</v>
      </c>
    </row>
    <row r="10439" ht="15.75" customHeight="1">
      <c r="A10439" s="12" t="s">
        <v>24078</v>
      </c>
      <c r="B10439" s="13" t="s">
        <v>24079</v>
      </c>
      <c r="C10439" s="14" t="s">
        <v>24080</v>
      </c>
      <c r="D10439" s="1" t="str">
        <f>IFERROR(__xludf.DUMMYFUNCTION("GOOGLETRANSLATE(A10439 , ""auto"", ""ar"")"),"يتناول الغداء في المدرسة")</f>
        <v>يتناول الغداء في المدرسة</v>
      </c>
    </row>
    <row r="10440" ht="15.75" customHeight="1">
      <c r="A10440" s="12" t="s">
        <v>24081</v>
      </c>
      <c r="B10440" s="13" t="s">
        <v>24082</v>
      </c>
      <c r="C10440" s="14" t="s">
        <v>24083</v>
      </c>
      <c r="D10440" s="1" t="str">
        <f>IFERROR(__xludf.DUMMYFUNCTION("GOOGLETRANSLATE(A10440 , ""auto"", ""ar"")"),"أنا جائع")</f>
        <v>أنا جائع</v>
      </c>
    </row>
    <row r="10441" ht="15.75" customHeight="1">
      <c r="A10441" s="12" t="s">
        <v>24084</v>
      </c>
      <c r="B10441" s="13" t="s">
        <v>24085</v>
      </c>
      <c r="C10441" s="14" t="s">
        <v>24086</v>
      </c>
      <c r="D10441" s="1" t="str">
        <f>IFERROR(__xludf.DUMMYFUNCTION("GOOGLETRANSLATE(A10441 , ""auto"", ""ar"")"),"انا ممتلئ")</f>
        <v>انا ممتلئ</v>
      </c>
    </row>
    <row r="10442" ht="15.75" customHeight="1">
      <c r="A10442" s="12" t="s">
        <v>24087</v>
      </c>
      <c r="B10442" s="13" t="s">
        <v>24088</v>
      </c>
      <c r="C10442" s="14" t="s">
        <v>24089</v>
      </c>
      <c r="D10442" s="1" t="str">
        <f>IFERROR(__xludf.DUMMYFUNCTION("GOOGLETRANSLATE(A10442 , ""auto"", ""ar"")"),"دعنا نتناول الغداء!")</f>
        <v>دعنا نتناول الغداء!</v>
      </c>
    </row>
    <row r="10443" ht="15.75" customHeight="1">
      <c r="A10443" s="12" t="s">
        <v>24090</v>
      </c>
      <c r="B10443" s="13" t="s">
        <v>24091</v>
      </c>
      <c r="C10443" s="14" t="s">
        <v>24092</v>
      </c>
      <c r="D10443" s="1" t="str">
        <f>IFERROR(__xludf.DUMMYFUNCTION("GOOGLETRANSLATE(A10443 , ""auto"", ""ar"")"),"أشعر بالنعاس بعد الغداء")</f>
        <v>أشعر بالنعاس بعد الغداء</v>
      </c>
    </row>
    <row r="10444" ht="15.75" customHeight="1">
      <c r="A10444" s="12" t="s">
        <v>24093</v>
      </c>
      <c r="B10444" s="13" t="s">
        <v>24094</v>
      </c>
      <c r="C10444" s="14" t="s">
        <v>20389</v>
      </c>
      <c r="D10444" s="1" t="str">
        <f>IFERROR(__xludf.DUMMYFUNCTION("GOOGLETRANSLATE(A10444 , ""auto"", ""ar"")"),"أكلت الغداء بسرعة")</f>
        <v>أكلت الغداء بسرعة</v>
      </c>
    </row>
    <row r="10445" ht="15.75" customHeight="1">
      <c r="A10445" s="12" t="s">
        <v>24095</v>
      </c>
      <c r="B10445" s="13" t="s">
        <v>24096</v>
      </c>
      <c r="C10445" s="14" t="s">
        <v>24097</v>
      </c>
      <c r="D10445" s="1" t="str">
        <f>IFERROR(__xludf.DUMMYFUNCTION("GOOGLETRANSLATE(A10445 , ""auto"", ""ar"")"),"هل يمكنني تناول غدائي هنا؟")</f>
        <v>هل يمكنني تناول غدائي هنا؟</v>
      </c>
    </row>
    <row r="10446" ht="15.75" customHeight="1">
      <c r="A10446" s="12" t="s">
        <v>24098</v>
      </c>
      <c r="B10446" s="13" t="s">
        <v>24099</v>
      </c>
      <c r="C10446" s="14" t="s">
        <v>21040</v>
      </c>
      <c r="D10446" s="1" t="str">
        <f>IFERROR(__xludf.DUMMYFUNCTION("GOOGLETRANSLATE(A10446 , ""auto"", ""ar"")"),"لقد أكلت للتو الغداء")</f>
        <v>لقد أكلت للتو الغداء</v>
      </c>
    </row>
    <row r="10447" ht="15.75" customHeight="1">
      <c r="A10447" s="12" t="s">
        <v>24100</v>
      </c>
      <c r="B10447" s="13" t="s">
        <v>24027</v>
      </c>
      <c r="C10447" s="14" t="s">
        <v>24028</v>
      </c>
      <c r="D10447" s="1" t="str">
        <f>IFERROR(__xludf.DUMMYFUNCTION("GOOGLETRANSLATE(A10447 , ""auto"", ""ar"")"),"هل تناولت وجبة الغداء؟")</f>
        <v>هل تناولت وجبة الغداء؟</v>
      </c>
    </row>
    <row r="10448" ht="15.75" customHeight="1">
      <c r="A10448" s="12" t="s">
        <v>24101</v>
      </c>
      <c r="B10448" s="13" t="s">
        <v>24102</v>
      </c>
      <c r="C10448" s="14" t="s">
        <v>24103</v>
      </c>
      <c r="D10448" s="1" t="str">
        <f>IFERROR(__xludf.DUMMYFUNCTION("GOOGLETRANSLATE(A10448 , ""auto"", ""ar"")"),"هل تذكرت؟")</f>
        <v>هل تذكرت؟</v>
      </c>
    </row>
    <row r="10449" ht="15.75" customHeight="1">
      <c r="A10449" s="12" t="s">
        <v>24104</v>
      </c>
      <c r="B10449" s="13" t="s">
        <v>24105</v>
      </c>
      <c r="C10449" s="14" t="s">
        <v>24106</v>
      </c>
      <c r="D10449" s="1" t="str">
        <f>IFERROR(__xludf.DUMMYFUNCTION("GOOGLETRANSLATE(A10449 , ""auto"", ""ar"")"),"هل يمكننا الغداء معًا؟")</f>
        <v>هل يمكننا الغداء معًا؟</v>
      </c>
    </row>
    <row r="10450" ht="15.75" customHeight="1">
      <c r="A10450" s="12" t="s">
        <v>24107</v>
      </c>
      <c r="B10450" s="13" t="s">
        <v>24108</v>
      </c>
      <c r="C10450" s="14" t="s">
        <v>24109</v>
      </c>
      <c r="D10450" s="1" t="str">
        <f>IFERROR(__xludf.DUMMYFUNCTION("GOOGLETRANSLATE(A10450 , ""auto"", ""ar"")"),"تعال! سأشتري لك الغداء")</f>
        <v>تعال! سأشتري لك الغداء</v>
      </c>
    </row>
    <row r="10451" ht="15.75" customHeight="1">
      <c r="A10451" s="12" t="s">
        <v>24110</v>
      </c>
      <c r="B10451" s="13" t="s">
        <v>24111</v>
      </c>
      <c r="C10451" s="14" t="s">
        <v>24112</v>
      </c>
      <c r="D10451" s="1" t="str">
        <f>IFERROR(__xludf.DUMMYFUNCTION("GOOGLETRANSLATE(A10451 , ""auto"", ""ar"")"),"نشأ في عائلة صحية")</f>
        <v>نشأ في عائلة صحية</v>
      </c>
    </row>
    <row r="10452" ht="15.75" customHeight="1">
      <c r="A10452" s="12" t="s">
        <v>24113</v>
      </c>
      <c r="B10452" s="13" t="s">
        <v>24114</v>
      </c>
      <c r="C10452" s="14" t="s">
        <v>24115</v>
      </c>
      <c r="D10452" s="1" t="str">
        <f>IFERROR(__xludf.DUMMYFUNCTION("GOOGLETRANSLATE(A10452 , ""auto"", ""ar"")"),"كان لديها وجه جميل")</f>
        <v>كان لديها وجه جميل</v>
      </c>
    </row>
    <row r="10453" ht="15.75" customHeight="1">
      <c r="A10453" s="12" t="s">
        <v>24116</v>
      </c>
      <c r="B10453" s="13" t="s">
        <v>24117</v>
      </c>
      <c r="C10453" s="14" t="s">
        <v>24118</v>
      </c>
      <c r="D10453" s="1" t="str">
        <f>IFERROR(__xludf.DUMMYFUNCTION("GOOGLETRANSLATE(A10453 , ""auto"", ""ar"")"),"مواجهة الجدار")</f>
        <v>مواجهة الجدار</v>
      </c>
    </row>
    <row r="10454" ht="15.75" customHeight="1">
      <c r="A10454" s="12" t="s">
        <v>24119</v>
      </c>
      <c r="B10454" s="13" t="s">
        <v>24120</v>
      </c>
      <c r="C10454" s="14" t="s">
        <v>3099</v>
      </c>
      <c r="D10454" s="1" t="str">
        <f>IFERROR(__xludf.DUMMYFUNCTION("GOOGLETRANSLATE(A10454 , ""auto"", ""ar"")"),"الوقوف!")</f>
        <v>الوقوف!</v>
      </c>
    </row>
    <row r="10455" ht="15.75" customHeight="1">
      <c r="A10455" s="12" t="s">
        <v>24121</v>
      </c>
      <c r="B10455" s="13" t="s">
        <v>24122</v>
      </c>
      <c r="C10455" s="14" t="s">
        <v>24123</v>
      </c>
      <c r="D10455" s="1" t="str">
        <f>IFERROR(__xludf.DUMMYFUNCTION("GOOGLETRANSLATE(A10455 , ""auto"", ""ar"")"),"اجلس!")</f>
        <v>اجلس!</v>
      </c>
    </row>
    <row r="10456" ht="15.75" customHeight="1">
      <c r="A10456" s="12" t="s">
        <v>24124</v>
      </c>
      <c r="B10456" s="13" t="s">
        <v>24125</v>
      </c>
      <c r="C10456" s="14" t="s">
        <v>24126</v>
      </c>
      <c r="D10456" s="1" t="str">
        <f>IFERROR(__xludf.DUMMYFUNCTION("GOOGLETRANSLATE(A10456 , ""auto"", ""ar"")"),"اذهب إلى النوم")</f>
        <v>اذهب إلى النوم</v>
      </c>
    </row>
    <row r="10457" ht="15.75" customHeight="1">
      <c r="A10457" s="12" t="s">
        <v>24127</v>
      </c>
      <c r="B10457" s="13" t="s">
        <v>24128</v>
      </c>
      <c r="C10457" s="14" t="s">
        <v>24129</v>
      </c>
      <c r="D10457" s="1" t="str">
        <f>IFERROR(__xludf.DUMMYFUNCTION("GOOGLETRANSLATE(A10457 , ""auto"", ""ar"")"),"توقف عن الضحك")</f>
        <v>توقف عن الضحك</v>
      </c>
    </row>
    <row r="10458" ht="15.75" customHeight="1">
      <c r="A10458" s="12" t="s">
        <v>24130</v>
      </c>
      <c r="B10458" s="13" t="s">
        <v>24131</v>
      </c>
      <c r="C10458" s="14" t="s">
        <v>24132</v>
      </c>
      <c r="D10458" s="1" t="str">
        <f>IFERROR(__xludf.DUMMYFUNCTION("GOOGLETRANSLATE(A10458 , ""auto"", ""ar"")"),"هل انت عطشان؟")</f>
        <v>هل انت عطشان؟</v>
      </c>
    </row>
    <row r="10459" ht="15.75" customHeight="1">
      <c r="A10459" s="12" t="s">
        <v>24133</v>
      </c>
      <c r="B10459" s="13" t="s">
        <v>24134</v>
      </c>
      <c r="C10459" s="14" t="s">
        <v>24135</v>
      </c>
      <c r="D10459" s="1" t="str">
        <f>IFERROR(__xludf.DUMMYFUNCTION("GOOGLETRANSLATE(A10459 , ""auto"", ""ar"")"),"ألم تنام جيدًا بالأمس؟")</f>
        <v>ألم تنام جيدًا بالأمس؟</v>
      </c>
    </row>
    <row r="10460" ht="15.75" customHeight="1">
      <c r="A10460" s="12" t="s">
        <v>24136</v>
      </c>
      <c r="B10460" s="13" t="s">
        <v>24137</v>
      </c>
      <c r="C10460" s="14" t="s">
        <v>24138</v>
      </c>
      <c r="D10460" s="1" t="str">
        <f>IFERROR(__xludf.DUMMYFUNCTION("GOOGLETRANSLATE(A10460 , ""auto"", ""ar"")"),"كان وجهه لا يزال شاحبًا")</f>
        <v>كان وجهه لا يزال شاحبًا</v>
      </c>
    </row>
    <row r="10461" ht="15.75" customHeight="1">
      <c r="A10461" s="12" t="s">
        <v>24139</v>
      </c>
      <c r="B10461" s="13" t="s">
        <v>24140</v>
      </c>
      <c r="C10461" s="14" t="s">
        <v>24141</v>
      </c>
      <c r="D10461" s="1" t="str">
        <f>IFERROR(__xludf.DUMMYFUNCTION("GOOGLETRANSLATE(A10461 , ""auto"", ""ar"")"),"غطى وجهه وبكى")</f>
        <v>غطى وجهه وبكى</v>
      </c>
    </row>
    <row r="10462" ht="15.75" customHeight="1">
      <c r="A10462" s="12" t="s">
        <v>24142</v>
      </c>
      <c r="B10462" s="13" t="s">
        <v>24143</v>
      </c>
      <c r="C10462" s="14" t="s">
        <v>24144</v>
      </c>
      <c r="D10462" s="1" t="str">
        <f>IFERROR(__xludf.DUMMYFUNCTION("GOOGLETRANSLATE(A10462 , ""auto"", ""ar"")"),"لا تبكي")</f>
        <v>لا تبكي</v>
      </c>
    </row>
    <row r="10463" ht="15.75" customHeight="1">
      <c r="A10463" s="12" t="s">
        <v>24145</v>
      </c>
      <c r="B10463" s="13" t="s">
        <v>24146</v>
      </c>
      <c r="C10463" s="14" t="s">
        <v>24147</v>
      </c>
      <c r="D10463" s="1" t="str">
        <f>IFERROR(__xludf.DUMMYFUNCTION("GOOGLETRANSLATE(A10463 , ""auto"", ""ar"")"),"أنا معك")</f>
        <v>أنا معك</v>
      </c>
    </row>
    <row r="10464" ht="15.75" customHeight="1">
      <c r="A10464" s="12" t="s">
        <v>24148</v>
      </c>
      <c r="B10464" s="13" t="s">
        <v>24149</v>
      </c>
      <c r="C10464" s="14" t="s">
        <v>24150</v>
      </c>
      <c r="D10464" s="1" t="str">
        <f>IFERROR(__xludf.DUMMYFUNCTION("GOOGLETRANSLATE(A10464 , ""auto"", ""ar"")"),"شعري مجعد")</f>
        <v>شعري مجعد</v>
      </c>
    </row>
    <row r="10465" ht="15.75" customHeight="1">
      <c r="A10465" s="12" t="s">
        <v>24151</v>
      </c>
      <c r="B10465" s="13" t="s">
        <v>24152</v>
      </c>
      <c r="C10465" s="14" t="s">
        <v>24153</v>
      </c>
      <c r="D10465" s="1" t="str">
        <f>IFERROR(__xludf.DUMMYFUNCTION("GOOGLETRANSLATE(A10465 , ""auto"", ""ar"")"),"لديه شعر مستقيم")</f>
        <v>لديه شعر مستقيم</v>
      </c>
    </row>
    <row r="10466" ht="15.75" customHeight="1">
      <c r="A10466" s="12" t="s">
        <v>24154</v>
      </c>
      <c r="B10466" s="13" t="s">
        <v>24155</v>
      </c>
      <c r="C10466" s="14" t="s">
        <v>24156</v>
      </c>
      <c r="D10466" s="1" t="str">
        <f>IFERROR(__xludf.DUMMYFUNCTION("GOOGLETRANSLATE(A10466 , ""auto"", ""ar"")"),"لديه شعر أسود")</f>
        <v>لديه شعر أسود</v>
      </c>
    </row>
    <row r="10467" ht="15.75" customHeight="1">
      <c r="A10467" s="12" t="s">
        <v>24157</v>
      </c>
      <c r="B10467" s="13" t="s">
        <v>24158</v>
      </c>
      <c r="C10467" s="14" t="s">
        <v>24159</v>
      </c>
      <c r="D10467" s="1" t="str">
        <f>IFERROR(__xludf.DUMMYFUNCTION("GOOGLETRANSLATE(A10467 , ""auto"", ""ar"")"),"لديه شعر أبيض")</f>
        <v>لديه شعر أبيض</v>
      </c>
    </row>
    <row r="10468" ht="15.75" customHeight="1">
      <c r="A10468" s="12" t="s">
        <v>24160</v>
      </c>
      <c r="B10468" s="13" t="s">
        <v>24161</v>
      </c>
      <c r="C10468" s="14" t="s">
        <v>24162</v>
      </c>
      <c r="D10468" s="1" t="str">
        <f>IFERROR(__xludf.DUMMYFUNCTION("GOOGLETRANSLATE(A10468 , ""auto"", ""ar"")"),"لأول مرة على تلوين الشعر")</f>
        <v>لأول مرة على تلوين الشعر</v>
      </c>
    </row>
    <row r="10469" ht="15.75" customHeight="1">
      <c r="A10469" s="12" t="s">
        <v>24163</v>
      </c>
      <c r="B10469" s="13" t="s">
        <v>24164</v>
      </c>
      <c r="C10469" s="14" t="s">
        <v>24165</v>
      </c>
      <c r="D10469" s="1" t="str">
        <f>IFERROR(__xludf.DUMMYFUNCTION("GOOGLETRANSLATE(A10469 , ""auto"", ""ar"")"),"لديه شعر أشقر")</f>
        <v>لديه شعر أشقر</v>
      </c>
    </row>
    <row r="10470" ht="15.75" customHeight="1">
      <c r="A10470" s="12" t="s">
        <v>24163</v>
      </c>
      <c r="B10470" s="13" t="s">
        <v>24166</v>
      </c>
      <c r="C10470" s="14" t="s">
        <v>24167</v>
      </c>
      <c r="D10470" s="1" t="str">
        <f>IFERROR(__xludf.DUMMYFUNCTION("GOOGLETRANSLATE(A10470 , ""auto"", ""ar"")"),"لديه شعر أشقر")</f>
        <v>لديه شعر أشقر</v>
      </c>
    </row>
    <row r="10471" ht="15.75" customHeight="1">
      <c r="A10471" s="12" t="s">
        <v>24168</v>
      </c>
      <c r="B10471" s="13" t="s">
        <v>24169</v>
      </c>
      <c r="C10471" s="14" t="s">
        <v>24170</v>
      </c>
      <c r="D10471" s="1" t="str">
        <f>IFERROR(__xludf.DUMMYFUNCTION("GOOGLETRANSLATE(A10471 , ""auto"", ""ar"")"),"إنه أشقر")</f>
        <v>إنه أشقر</v>
      </c>
    </row>
    <row r="10472" ht="15.75" customHeight="1">
      <c r="A10472" s="12" t="s">
        <v>24168</v>
      </c>
      <c r="B10472" s="13" t="s">
        <v>24171</v>
      </c>
      <c r="C10472" s="14" t="s">
        <v>24172</v>
      </c>
      <c r="D10472" s="1" t="str">
        <f>IFERROR(__xludf.DUMMYFUNCTION("GOOGLETRANSLATE(A10472 , ""auto"", ""ar"")"),"إنه أشقر")</f>
        <v>إنه أشقر</v>
      </c>
    </row>
    <row r="10473" ht="15.75" customHeight="1">
      <c r="A10473" s="12" t="s">
        <v>24173</v>
      </c>
      <c r="B10473" s="13" t="s">
        <v>24174</v>
      </c>
      <c r="C10473" s="14" t="s">
        <v>24175</v>
      </c>
      <c r="D10473" s="1" t="str">
        <f>IFERROR(__xludf.DUMMYFUNCTION("GOOGLETRANSLATE(A10473 , ""auto"", ""ar"")"),"لدي شعر أحمر")</f>
        <v>لدي شعر أحمر</v>
      </c>
    </row>
    <row r="10474" ht="15.75" customHeight="1">
      <c r="A10474" s="12" t="s">
        <v>24176</v>
      </c>
      <c r="B10474" s="13" t="s">
        <v>24177</v>
      </c>
      <c r="C10474" s="14" t="s">
        <v>24178</v>
      </c>
      <c r="D10474" s="1" t="str">
        <f>IFERROR(__xludf.DUMMYFUNCTION("GOOGLETRANSLATE(A10474 , ""auto"", ""ar"")"),"أصيب شعره الرمادي")</f>
        <v>أصيب شعره الرمادي</v>
      </c>
    </row>
    <row r="10475" ht="15.75" customHeight="1">
      <c r="A10475" s="12" t="s">
        <v>24179</v>
      </c>
      <c r="B10475" s="13" t="s">
        <v>24180</v>
      </c>
      <c r="C10475" s="14" t="s">
        <v>24181</v>
      </c>
      <c r="D10475" s="1" t="str">
        <f>IFERROR(__xludf.DUMMYFUNCTION("GOOGLETRANSLATE(A10475 , ""auto"", ""ar"")"),"هو أصلع")</f>
        <v>هو أصلع</v>
      </c>
    </row>
    <row r="10476" ht="15.75" customHeight="1">
      <c r="A10476" s="12" t="s">
        <v>24182</v>
      </c>
      <c r="B10476" s="13" t="s">
        <v>24183</v>
      </c>
      <c r="C10476" s="14" t="s">
        <v>24184</v>
      </c>
      <c r="D10476" s="1" t="str">
        <f>IFERROR(__xludf.DUMMYFUNCTION("GOOGLETRANSLATE(A10476 , ""auto"", ""ar"")"),"لديه شعر قصير")</f>
        <v>لديه شعر قصير</v>
      </c>
    </row>
    <row r="10477" ht="15.75" customHeight="1">
      <c r="A10477" s="12" t="s">
        <v>24185</v>
      </c>
      <c r="B10477" s="13" t="s">
        <v>24186</v>
      </c>
      <c r="C10477" s="14" t="s">
        <v>24187</v>
      </c>
      <c r="D10477" s="1" t="str">
        <f>IFERROR(__xludf.DUMMYFUNCTION("GOOGLETRANSLATE(A10477 , ""auto"", ""ar"")"),"لديه شعر طويل")</f>
        <v>لديه شعر طويل</v>
      </c>
    </row>
    <row r="10478" ht="15.75" customHeight="1">
      <c r="A10478" s="12" t="s">
        <v>24188</v>
      </c>
      <c r="B10478" s="13" t="s">
        <v>24189</v>
      </c>
      <c r="C10478" s="14" t="s">
        <v>24190</v>
      </c>
      <c r="D10478" s="1" t="str">
        <f>IFERROR(__xludf.DUMMYFUNCTION("GOOGLETRANSLATE(A10478 , ""auto"", ""ar"")"),"لقد ربط شعره")</f>
        <v>لقد ربط شعره</v>
      </c>
    </row>
    <row r="10479" ht="15.75" customHeight="1">
      <c r="A10479" s="12" t="s">
        <v>24191</v>
      </c>
      <c r="B10479" s="13" t="s">
        <v>24192</v>
      </c>
      <c r="C10479" s="14" t="s">
        <v>24193</v>
      </c>
      <c r="D10479" s="1" t="str">
        <f>IFERROR(__xludf.DUMMYFUNCTION("GOOGLETRANSLATE(A10479 , ""auto"", ""ar"")"),"حصل على قصة شعر جديدة")</f>
        <v>حصل على قصة شعر جديدة</v>
      </c>
    </row>
    <row r="10480" ht="15.75" customHeight="1">
      <c r="A10480" s="12" t="s">
        <v>24194</v>
      </c>
      <c r="B10480" s="13" t="s">
        <v>24195</v>
      </c>
      <c r="C10480" s="14" t="s">
        <v>24196</v>
      </c>
      <c r="D10480" s="1" t="str">
        <f>IFERROR(__xludf.DUMMYFUNCTION("GOOGLETRANSLATE(A10480 , ""auto"", ""ar"")"),"حصل على قصة شعر جديدة")</f>
        <v>حصل على قصة شعر جديدة</v>
      </c>
    </row>
    <row r="10481" ht="15.75" customHeight="1">
      <c r="A10481" s="12" t="s">
        <v>24197</v>
      </c>
      <c r="B10481" s="13" t="s">
        <v>24198</v>
      </c>
      <c r="C10481" s="14" t="s">
        <v>24199</v>
      </c>
      <c r="D10481" s="1" t="str">
        <f>IFERROR(__xludf.DUMMYFUNCTION("GOOGLETRANSLATE(A10481 , ""auto"", ""ar"")"),"قام برفع شعره في كعكة")</f>
        <v>قام برفع شعره في كعكة</v>
      </c>
    </row>
    <row r="10482" ht="15.75" customHeight="1">
      <c r="A10482" s="12" t="s">
        <v>24200</v>
      </c>
      <c r="B10482" s="13" t="s">
        <v>24201</v>
      </c>
      <c r="C10482" s="14" t="s">
        <v>24202</v>
      </c>
      <c r="D10482" s="1" t="str">
        <f>IFERROR(__xludf.DUMMYFUNCTION("GOOGLETRANSLATE(A10482 , ""auto"", ""ar"")"),"لقد صهر شعره")</f>
        <v>لقد صهر شعره</v>
      </c>
    </row>
    <row r="10483" ht="15.75" customHeight="1">
      <c r="A10483" s="12" t="s">
        <v>24203</v>
      </c>
      <c r="B10483" s="13" t="s">
        <v>24204</v>
      </c>
      <c r="C10483" s="14" t="s">
        <v>24205</v>
      </c>
      <c r="D10483" s="1" t="str">
        <f>IFERROR(__xludf.DUMMYFUNCTION("GOOGLETRANSLATE(A10483 , ""auto"", ""ar"")"),"ينام بشعر مضفر")</f>
        <v>ينام بشعر مضفر</v>
      </c>
    </row>
    <row r="10484" ht="15.75" customHeight="1">
      <c r="A10484" s="12" t="s">
        <v>24206</v>
      </c>
      <c r="B10484" s="13" t="s">
        <v>24207</v>
      </c>
      <c r="C10484" s="14" t="s">
        <v>24208</v>
      </c>
      <c r="D10484" s="1" t="str">
        <f>IFERROR(__xludf.DUMMYFUNCTION("GOOGLETRANSLATE(A10484 , ""auto"", ""ar"")"),"لديه عيون زرقاء كبيرة")</f>
        <v>لديه عيون زرقاء كبيرة</v>
      </c>
    </row>
    <row r="10485" ht="15.75" customHeight="1">
      <c r="A10485" s="12" t="s">
        <v>24209</v>
      </c>
      <c r="B10485" s="13" t="s">
        <v>24210</v>
      </c>
      <c r="C10485" s="14" t="s">
        <v>24211</v>
      </c>
      <c r="D10485" s="1" t="str">
        <f>IFERROR(__xludf.DUMMYFUNCTION("GOOGLETRANSLATE(A10485 , ""auto"", ""ar"")"),"لديه عيون سوداء كبيرة")</f>
        <v>لديه عيون سوداء كبيرة</v>
      </c>
    </row>
    <row r="10486" ht="15.75" customHeight="1">
      <c r="A10486" s="12" t="s">
        <v>24212</v>
      </c>
      <c r="B10486" s="13" t="s">
        <v>24213</v>
      </c>
      <c r="C10486" s="14" t="s">
        <v>24214</v>
      </c>
      <c r="D10486" s="1" t="str">
        <f>IFERROR(__xludf.DUMMYFUNCTION("GOOGLETRANSLATE(A10486 , ""auto"", ""ar"")"),"لديه عيون بنية صغيرة")</f>
        <v>لديه عيون بنية صغيرة</v>
      </c>
    </row>
    <row r="10487" ht="15.75" customHeight="1">
      <c r="A10487" s="12" t="s">
        <v>24215</v>
      </c>
      <c r="B10487" s="13" t="s">
        <v>24216</v>
      </c>
      <c r="C10487" s="14" t="s">
        <v>24217</v>
      </c>
      <c r="D10487" s="1" t="str">
        <f>IFERROR(__xludf.DUMMYFUNCTION("GOOGLETRANSLATE(A10487 , ""auto"", ""ar"")"),"عيناي مستديرة")</f>
        <v>عيناي مستديرة</v>
      </c>
    </row>
    <row r="10488" ht="15.75" customHeight="1">
      <c r="A10488" s="12" t="s">
        <v>24218</v>
      </c>
      <c r="B10488" s="13" t="s">
        <v>24219</v>
      </c>
      <c r="C10488" s="14" t="s">
        <v>24220</v>
      </c>
      <c r="D10488" s="1" t="str">
        <f>IFERROR(__xludf.DUMMYFUNCTION("GOOGLETRANSLATE(A10488 , ""auto"", ""ar"")"),"لديه فم كبير")</f>
        <v>لديه فم كبير</v>
      </c>
    </row>
    <row r="10489" ht="15.75" customHeight="1">
      <c r="A10489" s="12" t="s">
        <v>24221</v>
      </c>
      <c r="B10489" s="13" t="s">
        <v>24222</v>
      </c>
      <c r="C10489" s="14" t="s">
        <v>24223</v>
      </c>
      <c r="D10489" s="1" t="str">
        <f>IFERROR(__xludf.DUMMYFUNCTION("GOOGLETRANSLATE(A10489 , ""auto"", ""ar"")"),"حواجبي سميكة")</f>
        <v>حواجبي سميكة</v>
      </c>
    </row>
    <row r="10490" ht="15.75" customHeight="1">
      <c r="A10490" s="12" t="s">
        <v>24224</v>
      </c>
      <c r="B10490" s="13" t="s">
        <v>24225</v>
      </c>
      <c r="C10490" s="14" t="s">
        <v>24226</v>
      </c>
      <c r="D10490" s="1" t="str">
        <f>IFERROR(__xludf.DUMMYFUNCTION("GOOGLETRANSLATE(A10490 , ""auto"", ""ar"")"),"لدي رموش طويلة")</f>
        <v>لدي رموش طويلة</v>
      </c>
    </row>
    <row r="10491" ht="15.75" customHeight="1">
      <c r="A10491" s="12" t="s">
        <v>24224</v>
      </c>
      <c r="B10491" s="13" t="s">
        <v>24227</v>
      </c>
      <c r="C10491" s="14" t="s">
        <v>24228</v>
      </c>
      <c r="D10491" s="1" t="str">
        <f>IFERROR(__xludf.DUMMYFUNCTION("GOOGLETRANSLATE(A10491 , ""auto"", ""ar"")"),"لدي رموش طويلة")</f>
        <v>لدي رموش طويلة</v>
      </c>
    </row>
    <row r="10492" ht="15.75" customHeight="1">
      <c r="A10492" s="12" t="s">
        <v>24229</v>
      </c>
      <c r="B10492" s="13" t="s">
        <v>24230</v>
      </c>
      <c r="C10492" s="14" t="s">
        <v>24231</v>
      </c>
      <c r="D10492" s="1" t="str">
        <f>IFERROR(__xludf.DUMMYFUNCTION("GOOGLETRANSLATE(A10492 , ""auto"", ""ar"")"),"لديه آذان كبيرة")</f>
        <v>لديه آذان كبيرة</v>
      </c>
    </row>
    <row r="10493" ht="15.75" customHeight="1">
      <c r="A10493" s="12" t="s">
        <v>24232</v>
      </c>
      <c r="B10493" s="13" t="s">
        <v>24233</v>
      </c>
      <c r="C10493" s="14" t="s">
        <v>24234</v>
      </c>
      <c r="D10493" s="1" t="str">
        <f>IFERROR(__xludf.DUMMYFUNCTION("GOOGLETRANSLATE(A10493 , ""auto"", ""ar"")"),"شعري ذهبي")</f>
        <v>شعري ذهبي</v>
      </c>
    </row>
    <row r="10494" ht="15.75" customHeight="1">
      <c r="A10494" s="12" t="s">
        <v>24235</v>
      </c>
      <c r="B10494" s="13" t="s">
        <v>24236</v>
      </c>
      <c r="C10494" s="14" t="s">
        <v>24237</v>
      </c>
      <c r="D10494" s="1" t="str">
        <f>IFERROR(__xludf.DUMMYFUNCTION("GOOGLETRANSLATE(A10494 , ""auto"", ""ar"")"),"من هي تلك الفتاة مع صفيرة؟")</f>
        <v>من هي تلك الفتاة مع صفيرة؟</v>
      </c>
    </row>
    <row r="10495" ht="15.75" customHeight="1">
      <c r="A10495" s="12" t="s">
        <v>24238</v>
      </c>
      <c r="B10495" s="13" t="s">
        <v>24239</v>
      </c>
      <c r="C10495" s="14" t="s">
        <v>24240</v>
      </c>
      <c r="D10495" s="1" t="str">
        <f>IFERROR(__xludf.DUMMYFUNCTION("GOOGLETRANSLATE(A10495 , ""auto"", ""ar"")"),"إنه وسيم")</f>
        <v>إنه وسيم</v>
      </c>
    </row>
    <row r="10496" ht="15.75" customHeight="1">
      <c r="A10496" s="12" t="s">
        <v>24238</v>
      </c>
      <c r="B10496" s="13" t="s">
        <v>24241</v>
      </c>
      <c r="C10496" s="14" t="s">
        <v>24242</v>
      </c>
      <c r="D10496" s="1" t="str">
        <f>IFERROR(__xludf.DUMMYFUNCTION("GOOGLETRANSLATE(A10496 , ""auto"", ""ar"")"),"إنه وسيم")</f>
        <v>إنه وسيم</v>
      </c>
    </row>
    <row r="10497" ht="15.75" customHeight="1">
      <c r="A10497" s="12" t="s">
        <v>24243</v>
      </c>
      <c r="B10497" s="13" t="s">
        <v>24244</v>
      </c>
      <c r="C10497" s="14" t="s">
        <v>24245</v>
      </c>
      <c r="D10497" s="1" t="str">
        <f>IFERROR(__xludf.DUMMYFUNCTION("GOOGLETRANSLATE(A10497 , ""auto"", ""ar"")"),"لديه وجه طويل")</f>
        <v>لديه وجه طويل</v>
      </c>
    </row>
    <row r="10498" ht="15.75" customHeight="1">
      <c r="A10498" s="12" t="s">
        <v>24246</v>
      </c>
      <c r="B10498" s="13" t="s">
        <v>24247</v>
      </c>
      <c r="C10498" s="14" t="s">
        <v>24248</v>
      </c>
      <c r="D10498" s="1" t="str">
        <f>IFERROR(__xludf.DUMMYFUNCTION("GOOGLETRANSLATE(A10498 , ""auto"", ""ar"")"),"أنا أحب شكل وجهه")</f>
        <v>أنا أحب شكل وجهه</v>
      </c>
    </row>
    <row r="10499" ht="15.75" customHeight="1">
      <c r="A10499" s="12" t="s">
        <v>24249</v>
      </c>
      <c r="B10499" s="13" t="s">
        <v>24250</v>
      </c>
      <c r="C10499" s="14" t="s">
        <v>24251</v>
      </c>
      <c r="D10499" s="1" t="str">
        <f>IFERROR(__xludf.DUMMYFUNCTION("GOOGLETRANSLATE(A10499 , ""auto"", ""ar"")"),"لديه أنف واسع")</f>
        <v>لديه أنف واسع</v>
      </c>
    </row>
    <row r="10500" ht="15.75" customHeight="1">
      <c r="A10500" s="12" t="s">
        <v>24252</v>
      </c>
      <c r="B10500" s="13" t="s">
        <v>24253</v>
      </c>
      <c r="C10500" s="14" t="s">
        <v>24254</v>
      </c>
      <c r="D10500" s="1" t="str">
        <f>IFERROR(__xludf.DUMMYFUNCTION("GOOGLETRANSLATE(A10500 , ""auto"", ""ar"")"),"لا يحب أنفه المربع")</f>
        <v>لا يحب أنفه المربع</v>
      </c>
    </row>
    <row r="10501" ht="15.75" customHeight="1">
      <c r="A10501" s="12" t="s">
        <v>24255</v>
      </c>
      <c r="B10501" s="13" t="s">
        <v>24256</v>
      </c>
      <c r="C10501" s="14" t="s">
        <v>24257</v>
      </c>
      <c r="D10501" s="1" t="str">
        <f>IFERROR(__xludf.DUMMYFUNCTION("GOOGLETRANSLATE(A10501 , ""auto"", ""ar"")"),"لديه جبين كبير")</f>
        <v>لديه جبين كبير</v>
      </c>
    </row>
    <row r="10502" ht="15.75" customHeight="1">
      <c r="A10502" s="12" t="s">
        <v>24258</v>
      </c>
      <c r="B10502" s="13" t="s">
        <v>24259</v>
      </c>
      <c r="C10502" s="14" t="s">
        <v>24260</v>
      </c>
      <c r="D10502" s="1" t="str">
        <f>IFERROR(__xludf.DUMMYFUNCTION("GOOGLETRANSLATE(A10502 , ""auto"", ""ar"")"),"تبدين رائعة")</f>
        <v>تبدين رائعة</v>
      </c>
    </row>
    <row r="10503" ht="15.75" customHeight="1">
      <c r="A10503" s="12" t="s">
        <v>24261</v>
      </c>
      <c r="B10503" s="13" t="s">
        <v>24262</v>
      </c>
      <c r="C10503" s="14" t="s">
        <v>24263</v>
      </c>
      <c r="D10503" s="1" t="str">
        <f>IFERROR(__xludf.DUMMYFUNCTION("GOOGLETRANSLATE(A10503 , ""auto"", ""ar"")"),"تبدين مذهلة")</f>
        <v>تبدين مذهلة</v>
      </c>
    </row>
    <row r="10504" ht="15.75" customHeight="1">
      <c r="A10504" s="12" t="s">
        <v>24264</v>
      </c>
      <c r="B10504" s="13" t="s">
        <v>24265</v>
      </c>
      <c r="C10504" s="14" t="s">
        <v>24266</v>
      </c>
      <c r="D10504" s="1" t="str">
        <f>IFERROR(__xludf.DUMMYFUNCTION("GOOGLETRANSLATE(A10504 , ""auto"", ""ar"")"),"يعجبني فستانك")</f>
        <v>يعجبني فستانك</v>
      </c>
    </row>
    <row r="10505" ht="15.75" customHeight="1">
      <c r="A10505" s="12" t="s">
        <v>24267</v>
      </c>
      <c r="B10505" s="13" t="s">
        <v>24268</v>
      </c>
      <c r="C10505" s="14" t="s">
        <v>24269</v>
      </c>
      <c r="D10505" s="1" t="str">
        <f>IFERROR(__xludf.DUMMYFUNCTION("GOOGLETRANSLATE(A10505 , ""auto"", ""ar"")"),"هل هذا التنورة يناسبني؟")</f>
        <v>هل هذا التنورة يناسبني؟</v>
      </c>
    </row>
    <row r="10506" ht="15.75" customHeight="1">
      <c r="A10506" s="12" t="s">
        <v>24270</v>
      </c>
      <c r="B10506" s="13" t="s">
        <v>24271</v>
      </c>
      <c r="C10506" s="14" t="s">
        <v>24272</v>
      </c>
      <c r="D10506" s="1" t="str">
        <f>IFERROR(__xludf.DUMMYFUNCTION("GOOGLETRANSLATE(A10506 , ""auto"", ""ar"")"),"هذه الدعوى مثالية بالنسبة لي")</f>
        <v>هذه الدعوى مثالية بالنسبة لي</v>
      </c>
    </row>
    <row r="10507" ht="15.75" customHeight="1">
      <c r="A10507" s="12" t="s">
        <v>24273</v>
      </c>
      <c r="B10507" s="13" t="s">
        <v>24274</v>
      </c>
      <c r="C10507" s="14" t="s">
        <v>24275</v>
      </c>
      <c r="D10507" s="1" t="str">
        <f>IFERROR(__xludf.DUMMYFUNCTION("GOOGLETRANSLATE(A10507 , ""auto"", ""ar"")"),"الأصفر لا يناسبني على الإطلاق")</f>
        <v>الأصفر لا يناسبني على الإطلاق</v>
      </c>
    </row>
    <row r="10508" ht="15.75" customHeight="1">
      <c r="A10508" s="12" t="s">
        <v>24276</v>
      </c>
      <c r="B10508" s="13" t="s">
        <v>24277</v>
      </c>
      <c r="C10508" s="14" t="s">
        <v>24278</v>
      </c>
      <c r="D10508" s="1" t="str">
        <f>IFERROR(__xludf.DUMMYFUNCTION("GOOGLETRANSLATE(A10508 , ""auto"", ""ar"")"),"كان يرتدي بدلة سوداء")</f>
        <v>كان يرتدي بدلة سوداء</v>
      </c>
    </row>
    <row r="10509" ht="15.75" customHeight="1">
      <c r="A10509" s="12" t="s">
        <v>24279</v>
      </c>
      <c r="B10509" s="13" t="s">
        <v>24280</v>
      </c>
      <c r="C10509" s="14" t="s">
        <v>24281</v>
      </c>
      <c r="D10509" s="1" t="str">
        <f>IFERROR(__xludf.DUMMYFUNCTION("GOOGLETRANSLATE(A10509 , ""auto"", ""ar"")"),"تبدو وسيم في هذه الدعوى")</f>
        <v>تبدو وسيم في هذه الدعوى</v>
      </c>
    </row>
    <row r="10510" ht="15.75" customHeight="1">
      <c r="A10510" s="12" t="s">
        <v>24282</v>
      </c>
      <c r="B10510" s="13" t="s">
        <v>24283</v>
      </c>
      <c r="C10510" s="14" t="s">
        <v>24284</v>
      </c>
      <c r="D10510" s="1" t="str">
        <f>IFERROR(__xludf.DUMMYFUNCTION("GOOGLETRANSLATE(A10510 , ""auto"", ""ar"")"),"أعتقد أنني سأرتدي بدلة")</f>
        <v>أعتقد أنني سأرتدي بدلة</v>
      </c>
    </row>
    <row r="10511" ht="15.75" customHeight="1">
      <c r="A10511" s="12" t="s">
        <v>24285</v>
      </c>
      <c r="B10511" s="13" t="s">
        <v>24286</v>
      </c>
      <c r="C10511" s="14" t="s">
        <v>24287</v>
      </c>
      <c r="D10511" s="1" t="str">
        <f>IFERROR(__xludf.DUMMYFUNCTION("GOOGLETRANSLATE(A10511 , ""auto"", ""ar"")"),"ربما هو مريض")</f>
        <v>ربما هو مريض</v>
      </c>
    </row>
    <row r="10512" ht="15.75" customHeight="1">
      <c r="A10512" s="12" t="s">
        <v>24288</v>
      </c>
      <c r="B10512" s="13" t="s">
        <v>24289</v>
      </c>
      <c r="C10512" s="14" t="s">
        <v>24290</v>
      </c>
      <c r="D10512" s="1" t="str">
        <f>IFERROR(__xludf.DUMMYFUNCTION("GOOGLETRANSLATE(A10512 , ""auto"", ""ar"")"),"أن السترة تناسبك تمامًا")</f>
        <v>أن السترة تناسبك تمامًا</v>
      </c>
    </row>
    <row r="10513" ht="15.75" customHeight="1">
      <c r="A10513" s="12" t="s">
        <v>24291</v>
      </c>
      <c r="B10513" s="13" t="s">
        <v>24292</v>
      </c>
      <c r="C10513" s="14" t="s">
        <v>24293</v>
      </c>
      <c r="D10513" s="1" t="str">
        <f>IFERROR(__xludf.DUMMYFUNCTION("GOOGLETRANSLATE(A10513 , ""auto"", ""ar"")"),"أنا أحب لون سترتك")</f>
        <v>أنا أحب لون سترتك</v>
      </c>
    </row>
    <row r="10514" ht="15.75" customHeight="1">
      <c r="A10514" s="12" t="s">
        <v>24294</v>
      </c>
      <c r="B10514" s="13" t="s">
        <v>24295</v>
      </c>
      <c r="C10514" s="14" t="s">
        <v>24296</v>
      </c>
      <c r="D10514" s="1" t="str">
        <f>IFERROR(__xludf.DUMMYFUNCTION("GOOGLETRANSLATE(A10514 , ""auto"", ""ar"")"),"هذه السترة متوفرة بألوان مختلفة")</f>
        <v>هذه السترة متوفرة بألوان مختلفة</v>
      </c>
    </row>
    <row r="10515" ht="15.75" customHeight="1">
      <c r="A10515" s="12" t="s">
        <v>24297</v>
      </c>
      <c r="B10515" s="13" t="s">
        <v>24298</v>
      </c>
      <c r="C10515" s="14" t="s">
        <v>24299</v>
      </c>
      <c r="D10515" s="1" t="str">
        <f>IFERROR(__xludf.DUMMYFUNCTION("GOOGLETRANSLATE(A10515 , ""auto"", ""ar"")"),"هذا الكرسي مريح")</f>
        <v>هذا الكرسي مريح</v>
      </c>
    </row>
    <row r="10516" ht="15.75" customHeight="1">
      <c r="A10516" s="12" t="s">
        <v>24300</v>
      </c>
      <c r="B10516" s="13" t="s">
        <v>24301</v>
      </c>
      <c r="C10516" s="14" t="s">
        <v>24302</v>
      </c>
      <c r="D10516" s="1" t="str">
        <f>IFERROR(__xludf.DUMMYFUNCTION("GOOGLETRANSLATE(A10516 , ""auto"", ""ar"")"),"كان يرتدي سترة جلدية")</f>
        <v>كان يرتدي سترة جلدية</v>
      </c>
    </row>
    <row r="10517" ht="15.75" customHeight="1">
      <c r="A10517" s="12" t="s">
        <v>24303</v>
      </c>
      <c r="B10517" s="13" t="s">
        <v>24304</v>
      </c>
      <c r="C10517" s="14" t="s">
        <v>24305</v>
      </c>
      <c r="D10517" s="1" t="str">
        <f>IFERROR(__xludf.DUMMYFUNCTION("GOOGLETRANSLATE(A10517 , ""auto"", ""ar"")"),"هذه السراويل قصيرة جدًا بالنسبة لي")</f>
        <v>هذه السراويل قصيرة جدًا بالنسبة لي</v>
      </c>
    </row>
    <row r="10518" ht="15.75" customHeight="1">
      <c r="A10518" s="12" t="s">
        <v>24306</v>
      </c>
      <c r="B10518" s="13" t="s">
        <v>24307</v>
      </c>
      <c r="C10518" s="14" t="s">
        <v>24308</v>
      </c>
      <c r="D10518" s="1" t="str">
        <f>IFERROR(__xludf.DUMMYFUNCTION("GOOGLETRANSLATE(A10518 , ""auto"", ""ar"")"),"أرتدي شورتات طوال الوقت")</f>
        <v>أرتدي شورتات طوال الوقت</v>
      </c>
    </row>
    <row r="10519" ht="15.75" customHeight="1">
      <c r="A10519" s="12" t="s">
        <v>24309</v>
      </c>
      <c r="B10519" s="13" t="s">
        <v>24310</v>
      </c>
      <c r="C10519" s="14" t="s">
        <v>24311</v>
      </c>
      <c r="D10519" s="1" t="str">
        <f>IFERROR(__xludf.DUMMYFUNCTION("GOOGLETRANSLATE(A10519 , ""auto"", ""ar"")"),"دعونا نطفئ السراويل القصيرة")</f>
        <v>دعونا نطفئ السراويل القصيرة</v>
      </c>
    </row>
    <row r="10520" ht="15.75" customHeight="1">
      <c r="A10520" s="12" t="s">
        <v>24312</v>
      </c>
      <c r="B10520" s="13" t="s">
        <v>24313</v>
      </c>
      <c r="C10520" s="14" t="s">
        <v>24314</v>
      </c>
      <c r="D10520" s="1" t="str">
        <f>IFERROR(__xludf.DUMMYFUNCTION("GOOGLETRANSLATE(A10520 , ""auto"", ""ar"")"),"لا يزال الجو باردًا جدًا لارتداء السراويل القصيرة")</f>
        <v>لا يزال الجو باردًا جدًا لارتداء السراويل القصيرة</v>
      </c>
    </row>
    <row r="10521" ht="15.75" customHeight="1">
      <c r="A10521" s="12" t="s">
        <v>24315</v>
      </c>
      <c r="B10521" s="13" t="s">
        <v>24316</v>
      </c>
      <c r="C10521" s="14" t="s">
        <v>24317</v>
      </c>
      <c r="D10521" s="1" t="str">
        <f>IFERROR(__xludf.DUMMYFUNCTION("GOOGLETRANSLATE(A10521 , ""auto"", ""ar"")"),"كان القميص صغيرًا جدًا بالنسبة له")</f>
        <v>كان القميص صغيرًا جدًا بالنسبة له</v>
      </c>
    </row>
    <row r="10522" ht="15.75" customHeight="1">
      <c r="A10522" s="12" t="s">
        <v>24318</v>
      </c>
      <c r="B10522" s="13" t="s">
        <v>24319</v>
      </c>
      <c r="C10522" s="14" t="s">
        <v>24320</v>
      </c>
      <c r="D10522" s="1" t="str">
        <f>IFERROR(__xludf.DUMMYFUNCTION("GOOGLETRANSLATE(A10522 , ""auto"", ""ar"")"),"كان لديه أقدام عارية")</f>
        <v>كان لديه أقدام عارية</v>
      </c>
    </row>
    <row r="10523" ht="15.75" customHeight="1">
      <c r="A10523" s="12" t="s">
        <v>24321</v>
      </c>
      <c r="B10523" s="13" t="s">
        <v>24322</v>
      </c>
      <c r="C10523" s="14" t="s">
        <v>24323</v>
      </c>
      <c r="D10523" s="1" t="str">
        <f>IFERROR(__xludf.DUMMYFUNCTION("GOOGLETRANSLATE(A10523 , ""auto"", ""ar"")"),"سراويل الجينز والقميص والصنادل كافية")</f>
        <v>سراويل الجينز والقميص والصنادل كافية</v>
      </c>
    </row>
    <row r="10524" ht="15.75" customHeight="1">
      <c r="A10524" s="12" t="s">
        <v>24324</v>
      </c>
      <c r="B10524" s="13" t="s">
        <v>24325</v>
      </c>
      <c r="C10524" s="14" t="s">
        <v>24326</v>
      </c>
      <c r="D10524" s="1" t="str">
        <f>IFERROR(__xludf.DUMMYFUNCTION("GOOGLETRANSLATE(A10524 , ""auto"", ""ar"")"),"لا يمكنك ارتداء السراويل الحمراء")</f>
        <v>لا يمكنك ارتداء السراويل الحمراء</v>
      </c>
    </row>
    <row r="10525" ht="15.75" customHeight="1">
      <c r="A10525" s="12" t="s">
        <v>24327</v>
      </c>
      <c r="B10525" s="13" t="s">
        <v>24328</v>
      </c>
      <c r="C10525" s="14" t="s">
        <v>24329</v>
      </c>
      <c r="D10525" s="1" t="str">
        <f>IFERROR(__xludf.DUMMYFUNCTION("GOOGLETRANSLATE(A10525 , ""auto"", ""ar"")"),"أحتاج إلى شراء زوج جديد من السراويل")</f>
        <v>أحتاج إلى شراء زوج جديد من السراويل</v>
      </c>
    </row>
    <row r="10526" ht="15.75" customHeight="1">
      <c r="A10526" s="12" t="s">
        <v>24330</v>
      </c>
      <c r="B10526" s="13" t="s">
        <v>24331</v>
      </c>
      <c r="C10526" s="14" t="s">
        <v>24332</v>
      </c>
      <c r="D10526" s="1" t="str">
        <f>IFERROR(__xludf.DUMMYFUNCTION("GOOGLETRANSLATE(A10526 , ""auto"", ""ar"")"),"السراويل الوردية هي له")</f>
        <v>السراويل الوردية هي له</v>
      </c>
    </row>
    <row r="10527" ht="15.75" customHeight="1">
      <c r="A10527" s="12" t="s">
        <v>24333</v>
      </c>
      <c r="B10527" s="13" t="s">
        <v>24334</v>
      </c>
      <c r="C10527" s="14" t="s">
        <v>24335</v>
      </c>
      <c r="D10527" s="1" t="str">
        <f>IFERROR(__xludf.DUMMYFUNCTION("GOOGLETRANSLATE(A10527 , ""auto"", ""ar"")"),"تبدو وسيمًا جدًا في هذه السراويل")</f>
        <v>تبدو وسيمًا جدًا في هذه السراويل</v>
      </c>
    </row>
    <row r="10528" ht="15.75" customHeight="1">
      <c r="A10528" s="12" t="s">
        <v>24336</v>
      </c>
      <c r="B10528" s="13" t="s">
        <v>24337</v>
      </c>
      <c r="C10528" s="14" t="s">
        <v>24338</v>
      </c>
      <c r="D10528" s="1" t="str">
        <f>IFERROR(__xludf.DUMMYFUNCTION("GOOGLETRANSLATE(A10528 , ""auto"", ""ar"")"),"وضعت صدريتي")</f>
        <v>وضعت صدريتي</v>
      </c>
    </row>
    <row r="10529" ht="15.75" customHeight="1">
      <c r="A10529" s="12" t="s">
        <v>24339</v>
      </c>
      <c r="B10529" s="13" t="s">
        <v>24340</v>
      </c>
      <c r="C10529" s="14" t="s">
        <v>24341</v>
      </c>
      <c r="D10529" s="1" t="str">
        <f>IFERROR(__xludf.DUMMYFUNCTION("GOOGLETRANSLATE(A10529 , ""auto"", ""ar"")"),"وضع يديه في جيوب سرواله")</f>
        <v>وضع يديه في جيوب سرواله</v>
      </c>
    </row>
    <row r="10530" ht="15.75" customHeight="1">
      <c r="A10530" s="12" t="s">
        <v>24342</v>
      </c>
      <c r="B10530" s="13" t="s">
        <v>24343</v>
      </c>
      <c r="C10530" s="14" t="s">
        <v>24344</v>
      </c>
      <c r="D10530" s="1" t="str">
        <f>IFERROR(__xludf.DUMMYFUNCTION("GOOGLETRANSLATE(A10530 , ""auto"", ""ar"")"),"وضع يده على جبهته")</f>
        <v>وضع يده على جبهته</v>
      </c>
    </row>
    <row r="10531" ht="15.75" customHeight="1">
      <c r="A10531" s="12" t="s">
        <v>24345</v>
      </c>
      <c r="B10531" s="13" t="s">
        <v>24346</v>
      </c>
      <c r="C10531" s="14" t="s">
        <v>24347</v>
      </c>
      <c r="D10531" s="1" t="str">
        <f>IFERROR(__xludf.DUMMYFUNCTION("GOOGLETRANSLATE(A10531 , ""auto"", ""ar"")"),"كان يحمل قلمًا")</f>
        <v>كان يحمل قلمًا</v>
      </c>
    </row>
    <row r="10532" ht="15.75" customHeight="1">
      <c r="A10532" s="12" t="s">
        <v>24348</v>
      </c>
      <c r="B10532" s="13" t="s">
        <v>24349</v>
      </c>
      <c r="C10532" s="14" t="s">
        <v>24350</v>
      </c>
      <c r="D10532" s="1" t="str">
        <f>IFERROR(__xludf.DUMMYFUNCTION("GOOGLETRANSLATE(A10532 , ""auto"", ""ar"")"),"هل يدك نظيفة؟")</f>
        <v>هل يدك نظيفة؟</v>
      </c>
    </row>
    <row r="10533" ht="15.75" customHeight="1">
      <c r="A10533" s="12" t="s">
        <v>24351</v>
      </c>
      <c r="B10533" s="13" t="s">
        <v>24352</v>
      </c>
      <c r="C10533" s="14" t="s">
        <v>24353</v>
      </c>
      <c r="D10533" s="1" t="str">
        <f>IFERROR(__xludf.DUMMYFUNCTION("GOOGLETRANSLATE(A10533 , ""auto"", ""ar"")"),"لا يمكنك التصفيق بيد واحدة")</f>
        <v>لا يمكنك التصفيق بيد واحدة</v>
      </c>
    </row>
    <row r="10534" ht="15.75" customHeight="1">
      <c r="A10534" s="12" t="s">
        <v>24354</v>
      </c>
      <c r="B10534" s="13" t="s">
        <v>24355</v>
      </c>
      <c r="C10534" s="14" t="s">
        <v>24356</v>
      </c>
      <c r="D10534" s="1" t="str">
        <f>IFERROR(__xludf.DUMMYFUNCTION("GOOGLETRANSLATE(A10534 , ""auto"", ""ar"")"),"حاولت الكتابة بيدي اليسرى")</f>
        <v>حاولت الكتابة بيدي اليسرى</v>
      </c>
    </row>
    <row r="10535" ht="15.75" customHeight="1">
      <c r="A10535" s="12" t="s">
        <v>24357</v>
      </c>
      <c r="B10535" s="13" t="s">
        <v>24358</v>
      </c>
      <c r="C10535" s="14" t="s">
        <v>24359</v>
      </c>
      <c r="D10535" s="1" t="str">
        <f>IFERROR(__xludf.DUMMYFUNCTION("GOOGLETRANSLATE(A10535 , ""auto"", ""ar"")"),"صفع يده على الطاولة")</f>
        <v>صفع يده على الطاولة</v>
      </c>
    </row>
    <row r="10536" ht="15.75" customHeight="1">
      <c r="A10536" s="12" t="s">
        <v>24360</v>
      </c>
      <c r="B10536" s="13" t="s">
        <v>24361</v>
      </c>
      <c r="C10536" s="14" t="s">
        <v>24362</v>
      </c>
      <c r="D10536" s="1" t="str">
        <f>IFERROR(__xludf.DUMMYFUNCTION("GOOGLETRANSLATE(A10536 , ""auto"", ""ar"")"),"على الجانب الآخر")</f>
        <v>على الجانب الآخر</v>
      </c>
    </row>
    <row r="10537" ht="15.75" customHeight="1">
      <c r="A10537" s="12" t="s">
        <v>24363</v>
      </c>
      <c r="B10537" s="13" t="s">
        <v>24364</v>
      </c>
      <c r="C10537" s="14" t="s">
        <v>24365</v>
      </c>
      <c r="D10537" s="1" t="str">
        <f>IFERROR(__xludf.DUMMYFUNCTION("GOOGLETRANSLATE(A10537 , ""auto"", ""ar"")"),"رفعت يدها لصفعه")</f>
        <v>رفعت يدها لصفعه</v>
      </c>
    </row>
    <row r="10538" ht="15.75" customHeight="1">
      <c r="A10538" s="12" t="s">
        <v>24366</v>
      </c>
      <c r="B10538" s="13" t="s">
        <v>24367</v>
      </c>
      <c r="C10538" s="14" t="s">
        <v>24368</v>
      </c>
      <c r="D10538" s="1" t="str">
        <f>IFERROR(__xludf.DUMMYFUNCTION("GOOGLETRANSLATE(A10538 , ""auto"", ""ar"")"),"أخذت يده وقبلتها")</f>
        <v>أخذت يده وقبلتها</v>
      </c>
    </row>
    <row r="10539" ht="15.75" customHeight="1">
      <c r="A10539" s="12" t="s">
        <v>24369</v>
      </c>
      <c r="B10539" s="13" t="s">
        <v>24370</v>
      </c>
      <c r="C10539" s="14" t="s">
        <v>24371</v>
      </c>
      <c r="D10539" s="1" t="str">
        <f>IFERROR(__xludf.DUMMYFUNCTION("GOOGLETRANSLATE(A10539 , ""auto"", ""ar"")"),"ركض يده من خلال شعره")</f>
        <v>ركض يده من خلال شعره</v>
      </c>
    </row>
    <row r="10540" ht="15.75" customHeight="1">
      <c r="A10540" s="12" t="s">
        <v>24372</v>
      </c>
      <c r="B10540" s="13" t="s">
        <v>24373</v>
      </c>
      <c r="C10540" s="14" t="s">
        <v>24374</v>
      </c>
      <c r="D10540" s="1" t="str">
        <f>IFERROR(__xludf.DUMMYFUNCTION("GOOGLETRANSLATE(A10540 , ""auto"", ""ar"")"),"ساعدني!")</f>
        <v>ساعدني!</v>
      </c>
    </row>
    <row r="10541" ht="15.75" customHeight="1">
      <c r="A10541" s="12" t="s">
        <v>24375</v>
      </c>
      <c r="B10541" s="13" t="s">
        <v>24376</v>
      </c>
      <c r="C10541" s="14" t="s">
        <v>24377</v>
      </c>
      <c r="D10541" s="1" t="str">
        <f>IFERROR(__xludf.DUMMYFUNCTION("GOOGLETRANSLATE(A10541 , ""auto"", ""ar"")"),"سلم لي هذا الكتاب من فضلك.")</f>
        <v>سلم لي هذا الكتاب من فضلك.</v>
      </c>
    </row>
    <row r="10542" ht="15.75" customHeight="1">
      <c r="A10542" s="12" t="s">
        <v>24378</v>
      </c>
      <c r="B10542" s="13" t="s">
        <v>24379</v>
      </c>
      <c r="C10542" s="14" t="s">
        <v>24380</v>
      </c>
      <c r="D10542" s="1" t="str">
        <f>IFERROR(__xludf.DUMMYFUNCTION("GOOGLETRANSLATE(A10542 , ""auto"", ""ar"")"),"طفل غاضب سرواله")</f>
        <v>طفل غاضب سرواله</v>
      </c>
    </row>
    <row r="10543" ht="15.75" customHeight="1">
      <c r="A10543" s="12" t="s">
        <v>24381</v>
      </c>
      <c r="B10543" s="13" t="s">
        <v>24382</v>
      </c>
      <c r="C10543" s="14" t="s">
        <v>24383</v>
      </c>
      <c r="D10543" s="1" t="str">
        <f>IFERROR(__xludf.DUMMYFUNCTION("GOOGLETRANSLATE(A10543 , ""auto"", ""ar"")"),"السراويل لا تناسبني")</f>
        <v>السراويل لا تناسبني</v>
      </c>
    </row>
    <row r="10544" ht="15.75" customHeight="1">
      <c r="A10544" s="12" t="s">
        <v>24384</v>
      </c>
      <c r="B10544" s="13" t="s">
        <v>24385</v>
      </c>
      <c r="C10544" s="14" t="s">
        <v>24386</v>
      </c>
      <c r="D10544" s="1" t="str">
        <f>IFERROR(__xludf.DUMMYFUNCTION("GOOGLETRANSLATE(A10544 , ""auto"", ""ar"")"),"أنت تبدو سمين في هذه السراويل.")</f>
        <v>أنت تبدو سمين في هذه السراويل.</v>
      </c>
    </row>
    <row r="10545" ht="15.75" customHeight="1">
      <c r="A10545" s="12" t="s">
        <v>24387</v>
      </c>
      <c r="B10545" s="13" t="s">
        <v>24388</v>
      </c>
      <c r="C10545" s="14" t="s">
        <v>24389</v>
      </c>
      <c r="D10545" s="1" t="str">
        <f>IFERROR(__xludf.DUMMYFUNCTION("GOOGLETRANSLATE(A10545 , ""auto"", ""ar"")"),"يجب أن يكون هذا سرواله")</f>
        <v>يجب أن يكون هذا سرواله</v>
      </c>
    </row>
    <row r="10546" ht="15.75" customHeight="1">
      <c r="A10546" s="12" t="s">
        <v>24390</v>
      </c>
      <c r="B10546" s="13" t="s">
        <v>24391</v>
      </c>
      <c r="C10546" s="14" t="s">
        <v>24392</v>
      </c>
      <c r="D10546" s="1" t="str">
        <f>IFERROR(__xludf.DUMMYFUNCTION("GOOGLETRANSLATE(A10546 , ""auto"", ""ar"")"),"كم تكلفة هذه السراويل؟")</f>
        <v>كم تكلفة هذه السراويل؟</v>
      </c>
    </row>
    <row r="10547" ht="15.75" customHeight="1">
      <c r="A10547" s="12" t="s">
        <v>24393</v>
      </c>
      <c r="B10547" s="13" t="s">
        <v>24394</v>
      </c>
      <c r="C10547" s="14" t="s">
        <v>24395</v>
      </c>
      <c r="D10547" s="1" t="str">
        <f>IFERROR(__xludf.DUMMYFUNCTION("GOOGLETRANSLATE(A10547 , ""auto"", ""ar"")"),"انسكبت القهوة على سروالي")</f>
        <v>انسكبت القهوة على سروالي</v>
      </c>
    </row>
    <row r="10548" ht="15.75" customHeight="1">
      <c r="A10548" s="12" t="s">
        <v>24396</v>
      </c>
      <c r="B10548" s="13" t="s">
        <v>24397</v>
      </c>
      <c r="C10548" s="14" t="s">
        <v>24398</v>
      </c>
      <c r="D10548" s="1" t="str">
        <f>IFERROR(__xludf.DUMMYFUNCTION("GOOGLETRANSLATE(A10548 , ""auto"", ""ar"")"),"يحب ارتداء السراويل الضيقة")</f>
        <v>يحب ارتداء السراويل الضيقة</v>
      </c>
    </row>
    <row r="10549" ht="15.75" customHeight="1">
      <c r="A10549" s="12" t="s">
        <v>24399</v>
      </c>
      <c r="B10549" s="13" t="s">
        <v>24400</v>
      </c>
      <c r="C10549" s="14" t="s">
        <v>24401</v>
      </c>
      <c r="D10549" s="1" t="str">
        <f>IFERROR(__xludf.DUMMYFUNCTION("GOOGLETRANSLATE(A10549 , ""auto"", ""ar"")"),"قام بفحص جيوب سرواله")</f>
        <v>قام بفحص جيوب سرواله</v>
      </c>
    </row>
    <row r="10550" ht="15.75" customHeight="1">
      <c r="A10550" s="12" t="s">
        <v>24402</v>
      </c>
      <c r="B10550" s="13" t="s">
        <v>24403</v>
      </c>
      <c r="C10550" s="14" t="s">
        <v>24404</v>
      </c>
      <c r="D10550" s="1" t="str">
        <f>IFERROR(__xludf.DUMMYFUNCTION("GOOGLETRANSLATE(A10550 , ""auto"", ""ar"")"),"مسحت الأوساخ من سروالي")</f>
        <v>مسحت الأوساخ من سروالي</v>
      </c>
    </row>
    <row r="10551" ht="15.75" customHeight="1">
      <c r="A10551" s="12" t="s">
        <v>24405</v>
      </c>
      <c r="B10551" s="13" t="s">
        <v>24406</v>
      </c>
      <c r="C10551" s="14" t="s">
        <v>24407</v>
      </c>
      <c r="D10551" s="1" t="str">
        <f>IFERROR(__xludf.DUMMYFUNCTION("GOOGLETRANSLATE(A10551 , ""auto"", ""ar"")"),"هل لديك أي سراويل إضافية؟")</f>
        <v>هل لديك أي سراويل إضافية؟</v>
      </c>
    </row>
    <row r="10552" ht="15.75" customHeight="1">
      <c r="A10552" s="12" t="s">
        <v>24408</v>
      </c>
      <c r="B10552" s="13" t="s">
        <v>24409</v>
      </c>
      <c r="C10552" s="14" t="s">
        <v>24410</v>
      </c>
      <c r="D10552" s="1" t="str">
        <f>IFERROR(__xludf.DUMMYFUNCTION("GOOGLETRANSLATE(A10552 , ""auto"", ""ar"")"),"هذه السراويل كبيرة جدًا بالنسبة لي")</f>
        <v>هذه السراويل كبيرة جدًا بالنسبة لي</v>
      </c>
    </row>
    <row r="10553" ht="15.75" customHeight="1">
      <c r="A10553" s="12" t="s">
        <v>24411</v>
      </c>
      <c r="B10553" s="13" t="s">
        <v>24412</v>
      </c>
      <c r="C10553" s="14" t="s">
        <v>24413</v>
      </c>
      <c r="D10553" s="1" t="str">
        <f>IFERROR(__xludf.DUMMYFUNCTION("GOOGLETRANSLATE(A10553 , ""auto"", ""ar"")"),"خلع حذائه")</f>
        <v>خلع حذائه</v>
      </c>
    </row>
    <row r="10554" ht="15.75" customHeight="1">
      <c r="A10554" s="12" t="s">
        <v>24414</v>
      </c>
      <c r="B10554" s="13" t="s">
        <v>24415</v>
      </c>
      <c r="C10554" s="14" t="s">
        <v>24416</v>
      </c>
      <c r="D10554" s="1" t="str">
        <f>IFERROR(__xludf.DUMMYFUNCTION("GOOGLETRANSLATE(A10554 , ""auto"", ""ar"")"),"خلع جواربه")</f>
        <v>خلع جواربه</v>
      </c>
    </row>
    <row r="10555" ht="15.75" customHeight="1">
      <c r="A10555" s="12" t="s">
        <v>24417</v>
      </c>
      <c r="B10555" s="13" t="s">
        <v>24418</v>
      </c>
      <c r="C10555" s="14" t="s">
        <v>24419</v>
      </c>
      <c r="D10555" s="1" t="str">
        <f>IFERROR(__xludf.DUMMYFUNCTION("GOOGLETRANSLATE(A10555 , ""auto"", ""ar"")"),"جواربي تعثرت")</f>
        <v>جواربي تعثرت</v>
      </c>
    </row>
    <row r="10556" ht="15.75" customHeight="1">
      <c r="A10556" s="12" t="s">
        <v>24420</v>
      </c>
      <c r="B10556" s="13" t="s">
        <v>24421</v>
      </c>
      <c r="C10556" s="14" t="s">
        <v>24422</v>
      </c>
      <c r="D10556" s="1" t="str">
        <f>IFERROR(__xludf.DUMMYFUNCTION("GOOGLETRANSLATE(A10556 , ""auto"", ""ar"")"),"تغيير الجوارب الخاصة بك")</f>
        <v>تغيير الجوارب الخاصة بك</v>
      </c>
    </row>
    <row r="10557" ht="15.75" customHeight="1">
      <c r="A10557" s="12" t="s">
        <v>24423</v>
      </c>
      <c r="B10557" s="13" t="s">
        <v>24424</v>
      </c>
      <c r="C10557" s="14" t="s">
        <v>24425</v>
      </c>
      <c r="D10557" s="1" t="str">
        <f>IFERROR(__xludf.DUMMYFUNCTION("GOOGLETRANSLATE(A10557 , ""auto"", ""ar"")"),"استنشق جواربه")</f>
        <v>استنشق جواربه</v>
      </c>
    </row>
    <row r="10558" ht="15.75" customHeight="1">
      <c r="A10558" s="12" t="s">
        <v>24426</v>
      </c>
      <c r="B10558" s="13" t="s">
        <v>24427</v>
      </c>
      <c r="C10558" s="14" t="s">
        <v>24428</v>
      </c>
      <c r="D10558" s="1" t="str">
        <f>IFERROR(__xludf.DUMMYFUNCTION("GOOGLETRANSLATE(A10558 , ""auto"", ""ar"")"),"أنا أفضل جوارب القطن")</f>
        <v>أنا أفضل جوارب القطن</v>
      </c>
    </row>
    <row r="10559" ht="15.75" customHeight="1">
      <c r="A10559" s="12" t="s">
        <v>24429</v>
      </c>
      <c r="B10559" s="13" t="s">
        <v>24430</v>
      </c>
      <c r="C10559" s="14" t="s">
        <v>24431</v>
      </c>
      <c r="D10559" s="1" t="str">
        <f>IFERROR(__xludf.DUMMYFUNCTION("GOOGLETRANSLATE(A10559 , ""auto"", ""ar"")"),"أنا لا أحب جوارب النايلون")</f>
        <v>أنا لا أحب جوارب النايلون</v>
      </c>
    </row>
    <row r="10560" ht="15.75" customHeight="1">
      <c r="A10560" s="12" t="s">
        <v>24432</v>
      </c>
      <c r="B10560" s="13" t="s">
        <v>24433</v>
      </c>
      <c r="C10560" s="14" t="s">
        <v>24434</v>
      </c>
      <c r="D10560" s="1" t="str">
        <f>IFERROR(__xludf.DUMMYFUNCTION("GOOGLETRANSLATE(A10560 , ""auto"", ""ar"")"),"الجوارب الخاصة بي ليست هنا")</f>
        <v>الجوارب الخاصة بي ليست هنا</v>
      </c>
    </row>
    <row r="10561" ht="15.75" customHeight="1">
      <c r="A10561" s="12" t="s">
        <v>24435</v>
      </c>
      <c r="B10561" s="13" t="s">
        <v>24436</v>
      </c>
      <c r="C10561" s="14" t="s">
        <v>24437</v>
      </c>
      <c r="D10561" s="1" t="str">
        <f>IFERROR(__xludf.DUMMYFUNCTION("GOOGLETRANSLATE(A10561 , ""auto"", ""ar"")"),"رائحة الجوارب سيئة")</f>
        <v>رائحة الجوارب سيئة</v>
      </c>
    </row>
    <row r="10562" ht="15.75" customHeight="1">
      <c r="A10562" s="12" t="s">
        <v>24438</v>
      </c>
      <c r="B10562" s="13" t="s">
        <v>24439</v>
      </c>
      <c r="C10562" s="14" t="s">
        <v>24440</v>
      </c>
      <c r="D10562" s="1" t="str">
        <f>IFERROR(__xludf.DUMMYFUNCTION("GOOGLETRANSLATE(A10562 , ""auto"", ""ar"")"),"الجوارب نتن")</f>
        <v>الجوارب نتن</v>
      </c>
    </row>
    <row r="10563" ht="15.75" customHeight="1">
      <c r="A10563" s="12" t="s">
        <v>24441</v>
      </c>
      <c r="B10563" s="13" t="s">
        <v>24442</v>
      </c>
      <c r="C10563" s="14" t="s">
        <v>24443</v>
      </c>
      <c r="D10563" s="1" t="str">
        <f>IFERROR(__xludf.DUMMYFUNCTION("GOOGLETRANSLATE(A10563 , ""auto"", ""ar"")"),"الى من تنتمي هذه الجوارب؟")</f>
        <v>الى من تنتمي هذه الجوارب؟</v>
      </c>
    </row>
    <row r="10564" ht="15.75" customHeight="1">
      <c r="A10564" s="12" t="s">
        <v>24444</v>
      </c>
      <c r="B10564" s="13" t="s">
        <v>24445</v>
      </c>
      <c r="C10564" s="14" t="s">
        <v>24446</v>
      </c>
      <c r="D10564" s="1" t="str">
        <f>IFERROR(__xludf.DUMMYFUNCTION("GOOGLETRANSLATE(A10564 , ""auto"", ""ar"")"),"لا بد لي من خلع جواربي")</f>
        <v>لا بد لي من خلع جواربي</v>
      </c>
    </row>
    <row r="10565" ht="15.75" customHeight="1">
      <c r="A10565" s="12" t="s">
        <v>24447</v>
      </c>
      <c r="B10565" s="13" t="s">
        <v>24448</v>
      </c>
      <c r="C10565" s="14" t="s">
        <v>24449</v>
      </c>
      <c r="D10565" s="1" t="str">
        <f>IFERROR(__xludf.DUMMYFUNCTION("GOOGLETRANSLATE(A10565 , ""auto"", ""ar"")"),"أنا لا أرتدي الجوارب")</f>
        <v>أنا لا أرتدي الجوارب</v>
      </c>
    </row>
    <row r="10566" ht="15.75" customHeight="1">
      <c r="A10566" s="12" t="s">
        <v>24450</v>
      </c>
      <c r="B10566" s="13" t="s">
        <v>24451</v>
      </c>
      <c r="C10566" s="14" t="s">
        <v>24452</v>
      </c>
      <c r="D10566" s="1" t="str">
        <f>IFERROR(__xludf.DUMMYFUNCTION("GOOGLETRANSLATE(A10566 , ""auto"", ""ar"")"),"يحب ارتداء الجوارب مع الصنادل.")</f>
        <v>يحب ارتداء الجوارب مع الصنادل.</v>
      </c>
    </row>
    <row r="10567" ht="15.75" customHeight="1">
      <c r="A10567" s="12" t="s">
        <v>24453</v>
      </c>
      <c r="B10567" s="13" t="s">
        <v>24454</v>
      </c>
      <c r="C10567" s="14" t="s">
        <v>24455</v>
      </c>
      <c r="D10567" s="1" t="str">
        <f>IFERROR(__xludf.DUMMYFUNCTION("GOOGLETRANSLATE(A10567 , ""auto"", ""ar"")"),"هل هذه جواربي أم جواربك؟")</f>
        <v>هل هذه جواربي أم جواربك؟</v>
      </c>
    </row>
    <row r="10568" ht="15.75" customHeight="1">
      <c r="A10568" s="12" t="s">
        <v>24456</v>
      </c>
      <c r="B10568" s="13" t="s">
        <v>24457</v>
      </c>
      <c r="C10568" s="14" t="s">
        <v>24458</v>
      </c>
      <c r="D10568" s="1" t="str">
        <f>IFERROR(__xludf.DUMMYFUNCTION("GOOGLETRANSLATE(A10568 , ""auto"", ""ar"")"),"هل يمكنني استعارة الجوارب الخاصة بك؟")</f>
        <v>هل يمكنني استعارة الجوارب الخاصة بك؟</v>
      </c>
    </row>
    <row r="10569" ht="15.75" customHeight="1">
      <c r="A10569" s="12" t="s">
        <v>24459</v>
      </c>
      <c r="B10569" s="13" t="s">
        <v>24460</v>
      </c>
      <c r="C10569" s="14" t="s">
        <v>24461</v>
      </c>
      <c r="D10569" s="1" t="str">
        <f>IFERROR(__xludf.DUMMYFUNCTION("GOOGLETRANSLATE(A10569 , ""auto"", ""ar"")"),"كان لديه جواربه من الداخل إلى الخارج")</f>
        <v>كان لديه جواربه من الداخل إلى الخارج</v>
      </c>
    </row>
    <row r="10570" ht="15.75" customHeight="1">
      <c r="A10570" s="12" t="s">
        <v>24462</v>
      </c>
      <c r="B10570" s="13" t="s">
        <v>24463</v>
      </c>
      <c r="C10570" s="14" t="s">
        <v>24464</v>
      </c>
      <c r="D10570" s="1" t="str">
        <f>IFERROR(__xludf.DUMMYFUNCTION("GOOGLETRANSLATE(A10570 , ""auto"", ""ar"")"),"هل كانت ترتدي حزام الأمان؟")</f>
        <v>هل كانت ترتدي حزام الأمان؟</v>
      </c>
    </row>
    <row r="10571" ht="15.75" customHeight="1">
      <c r="A10571" s="12" t="s">
        <v>24465</v>
      </c>
      <c r="B10571" s="13" t="s">
        <v>24466</v>
      </c>
      <c r="C10571" s="14" t="s">
        <v>24467</v>
      </c>
      <c r="D10571" s="1" t="str">
        <f>IFERROR(__xludf.DUMMYFUNCTION("GOOGLETRANSLATE(A10571 , ""auto"", ""ar"")"),"لديه حزام جلدي")</f>
        <v>لديه حزام جلدي</v>
      </c>
    </row>
    <row r="10572" ht="15.75" customHeight="1">
      <c r="A10572" s="12" t="s">
        <v>24468</v>
      </c>
      <c r="B10572" s="13" t="s">
        <v>24469</v>
      </c>
      <c r="C10572" s="14" t="s">
        <v>24470</v>
      </c>
      <c r="D10572" s="1" t="str">
        <f>IFERROR(__xludf.DUMMYFUNCTION("GOOGLETRANSLATE(A10572 , ""auto"", ""ar"")"),"لديه حزام أسود في الكاراتيه")</f>
        <v>لديه حزام أسود في الكاراتيه</v>
      </c>
    </row>
    <row r="10573" ht="15.75" customHeight="1">
      <c r="A10573" s="12" t="s">
        <v>24471</v>
      </c>
      <c r="B10573" s="13" t="s">
        <v>24472</v>
      </c>
      <c r="C10573" s="14" t="s">
        <v>24473</v>
      </c>
      <c r="D10573" s="1" t="str">
        <f>IFERROR(__xludf.DUMMYFUNCTION("GOOGLETRANSLATE(A10573 , ""auto"", ""ar"")"),"أحتاج حزام")</f>
        <v>أحتاج حزام</v>
      </c>
    </row>
    <row r="10574" ht="15.75" customHeight="1">
      <c r="A10574" s="12" t="s">
        <v>24474</v>
      </c>
      <c r="B10574" s="13" t="s">
        <v>24475</v>
      </c>
      <c r="C10574" s="14" t="s">
        <v>24476</v>
      </c>
      <c r="D10574" s="1" t="str">
        <f>IFERROR(__xludf.DUMMYFUNCTION("GOOGLETRANSLATE(A10574 , ""auto"", ""ar"")"),"كان يرتدي قبعة حمراء")</f>
        <v>كان يرتدي قبعة حمراء</v>
      </c>
    </row>
    <row r="10575" ht="15.75" customHeight="1">
      <c r="A10575" s="12" t="s">
        <v>24474</v>
      </c>
      <c r="B10575" s="13" t="s">
        <v>24477</v>
      </c>
      <c r="C10575" s="14" t="s">
        <v>24478</v>
      </c>
      <c r="D10575" s="1" t="str">
        <f>IFERROR(__xludf.DUMMYFUNCTION("GOOGLETRANSLATE(A10575 , ""auto"", ""ar"")"),"كان يرتدي قبعة حمراء")</f>
        <v>كان يرتدي قبعة حمراء</v>
      </c>
    </row>
    <row r="10576" ht="15.75" customHeight="1">
      <c r="A10576" s="12" t="s">
        <v>24479</v>
      </c>
      <c r="B10576" s="13" t="s">
        <v>24480</v>
      </c>
      <c r="C10576" s="14" t="s">
        <v>24481</v>
      </c>
      <c r="D10576" s="1" t="str">
        <f>IFERROR(__xludf.DUMMYFUNCTION("GOOGLETRANSLATE(A10576 , ""auto"", ""ar"")"),"هل يمكنني تجربة هذه القبعة؟")</f>
        <v>هل يمكنني تجربة هذه القبعة؟</v>
      </c>
    </row>
    <row r="10577" ht="15.75" customHeight="1">
      <c r="A10577" s="12" t="s">
        <v>24482</v>
      </c>
      <c r="B10577" s="13" t="s">
        <v>24483</v>
      </c>
      <c r="C10577" s="14" t="s">
        <v>24484</v>
      </c>
      <c r="D10577" s="1" t="str">
        <f>IFERROR(__xludf.DUMMYFUNCTION("GOOGLETRANSLATE(A10577 , ""auto"", ""ar"")"),"تعرفت عليها بقبعتها البيضاء")</f>
        <v>تعرفت عليها بقبعتها البيضاء</v>
      </c>
    </row>
    <row r="10578" ht="15.75" customHeight="1">
      <c r="A10578" s="12" t="s">
        <v>24485</v>
      </c>
      <c r="B10578" s="13" t="s">
        <v>24486</v>
      </c>
      <c r="C10578" s="14" t="s">
        <v>24487</v>
      </c>
      <c r="D10578" s="1" t="str">
        <f>IFERROR(__xludf.DUMMYFUNCTION("GOOGLETRANSLATE(A10578 , ""auto"", ""ar"")"),"خلع قبعتك")</f>
        <v>خلع قبعتك</v>
      </c>
    </row>
    <row r="10579" ht="15.75" customHeight="1">
      <c r="A10579" s="12" t="s">
        <v>24488</v>
      </c>
      <c r="B10579" s="13" t="s">
        <v>24489</v>
      </c>
      <c r="C10579" s="14" t="s">
        <v>24490</v>
      </c>
      <c r="D10579" s="1" t="str">
        <f>IFERROR(__xludf.DUMMYFUNCTION("GOOGLETRANSLATE(A10579 , ""auto"", ""ar"")"),"التقطت قبعتها")</f>
        <v>التقطت قبعتها</v>
      </c>
    </row>
    <row r="10580" ht="15.75" customHeight="1">
      <c r="A10580" s="12" t="s">
        <v>24491</v>
      </c>
      <c r="B10580" s="13" t="s">
        <v>24492</v>
      </c>
      <c r="C10580" s="14" t="s">
        <v>24493</v>
      </c>
      <c r="D10580" s="1" t="str">
        <f>IFERROR(__xludf.DUMMYFUNCTION("GOOGLETRANSLATE(A10580 , ""auto"", ""ar"")"),"لف وشاحه حول عنقه")</f>
        <v>لف وشاحه حول عنقه</v>
      </c>
    </row>
    <row r="10581" ht="15.75" customHeight="1">
      <c r="A10581" s="12" t="s">
        <v>24494</v>
      </c>
      <c r="B10581" s="13" t="s">
        <v>24495</v>
      </c>
      <c r="C10581" s="14" t="s">
        <v>24496</v>
      </c>
      <c r="D10581" s="1" t="str">
        <f>IFERROR(__xludf.DUMMYFUNCTION("GOOGLETRANSLATE(A10581 , ""auto"", ""ar"")"),"أنا أفضل وشاح الحرير")</f>
        <v>أنا أفضل وشاح الحرير</v>
      </c>
    </row>
    <row r="10582" ht="15.75" customHeight="1">
      <c r="A10582" s="12" t="s">
        <v>24497</v>
      </c>
      <c r="B10582" s="13" t="s">
        <v>24498</v>
      </c>
      <c r="C10582" s="14" t="s">
        <v>24499</v>
      </c>
      <c r="D10582" s="1" t="str">
        <f>IFERROR(__xludf.DUMMYFUNCTION("GOOGLETRANSLATE(A10582 , ""auto"", ""ar"")"),"لقد نسيت وشاح")</f>
        <v>لقد نسيت وشاح</v>
      </c>
    </row>
    <row r="10583" ht="15.75" customHeight="1">
      <c r="A10583" s="12" t="s">
        <v>24500</v>
      </c>
      <c r="B10583" s="13" t="s">
        <v>24501</v>
      </c>
      <c r="C10583" s="14" t="s">
        <v>24502</v>
      </c>
      <c r="D10583" s="1" t="str">
        <f>IFERROR(__xludf.DUMMYFUNCTION("GOOGLETRANSLATE(A10583 , ""auto"", ""ar"")"),"أنا أحب وشاحك")</f>
        <v>أنا أحب وشاحك</v>
      </c>
    </row>
    <row r="10584" ht="15.75" customHeight="1">
      <c r="A10584" s="12" t="s">
        <v>24503</v>
      </c>
      <c r="B10584" s="13" t="s">
        <v>24504</v>
      </c>
      <c r="C10584" s="14" t="s">
        <v>24505</v>
      </c>
      <c r="D10584" s="1" t="str">
        <f>IFERROR(__xludf.DUMMYFUNCTION("GOOGLETRANSLATE(A10584 , ""auto"", ""ar"")"),"أنا حبك وشاح")</f>
        <v>أنا حبك وشاح</v>
      </c>
    </row>
    <row r="10585" ht="15.75" customHeight="1">
      <c r="A10585" s="12" t="s">
        <v>24506</v>
      </c>
      <c r="B10585" s="13" t="s">
        <v>24507</v>
      </c>
      <c r="C10585" s="14" t="s">
        <v>24508</v>
      </c>
      <c r="D10585" s="1" t="str">
        <f>IFERROR(__xludf.DUMMYFUNCTION("GOOGLETRANSLATE(A10585 , ""auto"", ""ar"")"),"هذا الوشاح قبيح")</f>
        <v>هذا الوشاح قبيح</v>
      </c>
    </row>
    <row r="10586" ht="15.75" customHeight="1">
      <c r="A10586" s="12" t="s">
        <v>24509</v>
      </c>
      <c r="B10586" s="13" t="s">
        <v>24510</v>
      </c>
      <c r="C10586" s="14" t="s">
        <v>24511</v>
      </c>
      <c r="D10586" s="1" t="str">
        <f>IFERROR(__xludf.DUMMYFUNCTION("GOOGLETRANSLATE(A10586 , ""auto"", ""ar"")"),"هل تريد وشاح؟")</f>
        <v>هل تريد وشاح؟</v>
      </c>
    </row>
    <row r="10587" ht="15.75" customHeight="1">
      <c r="A10587" s="12" t="s">
        <v>24512</v>
      </c>
      <c r="B10587" s="13" t="s">
        <v>24513</v>
      </c>
      <c r="C10587" s="14" t="s">
        <v>24514</v>
      </c>
      <c r="D10587" s="1" t="str">
        <f>IFERROR(__xludf.DUMMYFUNCTION("GOOGLETRANSLATE(A10587 , ""auto"", ""ar"")"),"غادر شخص ما وشاحه")</f>
        <v>غادر شخص ما وشاحه</v>
      </c>
    </row>
    <row r="10588" ht="15.75" customHeight="1">
      <c r="A10588" s="12" t="s">
        <v>24515</v>
      </c>
      <c r="B10588" s="13" t="s">
        <v>24516</v>
      </c>
      <c r="C10588" s="14" t="s">
        <v>24517</v>
      </c>
      <c r="D10588" s="1" t="str">
        <f>IFERROR(__xludf.DUMMYFUNCTION("GOOGLETRANSLATE(A10588 , ""auto"", ""ar"")"),"غطي رأسك مع وشاح")</f>
        <v>غطي رأسك مع وشاح</v>
      </c>
    </row>
    <row r="10589" ht="15.75" customHeight="1">
      <c r="A10589" s="12" t="s">
        <v>24515</v>
      </c>
      <c r="B10589" s="13" t="s">
        <v>24518</v>
      </c>
      <c r="C10589" s="14" t="s">
        <v>24519</v>
      </c>
      <c r="D10589" s="1" t="str">
        <f>IFERROR(__xludf.DUMMYFUNCTION("GOOGLETRANSLATE(A10589 , ""auto"", ""ar"")"),"غطي رأسك مع وشاح")</f>
        <v>غطي رأسك مع وشاح</v>
      </c>
    </row>
    <row r="10590" ht="15.75" customHeight="1">
      <c r="A10590" s="12" t="s">
        <v>24515</v>
      </c>
      <c r="B10590" s="13" t="s">
        <v>24520</v>
      </c>
      <c r="C10590" s="14" t="s">
        <v>24521</v>
      </c>
      <c r="D10590" s="1" t="str">
        <f>IFERROR(__xludf.DUMMYFUNCTION("GOOGLETRANSLATE(A10590 , ""auto"", ""ar"")"),"غطي رأسك مع وشاح")</f>
        <v>غطي رأسك مع وشاح</v>
      </c>
    </row>
    <row r="10591" ht="15.75" customHeight="1">
      <c r="A10591" s="12" t="s">
        <v>24522</v>
      </c>
      <c r="B10591" s="13" t="s">
        <v>24523</v>
      </c>
      <c r="C10591" s="14" t="s">
        <v>24524</v>
      </c>
      <c r="D10591" s="1" t="str">
        <f>IFERROR(__xludf.DUMMYFUNCTION("GOOGLETRANSLATE(A10591 , ""auto"", ""ar"")"),"تمسك بالشاحف")</f>
        <v>تمسك بالشاحف</v>
      </c>
    </row>
    <row r="10592" ht="15.75" customHeight="1">
      <c r="A10592" s="12" t="s">
        <v>24525</v>
      </c>
      <c r="B10592" s="13" t="s">
        <v>24526</v>
      </c>
      <c r="C10592" s="14" t="s">
        <v>24527</v>
      </c>
      <c r="D10592" s="1" t="str">
        <f>IFERROR(__xludf.DUMMYFUNCTION("GOOGLETRANSLATE(A10592 , ""auto"", ""ar"")"),"خلع القفازات")</f>
        <v>خلع القفازات</v>
      </c>
    </row>
    <row r="10593" ht="15.75" customHeight="1">
      <c r="A10593" s="12" t="s">
        <v>24528</v>
      </c>
      <c r="B10593" s="13" t="s">
        <v>24529</v>
      </c>
      <c r="C10593" s="14" t="s">
        <v>24530</v>
      </c>
      <c r="D10593" s="1" t="str">
        <f>IFERROR(__xludf.DUMMYFUNCTION("GOOGLETRANSLATE(A10593 , ""auto"", ""ar"")"),"أحب ارتداء القفازات")</f>
        <v>أحب ارتداء القفازات</v>
      </c>
    </row>
    <row r="10594" ht="15.75" customHeight="1">
      <c r="A10594" s="12" t="s">
        <v>24531</v>
      </c>
      <c r="B10594" s="13" t="s">
        <v>24532</v>
      </c>
      <c r="C10594" s="14" t="s">
        <v>24533</v>
      </c>
      <c r="D10594" s="1" t="str">
        <f>IFERROR(__xludf.DUMMYFUNCTION("GOOGLETRANSLATE(A10594 , ""auto"", ""ar"")"),"أحتاج قفازات دودة")</f>
        <v>أحتاج قفازات دودة</v>
      </c>
    </row>
    <row r="10595" ht="15.75" customHeight="1">
      <c r="A10595" s="12" t="s">
        <v>24534</v>
      </c>
      <c r="B10595" s="13" t="s">
        <v>24535</v>
      </c>
      <c r="C10595" s="14" t="s">
        <v>24536</v>
      </c>
      <c r="D10595" s="1" t="str">
        <f>IFERROR(__xludf.DUMMYFUNCTION("GOOGLETRANSLATE(A10595 , ""auto"", ""ar"")"),"هل تعمل حقًا في أحذية؟")</f>
        <v>هل تعمل حقًا في أحذية؟</v>
      </c>
    </row>
    <row r="10596" ht="15.75" customHeight="1">
      <c r="A10596" s="12" t="s">
        <v>24537</v>
      </c>
      <c r="B10596" s="13" t="s">
        <v>24538</v>
      </c>
      <c r="C10596" s="14" t="s">
        <v>24539</v>
      </c>
      <c r="D10596" s="1" t="str">
        <f>IFERROR(__xludf.DUMMYFUNCTION("GOOGLETRANSLATE(A10596 , ""auto"", ""ar"")"),"كانت حذائه مغطاة بالطين")</f>
        <v>كانت حذائه مغطاة بالطين</v>
      </c>
    </row>
    <row r="10597" ht="15.75" customHeight="1">
      <c r="A10597" s="12" t="s">
        <v>24540</v>
      </c>
      <c r="B10597" s="13" t="s">
        <v>24541</v>
      </c>
      <c r="C10597" s="14" t="s">
        <v>24542</v>
      </c>
      <c r="D10597" s="1" t="str">
        <f>IFERROR(__xludf.DUMMYFUNCTION("GOOGLETRANSLATE(A10597 , ""auto"", ""ar"")"),"الاحذية التي عليها وحل")</f>
        <v>الاحذية التي عليها وحل</v>
      </c>
    </row>
    <row r="10598" ht="15.75" customHeight="1">
      <c r="A10598" s="12" t="s">
        <v>24543</v>
      </c>
      <c r="B10598" s="13" t="s">
        <v>24544</v>
      </c>
      <c r="C10598" s="14" t="s">
        <v>24545</v>
      </c>
      <c r="D10598" s="1" t="str">
        <f>IFERROR(__xludf.DUMMYFUNCTION("GOOGLETRANSLATE(A10598 , ""auto"", ""ar"")"),"يحب الأحذية مع الكعب")</f>
        <v>يحب الأحذية مع الكعب</v>
      </c>
    </row>
    <row r="10599" ht="15.75" customHeight="1">
      <c r="A10599" s="12" t="s">
        <v>24546</v>
      </c>
      <c r="B10599" s="13" t="s">
        <v>24547</v>
      </c>
      <c r="C10599" s="14" t="s">
        <v>24548</v>
      </c>
      <c r="D10599" s="1" t="str">
        <f>IFERROR(__xludf.DUMMYFUNCTION("GOOGLETRANSLATE(A10599 , ""auto"", ""ar"")"),"لا أستطيع المشي في الكعب العالي")</f>
        <v>لا أستطيع المشي في الكعب العالي</v>
      </c>
    </row>
    <row r="10600" ht="15.75" customHeight="1">
      <c r="A10600" s="12" t="s">
        <v>24549</v>
      </c>
      <c r="B10600" s="13" t="s">
        <v>24550</v>
      </c>
      <c r="C10600" s="14" t="s">
        <v>24551</v>
      </c>
      <c r="D10600" s="1" t="str">
        <f>IFERROR(__xludf.DUMMYFUNCTION("GOOGLETRANSLATE(A10600 , ""auto"", ""ar"")"),"كان يرتدي الكعب العالي")</f>
        <v>كان يرتدي الكعب العالي</v>
      </c>
    </row>
    <row r="10601" ht="15.75" customHeight="1">
      <c r="A10601" s="12" t="s">
        <v>24552</v>
      </c>
      <c r="B10601" s="13" t="s">
        <v>24553</v>
      </c>
      <c r="C10601" s="14" t="s">
        <v>24554</v>
      </c>
      <c r="D10601" s="1" t="str">
        <f>IFERROR(__xludf.DUMMYFUNCTION("GOOGLETRANSLATE(A10601 , ""auto"", ""ar"")"),"شعرت ببعض الحرج")</f>
        <v>شعرت ببعض الحرج</v>
      </c>
    </row>
    <row r="10602" ht="15.75" customHeight="1">
      <c r="A10602" s="12" t="s">
        <v>24555</v>
      </c>
      <c r="B10602" s="13" t="s">
        <v>24556</v>
      </c>
      <c r="C10602" s="14" t="s">
        <v>24557</v>
      </c>
      <c r="D10602" s="1" t="str">
        <f>IFERROR(__xludf.DUMMYFUNCTION("GOOGLETRANSLATE(A10602 , ""auto"", ""ar"")"),"إنها المرة الأولى التي أرتدي فيها الكعب العالي")</f>
        <v>إنها المرة الأولى التي أرتدي فيها الكعب العالي</v>
      </c>
    </row>
    <row r="10603" ht="15.75" customHeight="1">
      <c r="A10603" s="12" t="s">
        <v>24558</v>
      </c>
      <c r="B10603" s="13" t="s">
        <v>24559</v>
      </c>
      <c r="C10603" s="14" t="s">
        <v>24560</v>
      </c>
      <c r="D10603" s="1" t="str">
        <f>IFERROR(__xludf.DUMMYFUNCTION("GOOGLETRANSLATE(A10603 , ""auto"", ""ar"")"),"أرتدي النعال في المنزل")</f>
        <v>أرتدي النعال في المنزل</v>
      </c>
    </row>
    <row r="10604" ht="15.75" customHeight="1">
      <c r="A10604" s="12" t="s">
        <v>24561</v>
      </c>
      <c r="B10604" s="13" t="s">
        <v>24562</v>
      </c>
      <c r="C10604" s="14" t="s">
        <v>24563</v>
      </c>
      <c r="D10604" s="1" t="str">
        <f>IFERROR(__xludf.DUMMYFUNCTION("GOOGLETRANSLATE(A10604 , ""auto"", ""ar"")"),"أرتدي طماق في صالة الألعاب الرياضية")</f>
        <v>أرتدي طماق في صالة الألعاب الرياضية</v>
      </c>
    </row>
    <row r="10605" ht="15.75" customHeight="1">
      <c r="A10605" s="12" t="s">
        <v>24564</v>
      </c>
      <c r="B10605" s="13" t="s">
        <v>24565</v>
      </c>
      <c r="C10605" s="14" t="s">
        <v>24566</v>
      </c>
      <c r="D10605" s="1" t="str">
        <f>IFERROR(__xludf.DUMMYFUNCTION("GOOGLETRANSLATE(A10605 , ""auto"", ""ar"")"),"هوديس مريحة")</f>
        <v>هوديس مريحة</v>
      </c>
    </row>
    <row r="10606" ht="15.75" customHeight="1">
      <c r="A10606" s="12" t="s">
        <v>24567</v>
      </c>
      <c r="B10606" s="13" t="s">
        <v>24568</v>
      </c>
      <c r="C10606" s="14" t="s">
        <v>24569</v>
      </c>
      <c r="D10606" s="1" t="str">
        <f>IFERROR(__xludf.DUMMYFUNCTION("GOOGLETRANSLATE(A10606 , ""auto"", ""ar"")"),"هذا المتجر لا يحتوي على هوديس")</f>
        <v>هذا المتجر لا يحتوي على هوديس</v>
      </c>
    </row>
    <row r="10607" ht="15.75" customHeight="1">
      <c r="A10607" s="12" t="s">
        <v>24570</v>
      </c>
      <c r="B10607" s="13" t="s">
        <v>24571</v>
      </c>
      <c r="C10607" s="14" t="s">
        <v>24572</v>
      </c>
      <c r="D10607" s="1" t="str">
        <f>IFERROR(__xludf.DUMMYFUNCTION("GOOGLETRANSLATE(A10607 , ""auto"", ""ar"")"),"اعتدت أن أرتدي هوديس عندما كان مراهقًا")</f>
        <v>اعتدت أن أرتدي هوديس عندما كان مراهقًا</v>
      </c>
    </row>
    <row r="10608" ht="15.75" customHeight="1">
      <c r="A10608" s="12" t="s">
        <v>24573</v>
      </c>
      <c r="B10608" s="13" t="s">
        <v>24574</v>
      </c>
      <c r="C10608" s="14" t="s">
        <v>24575</v>
      </c>
      <c r="D10608" s="1" t="str">
        <f>IFERROR(__xludf.DUMMYFUNCTION("GOOGLETRANSLATE(A10608 , ""auto"", ""ar"")"),"أرتدي ملابس التتبع عند ممارسة الرياضة")</f>
        <v>أرتدي ملابس التتبع عند ممارسة الرياضة</v>
      </c>
    </row>
    <row r="10609" ht="15.75" customHeight="1">
      <c r="A10609" s="12" t="s">
        <v>24576</v>
      </c>
      <c r="B10609" s="13" t="s">
        <v>24577</v>
      </c>
      <c r="C10609" s="14" t="s">
        <v>24578</v>
      </c>
      <c r="D10609" s="1" t="str">
        <f>IFERROR(__xludf.DUMMYFUNCTION("GOOGLETRANSLATE(A10609 , ""auto"", ""ar"")"),"لباس غير رسمي")</f>
        <v>لباس غير رسمي</v>
      </c>
    </row>
    <row r="10610" ht="15.75" customHeight="1">
      <c r="A10610" s="12" t="s">
        <v>24579</v>
      </c>
      <c r="B10610" s="13" t="s">
        <v>24580</v>
      </c>
      <c r="C10610" s="14" t="s">
        <v>24581</v>
      </c>
      <c r="D10610" s="1" t="str">
        <f>IFERROR(__xludf.DUMMYFUNCTION("GOOGLETRANSLATE(A10610 , ""auto"", ""ar"")"),"ملابس رسمية")</f>
        <v>ملابس رسمية</v>
      </c>
    </row>
    <row r="10611" ht="15.75" customHeight="1">
      <c r="A10611" s="12" t="s">
        <v>24582</v>
      </c>
      <c r="B10611" s="13" t="s">
        <v>24583</v>
      </c>
      <c r="C10611" s="14" t="s">
        <v>24584</v>
      </c>
      <c r="D10611" s="1" t="str">
        <f>IFERROR(__xludf.DUMMYFUNCTION("GOOGLETRANSLATE(A10611 , ""auto"", ""ar"")"),"ملابس رياضية")</f>
        <v>ملابس رياضية</v>
      </c>
    </row>
    <row r="10612" ht="15.75" customHeight="1">
      <c r="A10612" s="12" t="s">
        <v>24585</v>
      </c>
      <c r="B10612" s="13" t="s">
        <v>24586</v>
      </c>
      <c r="C10612" s="14" t="s">
        <v>24587</v>
      </c>
      <c r="D10612" s="1" t="str">
        <f>IFERROR(__xludf.DUMMYFUNCTION("GOOGLETRANSLATE(A10612 , ""auto"", ""ar"")"),"الملابس الداخلية")</f>
        <v>الملابس الداخلية</v>
      </c>
    </row>
    <row r="10613" ht="15.75" customHeight="1">
      <c r="A10613" s="12" t="s">
        <v>24588</v>
      </c>
      <c r="B10613" s="13" t="s">
        <v>24589</v>
      </c>
      <c r="C10613" s="14" t="s">
        <v>24590</v>
      </c>
      <c r="D10613" s="1" t="str">
        <f>IFERROR(__xludf.DUMMYFUNCTION("GOOGLETRANSLATE(A10613 , ""auto"", ""ar"")"),"أنا ذاهب للمدرسة")</f>
        <v>أنا ذاهب للمدرسة</v>
      </c>
    </row>
    <row r="10614" ht="15.75" customHeight="1">
      <c r="A10614" s="12" t="s">
        <v>24591</v>
      </c>
      <c r="B10614" s="13" t="s">
        <v>24592</v>
      </c>
      <c r="C10614" s="14" t="s">
        <v>24593</v>
      </c>
      <c r="D10614" s="1" t="str">
        <f>IFERROR(__xludf.DUMMYFUNCTION("GOOGLETRANSLATE(A10614 , ""auto"", ""ar"")"),"أحتاج إلى مكتب")</f>
        <v>أحتاج إلى مكتب</v>
      </c>
    </row>
    <row r="10615" ht="15.75" customHeight="1">
      <c r="A10615" s="12" t="s">
        <v>24594</v>
      </c>
      <c r="B10615" s="13" t="s">
        <v>24595</v>
      </c>
      <c r="C10615" s="14" t="s">
        <v>24596</v>
      </c>
      <c r="D10615" s="1" t="str">
        <f>IFERROR(__xludf.DUMMYFUNCTION("GOOGLETRANSLATE(A10615 , ""auto"", ""ar"")"),"المكتب مصنوع من الخشب")</f>
        <v>المكتب مصنوع من الخشب</v>
      </c>
    </row>
    <row r="10616" ht="15.75" customHeight="1">
      <c r="A10616" s="12" t="s">
        <v>24594</v>
      </c>
      <c r="B10616" s="13" t="s">
        <v>24597</v>
      </c>
      <c r="C10616" s="14" t="s">
        <v>24598</v>
      </c>
      <c r="D10616" s="1" t="str">
        <f>IFERROR(__xludf.DUMMYFUNCTION("GOOGLETRANSLATE(A10616 , ""auto"", ""ar"")"),"المكتب مصنوع من الخشب")</f>
        <v>المكتب مصنوع من الخشب</v>
      </c>
    </row>
    <row r="10617" ht="15.75" customHeight="1">
      <c r="A10617" s="12" t="s">
        <v>24599</v>
      </c>
      <c r="B10617" s="13" t="s">
        <v>24600</v>
      </c>
      <c r="C10617" s="14" t="s">
        <v>24601</v>
      </c>
      <c r="D10617" s="1" t="str">
        <f>IFERROR(__xludf.DUMMYFUNCTION("GOOGLETRANSLATE(A10617 , ""auto"", ""ar"")"),"لا تضعه على المكتب")</f>
        <v>لا تضعه على المكتب</v>
      </c>
    </row>
    <row r="10618" ht="15.75" customHeight="1">
      <c r="A10618" s="12" t="s">
        <v>24602</v>
      </c>
      <c r="B10618" s="13" t="s">
        <v>24603</v>
      </c>
      <c r="C10618" s="14" t="s">
        <v>24604</v>
      </c>
      <c r="D10618" s="1" t="str">
        <f>IFERROR(__xludf.DUMMYFUNCTION("GOOGLETRANSLATE(A10618 , ""auto"", ""ar"")"),"وجدت حقيبتها تحت المنضدة")</f>
        <v>وجدت حقيبتها تحت المنضدة</v>
      </c>
    </row>
    <row r="10619" ht="15.75" customHeight="1">
      <c r="A10619" s="12" t="s">
        <v>24605</v>
      </c>
      <c r="B10619" s="13" t="s">
        <v>24606</v>
      </c>
      <c r="C10619" s="14" t="s">
        <v>24607</v>
      </c>
      <c r="D10619" s="1" t="str">
        <f>IFERROR(__xludf.DUMMYFUNCTION("GOOGLETRANSLATE(A10619 , ""auto"", ""ar"")"),"طوى يديها")</f>
        <v>طوى يديها</v>
      </c>
    </row>
    <row r="10620" ht="15.75" customHeight="1">
      <c r="A10620" s="12" t="s">
        <v>24608</v>
      </c>
      <c r="B10620" s="13" t="s">
        <v>24609</v>
      </c>
      <c r="C10620" s="14" t="s">
        <v>24610</v>
      </c>
      <c r="D10620" s="1" t="str">
        <f>IFERROR(__xludf.DUMMYFUNCTION("GOOGLETRANSLATE(A10620 , ""auto"", ""ar"")"),"هناك تل من الأوراق على مكتبي")</f>
        <v>هناك تل من الأوراق على مكتبي</v>
      </c>
    </row>
    <row r="10621" ht="15.75" customHeight="1">
      <c r="A10621" s="12" t="s">
        <v>24611</v>
      </c>
      <c r="B10621" s="13" t="s">
        <v>24612</v>
      </c>
      <c r="C10621" s="14" t="s">
        <v>24613</v>
      </c>
      <c r="D10621" s="1" t="str">
        <f>IFERROR(__xludf.DUMMYFUNCTION("GOOGLETRANSLATE(A10621 , ""auto"", ""ar"")"),"لقد تركت تقريري في المكتب")</f>
        <v>لقد تركت تقريري في المكتب</v>
      </c>
    </row>
    <row r="10622" ht="15.75" customHeight="1">
      <c r="A10622" s="12" t="s">
        <v>24614</v>
      </c>
      <c r="B10622" s="13" t="s">
        <v>24615</v>
      </c>
      <c r="C10622" s="14" t="s">
        <v>24616</v>
      </c>
      <c r="D10622" s="1" t="str">
        <f>IFERROR(__xludf.DUMMYFUNCTION("GOOGLETRANSLATE(A10622 , ""auto"", ""ar"")"),"رتب الكتب على المكتب")</f>
        <v>رتب الكتب على المكتب</v>
      </c>
    </row>
    <row r="10623" ht="15.75" customHeight="1">
      <c r="A10623" s="12" t="s">
        <v>24614</v>
      </c>
      <c r="B10623" s="13" t="s">
        <v>24617</v>
      </c>
      <c r="C10623" s="14" t="s">
        <v>24618</v>
      </c>
      <c r="D10623" s="1" t="str">
        <f>IFERROR(__xludf.DUMMYFUNCTION("GOOGLETRANSLATE(A10623 , ""auto"", ""ar"")"),"رتب الكتب على المكتب")</f>
        <v>رتب الكتب على المكتب</v>
      </c>
    </row>
    <row r="10624" ht="15.75" customHeight="1">
      <c r="A10624" s="12" t="s">
        <v>24619</v>
      </c>
      <c r="B10624" s="13" t="s">
        <v>24620</v>
      </c>
      <c r="C10624" s="14" t="s">
        <v>24621</v>
      </c>
      <c r="D10624" s="1" t="str">
        <f>IFERROR(__xludf.DUMMYFUNCTION("GOOGLETRANSLATE(A10624 , ""auto"", ""ar"")"),"لقد سجلت كل أفكاري في دفتر ملاحظات")</f>
        <v>لقد سجلت كل أفكاري في دفتر ملاحظات</v>
      </c>
    </row>
    <row r="10625" ht="15.75" customHeight="1">
      <c r="A10625" s="12" t="s">
        <v>24622</v>
      </c>
      <c r="B10625" s="13" t="s">
        <v>24623</v>
      </c>
      <c r="C10625" s="14" t="s">
        <v>24624</v>
      </c>
      <c r="D10625" s="1" t="str">
        <f>IFERROR(__xludf.DUMMYFUNCTION("GOOGLETRANSLATE(A10625 , ""auto"", ""ar"")"),"دفتر ملاحظات مفيد للغاية")</f>
        <v>دفتر ملاحظات مفيد للغاية</v>
      </c>
    </row>
    <row r="10626" ht="15.75" customHeight="1">
      <c r="A10626" s="12" t="s">
        <v>24625</v>
      </c>
      <c r="B10626" s="13" t="s">
        <v>24626</v>
      </c>
      <c r="C10626" s="14" t="s">
        <v>24627</v>
      </c>
      <c r="D10626" s="1" t="str">
        <f>IFERROR(__xludf.DUMMYFUNCTION("GOOGLETRANSLATE(A10626 , ""auto"", ""ar"")"),"أخرج أجهزة الكمبيوتر المحمولة الخاصة بك")</f>
        <v>أخرج أجهزة الكمبيوتر المحمولة الخاصة بك</v>
      </c>
    </row>
    <row r="10627" ht="15.75" customHeight="1">
      <c r="A10627" s="12" t="s">
        <v>24628</v>
      </c>
      <c r="B10627" s="13" t="s">
        <v>24629</v>
      </c>
      <c r="C10627" s="14" t="s">
        <v>24630</v>
      </c>
      <c r="D10627" s="1" t="str">
        <f>IFERROR(__xludf.DUMMYFUNCTION("GOOGLETRANSLATE(A10627 , ""auto"", ""ar"")"),"أحتاج إلى شراء دفتر جديد")</f>
        <v>أحتاج إلى شراء دفتر جديد</v>
      </c>
    </row>
    <row r="10628" ht="15.75" customHeight="1">
      <c r="A10628" s="12" t="s">
        <v>24631</v>
      </c>
      <c r="B10628" s="13" t="s">
        <v>24632</v>
      </c>
      <c r="C10628" s="14" t="s">
        <v>24633</v>
      </c>
      <c r="D10628" s="1" t="str">
        <f>IFERROR(__xludf.DUMMYFUNCTION("GOOGLETRANSLATE(A10628 , ""auto"", ""ar"")"),"يبدو أن حقيبته ثقيلة")</f>
        <v>يبدو أن حقيبته ثقيلة</v>
      </c>
    </row>
    <row r="10629" ht="15.75" customHeight="1">
      <c r="A10629" s="12" t="s">
        <v>24631</v>
      </c>
      <c r="B10629" s="13" t="s">
        <v>24634</v>
      </c>
      <c r="C10629" s="14" t="s">
        <v>24635</v>
      </c>
      <c r="D10629" s="1" t="str">
        <f>IFERROR(__xludf.DUMMYFUNCTION("GOOGLETRANSLATE(A10629 , ""auto"", ""ar"")"),"يبدو أن حقيبته ثقيلة")</f>
        <v>يبدو أن حقيبته ثقيلة</v>
      </c>
    </row>
    <row r="10630" ht="15.75" customHeight="1">
      <c r="A10630" s="12" t="s">
        <v>24636</v>
      </c>
      <c r="B10630" s="13" t="s">
        <v>24637</v>
      </c>
      <c r="C10630" s="14" t="s">
        <v>24638</v>
      </c>
      <c r="D10630" s="1" t="str">
        <f>IFERROR(__xludf.DUMMYFUNCTION("GOOGLETRANSLATE(A10630 , ""auto"", ""ar"")"),"انه يرفع حقيبتها على الكرسي")</f>
        <v>انه يرفع حقيبتها على الكرسي</v>
      </c>
    </row>
    <row r="10631" ht="15.75" customHeight="1">
      <c r="A10631" s="12" t="s">
        <v>24639</v>
      </c>
      <c r="B10631" s="13" t="s">
        <v>24640</v>
      </c>
      <c r="C10631" s="14" t="s">
        <v>24641</v>
      </c>
      <c r="D10631" s="1" t="str">
        <f>IFERROR(__xludf.DUMMYFUNCTION("GOOGLETRANSLATE(A10631 , ""auto"", ""ar"")"),"التقطت حقيبتي")</f>
        <v>التقطت حقيبتي</v>
      </c>
    </row>
    <row r="10632" ht="15.75" customHeight="1">
      <c r="A10632" s="12" t="s">
        <v>24642</v>
      </c>
      <c r="B10632" s="13" t="s">
        <v>24643</v>
      </c>
      <c r="C10632" s="14" t="s">
        <v>24644</v>
      </c>
      <c r="D10632" s="1" t="str">
        <f>IFERROR(__xludf.DUMMYFUNCTION("GOOGLETRANSLATE(A10632 , ""auto"", ""ar"")"),"قضيتي كبيرة")</f>
        <v>قضيتي كبيرة</v>
      </c>
    </row>
    <row r="10633" ht="15.75" customHeight="1">
      <c r="A10633" s="12" t="s">
        <v>24645</v>
      </c>
      <c r="B10633" s="13" t="s">
        <v>24646</v>
      </c>
      <c r="C10633" s="14" t="s">
        <v>24647</v>
      </c>
      <c r="D10633" s="1" t="str">
        <f>IFERROR(__xludf.DUMMYFUNCTION("GOOGLETRANSLATE(A10633 , ""auto"", ""ar"")"),"القلم رصاص في علبة القلم الرصاص")</f>
        <v>القلم رصاص في علبة القلم الرصاص</v>
      </c>
    </row>
    <row r="10634" ht="15.75" customHeight="1">
      <c r="A10634" s="12" t="s">
        <v>24648</v>
      </c>
      <c r="B10634" s="13" t="s">
        <v>24649</v>
      </c>
      <c r="C10634" s="14" t="s">
        <v>24650</v>
      </c>
      <c r="D10634" s="1" t="str">
        <f>IFERROR(__xludf.DUMMYFUNCTION("GOOGLETRANSLATE(A10634 , ""auto"", ""ar"")"),"ماذا يوجد في علبة القلم الرصاص؟")</f>
        <v>ماذا يوجد في علبة القلم الرصاص؟</v>
      </c>
    </row>
    <row r="10635" ht="15.75" customHeight="1">
      <c r="A10635" s="12" t="s">
        <v>24651</v>
      </c>
      <c r="B10635" s="13" t="s">
        <v>24652</v>
      </c>
      <c r="C10635" s="14" t="s">
        <v>24653</v>
      </c>
      <c r="D10635" s="1" t="str">
        <f>IFERROR(__xludf.DUMMYFUNCTION("GOOGLETRANSLATE(A10635 , ""auto"", ""ar"")"),"علبة القلم الرصاص برتقالية")</f>
        <v>علبة القلم الرصاص برتقالية</v>
      </c>
    </row>
    <row r="10636" ht="15.75" customHeight="1">
      <c r="A10636" s="12" t="s">
        <v>24654</v>
      </c>
      <c r="B10636" s="13" t="s">
        <v>24655</v>
      </c>
      <c r="C10636" s="14" t="s">
        <v>24656</v>
      </c>
      <c r="D10636" s="1" t="str">
        <f>IFERROR(__xludf.DUMMYFUNCTION("GOOGLETRANSLATE(A10636 , ""auto"", ""ar"")"),"أحتاج مقص")</f>
        <v>أحتاج مقص</v>
      </c>
    </row>
    <row r="10637" ht="15.75" customHeight="1">
      <c r="A10637" s="12" t="s">
        <v>24657</v>
      </c>
      <c r="B10637" s="13" t="s">
        <v>24658</v>
      </c>
      <c r="C10637" s="14" t="s">
        <v>24659</v>
      </c>
      <c r="D10637" s="1" t="str">
        <f>IFERROR(__xludf.DUMMYFUNCTION("GOOGLETRANSLATE(A10637 , ""auto"", ""ar"")"),"هل لديك زوج من المقص؟")</f>
        <v>هل لديك زوج من المقص؟</v>
      </c>
    </row>
    <row r="10638" ht="15.75" customHeight="1">
      <c r="A10638" s="12" t="s">
        <v>24660</v>
      </c>
      <c r="B10638" s="13" t="s">
        <v>24661</v>
      </c>
      <c r="C10638" s="14" t="s">
        <v>24662</v>
      </c>
      <c r="D10638" s="1" t="str">
        <f>IFERROR(__xludf.DUMMYFUNCTION("GOOGLETRANSLATE(A10638 , ""auto"", ""ar"")"),"قطع مع مقص")</f>
        <v>قطع مع مقص</v>
      </c>
    </row>
    <row r="10639" ht="15.75" customHeight="1">
      <c r="A10639" s="12" t="s">
        <v>24663</v>
      </c>
      <c r="B10639" s="13" t="s">
        <v>24664</v>
      </c>
      <c r="C10639" s="14" t="s">
        <v>24665</v>
      </c>
      <c r="D10639" s="1" t="str">
        <f>IFERROR(__xludf.DUMMYFUNCTION("GOOGLETRANSLATE(A10639 , ""auto"", ""ar"")"),"أين مقصاتي؟")</f>
        <v>أين مقصاتي؟</v>
      </c>
    </row>
    <row r="10640" ht="15.75" customHeight="1">
      <c r="A10640" s="12" t="s">
        <v>24666</v>
      </c>
      <c r="B10640" s="13" t="s">
        <v>24667</v>
      </c>
      <c r="C10640" s="14" t="s">
        <v>24668</v>
      </c>
      <c r="D10640" s="1" t="str">
        <f>IFERROR(__xludf.DUMMYFUNCTION("GOOGLETRANSLATE(A10640 , ""auto"", ""ar"")"),"سلم لي تلك المقصات")</f>
        <v>سلم لي تلك المقصات</v>
      </c>
    </row>
    <row r="10641" ht="15.75" customHeight="1">
      <c r="A10641" s="12" t="s">
        <v>24669</v>
      </c>
      <c r="B10641" s="13" t="s">
        <v>24670</v>
      </c>
      <c r="C10641" s="14" t="s">
        <v>24671</v>
      </c>
      <c r="D10641" s="1" t="str">
        <f>IFERROR(__xludf.DUMMYFUNCTION("GOOGLETRANSLATE(A10641 , ""auto"", ""ar"")"),"هذه المقصات قطعت جيدا")</f>
        <v>هذه المقصات قطعت جيدا</v>
      </c>
    </row>
    <row r="10642" ht="15.75" customHeight="1">
      <c r="A10642" s="12" t="s">
        <v>24672</v>
      </c>
      <c r="B10642" s="13" t="s">
        <v>24673</v>
      </c>
      <c r="C10642" s="14" t="s">
        <v>24674</v>
      </c>
      <c r="D10642" s="1" t="str">
        <f>IFERROR(__xludf.DUMMYFUNCTION("GOOGLETRANSLATE(A10642 , ""auto"", ""ar"")"),"هذه المقصات ليست حادة")</f>
        <v>هذه المقصات ليست حادة</v>
      </c>
    </row>
    <row r="10643" ht="15.75" customHeight="1">
      <c r="A10643" s="12" t="s">
        <v>24675</v>
      </c>
      <c r="B10643" s="13" t="s">
        <v>24676</v>
      </c>
      <c r="C10643" s="14" t="s">
        <v>24677</v>
      </c>
      <c r="D10643" s="1" t="str">
        <f>IFERROR(__xludf.DUMMYFUNCTION("GOOGLETRANSLATE(A10643 , ""auto"", ""ar"")"),"دباسة ينتمي إليه")</f>
        <v>دباسة ينتمي إليه</v>
      </c>
    </row>
    <row r="10644" ht="15.75" customHeight="1">
      <c r="A10644" s="12" t="s">
        <v>24678</v>
      </c>
      <c r="B10644" s="13" t="s">
        <v>24679</v>
      </c>
      <c r="C10644" s="14" t="s">
        <v>24680</v>
      </c>
      <c r="D10644" s="1" t="str">
        <f>IFERROR(__xludf.DUMMYFUNCTION("GOOGLETRANSLATE(A10644 , ""auto"", ""ar"")"),"دباسة بلدي لا يعمل")</f>
        <v>دباسة بلدي لا يعمل</v>
      </c>
    </row>
    <row r="10645" ht="15.75" customHeight="1">
      <c r="A10645" s="12" t="s">
        <v>24681</v>
      </c>
      <c r="B10645" s="13" t="s">
        <v>24682</v>
      </c>
      <c r="C10645" s="14" t="s">
        <v>24683</v>
      </c>
      <c r="D10645" s="1" t="str">
        <f>IFERROR(__xludf.DUMMYFUNCTION("GOOGLETRANSLATE(A10645 , ""auto"", ""ar"")"),"أحتاج إلى آلة حاسبة")</f>
        <v>أحتاج إلى آلة حاسبة</v>
      </c>
    </row>
    <row r="10646" ht="15.75" customHeight="1">
      <c r="A10646" s="12" t="s">
        <v>24684</v>
      </c>
      <c r="B10646" s="13" t="s">
        <v>24685</v>
      </c>
      <c r="C10646" s="14" t="s">
        <v>24686</v>
      </c>
      <c r="D10646" s="1" t="str">
        <f>IFERROR(__xludf.DUMMYFUNCTION("GOOGLETRANSLATE(A10646 , ""auto"", ""ar"")"),"هل يمكنك تسليم الآلة الحاسبة؟")</f>
        <v>هل يمكنك تسليم الآلة الحاسبة؟</v>
      </c>
    </row>
    <row r="10647" ht="15.75" customHeight="1">
      <c r="A10647" s="12" t="s">
        <v>24687</v>
      </c>
      <c r="B10647" s="13" t="s">
        <v>24688</v>
      </c>
      <c r="C10647" s="14" t="s">
        <v>24689</v>
      </c>
      <c r="D10647" s="1" t="str">
        <f>IFERROR(__xludf.DUMMYFUNCTION("GOOGLETRANSLATE(A10647 , ""auto"", ""ar"")"),"ارسم خطًا مع حاكم")</f>
        <v>ارسم خطًا مع حاكم</v>
      </c>
    </row>
    <row r="10648" ht="15.75" customHeight="1">
      <c r="A10648" s="12" t="s">
        <v>24690</v>
      </c>
      <c r="B10648" s="13" t="s">
        <v>24691</v>
      </c>
      <c r="C10648" s="14" t="s">
        <v>24692</v>
      </c>
      <c r="D10648" s="1" t="str">
        <f>IFERROR(__xludf.DUMMYFUNCTION("GOOGLETRANSLATE(A10648 , ""auto"", ""ar"")"),"لقد استخدمت كل الغراء")</f>
        <v>لقد استخدمت كل الغراء</v>
      </c>
    </row>
    <row r="10649" ht="15.75" customHeight="1">
      <c r="A10649" s="12" t="s">
        <v>24693</v>
      </c>
      <c r="B10649" s="13" t="s">
        <v>24694</v>
      </c>
      <c r="C10649" s="14" t="s">
        <v>24695</v>
      </c>
      <c r="D10649" s="1" t="str">
        <f>IFERROR(__xludf.DUMMYFUNCTION("GOOGLETRANSLATE(A10649 , ""auto"", ""ar"")"),"تطبيق الغراء")</f>
        <v>تطبيق الغراء</v>
      </c>
    </row>
    <row r="10650" ht="15.75" customHeight="1">
      <c r="A10650" s="12" t="s">
        <v>24696</v>
      </c>
      <c r="B10650" s="13" t="s">
        <v>24697</v>
      </c>
      <c r="C10650" s="14" t="s">
        <v>24698</v>
      </c>
      <c r="D10650" s="1" t="str">
        <f>IFERROR(__xludf.DUMMYFUNCTION("GOOGLETRANSLATE(A10650 , ""auto"", ""ar"")"),"يتم لصقها معًا")</f>
        <v>يتم لصقها معًا</v>
      </c>
    </row>
    <row r="10651" ht="15.75" customHeight="1">
      <c r="A10651" s="12" t="s">
        <v>24699</v>
      </c>
      <c r="B10651" s="13" t="s">
        <v>24700</v>
      </c>
      <c r="C10651" s="14" t="s">
        <v>24701</v>
      </c>
      <c r="D10651" s="1" t="str">
        <f>IFERROR(__xludf.DUMMYFUNCTION("GOOGLETRANSLATE(A10651 , ""auto"", ""ar"")"),"أحتاج إلى الغراء")</f>
        <v>أحتاج إلى الغراء</v>
      </c>
    </row>
    <row r="10652" ht="15.75" customHeight="1">
      <c r="A10652" s="12" t="s">
        <v>24702</v>
      </c>
      <c r="B10652" s="13" t="s">
        <v>24703</v>
      </c>
      <c r="C10652" s="14" t="s">
        <v>24704</v>
      </c>
      <c r="D10652" s="1" t="str">
        <f>IFERROR(__xludf.DUMMYFUNCTION("GOOGLETRANSLATE(A10652 , ""auto"", ""ar"")"),"لا تستخدم الكثير من الغراء")</f>
        <v>لا تستخدم الكثير من الغراء</v>
      </c>
    </row>
    <row r="10653" ht="15.75" customHeight="1">
      <c r="A10653" s="12" t="s">
        <v>24705</v>
      </c>
      <c r="B10653" s="13" t="s">
        <v>24706</v>
      </c>
      <c r="C10653" s="14" t="s">
        <v>24707</v>
      </c>
      <c r="D10653" s="1" t="str">
        <f>IFERROR(__xludf.DUMMYFUNCTION("GOOGLETRANSLATE(A10653 , ""auto"", ""ar"")"),"هذا الغراء لا يلتزم بالبلاستيك")</f>
        <v>هذا الغراء لا يلتزم بالبلاستيك</v>
      </c>
    </row>
    <row r="10654" ht="15.75" customHeight="1">
      <c r="A10654" s="12" t="s">
        <v>24708</v>
      </c>
      <c r="B10654" s="13" t="s">
        <v>24709</v>
      </c>
      <c r="C10654" s="14" t="s">
        <v>24710</v>
      </c>
      <c r="D10654" s="1" t="str">
        <f>IFERROR(__xludf.DUMMYFUNCTION("GOOGLETRANSLATE(A10654 , ""auto"", ""ar"")"),"لدي موثق")</f>
        <v>لدي موثق</v>
      </c>
    </row>
    <row r="10655" ht="15.75" customHeight="1">
      <c r="A10655" s="12" t="s">
        <v>24711</v>
      </c>
      <c r="B10655" s="13" t="s">
        <v>23341</v>
      </c>
      <c r="C10655" s="14" t="s">
        <v>23342</v>
      </c>
      <c r="D10655" s="1" t="str">
        <f>IFERROR(__xludf.DUMMYFUNCTION("GOOGLETRANSLATE(A10655 , ""auto"", ""ar"")"),"لا شكر على واجب")</f>
        <v>لا شكر على واجب</v>
      </c>
    </row>
    <row r="10656" ht="15.75" customHeight="1">
      <c r="A10656" s="12" t="s">
        <v>24712</v>
      </c>
      <c r="B10656" s="13" t="s">
        <v>24713</v>
      </c>
      <c r="C10656" s="14" t="s">
        <v>24714</v>
      </c>
      <c r="D10656" s="1" t="str">
        <f>IFERROR(__xludf.DUMMYFUNCTION("GOOGLETRANSLATE(A10656 , ""auto"", ""ar"")"),"هذا الكمبيوتر لا يعمل بعد الآن")</f>
        <v>هذا الكمبيوتر لا يعمل بعد الآن</v>
      </c>
    </row>
    <row r="10657" ht="15.75" customHeight="1">
      <c r="A10657" s="12" t="s">
        <v>24715</v>
      </c>
      <c r="B10657" s="13" t="s">
        <v>24716</v>
      </c>
      <c r="C10657" s="14" t="s">
        <v>24717</v>
      </c>
      <c r="D10657" s="1" t="str">
        <f>IFERROR(__xludf.DUMMYFUNCTION("GOOGLETRANSLATE(A10657 , ""auto"", ""ar"")"),"انا مفلس")</f>
        <v>انا مفلس</v>
      </c>
    </row>
    <row r="10658" ht="15.75" customHeight="1">
      <c r="A10658" s="12" t="s">
        <v>24718</v>
      </c>
      <c r="B10658" s="13" t="s">
        <v>24719</v>
      </c>
      <c r="C10658" s="14" t="s">
        <v>24720</v>
      </c>
      <c r="D10658" s="1" t="str">
        <f>IFERROR(__xludf.DUMMYFUNCTION("GOOGLETRANSLATE(A10658 , ""auto"", ""ar"")"),"أحتاجك بجانبي")</f>
        <v>أحتاجك بجانبي</v>
      </c>
    </row>
    <row r="10659" ht="15.75" customHeight="1">
      <c r="A10659" s="12" t="s">
        <v>24721</v>
      </c>
      <c r="B10659" s="13" t="s">
        <v>24722</v>
      </c>
      <c r="C10659" s="14" t="s">
        <v>24723</v>
      </c>
      <c r="D10659" s="1" t="str">
        <f>IFERROR(__xludf.DUMMYFUNCTION("GOOGLETRANSLATE(A10659 , ""auto"", ""ar"")"),"نادرا ما أستخدم منفاخ")</f>
        <v>نادرا ما أستخدم منفاخ</v>
      </c>
    </row>
    <row r="10660" ht="15.75" customHeight="1">
      <c r="A10660" s="12" t="s">
        <v>24724</v>
      </c>
      <c r="B10660" s="13" t="s">
        <v>24725</v>
      </c>
      <c r="C10660" s="14" t="s">
        <v>24726</v>
      </c>
      <c r="D10660" s="1" t="str">
        <f>IFERROR(__xludf.DUMMYFUNCTION("GOOGLETRANSLATE(A10660 , ""auto"", ""ar"")"),"نعم ، لدي ممحولك أيضًا")</f>
        <v>نعم ، لدي ممحولك أيضًا</v>
      </c>
    </row>
    <row r="10661" ht="15.75" customHeight="1">
      <c r="A10661" s="12" t="s">
        <v>24724</v>
      </c>
      <c r="B10661" s="13" t="s">
        <v>24727</v>
      </c>
      <c r="C10661" s="14" t="s">
        <v>24728</v>
      </c>
      <c r="D10661" s="1" t="str">
        <f>IFERROR(__xludf.DUMMYFUNCTION("GOOGLETRANSLATE(A10661 , ""auto"", ""ar"")"),"نعم ، لدي ممحولك أيضًا")</f>
        <v>نعم ، لدي ممحولك أيضًا</v>
      </c>
    </row>
    <row r="10662" ht="15.75" customHeight="1">
      <c r="A10662" s="12" t="s">
        <v>24729</v>
      </c>
      <c r="B10662" s="13" t="s">
        <v>24730</v>
      </c>
      <c r="C10662" s="14" t="s">
        <v>24731</v>
      </c>
      <c r="D10662" s="1" t="str">
        <f>IFERROR(__xludf.DUMMYFUNCTION("GOOGLETRANSLATE(A10662 , ""auto"", ""ar"")"),"هل لديك شريط سكوتش؟")</f>
        <v>هل لديك شريط سكوتش؟</v>
      </c>
    </row>
    <row r="10663" ht="15.75" customHeight="1">
      <c r="A10663" s="12" t="s">
        <v>24732</v>
      </c>
      <c r="B10663" s="13" t="s">
        <v>24733</v>
      </c>
      <c r="C10663" s="14" t="s">
        <v>24734</v>
      </c>
      <c r="D10663" s="1" t="str">
        <f>IFERROR(__xludf.DUMMYFUNCTION("GOOGLETRANSLATE(A10663 , ""auto"", ""ar"")"),"أحتاج إلى مراهاة قلم رصاص.")</f>
        <v>أحتاج إلى مراهاة قلم رصاص.</v>
      </c>
    </row>
    <row r="10664" ht="15.75" customHeight="1">
      <c r="A10664" s="12" t="s">
        <v>24735</v>
      </c>
      <c r="B10664" s="13" t="s">
        <v>24736</v>
      </c>
      <c r="C10664" s="14" t="s">
        <v>24737</v>
      </c>
      <c r="D10664" s="1" t="str">
        <f>IFERROR(__xludf.DUMMYFUNCTION("GOOGLETRANSLATE(A10664 , ""auto"", ""ar"")"),"لقد تجاوزني في الرياضيات")</f>
        <v>لقد تجاوزني في الرياضيات</v>
      </c>
    </row>
    <row r="10665" ht="15.75" customHeight="1">
      <c r="A10665" s="12" t="s">
        <v>24738</v>
      </c>
      <c r="B10665" s="13" t="s">
        <v>24739</v>
      </c>
      <c r="C10665" s="14" t="s">
        <v>24740</v>
      </c>
      <c r="D10665" s="1" t="str">
        <f>IFERROR(__xludf.DUMMYFUNCTION("GOOGLETRANSLATE(A10665 , ""auto"", ""ar"")"),"أنا لست ذكيًا جدًا في الرياضيات")</f>
        <v>أنا لست ذكيًا جدًا في الرياضيات</v>
      </c>
    </row>
    <row r="10666" ht="15.75" customHeight="1">
      <c r="A10666" s="12" t="s">
        <v>24741</v>
      </c>
      <c r="B10666" s="13" t="s">
        <v>24742</v>
      </c>
      <c r="C10666" s="14" t="s">
        <v>24743</v>
      </c>
      <c r="D10666" s="1" t="str">
        <f>IFERROR(__xludf.DUMMYFUNCTION("GOOGLETRANSLATE(A10666 , ""auto"", ""ar"")"),"إنه مدرس الرياضيات لدينا")</f>
        <v>إنه مدرس الرياضيات لدينا</v>
      </c>
    </row>
    <row r="10667" ht="15.75" customHeight="1">
      <c r="A10667" s="12" t="s">
        <v>24744</v>
      </c>
      <c r="B10667" s="13" t="s">
        <v>24745</v>
      </c>
      <c r="C10667" s="14" t="s">
        <v>24746</v>
      </c>
      <c r="D10667" s="1" t="str">
        <f>IFERROR(__xludf.DUMMYFUNCTION("GOOGLETRANSLATE(A10667 , ""auto"", ""ar"")"),"حصل على درجة جيدة")</f>
        <v>حصل على درجة جيدة</v>
      </c>
    </row>
    <row r="10668" ht="15.75" customHeight="1">
      <c r="A10668" s="12" t="s">
        <v>24747</v>
      </c>
      <c r="B10668" s="13" t="s">
        <v>24748</v>
      </c>
      <c r="C10668" s="14" t="s">
        <v>24749</v>
      </c>
      <c r="D10668" s="1" t="str">
        <f>IFERROR(__xludf.DUMMYFUNCTION("GOOGLETRANSLATE(A10668 , ""auto"", ""ar"")"),"لا أحد يستطيع موازيه في الرياضيات")</f>
        <v>لا أحد يستطيع موازيه في الرياضيات</v>
      </c>
    </row>
    <row r="10669" ht="15.75" customHeight="1">
      <c r="A10669" s="12" t="s">
        <v>24750</v>
      </c>
      <c r="B10669" s="13" t="s">
        <v>24751</v>
      </c>
      <c r="C10669" s="14" t="s">
        <v>24752</v>
      </c>
      <c r="D10669" s="1" t="str">
        <f>IFERROR(__xludf.DUMMYFUNCTION("GOOGLETRANSLATE(A10669 , ""auto"", ""ar"")"),"مادتي المفضلة هي الرياضيات")</f>
        <v>مادتي المفضلة هي الرياضيات</v>
      </c>
    </row>
    <row r="10670" ht="15.75" customHeight="1">
      <c r="A10670" s="12" t="s">
        <v>24753</v>
      </c>
      <c r="B10670" s="13" t="s">
        <v>24754</v>
      </c>
      <c r="C10670" s="14" t="s">
        <v>24755</v>
      </c>
      <c r="D10670" s="1" t="str">
        <f>IFERROR(__xludf.DUMMYFUNCTION("GOOGLETRANSLATE(A10670 , ""auto"", ""ar"")"),"أنا ضعيف في الرياضيات")</f>
        <v>أنا ضعيف في الرياضيات</v>
      </c>
    </row>
    <row r="10671" ht="15.75" customHeight="1">
      <c r="A10671" s="12" t="s">
        <v>24756</v>
      </c>
      <c r="B10671" s="13" t="s">
        <v>24757</v>
      </c>
      <c r="C10671" s="14" t="s">
        <v>24758</v>
      </c>
      <c r="D10671" s="1" t="str">
        <f>IFERROR(__xludf.DUMMYFUNCTION("GOOGLETRANSLATE(A10671 , ""auto"", ""ar"")"),"أنا فظيع في الرياضيات")</f>
        <v>أنا فظيع في الرياضيات</v>
      </c>
    </row>
    <row r="10672" ht="15.75" customHeight="1">
      <c r="A10672" s="12" t="s">
        <v>24759</v>
      </c>
      <c r="B10672" s="13" t="s">
        <v>24760</v>
      </c>
      <c r="C10672" s="14" t="s">
        <v>24761</v>
      </c>
      <c r="D10672" s="1" t="str">
        <f>IFERROR(__xludf.DUMMYFUNCTION("GOOGLETRANSLATE(A10672 , ""auto"", ""ar"")"),"هل أنت في فصل الرياضيات؟")</f>
        <v>هل أنت في فصل الرياضيات؟</v>
      </c>
    </row>
    <row r="10673" ht="15.75" customHeight="1">
      <c r="A10673" s="12" t="s">
        <v>24762</v>
      </c>
      <c r="B10673" s="13" t="s">
        <v>24763</v>
      </c>
      <c r="C10673" s="14" t="s">
        <v>24764</v>
      </c>
      <c r="D10673" s="1" t="str">
        <f>IFERROR(__xludf.DUMMYFUNCTION("GOOGLETRANSLATE(A10673 , ""auto"", ""ar"")"),"الرياضيات هي تخصصي")</f>
        <v>الرياضيات هي تخصصي</v>
      </c>
    </row>
    <row r="10674" ht="15.75" customHeight="1">
      <c r="A10674" s="12" t="s">
        <v>24765</v>
      </c>
      <c r="B10674" s="13" t="s">
        <v>24766</v>
      </c>
      <c r="C10674" s="14" t="s">
        <v>24767</v>
      </c>
      <c r="D10674" s="1" t="str">
        <f>IFERROR(__xludf.DUMMYFUNCTION("GOOGLETRANSLATE(A10674 , ""auto"", ""ar"")"),"تمنى لي الحظ")</f>
        <v>تمنى لي الحظ</v>
      </c>
    </row>
    <row r="10675" ht="15.75" customHeight="1">
      <c r="A10675" s="12" t="s">
        <v>24768</v>
      </c>
      <c r="B10675" s="13" t="s">
        <v>24769</v>
      </c>
      <c r="C10675" s="14" t="s">
        <v>24770</v>
      </c>
      <c r="D10675" s="1" t="str">
        <f>IFERROR(__xludf.DUMMYFUNCTION("GOOGLETRANSLATE(A10675 , ""auto"", ""ar"")"),"لم أدرس الرياضيات على الإطلاق")</f>
        <v>لم أدرس الرياضيات على الإطلاق</v>
      </c>
    </row>
    <row r="10676" ht="15.75" customHeight="1">
      <c r="A10676" s="12" t="s">
        <v>24771</v>
      </c>
      <c r="B10676" s="13" t="s">
        <v>24772</v>
      </c>
      <c r="C10676" s="14" t="s">
        <v>24773</v>
      </c>
      <c r="D10676" s="1" t="str">
        <f>IFERROR(__xludf.DUMMYFUNCTION("GOOGLETRANSLATE(A10676 , ""auto"", ""ar"")"),"خذ الرياضيات كمثال")</f>
        <v>خذ الرياضيات كمثال</v>
      </c>
    </row>
    <row r="10677" ht="15.75" customHeight="1">
      <c r="A10677" s="12" t="s">
        <v>24774</v>
      </c>
      <c r="B10677" s="13" t="s">
        <v>24775</v>
      </c>
      <c r="C10677" s="14" t="s">
        <v>24776</v>
      </c>
      <c r="D10677" s="1" t="str">
        <f>IFERROR(__xludf.DUMMYFUNCTION("GOOGLETRANSLATE(A10677 , ""auto"", ""ar"")"),"لم تكن أبدًا جيدًا في الرياضيات")</f>
        <v>لم تكن أبدًا جيدًا في الرياضيات</v>
      </c>
    </row>
    <row r="10678" ht="15.75" customHeight="1">
      <c r="A10678" s="12" t="s">
        <v>24777</v>
      </c>
      <c r="B10678" s="13" t="s">
        <v>24778</v>
      </c>
      <c r="C10678" s="14" t="s">
        <v>24779</v>
      </c>
      <c r="D10678" s="1" t="str">
        <f>IFERROR(__xludf.DUMMYFUNCTION("GOOGLETRANSLATE(A10678 , ""auto"", ""ar"")"),"هل نجحت فى امتحانك؟")</f>
        <v>هل نجحت فى امتحانك؟</v>
      </c>
    </row>
    <row r="10679" ht="15.75" customHeight="1">
      <c r="A10679" s="12" t="s">
        <v>24780</v>
      </c>
      <c r="B10679" s="13" t="s">
        <v>24781</v>
      </c>
      <c r="C10679" s="14" t="s">
        <v>24782</v>
      </c>
      <c r="D10679" s="1" t="str">
        <f>IFERROR(__xludf.DUMMYFUNCTION("GOOGLETRANSLATE(A10679 , ""auto"", ""ar"")"),"انت ذكي")</f>
        <v>انت ذكي</v>
      </c>
    </row>
    <row r="10680" ht="15.75" customHeight="1">
      <c r="A10680" s="12" t="s">
        <v>24783</v>
      </c>
      <c r="B10680" s="13" t="s">
        <v>24784</v>
      </c>
      <c r="C10680" s="14" t="s">
        <v>24785</v>
      </c>
      <c r="D10680" s="1" t="str">
        <f>IFERROR(__xludf.DUMMYFUNCTION("GOOGLETRANSLATE(A10680 , ""auto"", ""ar"")"),"أنت غبي")</f>
        <v>أنت غبي</v>
      </c>
    </row>
    <row r="10681" ht="15.75" customHeight="1">
      <c r="A10681" s="12" t="s">
        <v>24786</v>
      </c>
      <c r="B10681" s="13" t="s">
        <v>24787</v>
      </c>
      <c r="C10681" s="14" t="s">
        <v>24788</v>
      </c>
      <c r="D10681" s="1" t="str">
        <f>IFERROR(__xludf.DUMMYFUNCTION("GOOGLETRANSLATE(A10681 , ""auto"", ""ar"")"),"أريد أن أكون أستاذا")</f>
        <v>أريد أن أكون أستاذا</v>
      </c>
    </row>
    <row r="10682" ht="15.75" customHeight="1">
      <c r="A10682" s="12" t="s">
        <v>24789</v>
      </c>
      <c r="B10682" s="13" t="s">
        <v>24790</v>
      </c>
      <c r="C10682" s="14" t="s">
        <v>24791</v>
      </c>
      <c r="D10682" s="1" t="str">
        <f>IFERROR(__xludf.DUMMYFUNCTION("GOOGLETRANSLATE(A10682 , ""auto"", ""ar"")"),"التاريخ يعيد نفسه")</f>
        <v>التاريخ يعيد نفسه</v>
      </c>
    </row>
    <row r="10683" ht="15.75" customHeight="1">
      <c r="A10683" s="12" t="s">
        <v>24792</v>
      </c>
      <c r="B10683" s="13" t="s">
        <v>24793</v>
      </c>
      <c r="C10683" s="14" t="s">
        <v>24794</v>
      </c>
      <c r="D10683" s="1" t="str">
        <f>IFERROR(__xludf.DUMMYFUNCTION("GOOGLETRANSLATE(A10683 , ""auto"", ""ar"")"),"إنه جيد في التاريخ")</f>
        <v>إنه جيد في التاريخ</v>
      </c>
    </row>
    <row r="10684" ht="15.75" customHeight="1">
      <c r="A10684" s="12" t="s">
        <v>24795</v>
      </c>
      <c r="B10684" s="13" t="s">
        <v>24796</v>
      </c>
      <c r="C10684" s="14" t="s">
        <v>24797</v>
      </c>
      <c r="D10684" s="1" t="str">
        <f>IFERROR(__xludf.DUMMYFUNCTION("GOOGLETRANSLATE(A10684 , ""auto"", ""ar"")"),"تاريخ الاستعمار")</f>
        <v>تاريخ الاستعمار</v>
      </c>
    </row>
    <row r="10685" ht="15.75" customHeight="1">
      <c r="A10685" s="12" t="s">
        <v>24798</v>
      </c>
      <c r="B10685" s="13" t="s">
        <v>24799</v>
      </c>
      <c r="C10685" s="14" t="s">
        <v>24800</v>
      </c>
      <c r="D10685" s="1" t="str">
        <f>IFERROR(__xludf.DUMMYFUNCTION("GOOGLETRANSLATE(A10685 , ""auto"", ""ar"")"),"التاريخ هو موضوعي المفضل")</f>
        <v>التاريخ هو موضوعي المفضل</v>
      </c>
    </row>
    <row r="10686" ht="15.75" customHeight="1">
      <c r="A10686" s="12" t="s">
        <v>24801</v>
      </c>
      <c r="B10686" s="13" t="s">
        <v>24802</v>
      </c>
      <c r="C10686" s="14" t="s">
        <v>24803</v>
      </c>
      <c r="D10686" s="1" t="str">
        <f>IFERROR(__xludf.DUMMYFUNCTION("GOOGLETRANSLATE(A10686 , ""auto"", ""ar"")"),"هذا هو تاريخ حياتي")</f>
        <v>هذا هو تاريخ حياتي</v>
      </c>
    </row>
    <row r="10687" ht="15.75" customHeight="1">
      <c r="A10687" s="12" t="s">
        <v>24804</v>
      </c>
      <c r="B10687" s="13" t="s">
        <v>24805</v>
      </c>
      <c r="C10687" s="14" t="s">
        <v>24806</v>
      </c>
      <c r="D10687" s="1" t="str">
        <f>IFERROR(__xludf.DUMMYFUNCTION("GOOGLETRANSLATE(A10687 , ""auto"", ""ar"")"),"اليوم هو التاريخ")</f>
        <v>اليوم هو التاريخ</v>
      </c>
    </row>
    <row r="10688" ht="15.75" customHeight="1">
      <c r="A10688" s="12" t="s">
        <v>24807</v>
      </c>
      <c r="B10688" s="13" t="s">
        <v>24808</v>
      </c>
      <c r="C10688" s="14" t="s">
        <v>24809</v>
      </c>
      <c r="D10688" s="1" t="str">
        <f>IFERROR(__xludf.DUMMYFUNCTION("GOOGLETRANSLATE(A10688 , ""auto"", ""ar"")"),"التاريخ البشري")</f>
        <v>التاريخ البشري</v>
      </c>
    </row>
    <row r="10689" ht="15.75" customHeight="1">
      <c r="A10689" s="12" t="s">
        <v>24810</v>
      </c>
      <c r="B10689" s="13" t="s">
        <v>24811</v>
      </c>
      <c r="C10689" s="14" t="s">
        <v>24812</v>
      </c>
      <c r="D10689" s="1" t="str">
        <f>IFERROR(__xludf.DUMMYFUNCTION("GOOGLETRANSLATE(A10689 , ""auto"", ""ar"")"),"تخصص في التاريخ")</f>
        <v>تخصص في التاريخ</v>
      </c>
    </row>
    <row r="10690" ht="15.75" customHeight="1">
      <c r="A10690" s="12" t="s">
        <v>24813</v>
      </c>
      <c r="B10690" s="13" t="s">
        <v>24814</v>
      </c>
      <c r="C10690" s="14" t="s">
        <v>24815</v>
      </c>
      <c r="D10690" s="1" t="str">
        <f>IFERROR(__xludf.DUMMYFUNCTION("GOOGLETRANSLATE(A10690 , ""auto"", ""ar"")"),"هذه اللحظة هي التاريخ")</f>
        <v>هذه اللحظة هي التاريخ</v>
      </c>
    </row>
    <row r="10691" ht="15.75" customHeight="1">
      <c r="A10691" s="12" t="s">
        <v>24816</v>
      </c>
      <c r="B10691" s="13" t="s">
        <v>24817</v>
      </c>
      <c r="C10691" s="14" t="s">
        <v>24818</v>
      </c>
      <c r="D10691" s="1" t="str">
        <f>IFERROR(__xludf.DUMMYFUNCTION("GOOGLETRANSLATE(A10691 , ""auto"", ""ar"")"),"تاريخ الكنيسة")</f>
        <v>تاريخ الكنيسة</v>
      </c>
    </row>
    <row r="10692" ht="15.75" customHeight="1">
      <c r="A10692" s="12" t="s">
        <v>24819</v>
      </c>
      <c r="B10692" s="13" t="s">
        <v>24820</v>
      </c>
      <c r="C10692" s="14" t="s">
        <v>24821</v>
      </c>
      <c r="D10692" s="1" t="str">
        <f>IFERROR(__xludf.DUMMYFUNCTION("GOOGLETRANSLATE(A10692 , ""auto"", ""ar"")"),"أنا مهتم بالتاريخ")</f>
        <v>أنا مهتم بالتاريخ</v>
      </c>
    </row>
    <row r="10693" ht="15.75" customHeight="1">
      <c r="A10693" s="12" t="s">
        <v>24822</v>
      </c>
      <c r="B10693" s="13" t="s">
        <v>24823</v>
      </c>
      <c r="C10693" s="14" t="s">
        <v>24824</v>
      </c>
      <c r="D10693" s="1" t="str">
        <f>IFERROR(__xludf.DUMMYFUNCTION("GOOGLETRANSLATE(A10693 , ""auto"", ""ar"")"),"زفاف ملكي")</f>
        <v>زفاف ملكي</v>
      </c>
    </row>
    <row r="10694" ht="15.75" customHeight="1">
      <c r="A10694" s="12" t="s">
        <v>24825</v>
      </c>
      <c r="B10694" s="13" t="s">
        <v>24826</v>
      </c>
      <c r="C10694" s="14" t="s">
        <v>24827</v>
      </c>
      <c r="D10694" s="1" t="str">
        <f>IFERROR(__xludf.DUMMYFUNCTION("GOOGLETRANSLATE(A10694 , ""auto"", ""ar"")"),"أنا أحب التاريخ المغربي")</f>
        <v>أنا أحب التاريخ المغربي</v>
      </c>
    </row>
    <row r="10695" ht="15.75" customHeight="1">
      <c r="A10695" s="12" t="s">
        <v>24828</v>
      </c>
      <c r="B10695" s="13" t="s">
        <v>24829</v>
      </c>
      <c r="C10695" s="14" t="s">
        <v>24830</v>
      </c>
      <c r="D10695" s="1" t="str">
        <f>IFERROR(__xludf.DUMMYFUNCTION("GOOGLETRANSLATE(A10695 , ""auto"", ""ar"")"),"يجب أن أقوم بمراجعة جغرافيتي")</f>
        <v>يجب أن أقوم بمراجعة جغرافيتي</v>
      </c>
    </row>
    <row r="10696" ht="15.75" customHeight="1">
      <c r="A10696" s="12" t="s">
        <v>24831</v>
      </c>
      <c r="B10696" s="13" t="s">
        <v>24832</v>
      </c>
      <c r="C10696" s="14" t="s">
        <v>24833</v>
      </c>
      <c r="D10696" s="1" t="str">
        <f>IFERROR(__xludf.DUMMYFUNCTION("GOOGLETRANSLATE(A10696 , ""auto"", ""ar"")"),"أنا أحب علم الأحياء")</f>
        <v>أنا أحب علم الأحياء</v>
      </c>
    </row>
    <row r="10697" ht="15.75" customHeight="1">
      <c r="A10697" s="12" t="s">
        <v>24834</v>
      </c>
      <c r="B10697" s="13" t="s">
        <v>24835</v>
      </c>
      <c r="C10697" s="14" t="s">
        <v>24836</v>
      </c>
      <c r="D10697" s="1" t="str">
        <f>IFERROR(__xludf.DUMMYFUNCTION("GOOGLETRANSLATE(A10697 , ""auto"", ""ar"")"),"أنا أستمتع بالصف الإنجليزي")</f>
        <v>أنا أستمتع بالصف الإنجليزي</v>
      </c>
    </row>
    <row r="10698" ht="15.75" customHeight="1">
      <c r="A10698" s="12" t="s">
        <v>24837</v>
      </c>
      <c r="B10698" s="13" t="s">
        <v>24838</v>
      </c>
      <c r="C10698" s="14" t="s">
        <v>24839</v>
      </c>
      <c r="D10698" s="1" t="str">
        <f>IFERROR(__xludf.DUMMYFUNCTION("GOOGLETRANSLATE(A10698 , ""auto"", ""ar"")"),"انا اتعلم الصينية")</f>
        <v>انا اتعلم الصينية</v>
      </c>
    </row>
    <row r="10699" ht="15.75" customHeight="1">
      <c r="A10699" s="12" t="s">
        <v>24840</v>
      </c>
      <c r="B10699" s="13" t="s">
        <v>24841</v>
      </c>
      <c r="C10699" s="14" t="s">
        <v>24842</v>
      </c>
      <c r="D10699" s="1" t="str">
        <f>IFERROR(__xludf.DUMMYFUNCTION("GOOGLETRANSLATE(A10699 , ""auto"", ""ar"")"),"انا اتعلم اليابانية")</f>
        <v>انا اتعلم اليابانية</v>
      </c>
    </row>
    <row r="10700" ht="15.75" customHeight="1">
      <c r="A10700" s="12" t="s">
        <v>24843</v>
      </c>
      <c r="B10700" s="13" t="s">
        <v>24844</v>
      </c>
      <c r="C10700" s="14" t="s">
        <v>24845</v>
      </c>
      <c r="D10700" s="1" t="str">
        <f>IFERROR(__xludf.DUMMYFUNCTION("GOOGLETRANSLATE(A10700 , ""auto"", ""ar"")"),"أنا أتعلم الفرنسية")</f>
        <v>أنا أتعلم الفرنسية</v>
      </c>
    </row>
    <row r="10701" ht="15.75" customHeight="1">
      <c r="A10701" s="12" t="s">
        <v>24846</v>
      </c>
      <c r="B10701" s="13" t="s">
        <v>24847</v>
      </c>
      <c r="C10701" s="14" t="s">
        <v>24848</v>
      </c>
      <c r="D10701" s="1" t="str">
        <f>IFERROR(__xludf.DUMMYFUNCTION("GOOGLETRANSLATE(A10701 , ""auto"", ""ar"")"),"انا اتعلم اللغة الايطالية")</f>
        <v>انا اتعلم اللغة الايطالية</v>
      </c>
    </row>
    <row r="10702" ht="15.75" customHeight="1">
      <c r="A10702" s="12" t="s">
        <v>24849</v>
      </c>
      <c r="B10702" s="13" t="s">
        <v>24850</v>
      </c>
      <c r="C10702" s="14" t="s">
        <v>24851</v>
      </c>
      <c r="D10702" s="1" t="str">
        <f>IFERROR(__xludf.DUMMYFUNCTION("GOOGLETRANSLATE(A10702 , ""auto"", ""ar"")"),"أريد أن أتعلم اللغة الألمانية")</f>
        <v>أريد أن أتعلم اللغة الألمانية</v>
      </c>
    </row>
    <row r="10703" ht="15.75" customHeight="1">
      <c r="A10703" s="12" t="s">
        <v>24852</v>
      </c>
      <c r="B10703" s="13" t="s">
        <v>24853</v>
      </c>
      <c r="C10703" s="14" t="s">
        <v>24854</v>
      </c>
      <c r="D10703" s="1" t="str">
        <f>IFERROR(__xludf.DUMMYFUNCTION("GOOGLETRANSLATE(A10703 , ""auto"", ""ar"")"),"أريد أن أتعلم داريجا")</f>
        <v>أريد أن أتعلم داريجا</v>
      </c>
    </row>
    <row r="10704" ht="15.75" customHeight="1">
      <c r="A10704" s="12" t="s">
        <v>24855</v>
      </c>
      <c r="B10704" s="13" t="s">
        <v>24856</v>
      </c>
      <c r="C10704" s="14" t="s">
        <v>24857</v>
      </c>
      <c r="D10704" s="1" t="str">
        <f>IFERROR(__xludf.DUMMYFUNCTION("GOOGLETRANSLATE(A10704 , ""auto"", ""ar"")"),"أحب لهجتك")</f>
        <v>أحب لهجتك</v>
      </c>
    </row>
    <row r="10705" ht="15.75" customHeight="1">
      <c r="A10705" s="12" t="s">
        <v>24858</v>
      </c>
      <c r="B10705" s="13" t="s">
        <v>24859</v>
      </c>
      <c r="C10705" s="14" t="s">
        <v>24860</v>
      </c>
      <c r="D10705" s="1" t="str">
        <f>IFERROR(__xludf.DUMMYFUNCTION("GOOGLETRANSLATE(A10705 , ""auto"", ""ar"")"),"اريد ان اتعلم الروسية")</f>
        <v>اريد ان اتعلم الروسية</v>
      </c>
    </row>
    <row r="10706" ht="15.75" customHeight="1">
      <c r="A10706" s="12" t="s">
        <v>24861</v>
      </c>
      <c r="B10706" s="13" t="s">
        <v>24862</v>
      </c>
      <c r="C10706" s="14" t="s">
        <v>24863</v>
      </c>
      <c r="D10706" s="1" t="str">
        <f>IFERROR(__xludf.DUMMYFUNCTION("GOOGLETRANSLATE(A10706 , ""auto"", ""ar"")"),"لقد تعلمت التركية من الأفلام")</f>
        <v>لقد تعلمت التركية من الأفلام</v>
      </c>
    </row>
    <row r="10707" ht="15.75" customHeight="1">
      <c r="A10707" s="12" t="s">
        <v>24864</v>
      </c>
      <c r="B10707" s="13" t="s">
        <v>24865</v>
      </c>
      <c r="C10707" s="14" t="s">
        <v>24866</v>
      </c>
      <c r="D10707" s="1" t="str">
        <f>IFERROR(__xludf.DUMMYFUNCTION("GOOGLETRANSLATE(A10707 , ""auto"", ""ar"")"),"أنا أحب اللغة الكورية")</f>
        <v>أنا أحب اللغة الكورية</v>
      </c>
    </row>
    <row r="10708" ht="15.75" customHeight="1">
      <c r="A10708" s="12" t="s">
        <v>24867</v>
      </c>
      <c r="B10708" s="13" t="s">
        <v>24868</v>
      </c>
      <c r="C10708" s="14" t="s">
        <v>24869</v>
      </c>
      <c r="D10708" s="1" t="str">
        <f>IFERROR(__xludf.DUMMYFUNCTION("GOOGLETRANSLATE(A10708 , ""auto"", ""ar"")"),"اللغة الهندية صعبة")</f>
        <v>اللغة الهندية صعبة</v>
      </c>
    </row>
    <row r="10709" ht="15.75" customHeight="1">
      <c r="A10709" s="12" t="s">
        <v>24870</v>
      </c>
      <c r="B10709" s="13" t="s">
        <v>24871</v>
      </c>
      <c r="C10709" s="14" t="s">
        <v>24872</v>
      </c>
      <c r="D10709" s="1" t="str">
        <f>IFERROR(__xludf.DUMMYFUNCTION("GOOGLETRANSLATE(A10709 , ""auto"", ""ar"")"),"اللغة الإسبانية جميلة")</f>
        <v>اللغة الإسبانية جميلة</v>
      </c>
    </row>
    <row r="10710" ht="15.75" customHeight="1">
      <c r="A10710" s="12" t="s">
        <v>24873</v>
      </c>
      <c r="B10710" s="13" t="s">
        <v>24874</v>
      </c>
      <c r="C10710" s="14" t="s">
        <v>24875</v>
      </c>
      <c r="D10710" s="1" t="str">
        <f>IFERROR(__xludf.DUMMYFUNCTION("GOOGLETRANSLATE(A10710 , ""auto"", ""ar"")"),"اللغة العربية هي لغة القرآن")</f>
        <v>اللغة العربية هي لغة القرآن</v>
      </c>
    </row>
    <row r="10711" ht="15.75" customHeight="1">
      <c r="A10711" s="12" t="s">
        <v>24876</v>
      </c>
      <c r="B10711" s="13" t="s">
        <v>24877</v>
      </c>
      <c r="C10711" s="14" t="s">
        <v>24878</v>
      </c>
      <c r="D10711" s="1" t="str">
        <f>IFERROR(__xludf.DUMMYFUNCTION("GOOGLETRANSLATE(A10711 , ""auto"", ""ar"")"),"بدأت أتعلم البرتغالية")</f>
        <v>بدأت أتعلم البرتغالية</v>
      </c>
    </row>
    <row r="10712" ht="15.75" customHeight="1">
      <c r="A10712" s="12" t="s">
        <v>24879</v>
      </c>
      <c r="B10712" s="13" t="s">
        <v>24880</v>
      </c>
      <c r="C10712" s="14" t="s">
        <v>24881</v>
      </c>
      <c r="D10712" s="1" t="str">
        <f>IFERROR(__xludf.DUMMYFUNCTION("GOOGLETRANSLATE(A10712 , ""auto"", ""ar"")"),"أنا أستمتع بتعلم اللغات")</f>
        <v>أنا أستمتع بتعلم اللغات</v>
      </c>
    </row>
    <row r="10713" ht="15.75" customHeight="1">
      <c r="A10713" s="12" t="s">
        <v>24882</v>
      </c>
      <c r="B10713" s="13" t="s">
        <v>24883</v>
      </c>
      <c r="C10713" s="14" t="s">
        <v>24884</v>
      </c>
      <c r="D10713" s="1" t="str">
        <f>IFERROR(__xludf.DUMMYFUNCTION("GOOGLETRANSLATE(A10713 , ""auto"", ""ar"")"),"لغة الصم والخربة")</f>
        <v>لغة الصم والخربة</v>
      </c>
    </row>
    <row r="10714" ht="15.75" customHeight="1">
      <c r="A10714" s="12" t="s">
        <v>24885</v>
      </c>
      <c r="B10714" s="13" t="s">
        <v>24886</v>
      </c>
      <c r="C10714" s="14" t="s">
        <v>24887</v>
      </c>
      <c r="D10714" s="1" t="str">
        <f>IFERROR(__xludf.DUMMYFUNCTION("GOOGLETRANSLATE(A10714 , ""auto"", ""ar"")"),"مدينة البندقية أوف العشاق")</f>
        <v>مدينة البندقية أوف العشاق</v>
      </c>
    </row>
    <row r="10715" ht="15.75" customHeight="1">
      <c r="A10715" s="12" t="s">
        <v>24888</v>
      </c>
      <c r="B10715" s="13" t="s">
        <v>24889</v>
      </c>
      <c r="C10715" s="14" t="s">
        <v>24890</v>
      </c>
      <c r="D10715" s="1" t="str">
        <f>IFERROR(__xludf.DUMMYFUNCTION("GOOGLETRANSLATE(A10715 , ""auto"", ""ar"")"),"أريد زيارة المغرب")</f>
        <v>أريد زيارة المغرب</v>
      </c>
    </row>
    <row r="10716" ht="15.75" customHeight="1">
      <c r="A10716" s="12" t="s">
        <v>24891</v>
      </c>
      <c r="B10716" s="13" t="s">
        <v>24892</v>
      </c>
      <c r="C10716" s="14" t="s">
        <v>24893</v>
      </c>
      <c r="D10716" s="1" t="str">
        <f>IFERROR(__xludf.DUMMYFUNCTION("GOOGLETRANSLATE(A10716 , ""auto"", ""ar"")"),"انا اعيش في السعودية")</f>
        <v>انا اعيش في السعودية</v>
      </c>
    </row>
    <row r="10717" ht="15.75" customHeight="1">
      <c r="A10717" s="12" t="s">
        <v>24894</v>
      </c>
      <c r="B10717" s="13" t="s">
        <v>24895</v>
      </c>
      <c r="C10717" s="14" t="s">
        <v>24896</v>
      </c>
      <c r="D10717" s="1" t="str">
        <f>IFERROR(__xludf.DUMMYFUNCTION("GOOGLETRANSLATE(A10717 , ""auto"", ""ar"")"),"أنا أعيش في لبنان")</f>
        <v>أنا أعيش في لبنان</v>
      </c>
    </row>
    <row r="10718" ht="15.75" customHeight="1">
      <c r="A10718" s="12" t="s">
        <v>24897</v>
      </c>
      <c r="B10718" s="13" t="s">
        <v>24898</v>
      </c>
      <c r="C10718" s="14" t="s">
        <v>24899</v>
      </c>
      <c r="D10718" s="1" t="str">
        <f>IFERROR(__xludf.DUMMYFUNCTION("GOOGLETRANSLATE(A10718 , ""auto"", ""ar"")"),"أنا أعيش في قطر")</f>
        <v>أنا أعيش في قطر</v>
      </c>
    </row>
    <row r="10719" ht="15.75" customHeight="1">
      <c r="A10719" s="12" t="s">
        <v>24900</v>
      </c>
      <c r="B10719" s="13" t="s">
        <v>24901</v>
      </c>
      <c r="C10719" s="14" t="s">
        <v>24902</v>
      </c>
      <c r="D10719" s="1" t="str">
        <f>IFERROR(__xludf.DUMMYFUNCTION("GOOGLETRANSLATE(A10719 , ""auto"", ""ar"")"),"أنا أعيش في مصر")</f>
        <v>أنا أعيش في مصر</v>
      </c>
    </row>
    <row r="10720" ht="15.75" customHeight="1">
      <c r="A10720" s="12" t="s">
        <v>24903</v>
      </c>
      <c r="B10720" s="13" t="s">
        <v>24904</v>
      </c>
      <c r="C10720" s="14" t="s">
        <v>24905</v>
      </c>
      <c r="D10720" s="1" t="str">
        <f>IFERROR(__xludf.DUMMYFUNCTION("GOOGLETRANSLATE(A10720 , ""auto"", ""ar"")"),"انا اعيش في اسبانيا")</f>
        <v>انا اعيش في اسبانيا</v>
      </c>
    </row>
    <row r="10721" ht="15.75" customHeight="1">
      <c r="A10721" s="12" t="s">
        <v>24906</v>
      </c>
      <c r="B10721" s="13" t="s">
        <v>24907</v>
      </c>
      <c r="C10721" s="14" t="s">
        <v>24908</v>
      </c>
      <c r="D10721" s="1" t="str">
        <f>IFERROR(__xludf.DUMMYFUNCTION("GOOGLETRANSLATE(A10721 , ""auto"", ""ar"")"),"أنا أعيش في إيطاليا")</f>
        <v>أنا أعيش في إيطاليا</v>
      </c>
    </row>
    <row r="10722" ht="15.75" customHeight="1">
      <c r="A10722" s="12" t="s">
        <v>24909</v>
      </c>
      <c r="B10722" s="13" t="s">
        <v>24910</v>
      </c>
      <c r="C10722" s="14" t="s">
        <v>24911</v>
      </c>
      <c r="D10722" s="1" t="str">
        <f>IFERROR(__xludf.DUMMYFUNCTION("GOOGLETRANSLATE(A10722 , ""auto"", ""ar"")"),"أنا أسافر إلى الولايات المتحدة الأمريكية")</f>
        <v>أنا أسافر إلى الولايات المتحدة الأمريكية</v>
      </c>
    </row>
    <row r="10723" ht="15.75" customHeight="1">
      <c r="A10723" s="12" t="s">
        <v>24912</v>
      </c>
      <c r="B10723" s="13" t="s">
        <v>24913</v>
      </c>
      <c r="C10723" s="14" t="s">
        <v>24914</v>
      </c>
      <c r="D10723" s="1" t="str">
        <f>IFERROR(__xludf.DUMMYFUNCTION("GOOGLETRANSLATE(A10723 , ""auto"", ""ar"")"),"أنا أسافر إلى إنجلترا")</f>
        <v>أنا أسافر إلى إنجلترا</v>
      </c>
    </row>
    <row r="10724" ht="15.75" customHeight="1">
      <c r="A10724" s="12" t="s">
        <v>24915</v>
      </c>
      <c r="B10724" s="13" t="s">
        <v>24916</v>
      </c>
      <c r="C10724" s="14" t="s">
        <v>24917</v>
      </c>
      <c r="D10724" s="1" t="str">
        <f>IFERROR(__xludf.DUMMYFUNCTION("GOOGLETRANSLATE(A10724 , ""auto"", ""ar"")"),"أنا أسافر إلى تركيا")</f>
        <v>أنا أسافر إلى تركيا</v>
      </c>
    </row>
    <row r="10725" ht="15.75" customHeight="1">
      <c r="A10725" s="12" t="s">
        <v>24918</v>
      </c>
      <c r="B10725" s="13" t="s">
        <v>24919</v>
      </c>
      <c r="C10725" s="14" t="s">
        <v>24920</v>
      </c>
      <c r="D10725" s="1" t="str">
        <f>IFERROR(__xludf.DUMMYFUNCTION("GOOGLETRANSLATE(A10725 , ""auto"", ""ar"")"),"أنا أسافر إلى بلجيكا")</f>
        <v>أنا أسافر إلى بلجيكا</v>
      </c>
    </row>
    <row r="10726" ht="15.75" customHeight="1">
      <c r="A10726" s="12" t="s">
        <v>24921</v>
      </c>
      <c r="B10726" s="13" t="s">
        <v>24922</v>
      </c>
      <c r="C10726" s="14" t="s">
        <v>24923</v>
      </c>
      <c r="D10726" s="1" t="str">
        <f>IFERROR(__xludf.DUMMYFUNCTION("GOOGLETRANSLATE(A10726 , ""auto"", ""ar"")"),"احب البرازيل")</f>
        <v>احب البرازيل</v>
      </c>
    </row>
    <row r="10727" ht="15.75" customHeight="1">
      <c r="A10727" s="12" t="s">
        <v>24924</v>
      </c>
      <c r="B10727" s="13" t="s">
        <v>24925</v>
      </c>
      <c r="C10727" s="14" t="s">
        <v>24926</v>
      </c>
      <c r="D10727" s="1" t="str">
        <f>IFERROR(__xludf.DUMMYFUNCTION("GOOGLETRANSLATE(A10727 , ""auto"", ""ar"")"),"شهر العسل")</f>
        <v>شهر العسل</v>
      </c>
    </row>
    <row r="10728" ht="15.75" customHeight="1">
      <c r="A10728" s="12" t="s">
        <v>24927</v>
      </c>
      <c r="B10728" s="13" t="s">
        <v>24928</v>
      </c>
      <c r="C10728" s="14" t="s">
        <v>24929</v>
      </c>
      <c r="D10728" s="1" t="str">
        <f>IFERROR(__xludf.DUMMYFUNCTION("GOOGLETRANSLATE(A10728 , ""auto"", ""ar"")"),"اليابان في آسيا")</f>
        <v>اليابان في آسيا</v>
      </c>
    </row>
    <row r="10729" ht="15.75" customHeight="1">
      <c r="A10729" s="12" t="s">
        <v>24930</v>
      </c>
      <c r="B10729" s="13" t="s">
        <v>24931</v>
      </c>
      <c r="C10729" s="14" t="s">
        <v>24932</v>
      </c>
      <c r="D10729" s="1" t="str">
        <f>IFERROR(__xludf.DUMMYFUNCTION("GOOGLETRANSLATE(A10729 , ""auto"", ""ar"")"),"الهند في آسيا")</f>
        <v>الهند في آسيا</v>
      </c>
    </row>
    <row r="10730" ht="15.75" customHeight="1">
      <c r="A10730" s="12" t="s">
        <v>24933</v>
      </c>
      <c r="B10730" s="13" t="s">
        <v>24934</v>
      </c>
      <c r="C10730" s="14" t="s">
        <v>24935</v>
      </c>
      <c r="D10730" s="1" t="str">
        <f>IFERROR(__xludf.DUMMYFUNCTION("GOOGLETRANSLATE(A10730 , ""auto"", ""ar"")"),"لقد زرت آسيا")</f>
        <v>لقد زرت آسيا</v>
      </c>
    </row>
    <row r="10731" ht="15.75" customHeight="1">
      <c r="A10731" s="12" t="s">
        <v>24936</v>
      </c>
      <c r="B10731" s="13" t="s">
        <v>24937</v>
      </c>
      <c r="C10731" s="14" t="s">
        <v>24938</v>
      </c>
      <c r="D10731" s="1" t="str">
        <f>IFERROR(__xludf.DUMMYFUNCTION("GOOGLETRANSLATE(A10731 , ""auto"", ""ar"")"),"كثير من الناس يعيشون في آسيا")</f>
        <v>كثير من الناس يعيشون في آسيا</v>
      </c>
    </row>
    <row r="10732" ht="15.75" customHeight="1">
      <c r="A10732" s="12" t="s">
        <v>24939</v>
      </c>
      <c r="B10732" s="13" t="s">
        <v>24940</v>
      </c>
      <c r="C10732" s="14" t="s">
        <v>24941</v>
      </c>
      <c r="D10732" s="1" t="str">
        <f>IFERROR(__xludf.DUMMYFUNCTION("GOOGLETRANSLATE(A10732 , ""auto"", ""ar"")"),"انتقل إلى أوروبا")</f>
        <v>انتقل إلى أوروبا</v>
      </c>
    </row>
    <row r="10733" ht="15.75" customHeight="1">
      <c r="A10733" s="12" t="s">
        <v>24942</v>
      </c>
      <c r="B10733" s="13" t="s">
        <v>24943</v>
      </c>
      <c r="C10733" s="14" t="s">
        <v>24944</v>
      </c>
      <c r="D10733" s="1" t="str">
        <f>IFERROR(__xludf.DUMMYFUNCTION("GOOGLETRANSLATE(A10733 , ""auto"", ""ar"")"),"أوروبا في أزمة")</f>
        <v>أوروبا في أزمة</v>
      </c>
    </row>
    <row r="10734" ht="15.75" customHeight="1">
      <c r="A10734" s="12" t="s">
        <v>24945</v>
      </c>
      <c r="B10734" s="13" t="s">
        <v>24946</v>
      </c>
      <c r="C10734" s="14" t="s">
        <v>24947</v>
      </c>
      <c r="D10734" s="1" t="str">
        <f>IFERROR(__xludf.DUMMYFUNCTION("GOOGLETRANSLATE(A10734 , ""auto"", ""ar"")"),"ذهبت إلى أوروبا مرة واحدة")</f>
        <v>ذهبت إلى أوروبا مرة واحدة</v>
      </c>
    </row>
    <row r="10735" ht="15.75" customHeight="1">
      <c r="A10735" s="12" t="s">
        <v>24948</v>
      </c>
      <c r="B10735" s="13" t="s">
        <v>24949</v>
      </c>
      <c r="C10735" s="14" t="s">
        <v>24950</v>
      </c>
      <c r="D10735" s="1" t="str">
        <f>IFERROR(__xludf.DUMMYFUNCTION("GOOGLETRANSLATE(A10735 , ""auto"", ""ar"")"),"أنا لا أحب أوروبا")</f>
        <v>أنا لا أحب أوروبا</v>
      </c>
    </row>
    <row r="10736" ht="15.75" customHeight="1">
      <c r="A10736" s="12" t="s">
        <v>24951</v>
      </c>
      <c r="B10736" s="13" t="s">
        <v>24952</v>
      </c>
      <c r="C10736" s="14" t="s">
        <v>24953</v>
      </c>
      <c r="D10736" s="1" t="str">
        <f>IFERROR(__xludf.DUMMYFUNCTION("GOOGLETRANSLATE(A10736 , ""auto"", ""ar"")"),"أوروبا قارة")</f>
        <v>أوروبا قارة</v>
      </c>
    </row>
    <row r="10737" ht="15.75" customHeight="1">
      <c r="A10737" s="12" t="s">
        <v>24954</v>
      </c>
      <c r="B10737" s="13" t="s">
        <v>24955</v>
      </c>
      <c r="C10737" s="14" t="s">
        <v>24956</v>
      </c>
      <c r="D10737" s="1" t="str">
        <f>IFERROR(__xludf.DUMMYFUNCTION("GOOGLETRANSLATE(A10737 , ""auto"", ""ar"")"),"أوروبا ليست دولة")</f>
        <v>أوروبا ليست دولة</v>
      </c>
    </row>
    <row r="10738" ht="15.75" customHeight="1">
      <c r="A10738" s="12" t="s">
        <v>24954</v>
      </c>
      <c r="B10738" s="13" t="s">
        <v>24957</v>
      </c>
      <c r="C10738" s="14" t="s">
        <v>24958</v>
      </c>
      <c r="D10738" s="1" t="str">
        <f>IFERROR(__xludf.DUMMYFUNCTION("GOOGLETRANSLATE(A10738 , ""auto"", ""ar"")"),"أوروبا ليست دولة")</f>
        <v>أوروبا ليست دولة</v>
      </c>
    </row>
    <row r="10739" ht="15.75" customHeight="1">
      <c r="A10739" s="12" t="s">
        <v>24959</v>
      </c>
      <c r="B10739" s="13" t="s">
        <v>24960</v>
      </c>
      <c r="C10739" s="14" t="s">
        <v>24961</v>
      </c>
      <c r="D10739" s="1" t="str">
        <f>IFERROR(__xludf.DUMMYFUNCTION("GOOGLETRANSLATE(A10739 , ""auto"", ""ar"")"),"لقد كنت في جميع أنحاء أوروبا")</f>
        <v>لقد كنت في جميع أنحاء أوروبا</v>
      </c>
    </row>
    <row r="10740" ht="15.75" customHeight="1">
      <c r="A10740" s="12" t="s">
        <v>24962</v>
      </c>
      <c r="B10740" s="13" t="s">
        <v>24963</v>
      </c>
      <c r="C10740" s="14" t="s">
        <v>24964</v>
      </c>
      <c r="D10740" s="1" t="str">
        <f>IFERROR(__xludf.DUMMYFUNCTION("GOOGLETRANSLATE(A10740 , ""auto"", ""ar"")"),"زرت باريس")</f>
        <v>زرت باريس</v>
      </c>
    </row>
    <row r="10741" ht="15.75" customHeight="1">
      <c r="A10741" s="12" t="s">
        <v>24965</v>
      </c>
      <c r="B10741" s="13" t="s">
        <v>24966</v>
      </c>
      <c r="C10741" s="14" t="s">
        <v>24967</v>
      </c>
      <c r="D10741" s="1" t="str">
        <f>IFERROR(__xludf.DUMMYFUNCTION("GOOGLETRANSLATE(A10741 , ""auto"", ""ar"")"),"كانت أوروبا في حالة حرب")</f>
        <v>كانت أوروبا في حالة حرب</v>
      </c>
    </row>
    <row r="10742" ht="15.75" customHeight="1">
      <c r="A10742" s="12" t="s">
        <v>24968</v>
      </c>
      <c r="B10742" s="13" t="s">
        <v>24969</v>
      </c>
      <c r="C10742" s="14" t="s">
        <v>24970</v>
      </c>
      <c r="D10742" s="1" t="str">
        <f>IFERROR(__xludf.DUMMYFUNCTION("GOOGLETRANSLATE(A10742 , ""auto"", ""ar"")"),"هل سافرت في أوروبا؟")</f>
        <v>هل سافرت في أوروبا؟</v>
      </c>
    </row>
    <row r="10743" ht="15.75" customHeight="1">
      <c r="A10743" s="12" t="s">
        <v>24971</v>
      </c>
      <c r="B10743" s="13" t="s">
        <v>24972</v>
      </c>
      <c r="C10743" s="14" t="s">
        <v>24973</v>
      </c>
      <c r="D10743" s="1" t="str">
        <f>IFERROR(__xludf.DUMMYFUNCTION("GOOGLETRANSLATE(A10743 , ""auto"", ""ar"")"),"لقد زرت أوروبا مرتين")</f>
        <v>لقد زرت أوروبا مرتين</v>
      </c>
    </row>
    <row r="10744" ht="15.75" customHeight="1">
      <c r="A10744" s="12" t="s">
        <v>24974</v>
      </c>
      <c r="B10744" s="13" t="s">
        <v>24975</v>
      </c>
      <c r="C10744" s="14" t="s">
        <v>24976</v>
      </c>
      <c r="D10744" s="1" t="str">
        <f>IFERROR(__xludf.DUMMYFUNCTION("GOOGLETRANSLATE(A10744 , ""auto"", ""ar"")"),"لقد عدت للتو من ألمانيا")</f>
        <v>لقد عدت للتو من ألمانيا</v>
      </c>
    </row>
    <row r="10745" ht="15.75" customHeight="1">
      <c r="A10745" s="12" t="s">
        <v>24977</v>
      </c>
      <c r="B10745" s="13" t="s">
        <v>24978</v>
      </c>
      <c r="C10745" s="14" t="s">
        <v>24979</v>
      </c>
      <c r="D10745" s="1" t="str">
        <f>IFERROR(__xludf.DUMMYFUNCTION("GOOGLETRANSLATE(A10745 , ""auto"", ""ar"")"),"إلى أين تذهب إلى أوروبا؟")</f>
        <v>إلى أين تذهب إلى أوروبا؟</v>
      </c>
    </row>
    <row r="10746" ht="15.75" customHeight="1">
      <c r="A10746" s="12" t="s">
        <v>24980</v>
      </c>
      <c r="B10746" s="13" t="s">
        <v>24981</v>
      </c>
      <c r="C10746" s="14" t="s">
        <v>24982</v>
      </c>
      <c r="D10746" s="1" t="str">
        <f>IFERROR(__xludf.DUMMYFUNCTION("GOOGLETRANSLATE(A10746 , ""auto"", ""ar"")"),"ليس لدينا هذا في أوروبا")</f>
        <v>ليس لدينا هذا في أوروبا</v>
      </c>
    </row>
    <row r="10747" ht="15.75" customHeight="1">
      <c r="A10747" s="12" t="s">
        <v>24983</v>
      </c>
      <c r="B10747" s="13" t="s">
        <v>24984</v>
      </c>
      <c r="C10747" s="14" t="s">
        <v>24985</v>
      </c>
      <c r="D10747" s="1" t="str">
        <f>IFERROR(__xludf.DUMMYFUNCTION("GOOGLETRANSLATE(A10747 , ""auto"", ""ar"")"),"قررت ألا أذهب إلى أوروبا")</f>
        <v>قررت ألا أذهب إلى أوروبا</v>
      </c>
    </row>
    <row r="10748" ht="15.75" customHeight="1">
      <c r="A10748" s="12" t="s">
        <v>24986</v>
      </c>
      <c r="B10748" s="13" t="s">
        <v>24987</v>
      </c>
      <c r="C10748" s="14" t="s">
        <v>24988</v>
      </c>
      <c r="D10748" s="1" t="str">
        <f>IFERROR(__xludf.DUMMYFUNCTION("GOOGLETRANSLATE(A10748 , ""auto"", ""ar"")"),"أين تسافر هذا الصيف؟")</f>
        <v>أين تسافر هذا الصيف؟</v>
      </c>
    </row>
    <row r="10749" ht="15.75" customHeight="1">
      <c r="A10749" s="12" t="s">
        <v>24989</v>
      </c>
      <c r="B10749" s="13" t="s">
        <v>24990</v>
      </c>
      <c r="C10749" s="14" t="s">
        <v>24991</v>
      </c>
      <c r="D10749" s="1" t="str">
        <f>IFERROR(__xludf.DUMMYFUNCTION("GOOGLETRANSLATE(A10749 , ""auto"", ""ar"")"),"سافرنا مؤخرًا إلى أوروبا")</f>
        <v>سافرنا مؤخرًا إلى أوروبا</v>
      </c>
    </row>
    <row r="10750" ht="15.75" customHeight="1">
      <c r="A10750" s="12" t="s">
        <v>24992</v>
      </c>
      <c r="B10750" s="13" t="s">
        <v>24993</v>
      </c>
      <c r="C10750" s="14" t="s">
        <v>24994</v>
      </c>
      <c r="D10750" s="1" t="str">
        <f>IFERROR(__xludf.DUMMYFUNCTION("GOOGLETRANSLATE(A10750 , ""auto"", ""ar"")"),"سيعود قريبا")</f>
        <v>سيعود قريبا</v>
      </c>
    </row>
    <row r="10751" ht="15.75" customHeight="1">
      <c r="A10751" s="12" t="s">
        <v>24995</v>
      </c>
      <c r="B10751" s="13" t="s">
        <v>24996</v>
      </c>
      <c r="C10751" s="14" t="s">
        <v>24997</v>
      </c>
      <c r="D10751" s="1" t="str">
        <f>IFERROR(__xludf.DUMMYFUNCTION("GOOGLETRANSLATE(A10751 , ""auto"", ""ar"")"),"التقينا في سويسرا")</f>
        <v>التقينا في سويسرا</v>
      </c>
    </row>
    <row r="10752" ht="15.75" customHeight="1">
      <c r="A10752" s="12" t="s">
        <v>24998</v>
      </c>
      <c r="B10752" s="13" t="s">
        <v>24999</v>
      </c>
      <c r="C10752" s="14" t="s">
        <v>25000</v>
      </c>
      <c r="D10752" s="1" t="str">
        <f>IFERROR(__xludf.DUMMYFUNCTION("GOOGLETRANSLATE(A10752 , ""auto"", ""ar"")"),"ما هو مثل العيش في السويد؟")</f>
        <v>ما هو مثل العيش في السويد؟</v>
      </c>
    </row>
    <row r="10753" ht="15.75" customHeight="1">
      <c r="A10753" s="12" t="s">
        <v>25001</v>
      </c>
      <c r="B10753" s="13" t="s">
        <v>25002</v>
      </c>
      <c r="C10753" s="14" t="s">
        <v>25003</v>
      </c>
      <c r="D10753" s="1" t="str">
        <f>IFERROR(__xludf.DUMMYFUNCTION("GOOGLETRANSLATE(A10753 , ""auto"", ""ar"")"),"زارت روما")</f>
        <v>زارت روما</v>
      </c>
    </row>
    <row r="10754" ht="15.75" customHeight="1">
      <c r="A10754" s="12" t="s">
        <v>25004</v>
      </c>
      <c r="B10754" s="13" t="s">
        <v>25005</v>
      </c>
      <c r="C10754" s="14" t="s">
        <v>25006</v>
      </c>
      <c r="D10754" s="1" t="str">
        <f>IFERROR(__xludf.DUMMYFUNCTION("GOOGLETRANSLATE(A10754 , ""auto"", ""ar"")"),"كم مرة ذهبت إلى أوكرانيا؟")</f>
        <v>كم مرة ذهبت إلى أوكرانيا؟</v>
      </c>
    </row>
    <row r="10755" ht="15.75" customHeight="1">
      <c r="A10755" s="12" t="s">
        <v>25007</v>
      </c>
      <c r="B10755" s="13" t="s">
        <v>25008</v>
      </c>
      <c r="C10755" s="14" t="s">
        <v>25009</v>
      </c>
      <c r="D10755" s="1" t="str">
        <f>IFERROR(__xludf.DUMMYFUNCTION("GOOGLETRANSLATE(A10755 , ""auto"", ""ar"")"),"إفريقيا قارة كبيرة")</f>
        <v>إفريقيا قارة كبيرة</v>
      </c>
    </row>
    <row r="10756" ht="15.75" customHeight="1">
      <c r="A10756" s="12" t="s">
        <v>25010</v>
      </c>
      <c r="B10756" s="13" t="s">
        <v>25011</v>
      </c>
      <c r="C10756" s="14" t="s">
        <v>25012</v>
      </c>
      <c r="D10756" s="1" t="str">
        <f>IFERROR(__xludf.DUMMYFUNCTION("GOOGLETRANSLATE(A10756 , ""auto"", ""ar"")"),"إفريقيا في المنزل")</f>
        <v>إفريقيا في المنزل</v>
      </c>
    </row>
    <row r="10757" ht="15.75" customHeight="1">
      <c r="A10757" s="12" t="s">
        <v>25013</v>
      </c>
      <c r="B10757" s="13" t="s">
        <v>25014</v>
      </c>
      <c r="C10757" s="14" t="s">
        <v>25015</v>
      </c>
      <c r="D10757" s="1" t="str">
        <f>IFERROR(__xludf.DUMMYFUNCTION("GOOGLETRANSLATE(A10757 , ""auto"", ""ar"")"),"هو من أفريقيا")</f>
        <v>هو من أفريقيا</v>
      </c>
    </row>
    <row r="10758" ht="15.75" customHeight="1">
      <c r="A10758" s="12" t="s">
        <v>25016</v>
      </c>
      <c r="B10758" s="13" t="s">
        <v>25017</v>
      </c>
      <c r="C10758" s="14" t="s">
        <v>25018</v>
      </c>
      <c r="D10758" s="1" t="str">
        <f>IFERROR(__xludf.DUMMYFUNCTION("GOOGLETRANSLATE(A10758 , ""auto"", ""ar"")"),"أفريقيا ، أليس كذلك؟")</f>
        <v>أفريقيا ، أليس كذلك؟</v>
      </c>
    </row>
    <row r="10759" ht="15.75" customHeight="1">
      <c r="A10759" s="12" t="s">
        <v>25019</v>
      </c>
      <c r="B10759" s="13" t="s">
        <v>25020</v>
      </c>
      <c r="C10759" s="14" t="s">
        <v>25021</v>
      </c>
      <c r="D10759" s="1" t="str">
        <f>IFERROR(__xludf.DUMMYFUNCTION("GOOGLETRANSLATE(A10759 , ""auto"", ""ar"")"),"أفريقيا مزدهرة")</f>
        <v>أفريقيا مزدهرة</v>
      </c>
    </row>
    <row r="10760" ht="15.75" customHeight="1">
      <c r="A10760" s="12" t="s">
        <v>25022</v>
      </c>
      <c r="B10760" s="13" t="s">
        <v>25023</v>
      </c>
      <c r="C10760" s="14" t="s">
        <v>25024</v>
      </c>
      <c r="D10760" s="1" t="str">
        <f>IFERROR(__xludf.DUMMYFUNCTION("GOOGLETRANSLATE(A10760 , ""auto"", ""ar"")"),"كانوا في أفريقيا")</f>
        <v>كانوا في أفريقيا</v>
      </c>
    </row>
    <row r="10761" ht="15.75" customHeight="1">
      <c r="A10761" s="12" t="s">
        <v>25025</v>
      </c>
      <c r="B10761" s="13" t="s">
        <v>25026</v>
      </c>
      <c r="C10761" s="14" t="s">
        <v>25027</v>
      </c>
      <c r="D10761" s="1" t="str">
        <f>IFERROR(__xludf.DUMMYFUNCTION("GOOGLETRANSLATE(A10761 , ""auto"", ""ar"")"),"ولد في أفريقيا")</f>
        <v>ولد في أفريقيا</v>
      </c>
    </row>
    <row r="10762" ht="15.75" customHeight="1">
      <c r="A10762" s="12" t="s">
        <v>25025</v>
      </c>
      <c r="B10762" s="13" t="s">
        <v>25028</v>
      </c>
      <c r="C10762" s="14" t="s">
        <v>25029</v>
      </c>
      <c r="D10762" s="1" t="str">
        <f>IFERROR(__xludf.DUMMYFUNCTION("GOOGLETRANSLATE(A10762 , ""auto"", ""ar"")"),"ولد في أفريقيا")</f>
        <v>ولد في أفريقيا</v>
      </c>
    </row>
    <row r="10763" ht="15.75" customHeight="1">
      <c r="A10763" s="12" t="s">
        <v>25030</v>
      </c>
      <c r="B10763" s="13" t="s">
        <v>25031</v>
      </c>
      <c r="C10763" s="14" t="s">
        <v>25032</v>
      </c>
      <c r="D10763" s="1" t="str">
        <f>IFERROR(__xludf.DUMMYFUNCTION("GOOGLETRANSLATE(A10763 , ""auto"", ""ar"")"),"أنا من شمال إفريقيا")</f>
        <v>أنا من شمال إفريقيا</v>
      </c>
    </row>
    <row r="10764" ht="15.75" customHeight="1">
      <c r="A10764" s="12" t="s">
        <v>25033</v>
      </c>
      <c r="B10764" s="13" t="s">
        <v>25034</v>
      </c>
      <c r="C10764" s="14" t="s">
        <v>25035</v>
      </c>
      <c r="D10764" s="1" t="str">
        <f>IFERROR(__xludf.DUMMYFUNCTION("GOOGLETRANSLATE(A10764 , ""auto"", ""ar"")"),"والدي في أفريقيا")</f>
        <v>والدي في أفريقيا</v>
      </c>
    </row>
    <row r="10765" ht="15.75" customHeight="1">
      <c r="A10765" s="12" t="s">
        <v>25036</v>
      </c>
      <c r="B10765" s="13" t="s">
        <v>25037</v>
      </c>
      <c r="C10765" s="14" t="s">
        <v>25038</v>
      </c>
      <c r="D10765" s="1" t="str">
        <f>IFERROR(__xludf.DUMMYFUNCTION("GOOGLETRANSLATE(A10765 , ""auto"", ""ar"")"),"أفريقيا لديها 53 دولة")</f>
        <v>أفريقيا لديها 53 دولة</v>
      </c>
    </row>
    <row r="10766" ht="15.75" customHeight="1">
      <c r="A10766" s="12" t="s">
        <v>25039</v>
      </c>
      <c r="B10766" s="13" t="s">
        <v>25040</v>
      </c>
      <c r="C10766" s="14" t="s">
        <v>25041</v>
      </c>
      <c r="D10766" s="1" t="str">
        <f>IFERROR(__xludf.DUMMYFUNCTION("GOOGLETRANSLATE(A10766 , ""auto"", ""ar"")"),"إفريقيا هي المستقبل")</f>
        <v>إفريقيا هي المستقبل</v>
      </c>
    </row>
    <row r="10767" ht="15.75" customHeight="1">
      <c r="A10767" s="12" t="s">
        <v>25042</v>
      </c>
      <c r="B10767" s="13" t="s">
        <v>25043</v>
      </c>
      <c r="C10767" s="14" t="s">
        <v>25044</v>
      </c>
      <c r="D10767" s="1" t="str">
        <f>IFERROR(__xludf.DUMMYFUNCTION("GOOGLETRANSLATE(A10767 , ""auto"", ""ar"")"),"يريد الذهاب إلى إفريقيا")</f>
        <v>يريد الذهاب إلى إفريقيا</v>
      </c>
    </row>
    <row r="10768" ht="15.75" customHeight="1">
      <c r="A10768" s="12" t="s">
        <v>25045</v>
      </c>
      <c r="B10768" s="13" t="s">
        <v>25046</v>
      </c>
      <c r="C10768" s="14" t="s">
        <v>25047</v>
      </c>
      <c r="D10768" s="1" t="str">
        <f>IFERROR(__xludf.DUMMYFUNCTION("GOOGLETRANSLATE(A10768 , ""auto"", ""ar"")"),"تقع تونس في شمال إفريقيا")</f>
        <v>تقع تونس في شمال إفريقيا</v>
      </c>
    </row>
    <row r="10769" ht="15.75" customHeight="1">
      <c r="A10769" s="12" t="s">
        <v>25048</v>
      </c>
      <c r="B10769" s="13" t="s">
        <v>25049</v>
      </c>
      <c r="C10769" s="14" t="s">
        <v>25050</v>
      </c>
      <c r="D10769" s="1" t="str">
        <f>IFERROR(__xludf.DUMMYFUNCTION("GOOGLETRANSLATE(A10769 , ""auto"", ""ar"")"),"إفريقيا قارة كبيرة")</f>
        <v>إفريقيا قارة كبيرة</v>
      </c>
    </row>
    <row r="10770" ht="15.75" customHeight="1">
      <c r="A10770" s="12" t="s">
        <v>25051</v>
      </c>
      <c r="B10770" s="13" t="s">
        <v>25052</v>
      </c>
      <c r="C10770" s="14" t="s">
        <v>25053</v>
      </c>
      <c r="D10770" s="1" t="str">
        <f>IFERROR(__xludf.DUMMYFUNCTION("GOOGLETRANSLATE(A10770 , ""auto"", ""ar"")"),"البحر الأحمر")</f>
        <v>البحر الأحمر</v>
      </c>
    </row>
    <row r="10771" ht="15.75" customHeight="1">
      <c r="A10771" s="12" t="s">
        <v>25054</v>
      </c>
      <c r="B10771" s="13" t="s">
        <v>25055</v>
      </c>
      <c r="C10771" s="14" t="s">
        <v>25056</v>
      </c>
      <c r="D10771" s="1" t="str">
        <f>IFERROR(__xludf.DUMMYFUNCTION("GOOGLETRANSLATE(A10771 , ""auto"", ""ar"")"),"قضى طفولته في أفريقيا")</f>
        <v>قضى طفولته في أفريقيا</v>
      </c>
    </row>
    <row r="10772" ht="15.75" customHeight="1">
      <c r="A10772" s="12" t="s">
        <v>25057</v>
      </c>
      <c r="B10772" s="13" t="s">
        <v>25058</v>
      </c>
      <c r="C10772" s="14" t="s">
        <v>25059</v>
      </c>
      <c r="D10772" s="1" t="str">
        <f>IFERROR(__xludf.DUMMYFUNCTION("GOOGLETRANSLATE(A10772 , ""auto"", ""ar"")"),"أرسلوه إلى أمريكا الشمالية")</f>
        <v>أرسلوه إلى أمريكا الشمالية</v>
      </c>
    </row>
    <row r="10773" ht="15.75" customHeight="1">
      <c r="A10773" s="12" t="s">
        <v>25060</v>
      </c>
      <c r="B10773" s="13" t="s">
        <v>25061</v>
      </c>
      <c r="C10773" s="14" t="s">
        <v>25062</v>
      </c>
      <c r="D10773" s="1" t="str">
        <f>IFERROR(__xludf.DUMMYFUNCTION("GOOGLETRANSLATE(A10773 , ""auto"", ""ar"")"),"يقع المكسيك في أمريكا الشمالية")</f>
        <v>يقع المكسيك في أمريكا الشمالية</v>
      </c>
    </row>
    <row r="10774" ht="15.75" customHeight="1">
      <c r="A10774" s="12" t="s">
        <v>25063</v>
      </c>
      <c r="B10774" s="13" t="s">
        <v>25064</v>
      </c>
      <c r="C10774" s="14" t="s">
        <v>25065</v>
      </c>
      <c r="D10774" s="1" t="str">
        <f>IFERROR(__xludf.DUMMYFUNCTION("GOOGLETRANSLATE(A10774 , ""auto"", ""ar"")"),"تقع كندا في أمريكا الشمالية")</f>
        <v>تقع كندا في أمريكا الشمالية</v>
      </c>
    </row>
    <row r="10775" ht="15.75" customHeight="1">
      <c r="A10775" s="12" t="s">
        <v>25066</v>
      </c>
      <c r="B10775" s="13" t="s">
        <v>25067</v>
      </c>
      <c r="C10775" s="14" t="s">
        <v>25068</v>
      </c>
      <c r="D10775" s="1" t="str">
        <f>IFERROR(__xludf.DUMMYFUNCTION("GOOGLETRANSLATE(A10775 , ""auto"", ""ar"")"),"عمي يسافر")</f>
        <v>عمي يسافر</v>
      </c>
    </row>
    <row r="10776" ht="15.75" customHeight="1">
      <c r="A10776" s="12" t="s">
        <v>25069</v>
      </c>
      <c r="B10776" s="13" t="s">
        <v>25070</v>
      </c>
      <c r="C10776" s="14" t="s">
        <v>25071</v>
      </c>
      <c r="D10776" s="1" t="str">
        <f>IFERROR(__xludf.DUMMYFUNCTION("GOOGLETRANSLATE(A10776 , ""auto"", ""ar"")"),"الكثير لرؤيته في أمريكا الجنوبية")</f>
        <v>الكثير لرؤيته في أمريكا الجنوبية</v>
      </c>
    </row>
    <row r="10777" ht="15.75" customHeight="1">
      <c r="A10777" s="12" t="s">
        <v>25072</v>
      </c>
      <c r="B10777" s="13" t="s">
        <v>25073</v>
      </c>
      <c r="C10777" s="14" t="s">
        <v>25074</v>
      </c>
      <c r="D10777" s="1" t="str">
        <f>IFERROR(__xludf.DUMMYFUNCTION("GOOGLETRANSLATE(A10777 , ""auto"", ""ar"")"),"هذا هو المحيط الهادئ")</f>
        <v>هذا هو المحيط الهادئ</v>
      </c>
    </row>
    <row r="10778" ht="15.75" customHeight="1">
      <c r="A10778" s="12" t="s">
        <v>25075</v>
      </c>
      <c r="B10778" s="13" t="s">
        <v>25076</v>
      </c>
      <c r="C10778" s="14" t="s">
        <v>25077</v>
      </c>
      <c r="D10778" s="1" t="str">
        <f>IFERROR(__xludf.DUMMYFUNCTION("GOOGLETRANSLATE(A10778 , ""auto"", ""ar"")"),"المحيط الأطلسي هائل")</f>
        <v>المحيط الأطلسي هائل</v>
      </c>
    </row>
    <row r="10779" ht="15.75" customHeight="1">
      <c r="A10779" s="12" t="s">
        <v>25078</v>
      </c>
      <c r="B10779" s="13" t="s">
        <v>25079</v>
      </c>
      <c r="C10779" s="14" t="s">
        <v>25080</v>
      </c>
      <c r="D10779" s="1" t="str">
        <f>IFERROR(__xludf.DUMMYFUNCTION("GOOGLETRANSLATE(A10779 , ""auto"", ""ar"")"),"المحيط الهندي في جنوب آسيا")</f>
        <v>المحيط الهندي في جنوب آسيا</v>
      </c>
    </row>
    <row r="10780" ht="15.75" customHeight="1">
      <c r="A10780" s="12" t="s">
        <v>25081</v>
      </c>
      <c r="B10780" s="13" t="s">
        <v>25082</v>
      </c>
      <c r="C10780" s="14" t="s">
        <v>25083</v>
      </c>
      <c r="D10780" s="1" t="str">
        <f>IFERROR(__xludf.DUMMYFUNCTION("GOOGLETRANSLATE(A10780 , ""auto"", ""ar"")"),"المحيط المتجمد الشمالي")</f>
        <v>المحيط المتجمد الشمالي</v>
      </c>
    </row>
    <row r="10781" ht="15.75" customHeight="1">
      <c r="A10781" s="12" t="s">
        <v>25084</v>
      </c>
      <c r="B10781" s="13" t="s">
        <v>25085</v>
      </c>
      <c r="C10781" s="14" t="s">
        <v>25086</v>
      </c>
      <c r="D10781" s="1" t="str">
        <f>IFERROR(__xludf.DUMMYFUNCTION("GOOGLETRANSLATE(A10781 , ""auto"", ""ar"")"),"انا مسلم")</f>
        <v>انا مسلم</v>
      </c>
    </row>
    <row r="10782" ht="15.75" customHeight="1">
      <c r="A10782" s="12" t="s">
        <v>25087</v>
      </c>
      <c r="B10782" s="13" t="s">
        <v>25088</v>
      </c>
      <c r="C10782" s="14" t="s">
        <v>25089</v>
      </c>
      <c r="D10782" s="1" t="str">
        <f>IFERROR(__xludf.DUMMYFUNCTION("GOOGLETRANSLATE(A10782 , ""auto"", ""ar"")"),"أنا مسيحي")</f>
        <v>أنا مسيحي</v>
      </c>
    </row>
    <row r="10783" ht="15.75" customHeight="1">
      <c r="A10783" s="12" t="s">
        <v>25090</v>
      </c>
      <c r="B10783" s="13" t="s">
        <v>25091</v>
      </c>
      <c r="C10783" s="14" t="s">
        <v>25092</v>
      </c>
      <c r="D10783" s="1" t="str">
        <f>IFERROR(__xludf.DUMMYFUNCTION("GOOGLETRANSLATE(A10783 , ""auto"", ""ar"")"),"أنا يهودي")</f>
        <v>أنا يهودي</v>
      </c>
    </row>
    <row r="10784" ht="15.75" customHeight="1">
      <c r="A10784" s="12" t="s">
        <v>25093</v>
      </c>
      <c r="B10784" s="13" t="s">
        <v>25094</v>
      </c>
      <c r="C10784" s="14" t="s">
        <v>25095</v>
      </c>
      <c r="D10784" s="1" t="str">
        <f>IFERROR(__xludf.DUMMYFUNCTION("GOOGLETRANSLATE(A10784 , ""auto"", ""ar"")"),"ليس لدي أي دين")</f>
        <v>ليس لدي أي دين</v>
      </c>
    </row>
    <row r="10785" ht="15.75" customHeight="1">
      <c r="A10785" s="12" t="s">
        <v>25096</v>
      </c>
      <c r="B10785" s="13" t="s">
        <v>25097</v>
      </c>
      <c r="C10785" s="14" t="s">
        <v>25098</v>
      </c>
      <c r="D10785" s="1" t="str">
        <f>IFERROR(__xludf.DUMMYFUNCTION("GOOGLETRANSLATE(A10785 , ""auto"", ""ar"")"),"أنا أؤمن بالله")</f>
        <v>أنا أؤمن بالله</v>
      </c>
    </row>
    <row r="10786" ht="15.75" customHeight="1">
      <c r="A10786" s="12" t="s">
        <v>25099</v>
      </c>
      <c r="B10786" s="13" t="s">
        <v>25100</v>
      </c>
      <c r="C10786" s="14" t="s">
        <v>25101</v>
      </c>
      <c r="D10786" s="1" t="str">
        <f>IFERROR(__xludf.DUMMYFUNCTION("GOOGLETRANSLATE(A10786 , ""auto"", ""ar"")"),"أنا ملحد")</f>
        <v>أنا ملحد</v>
      </c>
    </row>
    <row r="10787" ht="15.75" customHeight="1">
      <c r="A10787" s="12" t="s">
        <v>25102</v>
      </c>
      <c r="B10787" s="13" t="s">
        <v>25103</v>
      </c>
      <c r="C10787" s="14" t="s">
        <v>25104</v>
      </c>
      <c r="D10787" s="1" t="str">
        <f>IFERROR(__xludf.DUMMYFUNCTION("GOOGLETRANSLATE(A10787 , ""auto"", ""ar"")"),"أنا شخص متدين")</f>
        <v>أنا شخص متدين</v>
      </c>
    </row>
    <row r="10788" ht="15.75" customHeight="1">
      <c r="A10788" s="12" t="s">
        <v>25105</v>
      </c>
      <c r="B10788" s="13" t="s">
        <v>25106</v>
      </c>
      <c r="C10788" s="14" t="s">
        <v>25107</v>
      </c>
      <c r="D10788" s="1" t="str">
        <f>IFERROR(__xludf.DUMMYFUNCTION("GOOGLETRANSLATE(A10788 , ""auto"", ""ar"")"),"إنه ضد ديني")</f>
        <v>إنه ضد ديني</v>
      </c>
    </row>
    <row r="10789" ht="15.75" customHeight="1">
      <c r="A10789" s="12" t="s">
        <v>25108</v>
      </c>
      <c r="B10789" s="13" t="s">
        <v>25109</v>
      </c>
      <c r="C10789" s="14" t="s">
        <v>25110</v>
      </c>
      <c r="D10789" s="1" t="str">
        <f>IFERROR(__xludf.DUMMYFUNCTION("GOOGLETRANSLATE(A10789 , ""auto"", ""ar"")"),"هل تؤمن بأي دين؟")</f>
        <v>هل تؤمن بأي دين؟</v>
      </c>
    </row>
    <row r="10790" ht="15.75" customHeight="1">
      <c r="A10790" s="12" t="s">
        <v>25111</v>
      </c>
      <c r="B10790" s="13" t="s">
        <v>25112</v>
      </c>
      <c r="C10790" s="14" t="s">
        <v>25113</v>
      </c>
      <c r="D10790" s="1" t="str">
        <f>IFERROR(__xludf.DUMMYFUNCTION("GOOGLETRANSLATE(A10790 , ""auto"", ""ar"")"),"لا بد لي من الذهاب إلى المسجد")</f>
        <v>لا بد لي من الذهاب إلى المسجد</v>
      </c>
    </row>
    <row r="10791" ht="15.75" customHeight="1">
      <c r="A10791" s="12" t="s">
        <v>25114</v>
      </c>
      <c r="B10791" s="13" t="s">
        <v>25115</v>
      </c>
      <c r="C10791" s="14" t="s">
        <v>25116</v>
      </c>
      <c r="D10791" s="1" t="str">
        <f>IFERROR(__xludf.DUMMYFUNCTION("GOOGLETRANSLATE(A10791 , ""auto"", ""ar"")"),"أخذتهم إلى المسجد")</f>
        <v>أخذتهم إلى المسجد</v>
      </c>
    </row>
    <row r="10792" ht="15.75" customHeight="1">
      <c r="A10792" s="12" t="s">
        <v>25117</v>
      </c>
      <c r="B10792" s="13" t="s">
        <v>25118</v>
      </c>
      <c r="C10792" s="14" t="s">
        <v>25119</v>
      </c>
      <c r="D10792" s="1" t="str">
        <f>IFERROR(__xludf.DUMMYFUNCTION("GOOGLETRANSLATE(A10792 , ""auto"", ""ar"")"),"هذا المسجد يحتاج إلى إمام جديد")</f>
        <v>هذا المسجد يحتاج إلى إمام جديد</v>
      </c>
    </row>
    <row r="10793" ht="15.75" customHeight="1">
      <c r="A10793" s="12" t="s">
        <v>25120</v>
      </c>
      <c r="B10793" s="13" t="s">
        <v>25121</v>
      </c>
      <c r="C10793" s="14" t="s">
        <v>25122</v>
      </c>
      <c r="D10793" s="1" t="str">
        <f>IFERROR(__xludf.DUMMYFUNCTION("GOOGLETRANSLATE(A10793 , ""auto"", ""ar"")"),"ولكن هناك مسجد واحد فقط")</f>
        <v>ولكن هناك مسجد واحد فقط</v>
      </c>
    </row>
    <row r="10794" ht="15.75" customHeight="1">
      <c r="A10794" s="12" t="s">
        <v>25123</v>
      </c>
      <c r="B10794" s="13" t="s">
        <v>25124</v>
      </c>
      <c r="C10794" s="14" t="s">
        <v>25125</v>
      </c>
      <c r="D10794" s="1" t="str">
        <f>IFERROR(__xludf.DUMMYFUNCTION("GOOGLETRANSLATE(A10794 , ""auto"", ""ar"")"),"ذهبوا إلى المسجد للصلاة")</f>
        <v>ذهبوا إلى المسجد للصلاة</v>
      </c>
    </row>
    <row r="10795" ht="15.75" customHeight="1">
      <c r="A10795" s="12" t="s">
        <v>25126</v>
      </c>
      <c r="B10795" s="13" t="s">
        <v>25127</v>
      </c>
      <c r="C10795" s="14" t="s">
        <v>25128</v>
      </c>
      <c r="D10795" s="1" t="str">
        <f>IFERROR(__xludf.DUMMYFUNCTION("GOOGLETRANSLATE(A10795 , ""auto"", ""ar"")"),"هل سبق لك أن صليت في مسجد؟")</f>
        <v>هل سبق لك أن صليت في مسجد؟</v>
      </c>
    </row>
    <row r="10796" ht="15.75" customHeight="1">
      <c r="A10796" s="12" t="s">
        <v>25129</v>
      </c>
      <c r="B10796" s="13" t="s">
        <v>25130</v>
      </c>
      <c r="C10796" s="14" t="s">
        <v>25131</v>
      </c>
      <c r="D10796" s="1" t="str">
        <f>IFERROR(__xludf.DUMMYFUNCTION("GOOGLETRANSLATE(A10796 , ""auto"", ""ar"")"),"هذا مسجد قديم")</f>
        <v>هذا مسجد قديم</v>
      </c>
    </row>
    <row r="10797" ht="15.75" customHeight="1">
      <c r="A10797" s="12" t="s">
        <v>25132</v>
      </c>
      <c r="B10797" s="13" t="s">
        <v>25133</v>
      </c>
      <c r="C10797" s="14" t="s">
        <v>25134</v>
      </c>
      <c r="D10797" s="1" t="str">
        <f>IFERROR(__xludf.DUMMYFUNCTION("GOOGLETRANSLATE(A10797 , ""auto"", ""ar"")"),"التقويم الإسلامي")</f>
        <v>التقويم الإسلامي</v>
      </c>
    </row>
    <row r="10798" ht="15.75" customHeight="1">
      <c r="A10798" s="12" t="s">
        <v>25135</v>
      </c>
      <c r="B10798" s="13" t="s">
        <v>25136</v>
      </c>
      <c r="C10798" s="14" t="s">
        <v>25137</v>
      </c>
      <c r="D10798" s="1" t="str">
        <f>IFERROR(__xludf.DUMMYFUNCTION("GOOGLETRANSLATE(A10798 , ""auto"", ""ar"")"),"كل مسلم يصيح خلال رمضان")</f>
        <v>كل مسلم يصيح خلال رمضان</v>
      </c>
    </row>
    <row r="10799" ht="15.75" customHeight="1">
      <c r="A10799" s="12" t="s">
        <v>25138</v>
      </c>
      <c r="B10799" s="13" t="s">
        <v>25139</v>
      </c>
      <c r="C10799" s="14" t="s">
        <v>25140</v>
      </c>
      <c r="D10799" s="1" t="str">
        <f>IFERROR(__xludf.DUMMYFUNCTION("GOOGLETRANSLATE(A10799 , ""auto"", ""ar"")"),"الصيام هو أفضل دواء")</f>
        <v>الصيام هو أفضل دواء</v>
      </c>
    </row>
    <row r="10800" ht="15.75" customHeight="1">
      <c r="A10800" s="12" t="s">
        <v>25141</v>
      </c>
      <c r="B10800" s="13" t="s">
        <v>25142</v>
      </c>
      <c r="C10800" s="14" t="s">
        <v>25143</v>
      </c>
      <c r="D10800" s="1" t="str">
        <f>IFERROR(__xludf.DUMMYFUNCTION("GOOGLETRANSLATE(A10800 , ""auto"", ""ar"")"),"لا تحريف كلماتي")</f>
        <v>لا تحريف كلماتي</v>
      </c>
    </row>
    <row r="10801" ht="15.75" customHeight="1">
      <c r="A10801" s="12" t="s">
        <v>25144</v>
      </c>
      <c r="B10801" s="13" t="s">
        <v>25145</v>
      </c>
      <c r="C10801" s="14" t="s">
        <v>25146</v>
      </c>
      <c r="D10801" s="1" t="str">
        <f>IFERROR(__xludf.DUMMYFUNCTION("GOOGLETRANSLATE(A10801 , ""auto"", ""ar"")"),"دعني انتهي")</f>
        <v>دعني انتهي</v>
      </c>
    </row>
    <row r="10802" ht="15.75" customHeight="1">
      <c r="A10802" s="12" t="s">
        <v>25147</v>
      </c>
      <c r="B10802" s="13" t="s">
        <v>25148</v>
      </c>
      <c r="C10802" s="14" t="s">
        <v>25149</v>
      </c>
      <c r="D10802" s="1" t="str">
        <f>IFERROR(__xludf.DUMMYFUNCTION("GOOGLETRANSLATE(A10802 , ""auto"", ""ar"")"),"لا تقاطعني")</f>
        <v>لا تقاطعني</v>
      </c>
    </row>
    <row r="10803" ht="15.75" customHeight="1">
      <c r="A10803" s="12" t="s">
        <v>25150</v>
      </c>
      <c r="B10803" s="13" t="s">
        <v>25151</v>
      </c>
      <c r="C10803" s="14" t="s">
        <v>25152</v>
      </c>
      <c r="D10803" s="1" t="str">
        <f>IFERROR(__xludf.DUMMYFUNCTION("GOOGLETRANSLATE(A10803 , ""auto"", ""ar"")"),"لم أنتهي بعد")</f>
        <v>لم أنتهي بعد</v>
      </c>
    </row>
    <row r="10804" ht="15.75" customHeight="1">
      <c r="A10804" s="12" t="s">
        <v>25153</v>
      </c>
      <c r="B10804" s="13" t="s">
        <v>25154</v>
      </c>
      <c r="C10804" s="14" t="s">
        <v>25155</v>
      </c>
      <c r="D10804" s="1" t="str">
        <f>IFERROR(__xludf.DUMMYFUNCTION("GOOGLETRANSLATE(A10804 , ""auto"", ""ar"")"),"أنا عطشان")</f>
        <v>أنا عطشان</v>
      </c>
    </row>
    <row r="10805" ht="15.75" customHeight="1">
      <c r="A10805" s="12" t="s">
        <v>25156</v>
      </c>
      <c r="B10805" s="13" t="s">
        <v>25157</v>
      </c>
      <c r="C10805" s="14" t="s">
        <v>25158</v>
      </c>
      <c r="D10805" s="1" t="str">
        <f>IFERROR(__xludf.DUMMYFUNCTION("GOOGLETRANSLATE(A10805 , ""auto"", ""ar"")"),"دعها تمر")</f>
        <v>دعها تمر</v>
      </c>
    </row>
    <row r="10806" ht="15.75" customHeight="1">
      <c r="A10806" s="12" t="s">
        <v>25159</v>
      </c>
      <c r="B10806" s="13" t="s">
        <v>25160</v>
      </c>
      <c r="C10806" s="14" t="s">
        <v>25161</v>
      </c>
      <c r="D10806" s="1" t="str">
        <f>IFERROR(__xludf.DUMMYFUNCTION("GOOGLETRANSLATE(A10806 , ""auto"", ""ar"")"),"إنه ليس أنت إنه أنا")</f>
        <v>إنه ليس أنت إنه أنا</v>
      </c>
    </row>
    <row r="10807" ht="15.75" customHeight="1">
      <c r="A10807" s="12" t="s">
        <v>25162</v>
      </c>
      <c r="B10807" s="13" t="s">
        <v>25163</v>
      </c>
      <c r="C10807" s="14" t="s">
        <v>25164</v>
      </c>
      <c r="D10807" s="1" t="str">
        <f>IFERROR(__xludf.DUMMYFUNCTION("GOOGLETRANSLATE(A10807 , ""auto"", ""ar"")"),"أعتقد أننا يجب أن نقسم")</f>
        <v>أعتقد أننا يجب أن نقسم</v>
      </c>
    </row>
    <row r="10808" ht="15.75" customHeight="1">
      <c r="A10808" s="12" t="s">
        <v>25165</v>
      </c>
      <c r="B10808" s="13" t="s">
        <v>25166</v>
      </c>
      <c r="C10808" s="14" t="s">
        <v>25167</v>
      </c>
      <c r="D10808" s="1" t="str">
        <f>IFERROR(__xludf.DUMMYFUNCTION("GOOGLETRANSLATE(A10808 , ""auto"", ""ar"")"),"يجب أن نتوقف عن رؤية بعضنا البعض")</f>
        <v>يجب أن نتوقف عن رؤية بعضنا البعض</v>
      </c>
    </row>
    <row r="10809" ht="15.75" customHeight="1">
      <c r="A10809" s="12" t="s">
        <v>25168</v>
      </c>
      <c r="B10809" s="13" t="s">
        <v>25169</v>
      </c>
      <c r="C10809" s="14" t="s">
        <v>25170</v>
      </c>
      <c r="D10809" s="1" t="str">
        <f>IFERROR(__xludf.DUMMYFUNCTION("GOOGLETRANSLATE(A10809 , ""auto"", ""ar"")"),"لا تصنع مشهدًا")</f>
        <v>لا تصنع مشهدًا</v>
      </c>
    </row>
    <row r="10810" ht="15.75" customHeight="1">
      <c r="A10810" s="12" t="s">
        <v>25171</v>
      </c>
      <c r="B10810" s="13" t="s">
        <v>25172</v>
      </c>
      <c r="C10810" s="14" t="s">
        <v>25173</v>
      </c>
      <c r="D10810" s="1" t="str">
        <f>IFERROR(__xludf.DUMMYFUNCTION("GOOGLETRANSLATE(A10810 , ""auto"", ""ar"")"),"لا تجعل صفقة كبيرة")</f>
        <v>لا تجعل صفقة كبيرة</v>
      </c>
    </row>
    <row r="10811" ht="15.75" customHeight="1">
      <c r="A10811" s="12" t="s">
        <v>25174</v>
      </c>
      <c r="B10811" s="13" t="s">
        <v>25175</v>
      </c>
      <c r="C10811" s="14" t="s">
        <v>25176</v>
      </c>
      <c r="D10811" s="1" t="str">
        <f>IFERROR(__xludf.DUMMYFUNCTION("GOOGLETRANSLATE(A10811 , ""auto"", ""ar"")"),"أنت لا مثيل لك")</f>
        <v>أنت لا مثيل لك</v>
      </c>
    </row>
    <row r="10812" ht="15.75" customHeight="1">
      <c r="A10812" s="12" t="s">
        <v>25177</v>
      </c>
      <c r="B10812" s="13" t="s">
        <v>25178</v>
      </c>
      <c r="C10812" s="14" t="s">
        <v>25179</v>
      </c>
      <c r="D10812" s="1" t="str">
        <f>IFERROR(__xludf.DUMMYFUNCTION("GOOGLETRANSLATE(A10812 , ""auto"", ""ar"")"),"أنت لا شيء")</f>
        <v>أنت لا شيء</v>
      </c>
    </row>
    <row r="10813" ht="15.75" customHeight="1">
      <c r="A10813" s="12" t="s">
        <v>25180</v>
      </c>
      <c r="B10813" s="13" t="s">
        <v>25181</v>
      </c>
      <c r="C10813" s="14" t="s">
        <v>25182</v>
      </c>
      <c r="D10813" s="1" t="str">
        <f>IFERROR(__xludf.DUMMYFUNCTION("GOOGLETRANSLATE(A10813 , ""auto"", ""ar"")"),"أنت خارج هذا العالم")</f>
        <v>أنت خارج هذا العالم</v>
      </c>
    </row>
    <row r="10814" ht="15.75" customHeight="1">
      <c r="A10814" s="12" t="s">
        <v>25183</v>
      </c>
      <c r="B10814" s="13" t="s">
        <v>25184</v>
      </c>
      <c r="C10814" s="14" t="s">
        <v>25185</v>
      </c>
      <c r="D10814" s="1" t="str">
        <f>IFERROR(__xludf.DUMMYFUNCTION("GOOGLETRANSLATE(A10814 , ""auto"", ""ar"")"),"انه بصق")</f>
        <v>انه بصق</v>
      </c>
    </row>
    <row r="10815" ht="15.75" customHeight="1">
      <c r="A10815" s="12" t="s">
        <v>25186</v>
      </c>
      <c r="B10815" s="13" t="s">
        <v>25187</v>
      </c>
      <c r="C10815" s="14" t="s">
        <v>25188</v>
      </c>
      <c r="D10815" s="1" t="str">
        <f>IFERROR(__xludf.DUMMYFUNCTION("GOOGLETRANSLATE(A10815 , ""auto"", ""ar"")"),"انها تمطر")</f>
        <v>انها تمطر</v>
      </c>
    </row>
    <row r="10816" ht="15.75" customHeight="1">
      <c r="A10816" s="12" t="s">
        <v>25189</v>
      </c>
      <c r="B10816" s="13" t="s">
        <v>25190</v>
      </c>
      <c r="C10816" s="14" t="s">
        <v>25191</v>
      </c>
      <c r="D10816" s="1" t="str">
        <f>IFERROR(__xludf.DUMMYFUNCTION("GOOGLETRANSLATE(A10816 , ""auto"", ""ar"")"),"انها تمطر بغزارة")</f>
        <v>انها تمطر بغزارة</v>
      </c>
    </row>
    <row r="10817" ht="15.75" customHeight="1">
      <c r="A10817" s="12" t="s">
        <v>25192</v>
      </c>
      <c r="B10817" s="13" t="s">
        <v>25193</v>
      </c>
      <c r="C10817" s="14" t="s">
        <v>25194</v>
      </c>
      <c r="D10817" s="1" t="str">
        <f>IFERROR(__xludf.DUMMYFUNCTION("GOOGLETRANSLATE(A10817 , ""auto"", ""ar"")"),"لقد رطبت")</f>
        <v>لقد رطبت</v>
      </c>
    </row>
    <row r="10818" ht="15.75" customHeight="1">
      <c r="A10818" s="12" t="s">
        <v>25195</v>
      </c>
      <c r="B10818" s="13" t="s">
        <v>25196</v>
      </c>
      <c r="C10818" s="14" t="s">
        <v>25197</v>
      </c>
      <c r="D10818" s="1" t="str">
        <f>IFERROR(__xludf.DUMMYFUNCTION("GOOGLETRANSLATE(A10818 , ""auto"", ""ar"")"),"إنهم يدعون المطر")</f>
        <v>إنهم يدعون المطر</v>
      </c>
    </row>
    <row r="10819" ht="15.75" customHeight="1">
      <c r="A10819" s="12" t="s">
        <v>25198</v>
      </c>
      <c r="B10819" s="13" t="s">
        <v>25199</v>
      </c>
      <c r="C10819" s="14" t="s">
        <v>25200</v>
      </c>
      <c r="D10819" s="1" t="str">
        <f>IFERROR(__xludf.DUMMYFUNCTION("GOOGLETRANSLATE(A10819 , ""auto"", ""ar"")"),"لماذا أنت فضولي جدا؟")</f>
        <v>لماذا أنت فضولي جدا؟</v>
      </c>
    </row>
    <row r="10820" ht="15.75" customHeight="1">
      <c r="A10820" s="12" t="s">
        <v>25201</v>
      </c>
      <c r="B10820" s="13" t="s">
        <v>25202</v>
      </c>
      <c r="C10820" s="14" t="s">
        <v>25203</v>
      </c>
      <c r="D10820" s="1" t="str">
        <f>IFERROR(__xludf.DUMMYFUNCTION("GOOGLETRANSLATE(A10820 , ""auto"", ""ar"")"),"أنا أتجمد")</f>
        <v>أنا أتجمد</v>
      </c>
    </row>
    <row r="10821" ht="15.75" customHeight="1">
      <c r="A10821" s="12" t="s">
        <v>25204</v>
      </c>
      <c r="B10821" s="13" t="s">
        <v>25205</v>
      </c>
      <c r="C10821" s="14" t="s">
        <v>25206</v>
      </c>
      <c r="D10821" s="1" t="str">
        <f>IFERROR(__xludf.DUMMYFUNCTION("GOOGLETRANSLATE(A10821 , ""auto"", ""ar"")"),"اتركني وحدي")</f>
        <v>اتركني وحدي</v>
      </c>
    </row>
    <row r="10822" ht="15.75" customHeight="1">
      <c r="A10822" s="12" t="s">
        <v>25207</v>
      </c>
      <c r="B10822" s="13" t="s">
        <v>25208</v>
      </c>
      <c r="C10822" s="14" t="s">
        <v>25209</v>
      </c>
      <c r="D10822" s="1" t="str">
        <f>IFERROR(__xludf.DUMMYFUNCTION("GOOGLETRANSLATE(A10822 , ""auto"", ""ar"")"),"ابتعد")</f>
        <v>ابتعد</v>
      </c>
    </row>
    <row r="10823" ht="15.75" customHeight="1">
      <c r="A10823" s="12" t="s">
        <v>25207</v>
      </c>
      <c r="B10823" s="13" t="s">
        <v>25210</v>
      </c>
      <c r="C10823" s="14" t="s">
        <v>25211</v>
      </c>
      <c r="D10823" s="1" t="str">
        <f>IFERROR(__xludf.DUMMYFUNCTION("GOOGLETRANSLATE(A10823 , ""auto"", ""ar"")"),"ابتعد")</f>
        <v>ابتعد</v>
      </c>
    </row>
    <row r="10824" ht="15.75" customHeight="1">
      <c r="A10824" s="12" t="s">
        <v>25207</v>
      </c>
      <c r="B10824" s="13" t="s">
        <v>25212</v>
      </c>
      <c r="C10824" s="14" t="s">
        <v>25213</v>
      </c>
      <c r="D10824" s="1" t="str">
        <f>IFERROR(__xludf.DUMMYFUNCTION("GOOGLETRANSLATE(A10824 , ""auto"", ""ar"")"),"ابتعد")</f>
        <v>ابتعد</v>
      </c>
    </row>
    <row r="10825" ht="15.75" customHeight="1">
      <c r="A10825" s="12" t="s">
        <v>25214</v>
      </c>
      <c r="B10825" s="13" t="s">
        <v>25215</v>
      </c>
      <c r="C10825" s="14" t="s">
        <v>25216</v>
      </c>
      <c r="D10825" s="1" t="str">
        <f>IFERROR(__xludf.DUMMYFUNCTION("GOOGLETRANSLATE(A10825 , ""auto"", ""ar"")"),"لا تأخذها علي")</f>
        <v>لا تأخذها علي</v>
      </c>
    </row>
    <row r="10826" ht="15.75" customHeight="1">
      <c r="A10826" s="12" t="s">
        <v>25217</v>
      </c>
      <c r="B10826" s="13" t="s">
        <v>25218</v>
      </c>
      <c r="C10826" s="14" t="s">
        <v>25219</v>
      </c>
      <c r="D10826" s="1" t="str">
        <f>IFERROR(__xludf.DUMMYFUNCTION("GOOGLETRANSLATE(A10826 , ""auto"", ""ar"")"),"أنا لست في مزاج ...")</f>
        <v>أنا لست في مزاج ...</v>
      </c>
    </row>
    <row r="10827" ht="15.75" customHeight="1">
      <c r="A10827" s="12" t="s">
        <v>25220</v>
      </c>
      <c r="B10827" s="13" t="s">
        <v>25221</v>
      </c>
      <c r="C10827" s="14" t="s">
        <v>25222</v>
      </c>
      <c r="D10827" s="1" t="str">
        <f>IFERROR(__xludf.DUMMYFUNCTION("GOOGLETRANSLATE(A10827 , ""auto"", ""ar"")"),"ليس نفس الشيء")</f>
        <v>ليس نفس الشيء</v>
      </c>
    </row>
    <row r="10828" ht="15.75" customHeight="1">
      <c r="A10828" s="12" t="s">
        <v>25223</v>
      </c>
      <c r="B10828" s="13" t="s">
        <v>25224</v>
      </c>
      <c r="C10828" s="14" t="s">
        <v>25225</v>
      </c>
      <c r="D10828" s="1" t="str">
        <f>IFERROR(__xludf.DUMMYFUNCTION("GOOGLETRANSLATE(A10828 , ""auto"", ""ar"")"),"هذا كل الحق")</f>
        <v>هذا كل الحق</v>
      </c>
    </row>
    <row r="10829" ht="15.75" customHeight="1">
      <c r="A10829" s="12" t="s">
        <v>25226</v>
      </c>
      <c r="B10829" s="13" t="s">
        <v>25227</v>
      </c>
      <c r="C10829" s="14" t="s">
        <v>25228</v>
      </c>
      <c r="D10829" s="1" t="str">
        <f>IFERROR(__xludf.DUMMYFUNCTION("GOOGLETRANSLATE(A10829 , ""auto"", ""ar"")"),"لا تهتم")</f>
        <v>لا تهتم</v>
      </c>
    </row>
    <row r="10830" ht="15.75" customHeight="1">
      <c r="A10830" s="12" t="s">
        <v>25229</v>
      </c>
      <c r="B10830" s="13" t="s">
        <v>20327</v>
      </c>
      <c r="C10830" s="14" t="s">
        <v>20328</v>
      </c>
      <c r="D10830" s="1" t="str">
        <f>IFERROR(__xludf.DUMMYFUNCTION("GOOGLETRANSLATE(A10830 , ""auto"", ""ar"")"),"لا ضرر القيام به")</f>
        <v>لا ضرر القيام به</v>
      </c>
    </row>
    <row r="10831" ht="15.75" customHeight="1">
      <c r="A10831" s="12" t="s">
        <v>25230</v>
      </c>
      <c r="B10831" s="13" t="s">
        <v>25231</v>
      </c>
      <c r="C10831" s="14" t="s">
        <v>25232</v>
      </c>
      <c r="D10831" s="1" t="str">
        <f>IFERROR(__xludf.DUMMYFUNCTION("GOOGLETRANSLATE(A10831 , ""auto"", ""ar"")"),"اهتم بشؤونك الخاصة")</f>
        <v>اهتم بشؤونك الخاصة</v>
      </c>
    </row>
    <row r="10832" ht="15.75" customHeight="1">
      <c r="A10832" s="12" t="s">
        <v>25233</v>
      </c>
      <c r="B10832" s="13" t="s">
        <v>25234</v>
      </c>
      <c r="C10832" s="14" t="s">
        <v>25235</v>
      </c>
      <c r="D10832" s="1" t="str">
        <f>IFERROR(__xludf.DUMMYFUNCTION("GOOGLETRANSLATE(A10832 , ""auto"", ""ar"")"),"هذا ليس من شأنك")</f>
        <v>هذا ليس من شأنك</v>
      </c>
    </row>
    <row r="10833" ht="15.75" customHeight="1">
      <c r="A10833" s="12" t="s">
        <v>25236</v>
      </c>
      <c r="B10833" s="13" t="s">
        <v>25237</v>
      </c>
      <c r="C10833" s="14" t="s">
        <v>25238</v>
      </c>
      <c r="D10833" s="1" t="str">
        <f>IFERROR(__xludf.DUMMYFUNCTION("GOOGLETRANSLATE(A10833 , ""auto"", ""ar"")"),"لا تكن فضوليًا جدًا")</f>
        <v>لا تكن فضوليًا جدًا</v>
      </c>
    </row>
    <row r="10834" ht="15.75" customHeight="1">
      <c r="A10834" s="12" t="s">
        <v>25239</v>
      </c>
      <c r="B10834" s="13" t="s">
        <v>25240</v>
      </c>
      <c r="C10834" s="14" t="s">
        <v>25241</v>
      </c>
      <c r="D10834" s="1" t="str">
        <f>IFERROR(__xludf.DUMMYFUNCTION("GOOGLETRANSLATE(A10834 , ""auto"", ""ar"")"),"دعونا الحصول على شعرة معاوية")</f>
        <v>دعونا الحصول على شعرة معاوية</v>
      </c>
    </row>
    <row r="10835" ht="15.75" customHeight="1">
      <c r="A10835" s="12" t="s">
        <v>25242</v>
      </c>
      <c r="B10835" s="13" t="s">
        <v>25243</v>
      </c>
      <c r="C10835" s="14" t="s">
        <v>25244</v>
      </c>
      <c r="D10835" s="1" t="str">
        <f>IFERROR(__xludf.DUMMYFUNCTION("GOOGLETRANSLATE(A10835 , ""auto"", ""ar"")"),"اسمحوا لي أن أحاول رفع مستوى الصوت")</f>
        <v>اسمحوا لي أن أحاول رفع مستوى الصوت</v>
      </c>
    </row>
    <row r="10836" ht="15.75" customHeight="1">
      <c r="A10836" s="12" t="s">
        <v>25245</v>
      </c>
      <c r="B10836" s="13" t="s">
        <v>25246</v>
      </c>
      <c r="C10836" s="14" t="s">
        <v>25247</v>
      </c>
      <c r="D10836" s="1" t="str">
        <f>IFERROR(__xludf.DUMMYFUNCTION("GOOGLETRANSLATE(A10836 , ""auto"", ""ar"")"),"أنت على كتم الصوت")</f>
        <v>أنت على كتم الصوت</v>
      </c>
    </row>
    <row r="10837" ht="15.75" customHeight="1">
      <c r="A10837" s="12" t="s">
        <v>25248</v>
      </c>
      <c r="B10837" s="13" t="s">
        <v>25249</v>
      </c>
      <c r="C10837" s="14" t="s">
        <v>25250</v>
      </c>
      <c r="D10837" s="1" t="str">
        <f>IFERROR(__xludf.DUMMYFUNCTION("GOOGLETRANSLATE(A10837 , ""auto"", ""ar"")"),"إنه شخص عنيد")</f>
        <v>إنه شخص عنيد</v>
      </c>
    </row>
    <row r="10838" ht="15.75" customHeight="1">
      <c r="A10838" s="12" t="s">
        <v>25251</v>
      </c>
      <c r="B10838" s="13" t="s">
        <v>25252</v>
      </c>
      <c r="C10838" s="14" t="s">
        <v>25253</v>
      </c>
      <c r="D10838" s="1" t="str">
        <f>IFERROR(__xludf.DUMMYFUNCTION("GOOGLETRANSLATE(A10838 , ""auto"", ""ar"")"),"هز ساق")</f>
        <v>هز ساق</v>
      </c>
    </row>
    <row r="10839" ht="15.75" customHeight="1">
      <c r="A10839" s="12" t="s">
        <v>25254</v>
      </c>
      <c r="B10839" s="13" t="s">
        <v>25255</v>
      </c>
      <c r="C10839" s="14" t="s">
        <v>25256</v>
      </c>
      <c r="D10839" s="1" t="str">
        <f>IFERROR(__xludf.DUMMYFUNCTION("GOOGLETRANSLATE(A10839 , ""auto"", ""ar"")"),"قطعة قطعة")</f>
        <v>قطعة قطعة</v>
      </c>
    </row>
    <row r="10840" ht="15.75" customHeight="1">
      <c r="A10840" s="12" t="s">
        <v>25257</v>
      </c>
      <c r="B10840" s="13" t="s">
        <v>25258</v>
      </c>
      <c r="C10840" s="14" t="s">
        <v>25259</v>
      </c>
      <c r="D10840" s="1" t="str">
        <f>IFERROR(__xludf.DUMMYFUNCTION("GOOGLETRANSLATE(A10840 , ""auto"", ""ar"")"),"أشعر بالإرهاق")</f>
        <v>أشعر بالإرهاق</v>
      </c>
    </row>
    <row r="10841" ht="15.75" customHeight="1">
      <c r="A10841" s="12" t="s">
        <v>25260</v>
      </c>
      <c r="B10841" s="13" t="s">
        <v>25261</v>
      </c>
      <c r="C10841" s="14" t="s">
        <v>25262</v>
      </c>
      <c r="D10841" s="1" t="str">
        <f>IFERROR(__xludf.DUMMYFUNCTION("GOOGLETRANSLATE(A10841 , ""auto"", ""ar"")"),"أشعر بالتجفيف")</f>
        <v>أشعر بالتجفيف</v>
      </c>
    </row>
    <row r="10842" ht="15.75" customHeight="1">
      <c r="A10842" s="12" t="s">
        <v>25263</v>
      </c>
      <c r="B10842" s="13" t="s">
        <v>25264</v>
      </c>
      <c r="C10842" s="14" t="s">
        <v>25265</v>
      </c>
      <c r="D10842" s="1" t="str">
        <f>IFERROR(__xludf.DUMMYFUNCTION("GOOGLETRANSLATE(A10842 , ""auto"", ""ar"")"),"أنا ممتلئ")</f>
        <v>أنا ممتلئ</v>
      </c>
    </row>
    <row r="10843" ht="15.75" customHeight="1">
      <c r="A10843" s="12" t="s">
        <v>25266</v>
      </c>
      <c r="B10843" s="13" t="s">
        <v>25267</v>
      </c>
      <c r="C10843" s="14" t="s">
        <v>25268</v>
      </c>
      <c r="D10843" s="1" t="str">
        <f>IFERROR(__xludf.DUMMYFUNCTION("GOOGLETRANSLATE(A10843 , ""auto"", ""ar"")"),"وقت طويل لا رؤية")</f>
        <v>وقت طويل لا رؤية</v>
      </c>
    </row>
    <row r="10844" ht="15.75" customHeight="1">
      <c r="A10844" s="12" t="s">
        <v>25269</v>
      </c>
      <c r="B10844" s="13" t="s">
        <v>25270</v>
      </c>
      <c r="C10844" s="14" t="s">
        <v>25271</v>
      </c>
      <c r="D10844" s="1" t="str">
        <f>IFERROR(__xludf.DUMMYFUNCTION("GOOGLETRANSLATE(A10844 , ""auto"", ""ar"")"),"لم أراك على مر العصور")</f>
        <v>لم أراك على مر العصور</v>
      </c>
    </row>
    <row r="10845" ht="15.75" customHeight="1">
      <c r="A10845" s="12" t="s">
        <v>25272</v>
      </c>
      <c r="B10845" s="13" t="s">
        <v>25273</v>
      </c>
      <c r="C10845" s="14" t="s">
        <v>25274</v>
      </c>
      <c r="D10845" s="1" t="str">
        <f>IFERROR(__xludf.DUMMYFUNCTION("GOOGLETRANSLATE(A10845 , ""auto"", ""ar"")"),"الموز أسود")</f>
        <v>الموز أسود</v>
      </c>
    </row>
    <row r="10846" ht="15.75" customHeight="1">
      <c r="A10846" s="12" t="s">
        <v>25275</v>
      </c>
      <c r="B10846" s="13" t="s">
        <v>25276</v>
      </c>
      <c r="C10846" s="14" t="s">
        <v>25277</v>
      </c>
      <c r="D10846" s="1" t="str">
        <f>IFERROR(__xludf.DUMMYFUNCTION("GOOGLETRANSLATE(A10846 , ""auto"", ""ar"")"),"لقد اكتفيت")</f>
        <v>لقد اكتفيت</v>
      </c>
    </row>
    <row r="10847" ht="15.75" customHeight="1">
      <c r="A10847" s="12" t="s">
        <v>25278</v>
      </c>
      <c r="B10847" s="13" t="s">
        <v>25279</v>
      </c>
      <c r="C10847" s="14" t="s">
        <v>25280</v>
      </c>
      <c r="D10847" s="1" t="str">
        <f>IFERROR(__xludf.DUMMYFUNCTION("GOOGLETRANSLATE(A10847 , ""auto"", ""ar"")"),"شكرًا لك! لا يجب أن يكون لديك")</f>
        <v>شكرًا لك! لا يجب أن يكون لديك</v>
      </c>
    </row>
    <row r="10848" ht="15.75" customHeight="1">
      <c r="A10848" s="12" t="s">
        <v>25281</v>
      </c>
      <c r="B10848" s="13" t="s">
        <v>25282</v>
      </c>
      <c r="C10848" s="14" t="s">
        <v>25283</v>
      </c>
      <c r="D10848" s="1" t="str">
        <f>IFERROR(__xludf.DUMMYFUNCTION("GOOGLETRANSLATE(A10848 , ""auto"", ""ar"")"),"عن قصد")</f>
        <v>عن قصد</v>
      </c>
    </row>
    <row r="10849" ht="15.75" customHeight="1">
      <c r="A10849" s="12" t="s">
        <v>25284</v>
      </c>
      <c r="B10849" s="13" t="s">
        <v>25285</v>
      </c>
      <c r="C10849" s="14" t="s">
        <v>25286</v>
      </c>
      <c r="D10849" s="1" t="str">
        <f>IFERROR(__xludf.DUMMYFUNCTION("GOOGLETRANSLATE(A10849 , ""auto"", ""ar"")"),"عن طريق الخطأ")</f>
        <v>عن طريق الخطأ</v>
      </c>
    </row>
    <row r="10850" ht="15.75" customHeight="1">
      <c r="A10850" s="12" t="s">
        <v>25287</v>
      </c>
      <c r="B10850" s="13" t="s">
        <v>25288</v>
      </c>
      <c r="C10850" s="14" t="s">
        <v>25289</v>
      </c>
      <c r="D10850" s="1" t="str">
        <f>IFERROR(__xludf.DUMMYFUNCTION("GOOGLETRANSLATE(A10850 , ""auto"", ""ar"")"),"أنها تخدم لك الحق")</f>
        <v>أنها تخدم لك الحق</v>
      </c>
    </row>
    <row r="10851" ht="15.75" customHeight="1">
      <c r="A10851" s="12" t="s">
        <v>25287</v>
      </c>
      <c r="B10851" s="13" t="s">
        <v>25290</v>
      </c>
      <c r="C10851" s="14" t="s">
        <v>25291</v>
      </c>
      <c r="D10851" s="1" t="str">
        <f>IFERROR(__xludf.DUMMYFUNCTION("GOOGLETRANSLATE(A10851 , ""auto"", ""ar"")"),"أنها تخدم لك الحق")</f>
        <v>أنها تخدم لك الحق</v>
      </c>
    </row>
    <row r="10852" ht="15.75" customHeight="1">
      <c r="A10852" s="12" t="s">
        <v>25292</v>
      </c>
      <c r="B10852" s="13" t="s">
        <v>25293</v>
      </c>
      <c r="C10852" s="14" t="s">
        <v>25294</v>
      </c>
      <c r="D10852" s="1" t="str">
        <f>IFERROR(__xludf.DUMMYFUNCTION("GOOGLETRANSLATE(A10852 , ""auto"", ""ar"")"),"أنت بخيل")</f>
        <v>أنت بخيل</v>
      </c>
    </row>
    <row r="10853" ht="15.75" customHeight="1">
      <c r="A10853" s="12" t="s">
        <v>25295</v>
      </c>
      <c r="B10853" s="13" t="s">
        <v>25296</v>
      </c>
      <c r="C10853" s="14" t="s">
        <v>25297</v>
      </c>
      <c r="D10853" s="1" t="str">
        <f>IFERROR(__xludf.DUMMYFUNCTION("GOOGLETRANSLATE(A10853 , ""auto"", ""ar"")"),"تتصرف نفسك")</f>
        <v>تتصرف نفسك</v>
      </c>
    </row>
    <row r="10854" ht="15.75" customHeight="1">
      <c r="A10854" s="12" t="s">
        <v>25298</v>
      </c>
      <c r="B10854" s="13" t="s">
        <v>25299</v>
      </c>
      <c r="C10854" s="14" t="s">
        <v>25300</v>
      </c>
      <c r="D10854" s="1" t="str">
        <f>IFERROR(__xludf.DUMMYFUNCTION("GOOGLETRANSLATE(A10854 , ""auto"", ""ar"")"),"لقد طفح الكيل")</f>
        <v>لقد طفح الكيل</v>
      </c>
    </row>
    <row r="10855" ht="15.75" customHeight="1">
      <c r="A10855" s="12" t="s">
        <v>25301</v>
      </c>
      <c r="B10855" s="13" t="s">
        <v>25302</v>
      </c>
      <c r="C10855" s="14" t="s">
        <v>25303</v>
      </c>
      <c r="D10855" s="1" t="str">
        <f>IFERROR(__xludf.DUMMYFUNCTION("GOOGLETRANSLATE(A10855 , ""auto"", ""ar"")"),"انتبه لكلامك")</f>
        <v>انتبه لكلامك</v>
      </c>
    </row>
    <row r="10856" ht="15.75" customHeight="1">
      <c r="A10856" s="12" t="s">
        <v>25304</v>
      </c>
      <c r="B10856" s="13" t="s">
        <v>25305</v>
      </c>
      <c r="C10856" s="14" t="s">
        <v>25306</v>
      </c>
      <c r="D10856" s="1" t="str">
        <f>IFERROR(__xludf.DUMMYFUNCTION("GOOGLETRANSLATE(A10856 , ""auto"", ""ar"")"),"تحمل نفسك")</f>
        <v>تحمل نفسك</v>
      </c>
    </row>
    <row r="10857" ht="15.75" customHeight="1">
      <c r="A10857" s="12" t="s">
        <v>25307</v>
      </c>
      <c r="B10857" s="13" t="s">
        <v>25308</v>
      </c>
      <c r="C10857" s="14" t="s">
        <v>2097</v>
      </c>
      <c r="D10857" s="1" t="str">
        <f>IFERROR(__xludf.DUMMYFUNCTION("GOOGLETRANSLATE(A10857 , ""auto"", ""ar"")"),"اغرب عن وجهي")</f>
        <v>اغرب عن وجهي</v>
      </c>
    </row>
    <row r="10858" ht="15.75" customHeight="1">
      <c r="A10858" s="12" t="s">
        <v>25309</v>
      </c>
      <c r="B10858" s="13" t="s">
        <v>25310</v>
      </c>
      <c r="C10858" s="14" t="s">
        <v>25311</v>
      </c>
      <c r="D10858" s="1" t="str">
        <f>IFERROR(__xludf.DUMMYFUNCTION("GOOGLETRANSLATE(A10858 , ""auto"", ""ar"")"),"أنت خارج الخط")</f>
        <v>أنت خارج الخط</v>
      </c>
    </row>
    <row r="10859" ht="15.75" customHeight="1">
      <c r="A10859" s="12" t="s">
        <v>25312</v>
      </c>
      <c r="B10859" s="13" t="s">
        <v>25313</v>
      </c>
      <c r="C10859" s="14" t="s">
        <v>25314</v>
      </c>
      <c r="D10859" s="1" t="str">
        <f>IFERROR(__xludf.DUMMYFUNCTION("GOOGLETRANSLATE(A10859 , ""auto"", ""ar"")"),"أحب اللحم البقري على البخار")</f>
        <v>أحب اللحم البقري على البخار</v>
      </c>
    </row>
    <row r="10860" ht="15.75" customHeight="1">
      <c r="A10860" s="12" t="s">
        <v>25315</v>
      </c>
      <c r="B10860" s="13" t="s">
        <v>25316</v>
      </c>
      <c r="C10860" s="14" t="s">
        <v>25317</v>
      </c>
      <c r="D10860" s="1" t="str">
        <f>IFERROR(__xludf.DUMMYFUNCTION("GOOGLETRANSLATE(A10860 , ""auto"", ""ar"")"),"هذا الدجاج لا يزال خامًا")</f>
        <v>هذا الدجاج لا يزال خامًا</v>
      </c>
    </row>
    <row r="10861" ht="15.75" customHeight="1">
      <c r="A10861" s="12" t="s">
        <v>25318</v>
      </c>
      <c r="B10861" s="13" t="s">
        <v>25319</v>
      </c>
      <c r="C10861" s="14" t="s">
        <v>25320</v>
      </c>
      <c r="D10861" s="1" t="str">
        <f>IFERROR(__xludf.DUMMYFUNCTION("GOOGLETRANSLATE(A10861 , ""auto"", ""ar"")"),"أنا مخصص")</f>
        <v>أنا مخصص</v>
      </c>
    </row>
    <row r="10862" ht="15.75" customHeight="1">
      <c r="A10862" s="12" t="s">
        <v>25321</v>
      </c>
      <c r="B10862" s="13" t="s">
        <v>25322</v>
      </c>
      <c r="C10862" s="14" t="s">
        <v>25323</v>
      </c>
      <c r="D10862" s="1" t="str">
        <f>IFERROR(__xludf.DUMMYFUNCTION("GOOGLETRANSLATE(A10862 , ""auto"", ""ar"")"),"زر شفتيك")</f>
        <v>زر شفتيك</v>
      </c>
    </row>
    <row r="10863" ht="15.75" customHeight="1">
      <c r="A10863" s="12" t="s">
        <v>25324</v>
      </c>
      <c r="B10863" s="13" t="s">
        <v>25325</v>
      </c>
      <c r="C10863" s="14" t="s">
        <v>25326</v>
      </c>
      <c r="D10863" s="1" t="str">
        <f>IFERROR(__xludf.DUMMYFUNCTION("GOOGLETRANSLATE(A10863 , ""auto"", ""ar"")"),"أنا خائفة حتى الموت")</f>
        <v>أنا خائفة حتى الموت</v>
      </c>
    </row>
    <row r="10864" ht="15.75" customHeight="1">
      <c r="A10864" s="12" t="s">
        <v>25327</v>
      </c>
      <c r="B10864" s="13" t="s">
        <v>25328</v>
      </c>
      <c r="C10864" s="14" t="s">
        <v>25329</v>
      </c>
      <c r="D10864" s="1" t="str">
        <f>IFERROR(__xludf.DUMMYFUNCTION("GOOGLETRANSLATE(A10864 , ""auto"", ""ar"")"),"انا ارتجف")</f>
        <v>انا ارتجف</v>
      </c>
    </row>
    <row r="10865" ht="15.75" customHeight="1">
      <c r="A10865" s="12" t="s">
        <v>25327</v>
      </c>
      <c r="B10865" s="13" t="s">
        <v>25330</v>
      </c>
      <c r="C10865" s="14" t="s">
        <v>25331</v>
      </c>
      <c r="D10865" s="1" t="str">
        <f>IFERROR(__xludf.DUMMYFUNCTION("GOOGLETRANSLATE(A10865 , ""auto"", ""ar"")"),"انا ارتجف")</f>
        <v>انا ارتجف</v>
      </c>
    </row>
    <row r="10866" ht="15.75" customHeight="1">
      <c r="A10866" s="12" t="s">
        <v>25332</v>
      </c>
      <c r="B10866" s="13" t="s">
        <v>25333</v>
      </c>
      <c r="C10866" s="14" t="s">
        <v>25334</v>
      </c>
      <c r="D10866" s="1" t="str">
        <f>IFERROR(__xludf.DUMMYFUNCTION("GOOGLETRANSLATE(A10866 , ""auto"", ""ar"")"),"توجه مباشرة إلى الهدف")</f>
        <v>توجه مباشرة إلى الهدف</v>
      </c>
    </row>
    <row r="10867" ht="15.75" customHeight="1">
      <c r="A10867" s="12" t="s">
        <v>25332</v>
      </c>
      <c r="B10867" s="13" t="s">
        <v>25335</v>
      </c>
      <c r="C10867" s="14" t="s">
        <v>25336</v>
      </c>
      <c r="D10867" s="1" t="str">
        <f>IFERROR(__xludf.DUMMYFUNCTION("GOOGLETRANSLATE(A10867 , ""auto"", ""ar"")"),"توجه مباشرة إلى الهدف")</f>
        <v>توجه مباشرة إلى الهدف</v>
      </c>
    </row>
    <row r="10868" ht="15.75" customHeight="1">
      <c r="A10868" s="12" t="s">
        <v>25337</v>
      </c>
      <c r="B10868" s="13" t="s">
        <v>25338</v>
      </c>
      <c r="C10868" s="14" t="s">
        <v>25339</v>
      </c>
      <c r="D10868" s="1" t="str">
        <f>IFERROR(__xludf.DUMMYFUNCTION("GOOGLETRANSLATE(A10868 , ""auto"", ""ar"")"),"توقف عن الضرب حول الأدغال")</f>
        <v>توقف عن الضرب حول الأدغال</v>
      </c>
    </row>
    <row r="10869" ht="15.75" customHeight="1">
      <c r="A10869" s="12" t="s">
        <v>25340</v>
      </c>
      <c r="B10869" s="13" t="s">
        <v>25341</v>
      </c>
      <c r="C10869" s="14" t="s">
        <v>1178</v>
      </c>
      <c r="D10869" s="1" t="str">
        <f>IFERROR(__xludf.DUMMYFUNCTION("GOOGLETRANSLATE(A10869 , ""auto"", ""ar"")"),"تعال مرة أخرى")</f>
        <v>تعال مرة أخرى</v>
      </c>
    </row>
    <row r="10870" ht="15.75" customHeight="1">
      <c r="A10870" s="12" t="s">
        <v>25342</v>
      </c>
      <c r="B10870" s="13" t="s">
        <v>25343</v>
      </c>
      <c r="C10870" s="14" t="s">
        <v>25344</v>
      </c>
      <c r="D10870" s="1" t="str">
        <f>IFERROR(__xludf.DUMMYFUNCTION("GOOGLETRANSLATE(A10870 , ""auto"", ""ar"")"),"أعد ذلك من فضلك؟")</f>
        <v>أعد ذلك من فضلك؟</v>
      </c>
    </row>
    <row r="10871" ht="15.75" customHeight="1">
      <c r="A10871" s="12" t="s">
        <v>25345</v>
      </c>
      <c r="B10871" s="13" t="s">
        <v>25346</v>
      </c>
      <c r="C10871" s="14" t="s">
        <v>25347</v>
      </c>
      <c r="D10871" s="1" t="str">
        <f>IFERROR(__xludf.DUMMYFUNCTION("GOOGLETRANSLATE(A10871 , ""auto"", ""ar"")"),"إنه موت الصيف")</f>
        <v>إنه موت الصيف</v>
      </c>
    </row>
    <row r="10872" ht="15.75" customHeight="1">
      <c r="A10872" s="12" t="s">
        <v>25348</v>
      </c>
      <c r="B10872" s="13" t="s">
        <v>25349</v>
      </c>
      <c r="C10872" s="14" t="s">
        <v>25350</v>
      </c>
      <c r="D10872" s="1" t="str">
        <f>IFERROR(__xludf.DUMMYFUNCTION("GOOGLETRANSLATE(A10872 , ""auto"", ""ar"")"),"أنا في حساء")</f>
        <v>أنا في حساء</v>
      </c>
    </row>
    <row r="10873" ht="15.75" customHeight="1">
      <c r="A10873" s="12" t="s">
        <v>25351</v>
      </c>
      <c r="B10873" s="13" t="s">
        <v>25352</v>
      </c>
      <c r="C10873" s="14" t="s">
        <v>25353</v>
      </c>
      <c r="D10873" s="1" t="str">
        <f>IFERROR(__xludf.DUMMYFUNCTION("GOOGLETRANSLATE(A10873 , ""auto"", ""ar"")"),"أنا في مخلل")</f>
        <v>أنا في مخلل</v>
      </c>
    </row>
    <row r="10874" ht="15.75" customHeight="1">
      <c r="A10874" s="12" t="s">
        <v>25354</v>
      </c>
      <c r="B10874" s="13" t="s">
        <v>25355</v>
      </c>
      <c r="C10874" s="14" t="s">
        <v>25356</v>
      </c>
      <c r="D10874" s="1" t="str">
        <f>IFERROR(__xludf.DUMMYFUNCTION("GOOGLETRANSLATE(A10874 , ""auto"", ""ar"")"),"على حسابي")</f>
        <v>على حسابي</v>
      </c>
    </row>
    <row r="10875" ht="15.75" customHeight="1">
      <c r="A10875" s="12" t="s">
        <v>25357</v>
      </c>
      <c r="B10875" s="13" t="s">
        <v>25358</v>
      </c>
      <c r="C10875" s="14" t="s">
        <v>25359</v>
      </c>
      <c r="D10875" s="1" t="str">
        <f>IFERROR(__xludf.DUMMYFUNCTION("GOOGLETRANSLATE(A10875 , ""auto"", ""ar"")"),"نقدر نفسك")</f>
        <v>نقدر نفسك</v>
      </c>
    </row>
    <row r="10876" ht="15.75" customHeight="1">
      <c r="A10876" s="12" t="s">
        <v>25360</v>
      </c>
      <c r="B10876" s="13" t="s">
        <v>25361</v>
      </c>
      <c r="C10876" s="14" t="s">
        <v>25362</v>
      </c>
      <c r="D10876" s="1" t="str">
        <f>IFERROR(__xludf.DUMMYFUNCTION("GOOGLETRANSLATE(A10876 , ""auto"", ""ar"")"),"تقدر نفسك")</f>
        <v>تقدر نفسك</v>
      </c>
    </row>
    <row r="10877" ht="15.75" customHeight="1">
      <c r="A10877" s="12" t="s">
        <v>25363</v>
      </c>
      <c r="B10877" s="13" t="s">
        <v>25364</v>
      </c>
      <c r="C10877" s="14" t="s">
        <v>25365</v>
      </c>
      <c r="D10877" s="1" t="str">
        <f>IFERROR(__xludf.DUMMYFUNCTION("GOOGLETRANSLATE(A10877 , ""auto"", ""ar"")"),"أنت تنفصل")</f>
        <v>أنت تنفصل</v>
      </c>
    </row>
    <row r="10878" ht="15.75" customHeight="1">
      <c r="A10878" s="12" t="s">
        <v>25366</v>
      </c>
      <c r="B10878" s="13" t="s">
        <v>25367</v>
      </c>
      <c r="C10878" s="14" t="s">
        <v>25368</v>
      </c>
      <c r="D10878" s="1" t="str">
        <f>IFERROR(__xludf.DUMMYFUNCTION("GOOGLETRANSLATE(A10878 , ""auto"", ""ar"")"),"انتى جامدة")</f>
        <v>انتى جامدة</v>
      </c>
    </row>
    <row r="10879" ht="15.75" customHeight="1">
      <c r="A10879" s="12" t="s">
        <v>25369</v>
      </c>
      <c r="B10879" s="13" t="s">
        <v>25370</v>
      </c>
      <c r="C10879" s="14" t="s">
        <v>25371</v>
      </c>
      <c r="D10879" s="1" t="str">
        <f>IFERROR(__xludf.DUMMYFUNCTION("GOOGLETRANSLATE(A10879 , ""auto"", ""ar"")"),"لذا ، هل نحن على ما يرام؟")</f>
        <v>لذا ، هل نحن على ما يرام؟</v>
      </c>
    </row>
    <row r="10880" ht="15.75" customHeight="1">
      <c r="A10880" s="12" t="s">
        <v>25372</v>
      </c>
      <c r="B10880" s="13" t="s">
        <v>25373</v>
      </c>
      <c r="C10880" s="14" t="s">
        <v>25374</v>
      </c>
      <c r="D10880" s="1" t="str">
        <f>IFERROR(__xludf.DUMMYFUNCTION("GOOGLETRANSLATE(A10880 , ""auto"", ""ar"")"),"أنا في عقلين")</f>
        <v>أنا في عقلين</v>
      </c>
    </row>
    <row r="10881" ht="15.75" customHeight="1">
      <c r="A10881" s="12" t="s">
        <v>25375</v>
      </c>
      <c r="B10881" s="13" t="s">
        <v>25376</v>
      </c>
      <c r="C10881" s="14" t="s">
        <v>9449</v>
      </c>
      <c r="D10881" s="1" t="str">
        <f>IFERROR(__xludf.DUMMYFUNCTION("GOOGLETRANSLATE(A10881 , ""auto"", ""ar"")"),"ليس لدي أي فكرة")</f>
        <v>ليس لدي أي فكرة</v>
      </c>
    </row>
    <row r="10882" ht="15.75" customHeight="1">
      <c r="A10882" s="12" t="s">
        <v>25377</v>
      </c>
      <c r="B10882" s="13" t="s">
        <v>25378</v>
      </c>
      <c r="C10882" s="14" t="s">
        <v>25379</v>
      </c>
      <c r="D10882" s="1" t="str">
        <f>IFERROR(__xludf.DUMMYFUNCTION("GOOGLETRANSLATE(A10882 , ""auto"", ""ar"")"),"ليس لدي")</f>
        <v>ليس لدي</v>
      </c>
    </row>
    <row r="10883" ht="15.75" customHeight="1">
      <c r="A10883" s="12" t="s">
        <v>25380</v>
      </c>
      <c r="B10883" s="13" t="s">
        <v>25381</v>
      </c>
      <c r="C10883" s="14" t="s">
        <v>25382</v>
      </c>
      <c r="D10883" s="1" t="str">
        <f>IFERROR(__xludf.DUMMYFUNCTION("GOOGLETRANSLATE(A10883 , ""auto"", ""ar"")"),"ليس من شأني")</f>
        <v>ليس من شأني</v>
      </c>
    </row>
    <row r="10884" ht="15.75" customHeight="1">
      <c r="A10884" s="12" t="s">
        <v>25380</v>
      </c>
      <c r="B10884" s="13" t="s">
        <v>25383</v>
      </c>
      <c r="C10884" s="14" t="s">
        <v>25384</v>
      </c>
      <c r="D10884" s="1" t="str">
        <f>IFERROR(__xludf.DUMMYFUNCTION("GOOGLETRANSLATE(A10884 , ""auto"", ""ar"")"),"ليس من شأني")</f>
        <v>ليس من شأني</v>
      </c>
    </row>
    <row r="10885" ht="15.75" customHeight="1">
      <c r="A10885" s="12" t="s">
        <v>25385</v>
      </c>
      <c r="B10885" s="13" t="s">
        <v>25386</v>
      </c>
      <c r="C10885" s="14" t="s">
        <v>25387</v>
      </c>
      <c r="D10885" s="1" t="str">
        <f>IFERROR(__xludf.DUMMYFUNCTION("GOOGLETRANSLATE(A10885 , ""auto"", ""ar"")"),"لا أهتم")</f>
        <v>لا أهتم</v>
      </c>
    </row>
    <row r="10886" ht="15.75" customHeight="1">
      <c r="A10886" s="12" t="s">
        <v>25388</v>
      </c>
      <c r="B10886" s="13" t="s">
        <v>25389</v>
      </c>
      <c r="C10886" s="14" t="s">
        <v>25390</v>
      </c>
      <c r="D10886" s="1" t="str">
        <f>IFERROR(__xludf.DUMMYFUNCTION("GOOGLETRANSLATE(A10886 , ""auto"", ""ar"")"),"لم أسمع")</f>
        <v>لم أسمع</v>
      </c>
    </row>
    <row r="10887" ht="15.75" customHeight="1">
      <c r="A10887" s="12" t="s">
        <v>25391</v>
      </c>
      <c r="B10887" s="13" t="s">
        <v>25392</v>
      </c>
      <c r="C10887" s="14" t="s">
        <v>25393</v>
      </c>
      <c r="D10887" s="1" t="str">
        <f>IFERROR(__xludf.DUMMYFUNCTION("GOOGLETRANSLATE(A10887 , ""auto"", ""ar"")"),"لماذا تحدق بي؟")</f>
        <v>لماذا تحدق بي؟</v>
      </c>
    </row>
    <row r="10888" ht="15.75" customHeight="1">
      <c r="A10888" s="12" t="s">
        <v>25391</v>
      </c>
      <c r="B10888" s="13" t="s">
        <v>25394</v>
      </c>
      <c r="C10888" s="14" t="s">
        <v>25395</v>
      </c>
      <c r="D10888" s="1" t="str">
        <f>IFERROR(__xludf.DUMMYFUNCTION("GOOGLETRANSLATE(A10888 , ""auto"", ""ar"")"),"لماذا تحدق بي؟")</f>
        <v>لماذا تحدق بي؟</v>
      </c>
    </row>
    <row r="10889" ht="15.75" customHeight="1">
      <c r="A10889" s="12" t="s">
        <v>25396</v>
      </c>
      <c r="B10889" s="13" t="s">
        <v>25397</v>
      </c>
      <c r="C10889" s="14" t="s">
        <v>25398</v>
      </c>
      <c r="D10889" s="1" t="str">
        <f>IFERROR(__xludf.DUMMYFUNCTION("GOOGLETRANSLATE(A10889 , ""auto"", ""ar"")"),"توقف عن التحديق بي")</f>
        <v>توقف عن التحديق بي</v>
      </c>
    </row>
    <row r="10890" ht="15.75" customHeight="1">
      <c r="A10890" s="12" t="s">
        <v>9491</v>
      </c>
      <c r="B10890" s="13" t="s">
        <v>25399</v>
      </c>
      <c r="C10890" s="14" t="s">
        <v>25400</v>
      </c>
      <c r="D10890" s="1" t="str">
        <f>IFERROR(__xludf.DUMMYFUNCTION("GOOGLETRANSLATE(A10890 , ""auto"", ""ar"")"),"اعتنِ بنفسك")</f>
        <v>اعتنِ بنفسك</v>
      </c>
    </row>
    <row r="10891" ht="15.75" customHeight="1">
      <c r="A10891" s="12" t="s">
        <v>25401</v>
      </c>
      <c r="B10891" s="13" t="s">
        <v>25402</v>
      </c>
      <c r="C10891" s="14" t="s">
        <v>25403</v>
      </c>
      <c r="D10891" s="1" t="str">
        <f>IFERROR(__xludf.DUMMYFUNCTION("GOOGLETRANSLATE(A10891 , ""auto"", ""ar"")"),"عامل نفسك")</f>
        <v>عامل نفسك</v>
      </c>
    </row>
    <row r="10892" ht="15.75" customHeight="1">
      <c r="A10892" s="12" t="s">
        <v>25404</v>
      </c>
      <c r="B10892" s="13" t="s">
        <v>25405</v>
      </c>
      <c r="C10892" s="14" t="s">
        <v>25406</v>
      </c>
      <c r="D10892" s="1" t="str">
        <f>IFERROR(__xludf.DUMMYFUNCTION("GOOGLETRANSLATE(A10892 , ""auto"", ""ar"")"),"لابد أنك تمزح معي؟")</f>
        <v>لابد أنك تمزح معي؟</v>
      </c>
    </row>
    <row r="10893" ht="15.75" customHeight="1">
      <c r="A10893" s="12" t="s">
        <v>25407</v>
      </c>
      <c r="B10893" s="13" t="s">
        <v>25408</v>
      </c>
      <c r="C10893" s="14" t="s">
        <v>25409</v>
      </c>
      <c r="D10893" s="1" t="str">
        <f>IFERROR(__xludf.DUMMYFUNCTION("GOOGLETRANSLATE(A10893 , ""auto"", ""ar"")"),"هل تسخر مني؟")</f>
        <v>هل تسخر مني؟</v>
      </c>
    </row>
    <row r="10894" ht="15.75" customHeight="1">
      <c r="A10894" s="12" t="s">
        <v>25410</v>
      </c>
      <c r="B10894" s="13" t="s">
        <v>25411</v>
      </c>
      <c r="C10894" s="14" t="s">
        <v>25412</v>
      </c>
      <c r="D10894" s="1" t="str">
        <f>IFERROR(__xludf.DUMMYFUNCTION("GOOGLETRANSLATE(A10894 , ""auto"", ""ar"")"),"لم يفت الاوان بعد")</f>
        <v>لم يفت الاوان بعد</v>
      </c>
    </row>
    <row r="10895" ht="15.75" customHeight="1">
      <c r="A10895" s="12" t="s">
        <v>25413</v>
      </c>
      <c r="B10895" s="13" t="s">
        <v>25414</v>
      </c>
      <c r="C10895" s="14" t="s">
        <v>25415</v>
      </c>
      <c r="D10895" s="1" t="str">
        <f>IFERROR(__xludf.DUMMYFUNCTION("GOOGLETRANSLATE(A10895 , ""auto"", ""ar"")"),"توقف عن إلقاء اللوم على نفسك")</f>
        <v>توقف عن إلقاء اللوم على نفسك</v>
      </c>
    </row>
    <row r="10896" ht="15.75" customHeight="1">
      <c r="A10896" s="12" t="s">
        <v>25416</v>
      </c>
      <c r="B10896" s="13" t="s">
        <v>25417</v>
      </c>
      <c r="C10896" s="14" t="s">
        <v>25418</v>
      </c>
      <c r="D10896" s="1" t="str">
        <f>IFERROR(__xludf.DUMMYFUNCTION("GOOGLETRANSLATE(A10896 , ""auto"", ""ar"")"),"لا تفهموني خطأ")</f>
        <v>لا تفهموني خطأ</v>
      </c>
    </row>
    <row r="10897" ht="15.75" customHeight="1">
      <c r="A10897" s="12" t="s">
        <v>25419</v>
      </c>
      <c r="B10897" s="13" t="s">
        <v>25420</v>
      </c>
      <c r="C10897" s="14" t="s">
        <v>25421</v>
      </c>
      <c r="D10897" s="1" t="str">
        <f>IFERROR(__xludf.DUMMYFUNCTION("GOOGLETRANSLATE(A10897 , ""auto"", ""ar"")"),"أنا أحب اللوز")</f>
        <v>أنا أحب اللوز</v>
      </c>
    </row>
    <row r="10898" ht="15.75" customHeight="1">
      <c r="A10898" s="12" t="s">
        <v>25422</v>
      </c>
      <c r="B10898" s="13" t="s">
        <v>25423</v>
      </c>
      <c r="C10898" s="14" t="s">
        <v>25424</v>
      </c>
      <c r="D10898" s="1" t="str">
        <f>IFERROR(__xludf.DUMMYFUNCTION("GOOGLETRANSLATE(A10898 , ""auto"", ""ar"")"),"أنا أحب الفستق")</f>
        <v>أنا أحب الفستق</v>
      </c>
    </row>
    <row r="10899" ht="15.75" customHeight="1">
      <c r="A10899" s="12" t="s">
        <v>25425</v>
      </c>
      <c r="B10899" s="13" t="s">
        <v>25426</v>
      </c>
      <c r="C10899" s="14" t="s">
        <v>25427</v>
      </c>
      <c r="D10899" s="1" t="str">
        <f>IFERROR(__xludf.DUMMYFUNCTION("GOOGLETRANSLATE(A10899 , ""auto"", ""ar"")"),"أنا أحب الزبيب")</f>
        <v>أنا أحب الزبيب</v>
      </c>
    </row>
    <row r="10900" ht="15.75" customHeight="1">
      <c r="A10900" s="12" t="s">
        <v>25428</v>
      </c>
      <c r="B10900" s="13" t="s">
        <v>25429</v>
      </c>
      <c r="C10900" s="14" t="s">
        <v>25430</v>
      </c>
      <c r="D10900" s="1" t="str">
        <f>IFERROR(__xludf.DUMMYFUNCTION("GOOGLETRANSLATE(A10900 , ""auto"", ""ar"")"),"التهوية")</f>
        <v>التهوية</v>
      </c>
    </row>
    <row r="10901" ht="15.75" customHeight="1">
      <c r="A10901" s="12" t="s">
        <v>25431</v>
      </c>
      <c r="B10901" s="13" t="s">
        <v>25432</v>
      </c>
      <c r="C10901" s="14" t="s">
        <v>25433</v>
      </c>
      <c r="D10901" s="1" t="str">
        <f>IFERROR(__xludf.DUMMYFUNCTION("GOOGLETRANSLATE(A10901 , ""auto"", ""ar"")"),"الزبدة")</f>
        <v>الزبدة</v>
      </c>
    </row>
    <row r="10902" ht="15.75" customHeight="1">
      <c r="A10902" s="12" t="s">
        <v>25434</v>
      </c>
      <c r="B10902" s="13" t="s">
        <v>25435</v>
      </c>
      <c r="C10902" s="14" t="s">
        <v>25436</v>
      </c>
      <c r="D10902" s="1" t="str">
        <f>IFERROR(__xludf.DUMMYFUNCTION("GOOGLETRANSLATE(A10902 , ""auto"", ""ar"")"),"لدي بثور")</f>
        <v>لدي بثور</v>
      </c>
    </row>
    <row r="10903" ht="15.75" customHeight="1">
      <c r="A10903" s="12" t="s">
        <v>25437</v>
      </c>
      <c r="B10903" s="13" t="s">
        <v>25438</v>
      </c>
      <c r="C10903" s="14" t="s">
        <v>25439</v>
      </c>
      <c r="D10903" s="1" t="str">
        <f>IFERROR(__xludf.DUMMYFUNCTION("GOOGLETRANSLATE(A10903 , ""auto"", ""ar"")"),"لديه خلد صغير على خده")</f>
        <v>لديه خلد صغير على خده</v>
      </c>
    </row>
    <row r="10904" ht="15.75" customHeight="1">
      <c r="A10904" s="12" t="s">
        <v>25440</v>
      </c>
      <c r="B10904" s="13" t="s">
        <v>25441</v>
      </c>
      <c r="C10904" s="14" t="s">
        <v>25442</v>
      </c>
      <c r="D10904" s="1" t="str">
        <f>IFERROR(__xludf.DUMMYFUNCTION("GOOGLETRANSLATE(A10904 , ""auto"", ""ar"")"),"رفضت قرحة باردة على فمي الشفاء")</f>
        <v>رفضت قرحة باردة على فمي الشفاء</v>
      </c>
    </row>
    <row r="10905" ht="15.75" customHeight="1">
      <c r="A10905" s="12" t="s">
        <v>25443</v>
      </c>
      <c r="B10905" s="13" t="s">
        <v>25444</v>
      </c>
      <c r="C10905" s="14" t="s">
        <v>25445</v>
      </c>
      <c r="D10905" s="1" t="str">
        <f>IFERROR(__xludf.DUMMYFUNCTION("GOOGLETRANSLATE(A10905 , ""auto"", ""ar"")"),"أنا أحب النمش")</f>
        <v>أنا أحب النمش</v>
      </c>
    </row>
    <row r="10906" ht="15.75" customHeight="1">
      <c r="A10906" s="12" t="s">
        <v>25446</v>
      </c>
      <c r="B10906" s="13" t="s">
        <v>25447</v>
      </c>
      <c r="C10906" s="14" t="s">
        <v>25448</v>
      </c>
      <c r="D10906" s="1" t="str">
        <f>IFERROR(__xludf.DUMMYFUNCTION("GOOGLETRANSLATE(A10906 , ""auto"", ""ar"")"),"أنا أحب الدمامل")</f>
        <v>أنا أحب الدمامل</v>
      </c>
    </row>
    <row r="10907" ht="15.75" customHeight="1">
      <c r="A10907" s="12" t="s">
        <v>25449</v>
      </c>
      <c r="B10907" s="13" t="s">
        <v>25450</v>
      </c>
      <c r="C10907" s="14" t="s">
        <v>25451</v>
      </c>
      <c r="D10907" s="1" t="str">
        <f>IFERROR(__xludf.DUMMYFUNCTION("GOOGLETRANSLATE(A10907 , ""auto"", ""ar"")"),"لدي علامة مميزة")</f>
        <v>لدي علامة مميزة</v>
      </c>
    </row>
    <row r="10908" ht="15.75" customHeight="1">
      <c r="A10908" s="12" t="s">
        <v>25452</v>
      </c>
      <c r="B10908" s="13" t="s">
        <v>25453</v>
      </c>
      <c r="C10908" s="14" t="s">
        <v>25454</v>
      </c>
      <c r="D10908" s="1" t="str">
        <f>IFERROR(__xludf.DUMMYFUNCTION("GOOGLETRANSLATE(A10908 , ""auto"", ""ar"")"),"لدي تجاعيد")</f>
        <v>لدي تجاعيد</v>
      </c>
    </row>
    <row r="10909" ht="15.75" customHeight="1">
      <c r="A10909" s="12" t="s">
        <v>25455</v>
      </c>
      <c r="B10909" s="13" t="s">
        <v>25456</v>
      </c>
      <c r="C10909" s="14" t="s">
        <v>25457</v>
      </c>
      <c r="D10909" s="1" t="str">
        <f>IFERROR(__xludf.DUMMYFUNCTION("GOOGLETRANSLATE(A10909 , ""auto"", ""ar"")"),"اريد لعبة")</f>
        <v>اريد لعبة</v>
      </c>
    </row>
    <row r="10910" ht="15.75" customHeight="1">
      <c r="A10910" s="12" t="s">
        <v>25458</v>
      </c>
      <c r="B10910" s="13" t="s">
        <v>25459</v>
      </c>
      <c r="C10910" s="14" t="s">
        <v>25460</v>
      </c>
      <c r="D10910" s="1" t="str">
        <f>IFERROR(__xludf.DUMMYFUNCTION("GOOGLETRANSLATE(A10910 , ""auto"", ""ar"")"),"خدش الكلب أذنه")</f>
        <v>خدش الكلب أذنه</v>
      </c>
    </row>
    <row r="10911" ht="15.75" customHeight="1">
      <c r="A10911" s="12" t="s">
        <v>25461</v>
      </c>
      <c r="B10911" s="13" t="s">
        <v>25462</v>
      </c>
      <c r="C10911" s="14" t="s">
        <v>25463</v>
      </c>
      <c r="D10911" s="1" t="str">
        <f>IFERROR(__xludf.DUMMYFUNCTION("GOOGLETRANSLATE(A10911 , ""auto"", ""ar"")"),"كان محترقًا بشدة")</f>
        <v>كان محترقًا بشدة</v>
      </c>
    </row>
    <row r="10912" ht="15.75" customHeight="1">
      <c r="A10912" s="12" t="s">
        <v>25464</v>
      </c>
      <c r="B10912" s="13" t="s">
        <v>25465</v>
      </c>
      <c r="C10912" s="14" t="s">
        <v>25466</v>
      </c>
      <c r="D10912" s="1" t="str">
        <f>IFERROR(__xludf.DUMMYFUNCTION("GOOGLETRANSLATE(A10912 , ""auto"", ""ar"")"),"هذا الحرق سيترك ندبة")</f>
        <v>هذا الحرق سيترك ندبة</v>
      </c>
    </row>
    <row r="10913" ht="15.75" customHeight="1">
      <c r="A10913" s="12" t="s">
        <v>25467</v>
      </c>
      <c r="B10913" s="13" t="s">
        <v>25468</v>
      </c>
      <c r="C10913" s="14" t="s">
        <v>25469</v>
      </c>
      <c r="D10913" s="1" t="str">
        <f>IFERROR(__xludf.DUMMYFUNCTION("GOOGLETRANSLATE(A10913 , ""auto"", ""ar"")"),"كيف أحرقت يدك؟")</f>
        <v>كيف أحرقت يدك؟</v>
      </c>
    </row>
    <row r="10914" ht="15.75" customHeight="1">
      <c r="A10914" s="12" t="s">
        <v>25470</v>
      </c>
      <c r="B10914" s="13" t="s">
        <v>25471</v>
      </c>
      <c r="C10914" s="14" t="s">
        <v>25472</v>
      </c>
      <c r="D10914" s="1" t="str">
        <f>IFERROR(__xludf.DUMMYFUNCTION("GOOGLETRANSLATE(A10914 , ""auto"", ""ar"")"),"أنا فقط أسحب ساقك")</f>
        <v>أنا فقط أسحب ساقك</v>
      </c>
    </row>
    <row r="10915" ht="15.75" customHeight="1">
      <c r="A10915" s="12" t="s">
        <v>25470</v>
      </c>
      <c r="B10915" s="13" t="s">
        <v>25473</v>
      </c>
      <c r="C10915" s="14" t="s">
        <v>25474</v>
      </c>
      <c r="D10915" s="1" t="str">
        <f>IFERROR(__xludf.DUMMYFUNCTION("GOOGLETRANSLATE(A10915 , ""auto"", ""ar"")"),"أنا فقط أسحب ساقك")</f>
        <v>أنا فقط أسحب ساقك</v>
      </c>
    </row>
    <row r="10916" ht="15.75" customHeight="1">
      <c r="A10916" s="12" t="s">
        <v>25475</v>
      </c>
      <c r="B10916" s="13" t="s">
        <v>25476</v>
      </c>
      <c r="C10916" s="14" t="s">
        <v>25477</v>
      </c>
      <c r="D10916" s="1" t="str">
        <f>IFERROR(__xludf.DUMMYFUNCTION("GOOGLETRANSLATE(A10916 , ""auto"", ""ar"")"),"أنا فقط أمزح")</f>
        <v>أنا فقط أمزح</v>
      </c>
    </row>
    <row r="10917" ht="15.75" customHeight="1">
      <c r="A10917" s="12" t="s">
        <v>25478</v>
      </c>
      <c r="B10917" s="13" t="s">
        <v>25479</v>
      </c>
      <c r="C10917" s="14" t="s">
        <v>25480</v>
      </c>
      <c r="D10917" s="1" t="str">
        <f>IFERROR(__xludf.DUMMYFUNCTION("GOOGLETRANSLATE(A10917 , ""auto"", ""ar"")"),"لا تثقل هذا علي")</f>
        <v>لا تثقل هذا علي</v>
      </c>
    </row>
    <row r="10918" ht="15.75" customHeight="1">
      <c r="A10918" s="12" t="s">
        <v>25481</v>
      </c>
      <c r="B10918" s="13" t="s">
        <v>25482</v>
      </c>
      <c r="C10918" s="14" t="s">
        <v>25483</v>
      </c>
      <c r="D10918" s="1" t="str">
        <f>IFERROR(__xludf.DUMMYFUNCTION("GOOGLETRANSLATE(A10918 , ""auto"", ""ar"")"),"لا تنظر إلي")</f>
        <v>لا تنظر إلي</v>
      </c>
    </row>
    <row r="10919" ht="15.75" customHeight="1">
      <c r="A10919" s="12" t="s">
        <v>25484</v>
      </c>
      <c r="B10919" s="13" t="s">
        <v>25485</v>
      </c>
      <c r="C10919" s="14" t="s">
        <v>25486</v>
      </c>
      <c r="D10919" s="1" t="str">
        <f>IFERROR(__xludf.DUMMYFUNCTION("GOOGLETRANSLATE(A10919 , ""auto"", ""ar"")"),"نرحب في اي وقت")</f>
        <v>نرحب في اي وقت</v>
      </c>
    </row>
    <row r="10920" ht="15.75" customHeight="1">
      <c r="A10920" s="12" t="s">
        <v>25487</v>
      </c>
      <c r="B10920" s="13" t="s">
        <v>25488</v>
      </c>
      <c r="C10920" s="14" t="s">
        <v>25489</v>
      </c>
      <c r="D10920" s="1" t="str">
        <f>IFERROR(__xludf.DUMMYFUNCTION("GOOGLETRANSLATE(A10920 , ""auto"", ""ar"")"),"ليس أنا من فعل ذلك")</f>
        <v>ليس أنا من فعل ذلك</v>
      </c>
    </row>
    <row r="10921" ht="15.75" customHeight="1">
      <c r="A10921" s="12" t="s">
        <v>25490</v>
      </c>
      <c r="B10921" s="13" t="s">
        <v>25491</v>
      </c>
      <c r="C10921" s="14" t="s">
        <v>25492</v>
      </c>
      <c r="D10921" s="1" t="str">
        <f>IFERROR(__xludf.DUMMYFUNCTION("GOOGLETRANSLATE(A10921 , ""auto"", ""ar"")"),"سمح لعطس بصوت عال")</f>
        <v>سمح لعطس بصوت عال</v>
      </c>
    </row>
    <row r="10922" ht="15.75" customHeight="1">
      <c r="A10922" s="12" t="s">
        <v>25493</v>
      </c>
      <c r="B10922" s="13" t="s">
        <v>25494</v>
      </c>
      <c r="C10922" s="14" t="s">
        <v>25495</v>
      </c>
      <c r="D10922" s="1" t="str">
        <f>IFERROR(__xludf.DUMMYFUNCTION("GOOGLETRANSLATE(A10922 , ""auto"", ""ar"")"),"يعطس كثيرا")</f>
        <v>يعطس كثيرا</v>
      </c>
    </row>
    <row r="10923" ht="15.75" customHeight="1">
      <c r="A10923" s="12" t="s">
        <v>25496</v>
      </c>
      <c r="B10923" s="13" t="s">
        <v>25497</v>
      </c>
      <c r="C10923" s="14" t="s">
        <v>25498</v>
      </c>
      <c r="D10923" s="1" t="str">
        <f>IFERROR(__xludf.DUMMYFUNCTION("GOOGLETRANSLATE(A10923 , ""auto"", ""ar"")"),"أعتقد أنني قد تعطس")</f>
        <v>أعتقد أنني قد تعطس</v>
      </c>
    </row>
    <row r="10924" ht="15.75" customHeight="1">
      <c r="A10924" s="12" t="s">
        <v>25499</v>
      </c>
      <c r="B10924" s="13" t="s">
        <v>25500</v>
      </c>
      <c r="C10924" s="14" t="s">
        <v>25501</v>
      </c>
      <c r="D10924" s="1" t="str">
        <f>IFERROR(__xludf.DUMMYFUNCTION("GOOGLETRANSLATE(A10924 , ""auto"", ""ar"")"),"جعله الدخان يعطس")</f>
        <v>جعله الدخان يعطس</v>
      </c>
    </row>
    <row r="10925" ht="15.75" customHeight="1">
      <c r="A10925" s="12" t="s">
        <v>25502</v>
      </c>
      <c r="B10925" s="13" t="s">
        <v>25503</v>
      </c>
      <c r="C10925" s="14" t="s">
        <v>25504</v>
      </c>
      <c r="D10925" s="1" t="str">
        <f>IFERROR(__xludf.DUMMYFUNCTION("GOOGLETRANSLATE(A10925 , ""auto"", ""ar"")"),"الغبار يجعله يعطس.")</f>
        <v>الغبار يجعله يعطس.</v>
      </c>
    </row>
    <row r="10926" ht="15.75" customHeight="1">
      <c r="A10926" s="12" t="s">
        <v>25505</v>
      </c>
      <c r="B10926" s="13" t="s">
        <v>25506</v>
      </c>
      <c r="C10926" s="14" t="s">
        <v>25507</v>
      </c>
      <c r="D10926" s="1" t="str">
        <f>IFERROR(__xludf.DUMMYFUNCTION("GOOGLETRANSLATE(A10926 , ""auto"", ""ar"")"),"تثاؤب")</f>
        <v>تثاؤب</v>
      </c>
    </row>
    <row r="10927" ht="15.75" customHeight="1">
      <c r="A10927" s="12" t="s">
        <v>25508</v>
      </c>
      <c r="B10927" s="13" t="s">
        <v>25509</v>
      </c>
      <c r="C10927" s="14" t="s">
        <v>25510</v>
      </c>
      <c r="D10927" s="1" t="str">
        <f>IFERROR(__xludf.DUMMYFUNCTION("GOOGLETRANSLATE(A10927 , ""auto"", ""ar"")"),"حاول ألا تتثاءب")</f>
        <v>حاول ألا تتثاءب</v>
      </c>
    </row>
    <row r="10928" ht="15.75" customHeight="1">
      <c r="A10928" s="12" t="s">
        <v>25511</v>
      </c>
      <c r="B10928" s="13" t="s">
        <v>25512</v>
      </c>
      <c r="C10928" s="14" t="s">
        <v>25513</v>
      </c>
      <c r="D10928" s="1" t="str">
        <f>IFERROR(__xludf.DUMMYFUNCTION("GOOGLETRANSLATE(A10928 , ""auto"", ""ar"")"),"ابذل قصارى جهدك")</f>
        <v>ابذل قصارى جهدك</v>
      </c>
    </row>
    <row r="10929" ht="15.75" customHeight="1">
      <c r="A10929" s="12" t="s">
        <v>25514</v>
      </c>
      <c r="B10929" s="13" t="s">
        <v>25515</v>
      </c>
      <c r="C10929" s="14" t="s">
        <v>25516</v>
      </c>
      <c r="D10929" s="1" t="str">
        <f>IFERROR(__xludf.DUMMYFUNCTION("GOOGLETRANSLATE(A10929 , ""auto"", ""ar"")"),"ضربت المكان")</f>
        <v>ضربت المكان</v>
      </c>
    </row>
    <row r="10930" ht="15.75" customHeight="1">
      <c r="A10930" s="12" t="s">
        <v>25517</v>
      </c>
      <c r="B10930" s="13" t="s">
        <v>25518</v>
      </c>
      <c r="C10930" s="14" t="s">
        <v>25519</v>
      </c>
      <c r="D10930" s="1" t="str">
        <f>IFERROR(__xludf.DUMMYFUNCTION("GOOGLETRANSLATE(A10930 , ""auto"", ""ar"")"),"بالضبط")</f>
        <v>بالضبط</v>
      </c>
    </row>
    <row r="10931" ht="15.75" customHeight="1">
      <c r="A10931" s="12" t="s">
        <v>25520</v>
      </c>
      <c r="B10931" s="13" t="s">
        <v>25521</v>
      </c>
      <c r="C10931" s="14" t="s">
        <v>25522</v>
      </c>
      <c r="D10931" s="1" t="str">
        <f>IFERROR(__xludf.DUMMYFUNCTION("GOOGLETRANSLATE(A10931 , ""auto"", ""ar"")"),"ما ذهب ذهب")</f>
        <v>ما ذهب ذهب</v>
      </c>
    </row>
    <row r="10932" ht="15.75" customHeight="1">
      <c r="A10932" s="12" t="s">
        <v>25523</v>
      </c>
      <c r="B10932" s="13" t="s">
        <v>25524</v>
      </c>
      <c r="C10932" s="14" t="s">
        <v>25525</v>
      </c>
      <c r="D10932" s="1" t="str">
        <f>IFERROR(__xludf.DUMMYFUNCTION("GOOGLETRANSLATE(A10932 , ""auto"", ""ar"")"),"أتمنى لك يومًا ممتعًا")</f>
        <v>أتمنى لك يومًا ممتعًا</v>
      </c>
    </row>
    <row r="10933" ht="15.75" customHeight="1">
      <c r="A10933" s="12" t="s">
        <v>25526</v>
      </c>
      <c r="B10933" s="13" t="s">
        <v>25527</v>
      </c>
      <c r="C10933" s="14" t="s">
        <v>25528</v>
      </c>
      <c r="D10933" s="1" t="str">
        <f>IFERROR(__xludf.DUMMYFUNCTION("GOOGLETRANSLATE(A10933 , ""auto"", ""ar"")"),"لا أستطيع أن أرفع عيني منك")</f>
        <v>لا أستطيع أن أرفع عيني منك</v>
      </c>
    </row>
    <row r="10934" ht="15.75" customHeight="1">
      <c r="A10934" s="12" t="s">
        <v>25529</v>
      </c>
      <c r="B10934" s="13" t="s">
        <v>25530</v>
      </c>
      <c r="C10934" s="14" t="s">
        <v>25531</v>
      </c>
      <c r="D10934" s="1" t="str">
        <f>IFERROR(__xludf.DUMMYFUNCTION("GOOGLETRANSLATE(A10934 , ""auto"", ""ar"")"),"تبدين جميلة كالعادة")</f>
        <v>تبدين جميلة كالعادة</v>
      </c>
    </row>
    <row r="10935" ht="15.75" customHeight="1">
      <c r="A10935" s="12" t="s">
        <v>25532</v>
      </c>
      <c r="B10935" s="13" t="s">
        <v>25533</v>
      </c>
      <c r="C10935" s="14" t="s">
        <v>25534</v>
      </c>
      <c r="D10935" s="1" t="str">
        <f>IFERROR(__xludf.DUMMYFUNCTION("GOOGLETRANSLATE(A10935 , ""auto"", ""ar"")"),"لا الاندفاع")</f>
        <v>لا الاندفاع</v>
      </c>
    </row>
    <row r="10936" ht="15.75" customHeight="1">
      <c r="A10936" s="12" t="s">
        <v>25535</v>
      </c>
      <c r="B10936" s="13" t="s">
        <v>25536</v>
      </c>
      <c r="C10936" s="14" t="s">
        <v>25537</v>
      </c>
      <c r="D10936" s="1" t="str">
        <f>IFERROR(__xludf.DUMMYFUNCTION("GOOGLETRANSLATE(A10936 , ""auto"", ""ar"")"),"المرة الثالثة يدفع للجميع")</f>
        <v>المرة الثالثة يدفع للجميع</v>
      </c>
    </row>
    <row r="10937" ht="15.75" customHeight="1">
      <c r="A10937" s="12" t="s">
        <v>25538</v>
      </c>
      <c r="B10937" s="13" t="s">
        <v>25539</v>
      </c>
      <c r="C10937" s="14" t="s">
        <v>25540</v>
      </c>
      <c r="D10937" s="1" t="str">
        <f>IFERROR(__xludf.DUMMYFUNCTION("GOOGLETRANSLATE(A10937 , ""auto"", ""ar"")"),"يجب أن تتوقف عن الظهر")</f>
        <v>يجب أن تتوقف عن الظهر</v>
      </c>
    </row>
    <row r="10938" ht="15.75" customHeight="1">
      <c r="A10938" s="12" t="s">
        <v>25541</v>
      </c>
      <c r="B10938" s="13" t="s">
        <v>25542</v>
      </c>
      <c r="C10938" s="14" t="s">
        <v>25543</v>
      </c>
      <c r="D10938" s="1" t="str">
        <f>IFERROR(__xludf.DUMMYFUNCTION("GOOGLETRANSLATE(A10938 , ""auto"", ""ar"")"),"لقد كان يثرثر عنك")</f>
        <v>لقد كان يثرثر عنك</v>
      </c>
    </row>
    <row r="10939" ht="15.75" customHeight="1">
      <c r="A10939" s="12" t="s">
        <v>25544</v>
      </c>
      <c r="B10939" s="13" t="s">
        <v>25545</v>
      </c>
      <c r="C10939" s="14" t="s">
        <v>25546</v>
      </c>
      <c r="D10939" s="1" t="str">
        <f>IFERROR(__xludf.DUMMYFUNCTION("GOOGLETRANSLATE(A10939 , ""auto"", ""ar"")"),"توقف عن القيل والقال")</f>
        <v>توقف عن القيل والقال</v>
      </c>
    </row>
    <row r="10940" ht="15.75" customHeight="1">
      <c r="A10940" s="12" t="s">
        <v>25547</v>
      </c>
      <c r="B10940" s="13" t="s">
        <v>25548</v>
      </c>
      <c r="C10940" s="14" t="s">
        <v>25549</v>
      </c>
      <c r="D10940" s="1" t="str">
        <f>IFERROR(__xludf.DUMMYFUNCTION("GOOGLETRANSLATE(A10940 , ""auto"", ""ar"")"),"لم أكن ثرثرة")</f>
        <v>لم أكن ثرثرة</v>
      </c>
    </row>
    <row r="10941" ht="15.75" customHeight="1">
      <c r="A10941" s="12" t="s">
        <v>25550</v>
      </c>
      <c r="B10941" s="13" t="s">
        <v>25551</v>
      </c>
      <c r="C10941" s="14" t="s">
        <v>25552</v>
      </c>
      <c r="D10941" s="1" t="str">
        <f>IFERROR(__xludf.DUMMYFUNCTION("GOOGLETRANSLATE(A10941 , ""auto"", ""ar"")"),"انه حقا يحب القيل والقال")</f>
        <v>انه حقا يحب القيل والقال</v>
      </c>
    </row>
    <row r="10942" ht="15.75" customHeight="1">
      <c r="A10942" s="12" t="s">
        <v>25553</v>
      </c>
      <c r="B10942" s="13" t="s">
        <v>25554</v>
      </c>
      <c r="C10942" s="14" t="s">
        <v>25555</v>
      </c>
      <c r="D10942" s="1" t="str">
        <f>IFERROR(__xludf.DUMMYFUNCTION("GOOGLETRANSLATE(A10942 , ""auto"", ""ar"")"),"نفاقه يجعلني مريضًا")</f>
        <v>نفاقه يجعلني مريضًا</v>
      </c>
    </row>
    <row r="10943" ht="15.75" customHeight="1">
      <c r="A10943" s="12" t="s">
        <v>25556</v>
      </c>
      <c r="B10943" s="13" t="s">
        <v>25557</v>
      </c>
      <c r="C10943" s="14" t="s">
        <v>25558</v>
      </c>
      <c r="D10943" s="1" t="str">
        <f>IFERROR(__xludf.DUMMYFUNCTION("GOOGLETRANSLATE(A10943 , ""auto"", ""ar"")"),"أنا أكره التدخين")</f>
        <v>أنا أكره التدخين</v>
      </c>
    </row>
    <row r="10944" ht="15.75" customHeight="1">
      <c r="A10944" s="12" t="s">
        <v>25559</v>
      </c>
      <c r="B10944" s="13" t="s">
        <v>25560</v>
      </c>
      <c r="C10944" s="14" t="s">
        <v>25561</v>
      </c>
      <c r="D10944" s="1" t="str">
        <f>IFERROR(__xludf.DUMMYFUNCTION("GOOGLETRANSLATE(A10944 , ""auto"", ""ar"")"),"لقد كان يتلاعب بشكل كبير")</f>
        <v>لقد كان يتلاعب بشكل كبير</v>
      </c>
    </row>
    <row r="10945" ht="15.75" customHeight="1">
      <c r="A10945" s="12" t="s">
        <v>25562</v>
      </c>
      <c r="B10945" s="13" t="s">
        <v>25563</v>
      </c>
      <c r="C10945" s="14" t="s">
        <v>25564</v>
      </c>
      <c r="D10945" s="1" t="str">
        <f>IFERROR(__xludf.DUMMYFUNCTION("GOOGLETRANSLATE(A10945 , ""auto"", ""ar"")"),"المقامرة لعنة")</f>
        <v>المقامرة لعنة</v>
      </c>
    </row>
    <row r="10946" ht="15.75" customHeight="1">
      <c r="A10946" s="12" t="s">
        <v>25565</v>
      </c>
      <c r="B10946" s="13" t="s">
        <v>25566</v>
      </c>
      <c r="C10946" s="14" t="s">
        <v>25567</v>
      </c>
      <c r="D10946" s="1" t="str">
        <f>IFERROR(__xludf.DUMMYFUNCTION("GOOGLETRANSLATE(A10946 , ""auto"", ""ar"")"),"لقد خسر مقامرة أمواله")</f>
        <v>لقد خسر مقامرة أمواله</v>
      </c>
    </row>
    <row r="10947" ht="15.75" customHeight="1">
      <c r="A10947" s="12" t="s">
        <v>25568</v>
      </c>
      <c r="B10947" s="13" t="s">
        <v>25569</v>
      </c>
      <c r="C10947" s="14" t="s">
        <v>25570</v>
      </c>
      <c r="D10947" s="1" t="str">
        <f>IFERROR(__xludf.DUMMYFUNCTION("GOOGLETRANSLATE(A10947 , ""auto"", ""ar"")"),"توقف عن القمار")</f>
        <v>توقف عن القمار</v>
      </c>
    </row>
    <row r="10948" ht="15.75" customHeight="1">
      <c r="A10948" s="12" t="s">
        <v>25571</v>
      </c>
      <c r="B10948" s="13" t="s">
        <v>25572</v>
      </c>
      <c r="C10948" s="14" t="s">
        <v>25573</v>
      </c>
      <c r="D10948" s="1" t="str">
        <f>IFERROR(__xludf.DUMMYFUNCTION("GOOGLETRANSLATE(A10948 , ""auto"", ""ar"")"),"سأتوقف عن القمار")</f>
        <v>سأتوقف عن القمار</v>
      </c>
    </row>
    <row r="10949" ht="15.75" customHeight="1">
      <c r="A10949" s="12" t="s">
        <v>25574</v>
      </c>
      <c r="B10949" s="13" t="s">
        <v>25575</v>
      </c>
      <c r="C10949" s="14" t="s">
        <v>25576</v>
      </c>
      <c r="D10949" s="1" t="str">
        <f>IFERROR(__xludf.DUMMYFUNCTION("GOOGLETRANSLATE(A10949 , ""auto"", ""ar"")"),"يحب المقامرة")</f>
        <v>يحب المقامرة</v>
      </c>
    </row>
    <row r="10950" ht="15.75" customHeight="1">
      <c r="A10950" s="12" t="s">
        <v>25577</v>
      </c>
      <c r="B10950" s="13" t="s">
        <v>25578</v>
      </c>
      <c r="C10950" s="14" t="s">
        <v>25579</v>
      </c>
      <c r="D10950" s="1" t="str">
        <f>IFERROR(__xludf.DUMMYFUNCTION("GOOGLETRANSLATE(A10950 , ""auto"", ""ar"")"),"إنه مدمن على المقامرة")</f>
        <v>إنه مدمن على المقامرة</v>
      </c>
    </row>
    <row r="10951" ht="15.75" customHeight="1">
      <c r="A10951" s="12" t="s">
        <v>25580</v>
      </c>
      <c r="B10951" s="13" t="s">
        <v>25581</v>
      </c>
      <c r="C10951" s="14" t="s">
        <v>25582</v>
      </c>
      <c r="D10951" s="1" t="str">
        <f>IFERROR(__xludf.DUMMYFUNCTION("GOOGLETRANSLATE(A10951 , ""auto"", ""ar"")"),"كان مجرد لعب القمار")</f>
        <v>كان مجرد لعب القمار</v>
      </c>
    </row>
    <row r="10952" ht="15.75" customHeight="1">
      <c r="A10952" s="12" t="s">
        <v>25583</v>
      </c>
      <c r="B10952" s="13" t="s">
        <v>25584</v>
      </c>
      <c r="C10952" s="14" t="s">
        <v>25585</v>
      </c>
      <c r="D10952" s="1" t="str">
        <f>IFERROR(__xludf.DUMMYFUNCTION("GOOGLETRANSLATE(A10952 , ""auto"", ""ar"")"),"هل أنت حقا مقامرة؟")</f>
        <v>هل أنت حقا مقامرة؟</v>
      </c>
    </row>
    <row r="10953" ht="15.75" customHeight="1">
      <c r="A10953" s="12" t="s">
        <v>25586</v>
      </c>
      <c r="B10953" s="13" t="s">
        <v>25587</v>
      </c>
      <c r="C10953" s="14" t="s">
        <v>25588</v>
      </c>
      <c r="D10953" s="1" t="str">
        <f>IFERROR(__xludf.DUMMYFUNCTION("GOOGLETRANSLATE(A10953 , ""auto"", ""ar"")"),"لديه مشكلة في المقامرة")</f>
        <v>لديه مشكلة في المقامرة</v>
      </c>
    </row>
    <row r="10954" ht="15.75" customHeight="1">
      <c r="A10954" s="12" t="s">
        <v>25589</v>
      </c>
      <c r="B10954" s="13" t="s">
        <v>25590</v>
      </c>
      <c r="C10954" s="14" t="s">
        <v>25591</v>
      </c>
      <c r="D10954" s="1" t="str">
        <f>IFERROR(__xludf.DUMMYFUNCTION("GOOGLETRANSLATE(A10954 , ""auto"", ""ar"")"),"أنا لم أعد مقامرة")</f>
        <v>أنا لم أعد مقامرة</v>
      </c>
    </row>
    <row r="10955" ht="15.75" customHeight="1">
      <c r="A10955" s="12" t="s">
        <v>25592</v>
      </c>
      <c r="B10955" s="13" t="s">
        <v>25593</v>
      </c>
      <c r="C10955" s="14" t="s">
        <v>25594</v>
      </c>
      <c r="D10955" s="1" t="str">
        <f>IFERROR(__xludf.DUMMYFUNCTION("GOOGLETRANSLATE(A10955 , ""auto"", ""ar"")"),"هو المقامرة مرة أخرى")</f>
        <v>هو المقامرة مرة أخرى</v>
      </c>
    </row>
    <row r="10956" ht="15.75" customHeight="1">
      <c r="A10956" s="12" t="s">
        <v>25595</v>
      </c>
      <c r="B10956" s="13" t="s">
        <v>25596</v>
      </c>
      <c r="C10956" s="14" t="s">
        <v>25597</v>
      </c>
      <c r="D10956" s="1" t="str">
        <f>IFERROR(__xludf.DUMMYFUNCTION("GOOGLETRANSLATE(A10956 , ""auto"", ""ar"")"),"تحتاج إلى التوقف عن القمار")</f>
        <v>تحتاج إلى التوقف عن القمار</v>
      </c>
    </row>
    <row r="10957" ht="15.75" customHeight="1">
      <c r="A10957" s="12" t="s">
        <v>25598</v>
      </c>
      <c r="B10957" s="13" t="s">
        <v>25599</v>
      </c>
      <c r="C10957" s="14" t="s">
        <v>25600</v>
      </c>
      <c r="D10957" s="1" t="str">
        <f>IFERROR(__xludf.DUMMYFUNCTION("GOOGLETRANSLATE(A10957 , ""auto"", ""ar"")"),"هل كنت تجسس علي؟")</f>
        <v>هل كنت تجسس علي؟</v>
      </c>
    </row>
    <row r="10958" ht="15.75" customHeight="1">
      <c r="A10958" s="12" t="s">
        <v>25601</v>
      </c>
      <c r="B10958" s="13" t="s">
        <v>25602</v>
      </c>
      <c r="C10958" s="14" t="s">
        <v>25603</v>
      </c>
      <c r="D10958" s="1" t="str">
        <f>IFERROR(__xludf.DUMMYFUNCTION("GOOGLETRANSLATE(A10958 , ""auto"", ""ar"")"),"رأيتك تجسس عليه")</f>
        <v>رأيتك تجسس عليه</v>
      </c>
    </row>
    <row r="10959" ht="15.75" customHeight="1">
      <c r="A10959" s="12" t="s">
        <v>11733</v>
      </c>
      <c r="B10959" s="13" t="s">
        <v>25604</v>
      </c>
      <c r="C10959" s="14" t="s">
        <v>25605</v>
      </c>
      <c r="D10959" s="1" t="str">
        <f>IFERROR(__xludf.DUMMYFUNCTION("GOOGLETRANSLATE(A10959 , ""auto"", ""ar"")"),"من كنت تجسس؟")</f>
        <v>من كنت تجسس؟</v>
      </c>
    </row>
    <row r="10960" ht="15.75" customHeight="1">
      <c r="A10960" s="12" t="s">
        <v>25606</v>
      </c>
      <c r="B10960" s="13" t="s">
        <v>25607</v>
      </c>
      <c r="C10960" s="14" t="s">
        <v>25608</v>
      </c>
      <c r="D10960" s="1" t="str">
        <f>IFERROR(__xludf.DUMMYFUNCTION("GOOGLETRANSLATE(A10960 , ""auto"", ""ar"")"),"كان غاضبًا ويلعنًا")</f>
        <v>كان غاضبًا ويلعنًا</v>
      </c>
    </row>
    <row r="10961" ht="15.75" customHeight="1">
      <c r="A10961" s="12" t="s">
        <v>25609</v>
      </c>
      <c r="B10961" s="13" t="s">
        <v>25610</v>
      </c>
      <c r="C10961" s="14" t="s">
        <v>25611</v>
      </c>
      <c r="D10961" s="1" t="str">
        <f>IFERROR(__xludf.DUMMYFUNCTION("GOOGLETRANSLATE(A10961 , ""auto"", ""ar"")"),"كان يلعن ويصرخ")</f>
        <v>كان يلعن ويصرخ</v>
      </c>
    </row>
    <row r="10962" ht="15.75" customHeight="1">
      <c r="A10962" s="12" t="s">
        <v>25612</v>
      </c>
      <c r="B10962" s="13" t="s">
        <v>25613</v>
      </c>
      <c r="C10962" s="14" t="s">
        <v>25614</v>
      </c>
      <c r="D10962" s="1" t="str">
        <f>IFERROR(__xludf.DUMMYFUNCTION("GOOGLETRANSLATE(A10962 , ""auto"", ""ar"")"),"غطرسته لا يعرف أي حدود")</f>
        <v>غطرسته لا يعرف أي حدود</v>
      </c>
    </row>
    <row r="10963" ht="15.75" customHeight="1">
      <c r="A10963" s="12" t="s">
        <v>25615</v>
      </c>
      <c r="B10963" s="13" t="s">
        <v>25616</v>
      </c>
      <c r="C10963" s="14" t="s">
        <v>25617</v>
      </c>
      <c r="D10963" s="1" t="str">
        <f>IFERROR(__xludf.DUMMYFUNCTION("GOOGLETRANSLATE(A10963 , ""auto"", ""ar"")"),"أنا لا أحبه على غطرسته")</f>
        <v>أنا لا أحبه على غطرسته</v>
      </c>
    </row>
    <row r="10964" ht="15.75" customHeight="1">
      <c r="A10964" s="12" t="s">
        <v>25618</v>
      </c>
      <c r="B10964" s="13" t="s">
        <v>25619</v>
      </c>
      <c r="C10964" s="14" t="s">
        <v>25620</v>
      </c>
      <c r="D10964" s="1" t="str">
        <f>IFERROR(__xludf.DUMMYFUNCTION("GOOGLETRANSLATE(A10964 , ""auto"", ""ar"")"),"أنت كتاب مفتوح")</f>
        <v>أنت كتاب مفتوح</v>
      </c>
    </row>
    <row r="10965" ht="15.75" customHeight="1">
      <c r="A10965" s="12" t="s">
        <v>25621</v>
      </c>
      <c r="B10965" s="13" t="s">
        <v>25622</v>
      </c>
      <c r="C10965" s="14" t="s">
        <v>25623</v>
      </c>
      <c r="D10965" s="1" t="str">
        <f>IFERROR(__xludf.DUMMYFUNCTION("GOOGLETRANSLATE(A10965 , ""auto"", ""ar"")"),"ترتدي قلبك على جعبتك")</f>
        <v>ترتدي قلبك على جعبتك</v>
      </c>
    </row>
    <row r="10966" ht="15.75" customHeight="1">
      <c r="A10966" s="12" t="s">
        <v>25624</v>
      </c>
      <c r="B10966" s="13" t="s">
        <v>25625</v>
      </c>
      <c r="C10966" s="14" t="s">
        <v>25626</v>
      </c>
      <c r="D10966" s="1" t="str">
        <f>IFERROR(__xludf.DUMMYFUNCTION("GOOGLETRANSLATE(A10966 , ""auto"", ""ar"")"),"أنا متروك للآذان")</f>
        <v>أنا متروك للآذان</v>
      </c>
    </row>
    <row r="10967" ht="15.75" customHeight="1">
      <c r="A10967" s="12" t="s">
        <v>25627</v>
      </c>
      <c r="B10967" s="13" t="s">
        <v>25628</v>
      </c>
      <c r="C10967" s="14" t="s">
        <v>25629</v>
      </c>
      <c r="D10967" s="1" t="str">
        <f>IFERROR(__xludf.DUMMYFUNCTION("GOOGLETRANSLATE(A10967 , ""auto"", ""ar"")"),"لدي الكثير على صحنتي")</f>
        <v>لدي الكثير على صحنتي</v>
      </c>
    </row>
    <row r="10968" ht="15.75" customHeight="1">
      <c r="A10968" s="12" t="s">
        <v>25630</v>
      </c>
      <c r="B10968" s="13" t="s">
        <v>25631</v>
      </c>
      <c r="C10968" s="14" t="s">
        <v>25632</v>
      </c>
      <c r="D10968" s="1" t="str">
        <f>IFERROR(__xludf.DUMMYFUNCTION("GOOGLETRANSLATE(A10968 , ""auto"", ""ar"")"),"لا تيأس أبدا")</f>
        <v>لا تيأس أبدا</v>
      </c>
    </row>
    <row r="10969" ht="15.75" customHeight="1">
      <c r="A10969" s="12" t="s">
        <v>25633</v>
      </c>
      <c r="B10969" s="13" t="s">
        <v>25634</v>
      </c>
      <c r="C10969" s="14" t="s">
        <v>25635</v>
      </c>
      <c r="D10969" s="1" t="str">
        <f>IFERROR(__xludf.DUMMYFUNCTION("GOOGLETRANSLATE(A10969 , ""auto"", ""ar"")"),"نفعل ذلك في طريقك")</f>
        <v>نفعل ذلك في طريقك</v>
      </c>
    </row>
    <row r="10970" ht="15.75" customHeight="1">
      <c r="A10970" s="12" t="s">
        <v>25636</v>
      </c>
      <c r="B10970" s="13" t="s">
        <v>25637</v>
      </c>
      <c r="C10970" s="14" t="s">
        <v>25638</v>
      </c>
      <c r="D10970" s="1" t="str">
        <f>IFERROR(__xludf.DUMMYFUNCTION("GOOGLETRANSLATE(A10970 , ""auto"", ""ar"")"),"افعل ما تشاء")</f>
        <v>افعل ما تشاء</v>
      </c>
    </row>
    <row r="10971" ht="15.75" customHeight="1">
      <c r="A10971" s="12" t="s">
        <v>25639</v>
      </c>
      <c r="B10971" s="13" t="s">
        <v>25640</v>
      </c>
      <c r="C10971" s="14" t="s">
        <v>25641</v>
      </c>
      <c r="D10971" s="1" t="str">
        <f>IFERROR(__xludf.DUMMYFUNCTION("GOOGLETRANSLATE(A10971 , ""auto"", ""ar"")"),"كل ما يطفو القارب الخاص بك")</f>
        <v>كل ما يطفو القارب الخاص بك</v>
      </c>
    </row>
    <row r="10972" ht="15.75" customHeight="1">
      <c r="A10972" s="12" t="s">
        <v>25642</v>
      </c>
      <c r="B10972" s="13" t="s">
        <v>25643</v>
      </c>
      <c r="C10972" s="14" t="s">
        <v>25644</v>
      </c>
      <c r="D10972" s="1" t="str">
        <f>IFERROR(__xludf.DUMMYFUNCTION("GOOGLETRANSLATE(A10972 , ""auto"", ""ar"")"),"تتناسب معك")</f>
        <v>تتناسب معك</v>
      </c>
    </row>
    <row r="10973" ht="15.75" customHeight="1">
      <c r="A10973" s="12" t="s">
        <v>25642</v>
      </c>
      <c r="B10973" s="13" t="s">
        <v>25645</v>
      </c>
      <c r="C10973" s="14" t="s">
        <v>25646</v>
      </c>
      <c r="D10973" s="1" t="str">
        <f>IFERROR(__xludf.DUMMYFUNCTION("GOOGLETRANSLATE(A10973 , ""auto"", ""ar"")"),"تتناسب معك")</f>
        <v>تتناسب معك</v>
      </c>
    </row>
    <row r="10974" ht="15.75" customHeight="1">
      <c r="A10974" s="12" t="s">
        <v>25647</v>
      </c>
      <c r="B10974" s="13" t="s">
        <v>25648</v>
      </c>
      <c r="C10974" s="14" t="s">
        <v>25649</v>
      </c>
      <c r="D10974" s="1" t="str">
        <f>IFERROR(__xludf.DUMMYFUNCTION("GOOGLETRANSLATE(A10974 , ""auto"", ""ar"")"),"عادلة بما فيه الكفاية")</f>
        <v>عادلة بما فيه الكفاية</v>
      </c>
    </row>
    <row r="10975" ht="15.75" customHeight="1">
      <c r="A10975" s="12" t="s">
        <v>25650</v>
      </c>
      <c r="B10975" s="13" t="s">
        <v>25651</v>
      </c>
      <c r="C10975" s="14" t="s">
        <v>25652</v>
      </c>
      <c r="D10975" s="1" t="str">
        <f>IFERROR(__xludf.DUMMYFUNCTION("GOOGLETRANSLATE(A10975 , ""auto"", ""ar"")"),"الأمور ستتحسن")</f>
        <v>الأمور ستتحسن</v>
      </c>
    </row>
    <row r="10976" ht="15.75" customHeight="1">
      <c r="A10976" s="12" t="s">
        <v>25653</v>
      </c>
      <c r="B10976" s="13" t="s">
        <v>25654</v>
      </c>
      <c r="C10976" s="14" t="s">
        <v>25655</v>
      </c>
      <c r="D10976" s="1" t="str">
        <f>IFERROR(__xludf.DUMMYFUNCTION("GOOGLETRANSLATE(A10976 , ""auto"", ""ar"")"),"سوف تعمل الأمور في النهاية")</f>
        <v>سوف تعمل الأمور في النهاية</v>
      </c>
    </row>
    <row r="10977" ht="15.75" customHeight="1">
      <c r="A10977" s="12" t="s">
        <v>25656</v>
      </c>
      <c r="B10977" s="13" t="s">
        <v>25657</v>
      </c>
      <c r="C10977" s="14" t="s">
        <v>25658</v>
      </c>
      <c r="D10977" s="1" t="str">
        <f>IFERROR(__xludf.DUMMYFUNCTION("GOOGLETRANSLATE(A10977 , ""auto"", ""ar"")"),"سوف تمر هذه العاصفة")</f>
        <v>سوف تمر هذه العاصفة</v>
      </c>
    </row>
    <row r="10978" ht="15.75" customHeight="1">
      <c r="A10978" s="12" t="s">
        <v>25659</v>
      </c>
      <c r="B10978" s="13" t="s">
        <v>25660</v>
      </c>
      <c r="C10978" s="14" t="s">
        <v>25661</v>
      </c>
      <c r="D10978" s="1" t="str">
        <f>IFERROR(__xludf.DUMMYFUNCTION("GOOGLETRANSLATE(A10978 , ""auto"", ""ar"")"),"أبقي الأمر سرا")</f>
        <v>أبقي الأمر سرا</v>
      </c>
    </row>
    <row r="10979" ht="15.75" customHeight="1">
      <c r="A10979" s="12" t="s">
        <v>25662</v>
      </c>
      <c r="B10979" s="13" t="s">
        <v>25663</v>
      </c>
      <c r="C10979" s="14" t="s">
        <v>25664</v>
      </c>
      <c r="D10979" s="1" t="str">
        <f>IFERROR(__xludf.DUMMYFUNCTION("GOOGLETRANSLATE(A10979 , ""auto"", ""ar"")"),"لا تسكب الفاصوليا")</f>
        <v>لا تسكب الفاصوليا</v>
      </c>
    </row>
    <row r="10980" ht="15.75" customHeight="1">
      <c r="A10980" s="12" t="s">
        <v>25665</v>
      </c>
      <c r="B10980" s="13" t="s">
        <v>25666</v>
      </c>
      <c r="C10980" s="14" t="s">
        <v>25667</v>
      </c>
      <c r="D10980" s="1" t="str">
        <f>IFERROR(__xludf.DUMMYFUNCTION("GOOGLETRANSLATE(A10980 , ""auto"", ""ar"")"),"أنا فوز")</f>
        <v>أنا فوز</v>
      </c>
    </row>
    <row r="10981" ht="15.75" customHeight="1">
      <c r="A10981" s="12" t="s">
        <v>25668</v>
      </c>
      <c r="B10981" s="13" t="s">
        <v>25669</v>
      </c>
      <c r="C10981" s="14" t="s">
        <v>25670</v>
      </c>
      <c r="D10981" s="1" t="str">
        <f>IFERROR(__xludf.DUMMYFUNCTION("GOOGLETRANSLATE(A10981 , ""auto"", ""ar"")"),"أنا متعب حتى العظم")</f>
        <v>أنا متعب حتى العظم</v>
      </c>
    </row>
    <row r="10982" ht="15.75" customHeight="1">
      <c r="A10982" s="12" t="s">
        <v>25671</v>
      </c>
      <c r="B10982" s="13" t="s">
        <v>25672</v>
      </c>
      <c r="C10982" s="14" t="s">
        <v>25673</v>
      </c>
      <c r="D10982" s="1" t="str">
        <f>IFERROR(__xludf.DUMMYFUNCTION("GOOGLETRANSLATE(A10982 , ""auto"", ""ar"")"),"لقد قضيت")</f>
        <v>لقد قضيت</v>
      </c>
    </row>
    <row r="10983" ht="15.75" customHeight="1">
      <c r="A10983" s="12" t="s">
        <v>25671</v>
      </c>
      <c r="B10983" s="13" t="s">
        <v>25674</v>
      </c>
      <c r="C10983" s="14" t="s">
        <v>25675</v>
      </c>
      <c r="D10983" s="1" t="str">
        <f>IFERROR(__xludf.DUMMYFUNCTION("GOOGLETRANSLATE(A10983 , ""auto"", ""ar"")"),"لقد قضيت")</f>
        <v>لقد قضيت</v>
      </c>
    </row>
    <row r="10984" ht="15.75" customHeight="1">
      <c r="A10984" s="12" t="s">
        <v>25676</v>
      </c>
      <c r="B10984" s="13" t="s">
        <v>25677</v>
      </c>
      <c r="C10984" s="14" t="s">
        <v>25678</v>
      </c>
      <c r="D10984" s="1" t="str">
        <f>IFERROR(__xludf.DUMMYFUNCTION("GOOGLETRANSLATE(A10984 , ""auto"", ""ar"")"),"أنا أطفو على الهواء")</f>
        <v>أنا أطفو على الهواء</v>
      </c>
    </row>
    <row r="10985" ht="15.75" customHeight="1">
      <c r="A10985" s="12" t="s">
        <v>25679</v>
      </c>
      <c r="B10985" s="13" t="s">
        <v>25680</v>
      </c>
      <c r="C10985" s="14" t="s">
        <v>25681</v>
      </c>
      <c r="D10985" s="1" t="str">
        <f>IFERROR(__xludf.DUMMYFUNCTION("GOOGLETRANSLATE(A10985 , ""auto"", ""ar"")"),"أخذ رشفة من الشاي")</f>
        <v>أخذ رشفة من الشاي</v>
      </c>
    </row>
    <row r="10986" ht="15.75" customHeight="1">
      <c r="A10986" s="12" t="s">
        <v>25682</v>
      </c>
      <c r="B10986" s="13" t="s">
        <v>25683</v>
      </c>
      <c r="C10986" s="14" t="s">
        <v>25684</v>
      </c>
      <c r="D10986" s="1" t="str">
        <f>IFERROR(__xludf.DUMMYFUNCTION("GOOGLETRANSLATE(A10986 , ""auto"", ""ar"")"),"أنا أحب طعم الثوم")</f>
        <v>أنا أحب طعم الثوم</v>
      </c>
    </row>
    <row r="10987" ht="15.75" customHeight="1">
      <c r="A10987" s="12" t="s">
        <v>25685</v>
      </c>
      <c r="B10987" s="13" t="s">
        <v>25686</v>
      </c>
      <c r="C10987" s="14" t="s">
        <v>25687</v>
      </c>
      <c r="D10987" s="1" t="str">
        <f>IFERROR(__xludf.DUMMYFUNCTION("GOOGLETRANSLATE(A10987 , ""auto"", ""ar"")"),"أحب أن أتذوق أشياء جديدة")</f>
        <v>أحب أن أتذوق أشياء جديدة</v>
      </c>
    </row>
    <row r="10988" ht="15.75" customHeight="1">
      <c r="A10988" s="12" t="s">
        <v>25688</v>
      </c>
      <c r="B10988" s="13" t="s">
        <v>25689</v>
      </c>
      <c r="C10988" s="14" t="s">
        <v>25690</v>
      </c>
      <c r="D10988" s="1" t="str">
        <f>IFERROR(__xludf.DUMMYFUNCTION("GOOGLETRANSLATE(A10988 , ""auto"", ""ar"")"),"من الصعب مضغ هذا اللحم")</f>
        <v>من الصعب مضغ هذا اللحم</v>
      </c>
    </row>
    <row r="10989" ht="15.75" customHeight="1">
      <c r="A10989" s="12" t="s">
        <v>25688</v>
      </c>
      <c r="B10989" s="13" t="s">
        <v>25691</v>
      </c>
      <c r="C10989" s="14" t="s">
        <v>25692</v>
      </c>
      <c r="D10989" s="1" t="str">
        <f>IFERROR(__xludf.DUMMYFUNCTION("GOOGLETRANSLATE(A10989 , ""auto"", ""ar"")"),"من الصعب مضغ هذا اللحم")</f>
        <v>من الصعب مضغ هذا اللحم</v>
      </c>
    </row>
    <row r="10990" ht="15.75" customHeight="1">
      <c r="A10990" s="12" t="s">
        <v>25693</v>
      </c>
      <c r="B10990" s="13" t="s">
        <v>25694</v>
      </c>
      <c r="C10990" s="14" t="s">
        <v>25695</v>
      </c>
      <c r="D10990" s="1" t="str">
        <f>IFERROR(__xludf.DUMMYFUNCTION("GOOGLETRANSLATE(A10990 , ""auto"", ""ar"")"),"مضغ طعامك جيدًا")</f>
        <v>مضغ طعامك جيدًا</v>
      </c>
    </row>
    <row r="10991" ht="15.75" customHeight="1">
      <c r="A10991" s="12" t="s">
        <v>25696</v>
      </c>
      <c r="B10991" s="13" t="s">
        <v>25697</v>
      </c>
      <c r="C10991" s="14" t="s">
        <v>25698</v>
      </c>
      <c r="D10991" s="1" t="str">
        <f>IFERROR(__xludf.DUMMYFUNCTION("GOOGLETRANSLATE(A10991 , ""auto"", ""ar"")"),"أنا مضغ العلكة")</f>
        <v>أنا مضغ العلكة</v>
      </c>
    </row>
    <row r="10992" ht="15.75" customHeight="1">
      <c r="A10992" s="12" t="s">
        <v>25699</v>
      </c>
      <c r="B10992" s="13" t="s">
        <v>25700</v>
      </c>
      <c r="C10992" s="14" t="s">
        <v>25701</v>
      </c>
      <c r="D10992" s="1" t="str">
        <f>IFERROR(__xludf.DUMMYFUNCTION("GOOGLETRANSLATE(A10992 , ""auto"", ""ar"")"),"لا تنسى مضغ")</f>
        <v>لا تنسى مضغ</v>
      </c>
    </row>
    <row r="10993" ht="15.75" customHeight="1">
      <c r="A10993" s="12" t="s">
        <v>25702</v>
      </c>
      <c r="B10993" s="13" t="s">
        <v>25703</v>
      </c>
      <c r="C10993" s="14" t="s">
        <v>25704</v>
      </c>
      <c r="D10993" s="1" t="str">
        <f>IFERROR(__xludf.DUMMYFUNCTION("GOOGLETRANSLATE(A10993 , ""auto"", ""ar"")"),"إبتلعه")</f>
        <v>إبتلعه</v>
      </c>
    </row>
    <row r="10994" ht="15.75" customHeight="1">
      <c r="A10994" s="12" t="s">
        <v>25705</v>
      </c>
      <c r="B10994" s="13" t="s">
        <v>25706</v>
      </c>
      <c r="C10994" s="14" t="s">
        <v>25707</v>
      </c>
      <c r="D10994" s="1" t="str">
        <f>IFERROR(__xludf.DUMMYFUNCTION("GOOGLETRANSLATE(A10994 , ""auto"", ""ar"")"),"لا تمضغها")</f>
        <v>لا تمضغها</v>
      </c>
    </row>
    <row r="10995" ht="15.75" customHeight="1">
      <c r="A10995" s="12" t="s">
        <v>25708</v>
      </c>
      <c r="B10995" s="13" t="s">
        <v>25709</v>
      </c>
      <c r="C10995" s="14" t="s">
        <v>25710</v>
      </c>
      <c r="D10995" s="1" t="str">
        <f>IFERROR(__xludf.DUMMYFUNCTION("GOOGLETRANSLATE(A10995 , ""auto"", ""ar"")"),"من الصعب بالنسبة لي أن أمضغ")</f>
        <v>من الصعب بالنسبة لي أن أمضغ</v>
      </c>
    </row>
    <row r="10996" ht="15.75" customHeight="1">
      <c r="A10996" s="12" t="s">
        <v>25711</v>
      </c>
      <c r="B10996" s="13" t="s">
        <v>25712</v>
      </c>
      <c r="C10996" s="14" t="s">
        <v>25713</v>
      </c>
      <c r="D10996" s="1" t="str">
        <f>IFERROR(__xludf.DUMMYFUNCTION("GOOGLETRANSLATE(A10996 , ""auto"", ""ar"")"),"انه قليلا التفاح")</f>
        <v>انه قليلا التفاح</v>
      </c>
    </row>
    <row r="10997" ht="15.75" customHeight="1">
      <c r="A10997" s="12" t="s">
        <v>25714</v>
      </c>
      <c r="B10997" s="13" t="s">
        <v>25715</v>
      </c>
      <c r="C10997" s="14" t="s">
        <v>25716</v>
      </c>
      <c r="D10997" s="1" t="str">
        <f>IFERROR(__xludf.DUMMYFUNCTION("GOOGLETRANSLATE(A10997 , ""auto"", ""ar"")"),"لن أعض")</f>
        <v>لن أعض</v>
      </c>
    </row>
    <row r="10998" ht="15.75" customHeight="1">
      <c r="A10998" s="12" t="s">
        <v>25717</v>
      </c>
      <c r="B10998" s="13" t="s">
        <v>25718</v>
      </c>
      <c r="C10998" s="14" t="s">
        <v>25719</v>
      </c>
      <c r="D10998" s="1" t="str">
        <f>IFERROR(__xludf.DUMMYFUNCTION("GOOGLETRANSLATE(A10998 , ""auto"", ""ar"")"),"هل يعض كلبك؟")</f>
        <v>هل يعض كلبك؟</v>
      </c>
    </row>
    <row r="10999" ht="15.75" customHeight="1">
      <c r="A10999" s="12" t="s">
        <v>25720</v>
      </c>
      <c r="B10999" s="13" t="s">
        <v>25721</v>
      </c>
      <c r="C10999" s="14" t="s">
        <v>25722</v>
      </c>
      <c r="D10999" s="1" t="str">
        <f>IFERROR(__xludf.DUMMYFUNCTION("GOOGLETRANSLATE(A10999 , ""auto"", ""ar"")"),"حصل على قرض")</f>
        <v>حصل على قرض</v>
      </c>
    </row>
    <row r="11000" ht="15.75" customHeight="1">
      <c r="A11000" s="12" t="s">
        <v>25720</v>
      </c>
      <c r="B11000" s="13" t="s">
        <v>25723</v>
      </c>
      <c r="C11000" s="14" t="s">
        <v>25724</v>
      </c>
      <c r="D11000" s="1" t="str">
        <f>IFERROR(__xludf.DUMMYFUNCTION("GOOGLETRANSLATE(A11000 , ""auto"", ""ar"")"),"حصل على قرض")</f>
        <v>حصل على قرض</v>
      </c>
    </row>
    <row r="11001" ht="15.75" customHeight="1">
      <c r="A11001" s="12" t="s">
        <v>25725</v>
      </c>
      <c r="B11001" s="13" t="s">
        <v>25726</v>
      </c>
      <c r="C11001" s="14" t="s">
        <v>25727</v>
      </c>
      <c r="D11001" s="1" t="str">
        <f>IFERROR(__xludf.DUMMYFUNCTION("GOOGLETRANSLATE(A11001 , ""auto"", ""ar"")"),"طلبت من البنك الحصول على قرض")</f>
        <v>طلبت من البنك الحصول على قرض</v>
      </c>
    </row>
    <row r="11002" ht="15.75" customHeight="1">
      <c r="A11002" s="12" t="s">
        <v>25728</v>
      </c>
      <c r="B11002" s="13" t="s">
        <v>25729</v>
      </c>
      <c r="C11002" s="14" t="s">
        <v>25730</v>
      </c>
      <c r="D11002" s="1" t="str">
        <f>IFERROR(__xludf.DUMMYFUNCTION("GOOGLETRANSLATE(A11002 , ""auto"", ""ar"")"),"لقد تبرعت بالدم")</f>
        <v>لقد تبرعت بالدم</v>
      </c>
    </row>
    <row r="11003" ht="15.75" customHeight="1">
      <c r="A11003" s="12" t="s">
        <v>25731</v>
      </c>
      <c r="B11003" s="13" t="s">
        <v>25732</v>
      </c>
      <c r="C11003" s="14" t="s">
        <v>25733</v>
      </c>
      <c r="D11003" s="1" t="str">
        <f>IFERROR(__xludf.DUMMYFUNCTION("GOOGLETRANSLATE(A11003 , ""auto"", ""ar"")"),"لم يدفع الدين")</f>
        <v>لم يدفع الدين</v>
      </c>
    </row>
    <row r="11004" ht="15.75" customHeight="1">
      <c r="A11004" s="12" t="s">
        <v>25734</v>
      </c>
      <c r="B11004" s="13" t="s">
        <v>25735</v>
      </c>
      <c r="C11004" s="14" t="s">
        <v>25736</v>
      </c>
      <c r="D11004" s="1" t="str">
        <f>IFERROR(__xludf.DUMMYFUNCTION("GOOGLETRANSLATE(A11004 , ""auto"", ""ar"")"),"لا أحد يستمتع بدفع الضرائب")</f>
        <v>لا أحد يستمتع بدفع الضرائب</v>
      </c>
    </row>
    <row r="11005" ht="15.75" customHeight="1">
      <c r="A11005" s="12" t="s">
        <v>25737</v>
      </c>
      <c r="B11005" s="13" t="s">
        <v>25738</v>
      </c>
      <c r="C11005" s="14" t="s">
        <v>25739</v>
      </c>
      <c r="D11005" s="1" t="str">
        <f>IFERROR(__xludf.DUMMYFUNCTION("GOOGLETRANSLATE(A11005 , ""auto"", ""ar"")"),"سوف ترتفع الضرائب")</f>
        <v>سوف ترتفع الضرائب</v>
      </c>
    </row>
    <row r="11006" ht="15.75" customHeight="1">
      <c r="A11006" s="12" t="s">
        <v>25740</v>
      </c>
      <c r="B11006" s="13" t="s">
        <v>25741</v>
      </c>
      <c r="C11006" s="14" t="s">
        <v>25742</v>
      </c>
      <c r="D11006" s="1" t="str">
        <f>IFERROR(__xludf.DUMMYFUNCTION("GOOGLETRANSLATE(A11006 , ""auto"", ""ar"")"),"رفض الرشوة")</f>
        <v>رفض الرشوة</v>
      </c>
    </row>
    <row r="11007" ht="15.75" customHeight="1">
      <c r="A11007" s="12" t="s">
        <v>25743</v>
      </c>
      <c r="B11007" s="13" t="s">
        <v>25744</v>
      </c>
      <c r="C11007" s="14" t="s">
        <v>25745</v>
      </c>
      <c r="D11007" s="1" t="str">
        <f>IFERROR(__xludf.DUMMYFUNCTION("GOOGLETRANSLATE(A11007 , ""auto"", ""ar"")"),"رشوة")</f>
        <v>رشوة</v>
      </c>
    </row>
    <row r="11008" ht="15.75" customHeight="1">
      <c r="A11008" s="12" t="s">
        <v>25746</v>
      </c>
      <c r="B11008" s="13" t="s">
        <v>25747</v>
      </c>
      <c r="C11008" s="14" t="s">
        <v>25748</v>
      </c>
      <c r="D11008" s="1" t="str">
        <f>IFERROR(__xludf.DUMMYFUNCTION("GOOGLETRANSLATE(A11008 , ""auto"", ""ar"")"),"ورث ثروة")</f>
        <v>ورث ثروة</v>
      </c>
    </row>
    <row r="11009" ht="15.75" customHeight="1">
      <c r="A11009" s="12" t="s">
        <v>25749</v>
      </c>
      <c r="B11009" s="13" t="s">
        <v>25750</v>
      </c>
      <c r="C11009" s="14" t="s">
        <v>25751</v>
      </c>
      <c r="D11009" s="1" t="str">
        <f>IFERROR(__xludf.DUMMYFUNCTION("GOOGLETRANSLATE(A11009 , ""auto"", ""ar"")"),"بعد الطلاق ، تضطر إلى دفع النفقة")</f>
        <v>بعد الطلاق ، تضطر إلى دفع النفقة</v>
      </c>
    </row>
    <row r="11010" ht="15.75" customHeight="1">
      <c r="A11010" s="12" t="s">
        <v>25752</v>
      </c>
      <c r="B11010" s="13" t="s">
        <v>25753</v>
      </c>
      <c r="C11010" s="14" t="s">
        <v>25754</v>
      </c>
      <c r="D11010" s="1" t="str">
        <f>IFERROR(__xludf.DUMMYFUNCTION("GOOGLETRANSLATE(A11010 , ""auto"", ""ar"")"),"لقد وضعت جانبا مهر جيد لها")</f>
        <v>لقد وضعت جانبا مهر جيد لها</v>
      </c>
    </row>
    <row r="11011" ht="15.75" customHeight="1">
      <c r="A11011" s="12" t="s">
        <v>25755</v>
      </c>
      <c r="B11011" s="13" t="s">
        <v>25756</v>
      </c>
      <c r="C11011" s="14" t="s">
        <v>25757</v>
      </c>
      <c r="D11011" s="1" t="str">
        <f>IFERROR(__xludf.DUMMYFUNCTION("GOOGLETRANSLATE(A11011 , ""auto"", ""ar"")"),"لا تقلق رأسك حيال ذلك")</f>
        <v>لا تقلق رأسك حيال ذلك</v>
      </c>
    </row>
    <row r="11012" ht="15.75" customHeight="1">
      <c r="A11012" s="12" t="s">
        <v>25758</v>
      </c>
      <c r="B11012" s="13" t="s">
        <v>25759</v>
      </c>
      <c r="C11012" s="14" t="s">
        <v>25760</v>
      </c>
      <c r="D11012" s="1" t="str">
        <f>IFERROR(__xludf.DUMMYFUNCTION("GOOGLETRANSLATE(A11012 , ""auto"", ""ar"")"),"خذها ببساطة")</f>
        <v>خذها ببساطة</v>
      </c>
    </row>
    <row r="11013" ht="15.75" customHeight="1">
      <c r="A11013" s="12" t="s">
        <v>25761</v>
      </c>
      <c r="B11013" s="13" t="s">
        <v>25762</v>
      </c>
      <c r="C11013" s="14" t="s">
        <v>25763</v>
      </c>
      <c r="D11013" s="1" t="str">
        <f>IFERROR(__xludf.DUMMYFUNCTION("GOOGLETRANSLATE(A11013 , ""auto"", ""ar"")"),"لا أستطيع مساعدته")</f>
        <v>لا أستطيع مساعدته</v>
      </c>
    </row>
    <row r="11014" ht="15.75" customHeight="1">
      <c r="A11014" s="12" t="s">
        <v>25764</v>
      </c>
      <c r="B11014" s="13" t="s">
        <v>25765</v>
      </c>
      <c r="C11014" s="14" t="s">
        <v>25766</v>
      </c>
      <c r="D11014" s="1" t="str">
        <f>IFERROR(__xludf.DUMMYFUNCTION("GOOGLETRANSLATE(A11014 , ""auto"", ""ar"")"),"لا تلعب غبية")</f>
        <v>لا تلعب غبية</v>
      </c>
    </row>
    <row r="11015" ht="15.75" customHeight="1">
      <c r="A11015" s="12" t="s">
        <v>25767</v>
      </c>
      <c r="B11015" s="13" t="s">
        <v>25768</v>
      </c>
      <c r="C11015" s="14" t="s">
        <v>25769</v>
      </c>
      <c r="D11015" s="1" t="str">
        <f>IFERROR(__xludf.DUMMYFUNCTION("GOOGLETRANSLATE(A11015 , ""auto"", ""ar"")"),"لدي مشاعر تجاهك")</f>
        <v>لدي مشاعر تجاهك</v>
      </c>
    </row>
    <row r="11016" ht="15.75" customHeight="1">
      <c r="A11016" s="12" t="s">
        <v>25770</v>
      </c>
      <c r="B11016" s="13" t="s">
        <v>25771</v>
      </c>
      <c r="C11016" s="14" t="s">
        <v>25772</v>
      </c>
      <c r="D11016" s="1" t="str">
        <f>IFERROR(__xludf.DUMMYFUNCTION("GOOGLETRANSLATE(A11016 , ""auto"", ""ar"")"),"أنا مجنون بك")</f>
        <v>أنا مجنون بك</v>
      </c>
    </row>
    <row r="11017" ht="15.75" customHeight="1">
      <c r="A11017" s="12" t="s">
        <v>25773</v>
      </c>
      <c r="B11017" s="13" t="s">
        <v>25774</v>
      </c>
      <c r="C11017" s="14" t="s">
        <v>25775</v>
      </c>
      <c r="D11017" s="1" t="str">
        <f>IFERROR(__xludf.DUMMYFUNCTION("GOOGLETRANSLATE(A11017 , ""auto"", ""ar"")"),"أنت تكملني")</f>
        <v>أنت تكملني</v>
      </c>
    </row>
    <row r="11018" ht="15.75" customHeight="1">
      <c r="A11018" s="12" t="s">
        <v>25776</v>
      </c>
      <c r="B11018" s="13" t="s">
        <v>25777</v>
      </c>
      <c r="C11018" s="14" t="s">
        <v>25778</v>
      </c>
      <c r="D11018" s="1" t="str">
        <f>IFERROR(__xludf.DUMMYFUNCTION("GOOGLETRANSLATE(A11018 , ""auto"", ""ar"")"),"إلام تلمح؟")</f>
        <v>إلام تلمح؟</v>
      </c>
    </row>
    <row r="11019" ht="15.75" customHeight="1">
      <c r="A11019" s="12" t="s">
        <v>25779</v>
      </c>
      <c r="B11019" s="13" t="s">
        <v>25780</v>
      </c>
      <c r="C11019" s="14" t="s">
        <v>25781</v>
      </c>
      <c r="D11019" s="1" t="str">
        <f>IFERROR(__xludf.DUMMYFUNCTION("GOOGLETRANSLATE(A11019 , ""auto"", ""ar"")"),"إسقاط الموضوع")</f>
        <v>إسقاط الموضوع</v>
      </c>
    </row>
    <row r="11020" ht="15.75" customHeight="1">
      <c r="A11020" s="12" t="s">
        <v>25782</v>
      </c>
      <c r="B11020" s="13" t="s">
        <v>25783</v>
      </c>
      <c r="C11020" s="14" t="s">
        <v>25784</v>
      </c>
      <c r="D11020" s="1" t="str">
        <f>IFERROR(__xludf.DUMMYFUNCTION("GOOGLETRANSLATE(A11020 , ""auto"", ""ar"")"),"يا للوقاحة!")</f>
        <v>يا للوقاحة!</v>
      </c>
    </row>
    <row r="11021" ht="15.75" customHeight="1">
      <c r="A11021" s="12" t="s">
        <v>25785</v>
      </c>
      <c r="B11021" s="13" t="s">
        <v>25786</v>
      </c>
      <c r="C11021" s="14" t="s">
        <v>25787</v>
      </c>
      <c r="D11021" s="1" t="str">
        <f>IFERROR(__xludf.DUMMYFUNCTION("GOOGLETRANSLATE(A11021 , ""auto"", ""ar"")"),"نحن حتى")</f>
        <v>نحن حتى</v>
      </c>
    </row>
    <row r="11022" ht="15.75" customHeight="1">
      <c r="A11022" s="12" t="s">
        <v>25788</v>
      </c>
      <c r="B11022" s="13" t="s">
        <v>25789</v>
      </c>
      <c r="C11022" s="14" t="s">
        <v>25790</v>
      </c>
      <c r="D11022" s="1" t="str">
        <f>IFERROR(__xludf.DUMMYFUNCTION("GOOGLETRANSLATE(A11022 , ""auto"", ""ar"")"),"تتحدى")</f>
        <v>تتحدى</v>
      </c>
    </row>
    <row r="11023" ht="15.75" customHeight="1">
      <c r="A11023" s="12" t="s">
        <v>25791</v>
      </c>
      <c r="B11023" s="13" t="s">
        <v>25792</v>
      </c>
      <c r="C11023" s="14" t="s">
        <v>25793</v>
      </c>
      <c r="D11023" s="1" t="str">
        <f>IFERROR(__xludf.DUMMYFUNCTION("GOOGLETRANSLATE(A11023 , ""auto"", ""ar"")"),"أنا كل آذان")</f>
        <v>أنا كل آذان</v>
      </c>
    </row>
    <row r="11024" ht="15.75" customHeight="1">
      <c r="A11024" s="12" t="s">
        <v>25794</v>
      </c>
      <c r="B11024" s="13" t="s">
        <v>25795</v>
      </c>
      <c r="C11024" s="14" t="s">
        <v>25796</v>
      </c>
      <c r="D11024" s="1" t="str">
        <f>IFERROR(__xludf.DUMMYFUNCTION("GOOGLETRANSLATE(A11024 , ""auto"", ""ar"")"),"أنا خارج")</f>
        <v>أنا خارج</v>
      </c>
    </row>
    <row r="11025" ht="15.75" customHeight="1">
      <c r="A11025" s="12" t="s">
        <v>25797</v>
      </c>
      <c r="B11025" s="13" t="s">
        <v>25798</v>
      </c>
      <c r="C11025" s="14" t="s">
        <v>25799</v>
      </c>
      <c r="D11025" s="1" t="str">
        <f>IFERROR(__xludf.DUMMYFUNCTION("GOOGLETRANSLATE(A11025 , ""auto"", ""ar"")"),"نفس الشيء هنا")</f>
        <v>نفس الشيء هنا</v>
      </c>
    </row>
    <row r="11026" ht="15.75" customHeight="1">
      <c r="A11026" s="12" t="s">
        <v>25800</v>
      </c>
      <c r="B11026" s="13" t="s">
        <v>25801</v>
      </c>
      <c r="C11026" s="14" t="s">
        <v>25802</v>
      </c>
      <c r="D11026" s="1" t="str">
        <f>IFERROR(__xludf.DUMMYFUNCTION("GOOGLETRANSLATE(A11026 , ""auto"", ""ar"")"),"لقد فقدت هدوئتي")</f>
        <v>لقد فقدت هدوئتي</v>
      </c>
    </row>
    <row r="11027" ht="15.75" customHeight="1">
      <c r="A11027" s="12" t="s">
        <v>25803</v>
      </c>
      <c r="B11027" s="13" t="s">
        <v>25804</v>
      </c>
      <c r="C11027" s="14" t="s">
        <v>25805</v>
      </c>
      <c r="D11027" s="1" t="str">
        <f>IFERROR(__xludf.DUMMYFUNCTION("GOOGLETRANSLATE(A11027 , ""auto"", ""ar"")"),"هما يتواعدان")</f>
        <v>هما يتواعدان</v>
      </c>
    </row>
    <row r="11028" ht="15.75" customHeight="1">
      <c r="A11028" s="12" t="s">
        <v>25806</v>
      </c>
      <c r="B11028" s="13" t="s">
        <v>25807</v>
      </c>
      <c r="C11028" s="14" t="s">
        <v>25808</v>
      </c>
      <c r="D11028" s="1" t="str">
        <f>IFERROR(__xludf.DUMMYFUNCTION("GOOGLETRANSLATE(A11028 , ""auto"", ""ar"")"),"إنه أرمل")</f>
        <v>إنه أرمل</v>
      </c>
    </row>
    <row r="11029" ht="15.75" customHeight="1">
      <c r="A11029" s="12" t="s">
        <v>25809</v>
      </c>
      <c r="B11029" s="13" t="s">
        <v>25810</v>
      </c>
      <c r="C11029" s="14" t="s">
        <v>25811</v>
      </c>
      <c r="D11029" s="1" t="str">
        <f>IFERROR(__xludf.DUMMYFUNCTION("GOOGLETRANSLATE(A11029 , ""auto"", ""ar"")"),"ما هو وضعك الاجتماعي؟")</f>
        <v>ما هو وضعك الاجتماعي؟</v>
      </c>
    </row>
    <row r="11030" ht="15.75" customHeight="1">
      <c r="A11030" s="12" t="s">
        <v>25812</v>
      </c>
      <c r="B11030" s="13" t="s">
        <v>25813</v>
      </c>
      <c r="C11030" s="14" t="s">
        <v>25814</v>
      </c>
      <c r="D11030" s="1" t="str">
        <f>IFERROR(__xludf.DUMMYFUNCTION("GOOGLETRANSLATE(A11030 , ""auto"", ""ar"")"),"إنه يتيم")</f>
        <v>إنه يتيم</v>
      </c>
    </row>
    <row r="11031" ht="15.75" customHeight="1">
      <c r="A11031" s="12" t="s">
        <v>25815</v>
      </c>
      <c r="B11031" s="13" t="s">
        <v>25816</v>
      </c>
      <c r="C11031" s="14" t="s">
        <v>25817</v>
      </c>
      <c r="D11031" s="1" t="str">
        <f>IFERROR(__xludf.DUMMYFUNCTION("GOOGLETRANSLATE(A11031 , ""auto"", ""ar"")"),"لا تقل ذلك!")</f>
        <v>لا تقل ذلك!</v>
      </c>
    </row>
    <row r="11032" ht="15.75" customHeight="1">
      <c r="A11032" s="12" t="s">
        <v>25818</v>
      </c>
      <c r="B11032" s="13" t="s">
        <v>25819</v>
      </c>
      <c r="C11032" s="14" t="s">
        <v>25820</v>
      </c>
      <c r="D11032" s="1" t="str">
        <f>IFERROR(__xludf.DUMMYFUNCTION("GOOGLETRANSLATE(A11032 , ""auto"", ""ar"")"),"أنا لا آكل الليمون")</f>
        <v>أنا لا آكل الليمون</v>
      </c>
    </row>
    <row r="11033" ht="15.75" customHeight="1">
      <c r="A11033" s="12" t="s">
        <v>25821</v>
      </c>
      <c r="B11033" s="13" t="s">
        <v>25822</v>
      </c>
      <c r="C11033" s="14" t="s">
        <v>25823</v>
      </c>
      <c r="D11033" s="1" t="str">
        <f>IFERROR(__xludf.DUMMYFUNCTION("GOOGLETRANSLATE(A11033 , ""auto"", ""ar"")"),"تشبث!")</f>
        <v>تشبث!</v>
      </c>
    </row>
    <row r="11034" ht="15.75" customHeight="1">
      <c r="A11034" s="12" t="s">
        <v>25824</v>
      </c>
      <c r="B11034" s="13" t="s">
        <v>25825</v>
      </c>
      <c r="C11034" s="14" t="s">
        <v>25826</v>
      </c>
      <c r="D11034" s="1" t="str">
        <f>IFERROR(__xludf.DUMMYFUNCTION("GOOGLETRANSLATE(A11034 , ""auto"", ""ar"")"),"هدئ أعصابك!")</f>
        <v>هدئ أعصابك!</v>
      </c>
    </row>
    <row r="11035" ht="15.75" customHeight="1">
      <c r="A11035" s="12" t="s">
        <v>25827</v>
      </c>
      <c r="B11035" s="13" t="s">
        <v>25828</v>
      </c>
      <c r="C11035" s="14" t="s">
        <v>25829</v>
      </c>
      <c r="D11035" s="1" t="str">
        <f>IFERROR(__xludf.DUMMYFUNCTION("GOOGLETRANSLATE(A11035 , ""auto"", ""ar"")"),"لا تعرقها!")</f>
        <v>لا تعرقها!</v>
      </c>
    </row>
    <row r="11036" ht="15.75" customHeight="1">
      <c r="A11036" s="12" t="s">
        <v>25830</v>
      </c>
      <c r="B11036" s="13" t="s">
        <v>25831</v>
      </c>
      <c r="C11036" s="14" t="s">
        <v>25832</v>
      </c>
      <c r="D11036" s="1" t="str">
        <f>IFERROR(__xludf.DUMMYFUNCTION("GOOGLETRANSLATE(A11036 , ""auto"", ""ar"")"),"هذه أقدم كنيسة")</f>
        <v>هذه أقدم كنيسة</v>
      </c>
    </row>
    <row r="11037" ht="15.75" customHeight="1">
      <c r="A11037" s="12" t="s">
        <v>25833</v>
      </c>
      <c r="B11037" s="13" t="s">
        <v>25834</v>
      </c>
      <c r="C11037" s="14" t="s">
        <v>25835</v>
      </c>
      <c r="D11037" s="1" t="str">
        <f>IFERROR(__xludf.DUMMYFUNCTION("GOOGLETRANSLATE(A11037 , ""auto"", ""ar"")"),"يذهب إلى الكنيسة يوم الأحد")</f>
        <v>يذهب إلى الكنيسة يوم الأحد</v>
      </c>
    </row>
    <row r="11038" ht="15.75" customHeight="1">
      <c r="A11038" s="12" t="s">
        <v>25836</v>
      </c>
      <c r="B11038" s="13" t="s">
        <v>25837</v>
      </c>
      <c r="C11038" s="14" t="s">
        <v>25838</v>
      </c>
      <c r="D11038" s="1" t="str">
        <f>IFERROR(__xludf.DUMMYFUNCTION("GOOGLETRANSLATE(A11038 , ""auto"", ""ar"")"),"انت ملاك")</f>
        <v>انت ملاك</v>
      </c>
    </row>
    <row r="11039" ht="15.75" customHeight="1">
      <c r="A11039" s="12" t="s">
        <v>25839</v>
      </c>
      <c r="B11039" s="13" t="s">
        <v>25840</v>
      </c>
      <c r="C11039" s="14" t="s">
        <v>25841</v>
      </c>
      <c r="D11039" s="1" t="str">
        <f>IFERROR(__xludf.DUMMYFUNCTION("GOOGLETRANSLATE(A11039 , ""auto"", ""ar"")"),"أنت أنقذت حياتي")</f>
        <v>أنت أنقذت حياتي</v>
      </c>
    </row>
    <row r="11040" ht="15.75" customHeight="1">
      <c r="A11040" s="12" t="s">
        <v>25842</v>
      </c>
      <c r="B11040" s="13" t="s">
        <v>25843</v>
      </c>
      <c r="C11040" s="14" t="s">
        <v>25844</v>
      </c>
      <c r="D11040" s="1" t="str">
        <f>IFERROR(__xludf.DUMMYFUNCTION("GOOGLETRANSLATE(A11040 , ""auto"", ""ar"")"),"إنه ليس ملاكًا")</f>
        <v>إنه ليس ملاكًا</v>
      </c>
    </row>
    <row r="11041" ht="15.75" customHeight="1">
      <c r="A11041" s="12" t="s">
        <v>25845</v>
      </c>
      <c r="B11041" s="13" t="s">
        <v>25846</v>
      </c>
      <c r="C11041" s="14" t="s">
        <v>25847</v>
      </c>
      <c r="D11041" s="1" t="str">
        <f>IFERROR(__xludf.DUMMYFUNCTION("GOOGLETRANSLATE(A11041 , ""auto"", ""ar"")"),"يغني مثل الملاك")</f>
        <v>يغني مثل الملاك</v>
      </c>
    </row>
    <row r="11042" ht="15.75" customHeight="1">
      <c r="A11042" s="12" t="s">
        <v>25848</v>
      </c>
      <c r="B11042" s="13" t="s">
        <v>25849</v>
      </c>
      <c r="C11042" s="14" t="s">
        <v>25850</v>
      </c>
      <c r="D11042" s="1" t="str">
        <f>IFERROR(__xludf.DUMMYFUNCTION("GOOGLETRANSLATE(A11042 , ""auto"", ""ar"")"),"انت ملاكي")</f>
        <v>انت ملاكي</v>
      </c>
    </row>
    <row r="11043" ht="15.75" customHeight="1">
      <c r="A11043" s="12" t="s">
        <v>25851</v>
      </c>
      <c r="B11043" s="13" t="s">
        <v>25852</v>
      </c>
      <c r="C11043" s="14" t="s">
        <v>25853</v>
      </c>
      <c r="D11043" s="1" t="str">
        <f>IFERROR(__xludf.DUMMYFUNCTION("GOOGLETRANSLATE(A11043 , ""auto"", ""ar"")"),"أنت مثل هذا الشيطان")</f>
        <v>أنت مثل هذا الشيطان</v>
      </c>
    </row>
    <row r="11044" ht="15.75" customHeight="1">
      <c r="A11044" s="12" t="s">
        <v>25854</v>
      </c>
      <c r="B11044" s="13" t="s">
        <v>25855</v>
      </c>
      <c r="C11044" s="14" t="s">
        <v>25856</v>
      </c>
      <c r="D11044" s="1" t="str">
        <f>IFERROR(__xludf.DUMMYFUNCTION("GOOGLETRANSLATE(A11044 , ""auto"", ""ar"")"),"لعب مثل شيطان")</f>
        <v>لعب مثل شيطان</v>
      </c>
    </row>
    <row r="11045" ht="15.75" customHeight="1">
      <c r="A11045" s="12" t="s">
        <v>25857</v>
      </c>
      <c r="B11045" s="13" t="s">
        <v>25858</v>
      </c>
      <c r="C11045" s="14" t="s">
        <v>25859</v>
      </c>
      <c r="D11045" s="1" t="str">
        <f>IFERROR(__xludf.DUMMYFUNCTION("GOOGLETRANSLATE(A11045 , ""auto"", ""ar"")"),"adhan دعوة للصلاة")</f>
        <v>adhan دعوة للصلاة</v>
      </c>
    </row>
    <row r="11046" ht="15.75" customHeight="1">
      <c r="A11046" s="12" t="s">
        <v>25860</v>
      </c>
      <c r="B11046" s="13" t="s">
        <v>25861</v>
      </c>
      <c r="C11046" s="14" t="s">
        <v>25862</v>
      </c>
      <c r="D11046" s="1" t="str">
        <f>IFERROR(__xludf.DUMMYFUNCTION("GOOGLETRANSLATE(A11046 , ""auto"", ""ar"")"),"أنا أقرأ القرآن الكريم")</f>
        <v>أنا أقرأ القرآن الكريم</v>
      </c>
    </row>
    <row r="11047" ht="15.75" customHeight="1">
      <c r="A11047" s="12" t="s">
        <v>25863</v>
      </c>
      <c r="B11047" s="13" t="s">
        <v>25864</v>
      </c>
      <c r="C11047" s="14" t="s">
        <v>25865</v>
      </c>
      <c r="D11047" s="1" t="str">
        <f>IFERROR(__xludf.DUMMYFUNCTION("GOOGLETRANSLATE(A11047 , ""auto"", ""ar"")"),"هل لديك الكتاب المقدس؟")</f>
        <v>هل لديك الكتاب المقدس؟</v>
      </c>
    </row>
    <row r="11048" ht="15.75" customHeight="1">
      <c r="A11048" s="12" t="s">
        <v>25866</v>
      </c>
      <c r="B11048" s="13" t="s">
        <v>25867</v>
      </c>
      <c r="C11048" s="14" t="s">
        <v>25868</v>
      </c>
      <c r="D11048" s="1" t="str">
        <f>IFERROR(__xludf.DUMMYFUNCTION("GOOGLETRANSLATE(A11048 , ""auto"", ""ar"")"),"الصليب هو رمز المسيحية")</f>
        <v>الصليب هو رمز المسيحية</v>
      </c>
    </row>
    <row r="11049" ht="15.75" customHeight="1">
      <c r="A11049" s="12" t="s">
        <v>25869</v>
      </c>
      <c r="B11049" s="13" t="s">
        <v>25870</v>
      </c>
      <c r="C11049" s="14" t="s">
        <v>25871</v>
      </c>
      <c r="D11049" s="1" t="str">
        <f>IFERROR(__xludf.DUMMYFUNCTION("GOOGLETRANSLATE(A11049 , ""auto"", ""ar"")"),"أنا إمام")</f>
        <v>أنا إمام</v>
      </c>
    </row>
    <row r="11050" ht="15.75" customHeight="1">
      <c r="A11050" s="12" t="s">
        <v>25872</v>
      </c>
      <c r="B11050" s="13" t="s">
        <v>25873</v>
      </c>
      <c r="C11050" s="14" t="s">
        <v>25874</v>
      </c>
      <c r="D11050" s="1" t="str">
        <f>IFERROR(__xludf.DUMMYFUNCTION("GOOGLETRANSLATE(A11050 , ""auto"", ""ar"")"),"أنا كاهن")</f>
        <v>أنا كاهن</v>
      </c>
    </row>
    <row r="11051" ht="15.75" customHeight="1">
      <c r="A11051" s="12" t="s">
        <v>25875</v>
      </c>
      <c r="B11051" s="13" t="s">
        <v>25876</v>
      </c>
      <c r="C11051" s="14" t="s">
        <v>25877</v>
      </c>
      <c r="D11051" s="1" t="str">
        <f>IFERROR(__xludf.DUMMYFUNCTION("GOOGLETRANSLATE(A11051 , ""auto"", ""ar"")"),"أنا لست نبيا")</f>
        <v>أنا لست نبيا</v>
      </c>
    </row>
    <row r="11052" ht="15.75" customHeight="1">
      <c r="A11052" s="12" t="s">
        <v>25878</v>
      </c>
      <c r="B11052" s="13" t="s">
        <v>25879</v>
      </c>
      <c r="C11052" s="14" t="s">
        <v>25880</v>
      </c>
      <c r="D11052" s="1" t="str">
        <f>IFERROR(__xludf.DUMMYFUNCTION("GOOGLETRANSLATE(A11052 , ""auto"", ""ar"")"),"أنا أؤمن بكل الأنبياء")</f>
        <v>أنا أؤمن بكل الأنبياء</v>
      </c>
    </row>
    <row r="11053" ht="15.75" customHeight="1">
      <c r="A11053" s="12" t="s">
        <v>25881</v>
      </c>
      <c r="B11053" s="13" t="s">
        <v>25882</v>
      </c>
      <c r="C11053" s="14" t="s">
        <v>25883</v>
      </c>
      <c r="D11053" s="1" t="str">
        <f>IFERROR(__xludf.DUMMYFUNCTION("GOOGLETRANSLATE(A11053 , ""auto"", ""ar"")"),"عبادة الله كل يوم")</f>
        <v>عبادة الله كل يوم</v>
      </c>
    </row>
    <row r="11054" ht="15.75" customHeight="1">
      <c r="A11054" s="12" t="s">
        <v>25884</v>
      </c>
      <c r="B11054" s="13" t="s">
        <v>25885</v>
      </c>
      <c r="C11054" s="14" t="s">
        <v>25886</v>
      </c>
      <c r="D11054" s="1" t="str">
        <f>IFERROR(__xludf.DUMMYFUNCTION("GOOGLETRANSLATE(A11054 , ""auto"", ""ar"")"),"انهم جميعا يعبدون نفس الله")</f>
        <v>انهم جميعا يعبدون نفس الله</v>
      </c>
    </row>
    <row r="11055" ht="15.75" customHeight="1">
      <c r="A11055" s="12" t="s">
        <v>25887</v>
      </c>
      <c r="B11055" s="13" t="s">
        <v>25888</v>
      </c>
      <c r="C11055" s="14" t="s">
        <v>25889</v>
      </c>
      <c r="D11055" s="1" t="str">
        <f>IFERROR(__xludf.DUMMYFUNCTION("GOOGLETRANSLATE(A11055 , ""auto"", ""ar"")"),"رفض المسيحية")</f>
        <v>رفض المسيحية</v>
      </c>
    </row>
    <row r="11056" ht="15.75" customHeight="1">
      <c r="A11056" s="12" t="s">
        <v>25890</v>
      </c>
      <c r="B11056" s="13" t="s">
        <v>25891</v>
      </c>
      <c r="C11056" s="14" t="s">
        <v>25892</v>
      </c>
      <c r="D11056" s="1" t="str">
        <f>IFERROR(__xludf.DUMMYFUNCTION("GOOGLETRANSLATE(A11056 , ""auto"", ""ar"")"),"أصبح بوذي")</f>
        <v>أصبح بوذي</v>
      </c>
    </row>
    <row r="11057" ht="15.75" customHeight="1">
      <c r="A11057" s="12" t="s">
        <v>25893</v>
      </c>
      <c r="B11057" s="13" t="s">
        <v>25894</v>
      </c>
      <c r="C11057" s="14" t="s">
        <v>25895</v>
      </c>
      <c r="D11057" s="1" t="str">
        <f>IFERROR(__xludf.DUMMYFUNCTION("GOOGLETRANSLATE(A11057 , ""auto"", ""ar"")"),"إنه معبد بوذي قديم")</f>
        <v>إنه معبد بوذي قديم</v>
      </c>
    </row>
    <row r="11058" ht="15.75" customHeight="1">
      <c r="A11058" s="12" t="s">
        <v>25896</v>
      </c>
      <c r="B11058" s="13" t="s">
        <v>25897</v>
      </c>
      <c r="C11058" s="14" t="s">
        <v>25898</v>
      </c>
      <c r="D11058" s="1" t="str">
        <f>IFERROR(__xludf.DUMMYFUNCTION("GOOGLETRANSLATE(A11058 , ""auto"", ""ar"")"),"حيث يوجد حب هناك إيمان")</f>
        <v>حيث يوجد حب هناك إيمان</v>
      </c>
    </row>
    <row r="11059" ht="15.75" customHeight="1">
      <c r="A11059" s="12" t="s">
        <v>25899</v>
      </c>
      <c r="B11059" s="13" t="s">
        <v>25900</v>
      </c>
      <c r="C11059" s="14" t="s">
        <v>25901</v>
      </c>
      <c r="D11059" s="1" t="str">
        <f>IFERROR(__xludf.DUMMYFUNCTION("GOOGLETRANSLATE(A11059 , ""auto"", ""ar"")"),"لدي إيمان بالله")</f>
        <v>لدي إيمان بالله</v>
      </c>
    </row>
    <row r="11060" ht="15.75" customHeight="1">
      <c r="A11060" s="12" t="s">
        <v>9472</v>
      </c>
      <c r="B11060" s="13" t="s">
        <v>25902</v>
      </c>
      <c r="C11060" s="14" t="s">
        <v>25903</v>
      </c>
      <c r="D11060" s="1" t="str">
        <f>IFERROR(__xludf.DUMMYFUNCTION("GOOGLETRANSLATE(A11060 , ""auto"", ""ar"")"),"عيد ميلاد سعيد")</f>
        <v>عيد ميلاد سعيد</v>
      </c>
    </row>
    <row r="11061" ht="15.75" customHeight="1">
      <c r="A11061" s="12" t="s">
        <v>25904</v>
      </c>
      <c r="B11061" s="13" t="s">
        <v>25905</v>
      </c>
      <c r="C11061" s="14" t="s">
        <v>25906</v>
      </c>
      <c r="D11061" s="1" t="str">
        <f>IFERROR(__xludf.DUMMYFUNCTION("GOOGLETRANSLATE(A11061 , ""auto"", ""ar"")"),"متى يحين عيد ميلادك؟")</f>
        <v>متى يحين عيد ميلادك؟</v>
      </c>
    </row>
    <row r="11062" ht="15.75" customHeight="1">
      <c r="A11062" s="12" t="s">
        <v>25907</v>
      </c>
      <c r="B11062" s="13" t="s">
        <v>25908</v>
      </c>
      <c r="C11062" s="14" t="s">
        <v>25909</v>
      </c>
      <c r="D11062" s="1" t="str">
        <f>IFERROR(__xludf.DUMMYFUNCTION("GOOGLETRANSLATE(A11062 , ""auto"", ""ar"")"),"انها مفاجئة")</f>
        <v>انها مفاجئة</v>
      </c>
    </row>
    <row r="11063" ht="15.75" customHeight="1">
      <c r="A11063" s="12" t="s">
        <v>25910</v>
      </c>
      <c r="B11063" s="13" t="s">
        <v>25911</v>
      </c>
      <c r="C11063" s="14" t="s">
        <v>25912</v>
      </c>
      <c r="D11063" s="1" t="str">
        <f>IFERROR(__xludf.DUMMYFUNCTION("GOOGLETRANSLATE(A11063 , ""auto"", ""ar"")"),"دعونا نحتفل بعيد ميلادك")</f>
        <v>دعونا نحتفل بعيد ميلادك</v>
      </c>
    </row>
    <row r="11064" ht="15.75" customHeight="1">
      <c r="A11064" s="12" t="s">
        <v>25913</v>
      </c>
      <c r="B11064" s="13" t="s">
        <v>25914</v>
      </c>
      <c r="C11064" s="14" t="s">
        <v>25915</v>
      </c>
      <c r="D11064" s="1" t="str">
        <f>IFERROR(__xludf.DUMMYFUNCTION("GOOGLETRANSLATE(A11064 , ""auto"", ""ar"")"),"تلقى هدية")</f>
        <v>تلقى هدية</v>
      </c>
    </row>
    <row r="11065" ht="15.75" customHeight="1">
      <c r="A11065" s="12" t="s">
        <v>25913</v>
      </c>
      <c r="B11065" s="13" t="s">
        <v>25916</v>
      </c>
      <c r="C11065" s="14" t="s">
        <v>25917</v>
      </c>
      <c r="D11065" s="1" t="str">
        <f>IFERROR(__xludf.DUMMYFUNCTION("GOOGLETRANSLATE(A11065 , ""auto"", ""ar"")"),"تلقى هدية")</f>
        <v>تلقى هدية</v>
      </c>
    </row>
    <row r="11066" ht="15.75" customHeight="1">
      <c r="A11066" s="12" t="s">
        <v>25918</v>
      </c>
      <c r="B11066" s="13" t="s">
        <v>25919</v>
      </c>
      <c r="C11066" s="14" t="s">
        <v>25920</v>
      </c>
      <c r="D11066" s="1" t="str">
        <f>IFERROR(__xludf.DUMMYFUNCTION("GOOGLETRANSLATE(A11066 , ""auto"", ""ar"")"),"شكرا على الهدية")</f>
        <v>شكرا على الهدية</v>
      </c>
    </row>
    <row r="11067" ht="15.75" customHeight="1">
      <c r="A11067" s="12" t="s">
        <v>25921</v>
      </c>
      <c r="B11067" s="13" t="s">
        <v>25922</v>
      </c>
      <c r="C11067" s="14" t="s">
        <v>25923</v>
      </c>
      <c r="D11067" s="1" t="str">
        <f>IFERROR(__xludf.DUMMYFUNCTION("GOOGLETRANSLATE(A11067 , ""auto"", ""ar"")"),"أريد أن أشتري له هدية")</f>
        <v>أريد أن أشتري له هدية</v>
      </c>
    </row>
    <row r="11068" ht="15.75" customHeight="1">
      <c r="A11068" s="12" t="s">
        <v>25924</v>
      </c>
      <c r="B11068" s="13" t="s">
        <v>25925</v>
      </c>
      <c r="C11068" s="14" t="s">
        <v>25926</v>
      </c>
      <c r="D11068" s="1" t="str">
        <f>IFERROR(__xludf.DUMMYFUNCTION("GOOGLETRANSLATE(A11068 , ""auto"", ""ar"")"),"إنها هدية لأخي")</f>
        <v>إنها هدية لأخي</v>
      </c>
    </row>
    <row r="11069" ht="15.75" customHeight="1">
      <c r="A11069" s="12" t="s">
        <v>25927</v>
      </c>
      <c r="B11069" s="13" t="s">
        <v>25928</v>
      </c>
      <c r="C11069" s="14" t="s">
        <v>25929</v>
      </c>
      <c r="D11069" s="1" t="str">
        <f>IFERROR(__xludf.DUMMYFUNCTION("GOOGLETRANSLATE(A11069 , ""auto"", ""ar"")"),"اشتريت هذه الهدية اليوم")</f>
        <v>اشتريت هذه الهدية اليوم</v>
      </c>
    </row>
    <row r="11070" ht="15.75" customHeight="1">
      <c r="A11070" s="12" t="s">
        <v>25930</v>
      </c>
      <c r="B11070" s="13" t="s">
        <v>25931</v>
      </c>
      <c r="C11070" s="14" t="s">
        <v>25932</v>
      </c>
      <c r="D11070" s="1" t="str">
        <f>IFERROR(__xludf.DUMMYFUNCTION("GOOGLETRANSLATE(A11070 , ""auto"", ""ar"")"),"اريد الهدية ملفوفة")</f>
        <v>اريد الهدية ملفوفة</v>
      </c>
    </row>
    <row r="11071" ht="15.75" customHeight="1">
      <c r="A11071" s="12" t="s">
        <v>25933</v>
      </c>
      <c r="B11071" s="13" t="s">
        <v>25934</v>
      </c>
      <c r="C11071" s="14" t="s">
        <v>25935</v>
      </c>
      <c r="D11071" s="1" t="str">
        <f>IFERROR(__xludf.DUMMYFUNCTION("GOOGLETRANSLATE(A11071 , ""auto"", ""ar"")"),"ماذا حصلت على عيد ميلادك؟")</f>
        <v>ماذا حصلت على عيد ميلادك؟</v>
      </c>
    </row>
    <row r="11072" ht="15.75" customHeight="1">
      <c r="A11072" s="12" t="s">
        <v>25936</v>
      </c>
      <c r="B11072" s="13" t="s">
        <v>25937</v>
      </c>
      <c r="C11072" s="14" t="s">
        <v>25938</v>
      </c>
      <c r="D11072" s="1" t="str">
        <f>IFERROR(__xludf.DUMMYFUNCTION("GOOGLETRANSLATE(A11072 , ""auto"", ""ar"")"),"لقد نسيت عيد ميلاده")</f>
        <v>لقد نسيت عيد ميلاده</v>
      </c>
    </row>
    <row r="11073" ht="15.75" customHeight="1">
      <c r="A11073" s="12" t="s">
        <v>25939</v>
      </c>
      <c r="B11073" s="13" t="s">
        <v>25940</v>
      </c>
      <c r="C11073" s="14" t="s">
        <v>25941</v>
      </c>
      <c r="D11073" s="1" t="str">
        <f>IFERROR(__xludf.DUMMYFUNCTION("GOOGLETRANSLATE(A11073 , ""auto"", ""ar"")"),"أنا أصنع عصير")</f>
        <v>أنا أصنع عصير</v>
      </c>
    </row>
    <row r="11074" ht="15.75" customHeight="1">
      <c r="A11074" s="12" t="s">
        <v>25942</v>
      </c>
      <c r="B11074" s="13" t="s">
        <v>25943</v>
      </c>
      <c r="C11074" s="14" t="s">
        <v>25944</v>
      </c>
      <c r="D11074" s="1" t="str">
        <f>IFERROR(__xludf.DUMMYFUNCTION("GOOGLETRANSLATE(A11074 , ""auto"", ""ar"")"),"انتفخ البالون")</f>
        <v>انتفخ البالون</v>
      </c>
    </row>
    <row r="11075" ht="15.75" customHeight="1">
      <c r="A11075" s="12" t="s">
        <v>25945</v>
      </c>
      <c r="B11075" s="13" t="s">
        <v>25946</v>
      </c>
      <c r="C11075" s="14" t="s">
        <v>25947</v>
      </c>
      <c r="D11075" s="1" t="str">
        <f>IFERROR(__xludf.DUMMYFUNCTION("GOOGLETRANSLATE(A11075 , ""auto"", ""ar"")"),"برزت البالون")</f>
        <v>برزت البالون</v>
      </c>
    </row>
    <row r="11076" ht="15.75" customHeight="1">
      <c r="A11076" s="12" t="s">
        <v>25948</v>
      </c>
      <c r="B11076" s="13" t="s">
        <v>25949</v>
      </c>
      <c r="C11076" s="14" t="s">
        <v>25950</v>
      </c>
      <c r="D11076" s="1" t="str">
        <f>IFERROR(__xludf.DUMMYFUNCTION("GOOGLETRANSLATE(A11076 , ""auto"", ""ar"")"),"هل يمكنك تفجير هذا البالون؟")</f>
        <v>هل يمكنك تفجير هذا البالون؟</v>
      </c>
    </row>
    <row r="11077" ht="15.75" customHeight="1">
      <c r="A11077" s="12" t="s">
        <v>25951</v>
      </c>
      <c r="B11077" s="13" t="s">
        <v>25952</v>
      </c>
      <c r="C11077" s="14" t="s">
        <v>25953</v>
      </c>
      <c r="D11077" s="1" t="str">
        <f>IFERROR(__xludf.DUMMYFUNCTION("GOOGLETRANSLATE(A11077 , ""auto"", ""ar"")"),"المهرج دغدغ الأطفال")</f>
        <v>المهرج دغدغ الأطفال</v>
      </c>
    </row>
    <row r="11078" ht="15.75" customHeight="1">
      <c r="A11078" s="12" t="s">
        <v>25954</v>
      </c>
      <c r="B11078" s="13" t="s">
        <v>25955</v>
      </c>
      <c r="C11078" s="14" t="s">
        <v>25956</v>
      </c>
      <c r="D11078" s="1" t="str">
        <f>IFERROR(__xludf.DUMMYFUNCTION("GOOGLETRANSLATE(A11078 , ""auto"", ""ar"")"),"هذا المهرج يبدو مضحكا")</f>
        <v>هذا المهرج يبدو مضحكا</v>
      </c>
    </row>
    <row r="11079" ht="15.75" customHeight="1">
      <c r="A11079" s="12" t="s">
        <v>25957</v>
      </c>
      <c r="B11079" s="13" t="s">
        <v>25958</v>
      </c>
      <c r="C11079" s="14" t="s">
        <v>25959</v>
      </c>
      <c r="D11079" s="1" t="str">
        <f>IFERROR(__xludf.DUMMYFUNCTION("GOOGLETRANSLATE(A11079 , ""auto"", ""ar"")"),"كنت مهرج")</f>
        <v>كنت مهرج</v>
      </c>
    </row>
    <row r="11080" ht="15.75" customHeight="1">
      <c r="A11080" s="12" t="s">
        <v>25960</v>
      </c>
      <c r="B11080" s="13" t="s">
        <v>25961</v>
      </c>
      <c r="C11080" s="14" t="s">
        <v>25962</v>
      </c>
      <c r="D11080" s="1" t="str">
        <f>IFERROR(__xludf.DUMMYFUNCTION("GOOGLETRANSLATE(A11080 , ""auto"", ""ar"")"),"أنا أحب أفلام الرعب")</f>
        <v>أنا أحب أفلام الرعب</v>
      </c>
    </row>
    <row r="11081" ht="15.75" customHeight="1">
      <c r="A11081" s="12" t="s">
        <v>25963</v>
      </c>
      <c r="B11081" s="13" t="s">
        <v>25964</v>
      </c>
      <c r="C11081" s="14" t="s">
        <v>25965</v>
      </c>
      <c r="D11081" s="1" t="str">
        <f>IFERROR(__xludf.DUMMYFUNCTION("GOOGLETRANSLATE(A11081 , ""auto"", ""ar"")"),"أحب مشاهدة الأفلام الرومانسية")</f>
        <v>أحب مشاهدة الأفلام الرومانسية</v>
      </c>
    </row>
    <row r="11082" ht="15.75" customHeight="1">
      <c r="A11082" s="12" t="s">
        <v>25966</v>
      </c>
      <c r="B11082" s="13" t="s">
        <v>25967</v>
      </c>
      <c r="C11082" s="14" t="s">
        <v>25968</v>
      </c>
      <c r="D11082" s="1" t="str">
        <f>IFERROR(__xludf.DUMMYFUNCTION("GOOGLETRANSLATE(A11082 , ""auto"", ""ar"")"),"أنا أحب الأفلام الكوميدية")</f>
        <v>أنا أحب الأفلام الكوميدية</v>
      </c>
    </row>
    <row r="11083" ht="15.75" customHeight="1">
      <c r="A11083" s="12" t="s">
        <v>25969</v>
      </c>
      <c r="B11083" s="13" t="s">
        <v>25970</v>
      </c>
      <c r="C11083" s="14" t="s">
        <v>25971</v>
      </c>
      <c r="D11083" s="1" t="str">
        <f>IFERROR(__xludf.DUMMYFUNCTION("GOOGLETRANSLATE(A11083 , ""auto"", ""ar"")"),"أنا أحب أفلام الدراما")</f>
        <v>أنا أحب أفلام الدراما</v>
      </c>
    </row>
    <row r="11084" ht="15.75" customHeight="1">
      <c r="A11084" s="12" t="s">
        <v>25972</v>
      </c>
      <c r="B11084" s="13" t="s">
        <v>25973</v>
      </c>
      <c r="C11084" s="14" t="s">
        <v>25974</v>
      </c>
      <c r="D11084" s="1" t="str">
        <f>IFERROR(__xludf.DUMMYFUNCTION("GOOGLETRANSLATE(A11084 , ""auto"", ""ar"")"),"أنا في مزاج لفيلم وثائقي")</f>
        <v>أنا في مزاج لفيلم وثائقي</v>
      </c>
    </row>
    <row r="11085" ht="15.75" customHeight="1">
      <c r="A11085" s="12" t="s">
        <v>25975</v>
      </c>
      <c r="B11085" s="13" t="s">
        <v>25976</v>
      </c>
      <c r="C11085" s="14" t="s">
        <v>25977</v>
      </c>
      <c r="D11085" s="1" t="str">
        <f>IFERROR(__xludf.DUMMYFUNCTION("GOOGLETRANSLATE(A11085 , ""auto"", ""ar"")"),"أحضر الذرة البوب ​​معك")</f>
        <v>أحضر الذرة البوب ​​معك</v>
      </c>
    </row>
    <row r="11086" ht="15.75" customHeight="1">
      <c r="A11086" s="12" t="s">
        <v>25978</v>
      </c>
      <c r="B11086" s="13" t="s">
        <v>25979</v>
      </c>
      <c r="C11086" s="14" t="s">
        <v>25980</v>
      </c>
      <c r="D11086" s="1" t="str">
        <f>IFERROR(__xludf.DUMMYFUNCTION("GOOGLETRANSLATE(A11086 , ""auto"", ""ar"")"),"إحضار الفشار معك")</f>
        <v>إحضار الفشار معك</v>
      </c>
    </row>
    <row r="11087" ht="15.75" customHeight="1">
      <c r="A11087" s="12" t="s">
        <v>25981</v>
      </c>
      <c r="B11087" s="13" t="s">
        <v>25982</v>
      </c>
      <c r="C11087" s="14" t="s">
        <v>25983</v>
      </c>
      <c r="D11087" s="1" t="str">
        <f>IFERROR(__xludf.DUMMYFUNCTION("GOOGLETRANSLATE(A11087 , ""auto"", ""ar"")"),"أحب الأوبرا")</f>
        <v>أحب الأوبرا</v>
      </c>
    </row>
    <row r="11088" ht="15.75" customHeight="1">
      <c r="A11088" s="12" t="s">
        <v>25984</v>
      </c>
      <c r="B11088" s="13" t="s">
        <v>25985</v>
      </c>
      <c r="C11088" s="14" t="s">
        <v>25986</v>
      </c>
      <c r="D11088" s="1" t="str">
        <f>IFERROR(__xludf.DUMMYFUNCTION("GOOGLETRANSLATE(A11088 , ""auto"", ""ar"")"),"أحب الموسيقى الكلاسيكية")</f>
        <v>أحب الموسيقى الكلاسيكية</v>
      </c>
    </row>
    <row r="11089" ht="15.75" customHeight="1">
      <c r="A11089" s="12" t="s">
        <v>25987</v>
      </c>
      <c r="B11089" s="13" t="s">
        <v>25988</v>
      </c>
      <c r="C11089" s="14" t="s">
        <v>25989</v>
      </c>
      <c r="D11089" s="1" t="str">
        <f>IFERROR(__xludf.DUMMYFUNCTION("GOOGLETRANSLATE(A11089 , ""auto"", ""ar"")"),"أنا معجب كبير بـ KPOP")</f>
        <v>أنا معجب كبير بـ KPOP</v>
      </c>
    </row>
    <row r="11090" ht="15.75" customHeight="1">
      <c r="A11090" s="12" t="s">
        <v>25990</v>
      </c>
      <c r="B11090" s="13" t="s">
        <v>25991</v>
      </c>
      <c r="C11090" s="14" t="s">
        <v>25992</v>
      </c>
      <c r="D11090" s="1" t="str">
        <f>IFERROR(__xludf.DUMMYFUNCTION("GOOGLETRANSLATE(A11090 , ""auto"", ""ar"")"),"أريد أن أرقص كلما سمعت الموسيقى المغربية")</f>
        <v>أريد أن أرقص كلما سمعت الموسيقى المغربية</v>
      </c>
    </row>
    <row r="11091" ht="15.75" customHeight="1">
      <c r="A11091" s="12" t="s">
        <v>25993</v>
      </c>
      <c r="B11091" s="13" t="s">
        <v>25994</v>
      </c>
      <c r="C11091" s="14" t="s">
        <v>25995</v>
      </c>
      <c r="D11091" s="1" t="str">
        <f>IFERROR(__xludf.DUMMYFUNCTION("GOOGLETRANSLATE(A11091 , ""auto"", ""ar"")"),"إنه تقليد")</f>
        <v>إنه تقليد</v>
      </c>
    </row>
    <row r="11092" ht="15.75" customHeight="1">
      <c r="A11092" s="12" t="s">
        <v>25996</v>
      </c>
      <c r="B11092" s="13" t="s">
        <v>25997</v>
      </c>
      <c r="C11092" s="14" t="s">
        <v>25998</v>
      </c>
      <c r="D11092" s="1" t="str">
        <f>IFERROR(__xludf.DUMMYFUNCTION("GOOGLETRANSLATE(A11092 , ""auto"", ""ar"")"),"احصل على عملك معًا")</f>
        <v>احصل على عملك معًا</v>
      </c>
    </row>
    <row r="11093" ht="15.75" customHeight="1">
      <c r="A11093" s="12" t="s">
        <v>25999</v>
      </c>
      <c r="B11093" s="13" t="s">
        <v>26000</v>
      </c>
      <c r="C11093" s="14" t="s">
        <v>26001</v>
      </c>
      <c r="D11093" s="1" t="str">
        <f>IFERROR(__xludf.DUMMYFUNCTION("GOOGLETRANSLATE(A11093 , ""auto"", ""ar"")"),"حتى الان جيدة جدا")</f>
        <v>حتى الان جيدة جدا</v>
      </c>
    </row>
    <row r="11094" ht="15.75" customHeight="1">
      <c r="A11094" s="12" t="s">
        <v>26002</v>
      </c>
      <c r="B11094" s="13" t="s">
        <v>26003</v>
      </c>
      <c r="C11094" s="14" t="s">
        <v>26004</v>
      </c>
      <c r="D11094" s="1" t="str">
        <f>IFERROR(__xludf.DUMMYFUNCTION("GOOGLETRANSLATE(A11094 , ""auto"", ""ar"")"),"الوقت يمضي")</f>
        <v>الوقت يمضي</v>
      </c>
    </row>
    <row r="11095" ht="15.75" customHeight="1">
      <c r="A11095" s="12" t="s">
        <v>26005</v>
      </c>
      <c r="B11095" s="13" t="s">
        <v>26006</v>
      </c>
      <c r="C11095" s="14" t="s">
        <v>26007</v>
      </c>
      <c r="D11095" s="1" t="str">
        <f>IFERROR(__xludf.DUMMYFUNCTION("GOOGLETRANSLATE(A11095 , ""auto"", ""ar"")"),"قرش لفكرتك")</f>
        <v>قرش لفكرتك</v>
      </c>
    </row>
    <row r="11096" ht="15.75" customHeight="1">
      <c r="A11096" s="12" t="s">
        <v>26008</v>
      </c>
      <c r="B11096" s="13" t="s">
        <v>26009</v>
      </c>
      <c r="C11096" s="14" t="s">
        <v>26010</v>
      </c>
      <c r="D11096" s="1" t="str">
        <f>IFERROR(__xludf.DUMMYFUNCTION("GOOGLETRANSLATE(A11096 , ""auto"", ""ar"")"),"عاصفة مثالية")</f>
        <v>عاصفة مثالية</v>
      </c>
    </row>
    <row r="11097" ht="15.75" customHeight="1">
      <c r="A11097" s="12" t="s">
        <v>26011</v>
      </c>
      <c r="B11097" s="13" t="s">
        <v>26012</v>
      </c>
      <c r="C11097" s="14" t="s">
        <v>26013</v>
      </c>
      <c r="D11097" s="1" t="str">
        <f>IFERROR(__xludf.DUMMYFUNCTION("GOOGLETRANSLATE(A11097 , ""auto"", ""ar"")"),"يزيد الطين بله")</f>
        <v>يزيد الطين بله</v>
      </c>
    </row>
    <row r="11098" ht="15.75" customHeight="1">
      <c r="A11098" s="12" t="s">
        <v>26011</v>
      </c>
      <c r="B11098" s="13" t="s">
        <v>26014</v>
      </c>
      <c r="C11098" s="14" t="s">
        <v>26015</v>
      </c>
      <c r="D11098" s="1" t="str">
        <f>IFERROR(__xludf.DUMMYFUNCTION("GOOGLETRANSLATE(A11098 , ""auto"", ""ar"")"),"يزيد الطين بله")</f>
        <v>يزيد الطين بله</v>
      </c>
    </row>
    <row r="11099" ht="15.75" customHeight="1">
      <c r="A11099" s="12" t="s">
        <v>26016</v>
      </c>
      <c r="B11099" s="13" t="s">
        <v>26017</v>
      </c>
      <c r="C11099" s="14" t="s">
        <v>26018</v>
      </c>
      <c r="D11099" s="1" t="str">
        <f>IFERROR(__xludf.DUMMYFUNCTION("GOOGLETRANSLATE(A11099 , ""auto"", ""ar"")"),"لا تضع كل بيضك في سلة واحدة")</f>
        <v>لا تضع كل بيضك في سلة واحدة</v>
      </c>
    </row>
    <row r="11100" ht="15.75" customHeight="1">
      <c r="A11100" s="12" t="s">
        <v>26019</v>
      </c>
      <c r="B11100" s="13" t="s">
        <v>26020</v>
      </c>
      <c r="C11100" s="14" t="s">
        <v>26021</v>
      </c>
      <c r="D11100" s="1" t="str">
        <f>IFERROR(__xludf.DUMMYFUNCTION("GOOGLETRANSLATE(A11100 , ""auto"", ""ar"")"),"الجهل نعمة")</f>
        <v>الجهل نعمة</v>
      </c>
    </row>
    <row r="11101" ht="15.75" customHeight="1">
      <c r="A11101" s="12" t="s">
        <v>26022</v>
      </c>
      <c r="B11101" s="13" t="s">
        <v>26023</v>
      </c>
      <c r="C11101" s="14" t="s">
        <v>26024</v>
      </c>
      <c r="D11101" s="1" t="str">
        <f>IFERROR(__xludf.DUMMYFUNCTION("GOOGLETRANSLATE(A11101 , ""auto"", ""ar"")"),"انها قطعة من الكيك")</f>
        <v>انها قطعة من الكيك</v>
      </c>
    </row>
    <row r="11102" ht="15.75" customHeight="1">
      <c r="A11102" s="12" t="s">
        <v>26025</v>
      </c>
      <c r="B11102" s="13" t="s">
        <v>26026</v>
      </c>
      <c r="C11102" s="14" t="s">
        <v>26027</v>
      </c>
      <c r="D11102" s="1" t="str">
        <f>IFERROR(__xludf.DUMMYFUNCTION("GOOGLETRANSLATE(A11102 , ""auto"", ""ar"")"),"ضرب عصفورين بحجر واحد")</f>
        <v>ضرب عصفورين بحجر واحد</v>
      </c>
    </row>
    <row r="11103" ht="15.75" customHeight="1">
      <c r="A11103" s="12" t="s">
        <v>26028</v>
      </c>
      <c r="B11103" s="13" t="s">
        <v>21272</v>
      </c>
      <c r="C11103" s="14" t="s">
        <v>21273</v>
      </c>
      <c r="D11103" s="1" t="str">
        <f>IFERROR(__xludf.DUMMYFUNCTION("GOOGLETRANSLATE(A11103 , ""auto"", ""ar"")"),"مرة واحدة في القمر الأزرق")</f>
        <v>مرة واحدة في القمر الأزرق</v>
      </c>
    </row>
    <row r="11104" ht="15.75" customHeight="1">
      <c r="A11104" s="12" t="s">
        <v>26029</v>
      </c>
      <c r="B11104" s="13" t="s">
        <v>26030</v>
      </c>
      <c r="C11104" s="14" t="s">
        <v>26031</v>
      </c>
      <c r="D11104" s="1" t="str">
        <f>IFERROR(__xludf.DUMMYFUNCTION("GOOGLETRANSLATE(A11104 , ""auto"", ""ar"")"),"الادخار للأيام الممطرة")</f>
        <v>الادخار للأيام الممطرة</v>
      </c>
    </row>
    <row r="11105" ht="15.75" customHeight="1">
      <c r="A11105" s="12" t="s">
        <v>26032</v>
      </c>
      <c r="B11105" s="13" t="s">
        <v>26033</v>
      </c>
      <c r="C11105" s="14" t="s">
        <v>26034</v>
      </c>
      <c r="D11105" s="1" t="str">
        <f>IFERROR(__xludf.DUMMYFUNCTION("GOOGLETRANSLATE(A11105 , ""auto"", ""ar"")"),"الكرة في ملعبك")</f>
        <v>الكرة في ملعبك</v>
      </c>
    </row>
    <row r="11106" ht="15.75" customHeight="1">
      <c r="A11106" s="12" t="s">
        <v>26035</v>
      </c>
      <c r="B11106" s="13" t="s">
        <v>26036</v>
      </c>
      <c r="C11106" s="14" t="s">
        <v>26037</v>
      </c>
      <c r="D11106" s="1" t="str">
        <f>IFERROR(__xludf.DUMMYFUNCTION("GOOGLETRANSLATE(A11106 , ""auto"", ""ar"")"),"هناك أسماك أخرى في البحر")</f>
        <v>هناك أسماك أخرى في البحر</v>
      </c>
    </row>
    <row r="11107" ht="15.75" customHeight="1">
      <c r="A11107" s="12" t="s">
        <v>26038</v>
      </c>
      <c r="B11107" s="13" t="s">
        <v>26039</v>
      </c>
      <c r="C11107" s="14" t="s">
        <v>26040</v>
      </c>
      <c r="D11107" s="1" t="str">
        <f>IFERROR(__xludf.DUMMYFUNCTION("GOOGLETRANSLATE(A11107 , ""auto"", ""ar"")"),"لا يوجد شيء مثل غداء مجاني")</f>
        <v>لا يوجد شيء مثل غداء مجاني</v>
      </c>
    </row>
    <row r="11108" ht="15.75" customHeight="1">
      <c r="A11108" s="12" t="s">
        <v>26041</v>
      </c>
      <c r="B11108" s="13" t="s">
        <v>26042</v>
      </c>
      <c r="C11108" s="14" t="s">
        <v>26043</v>
      </c>
      <c r="D11108" s="1" t="str">
        <f>IFERROR(__xludf.DUMMYFUNCTION("GOOGLETRANSLATE(A11108 , ""auto"", ""ar"")"),"لا يمكنك الحصول على كعكة وتناولها أيضًا")</f>
        <v>لا يمكنك الحصول على كعكة وتناولها أيضًا</v>
      </c>
    </row>
    <row r="11109" ht="15.75" customHeight="1">
      <c r="A11109" s="12" t="s">
        <v>26044</v>
      </c>
      <c r="B11109" s="13" t="s">
        <v>26045</v>
      </c>
      <c r="C11109" s="14" t="s">
        <v>26046</v>
      </c>
      <c r="D11109" s="1" t="str">
        <f>IFERROR(__xludf.DUMMYFUNCTION("GOOGLETRANSLATE(A11109 , ""auto"", ""ar"")"),"لا يمكنك الحكم على كتاب من غلافه")</f>
        <v>لا يمكنك الحكم على كتاب من غلافه</v>
      </c>
    </row>
    <row r="11110" ht="15.75" customHeight="1">
      <c r="A11110" s="12" t="s">
        <v>26047</v>
      </c>
      <c r="B11110" s="13" t="s">
        <v>26048</v>
      </c>
      <c r="C11110" s="14" t="s">
        <v>26049</v>
      </c>
      <c r="D11110" s="1" t="str">
        <f>IFERROR(__xludf.DUMMYFUNCTION("GOOGLETRANSLATE(A11110 , ""auto"", ""ar"")"),"الهدوء الذي يسبق العاصفة")</f>
        <v>الهدوء الذي يسبق العاصفة</v>
      </c>
    </row>
    <row r="11111" ht="15.75" customHeight="1">
      <c r="A11111" s="12" t="s">
        <v>26050</v>
      </c>
      <c r="B11111" s="13" t="s">
        <v>26051</v>
      </c>
      <c r="C11111" s="14" t="s">
        <v>26052</v>
      </c>
      <c r="D11111" s="1" t="str">
        <f>IFERROR(__xludf.DUMMYFUNCTION("GOOGLETRANSLATE(A11111 , ""auto"", ""ar"")"),"قبلت التحدى")</f>
        <v>قبلت التحدى</v>
      </c>
    </row>
    <row r="11112" ht="15.75" customHeight="1">
      <c r="A11112" s="12" t="s">
        <v>26053</v>
      </c>
      <c r="B11112" s="13" t="s">
        <v>26054</v>
      </c>
      <c r="C11112" s="14" t="s">
        <v>26055</v>
      </c>
      <c r="D11112" s="1" t="str">
        <f>IFERROR(__xludf.DUMMYFUNCTION("GOOGLETRANSLATE(A11112 , ""auto"", ""ar"")"),"ماذا ستقول إذا طلبت منك الخروج؟")</f>
        <v>ماذا ستقول إذا طلبت منك الخروج؟</v>
      </c>
    </row>
    <row r="11113" ht="15.75" customHeight="1">
      <c r="A11113" s="12" t="s">
        <v>26056</v>
      </c>
      <c r="B11113" s="13" t="s">
        <v>26057</v>
      </c>
      <c r="C11113" s="14" t="s">
        <v>26058</v>
      </c>
      <c r="D11113" s="1" t="str">
        <f>IFERROR(__xludf.DUMMYFUNCTION("GOOGLETRANSLATE(A11113 , ""auto"", ""ar"")"),"ما هو رأيك؟")</f>
        <v>ما هو رأيك؟</v>
      </c>
    </row>
    <row r="11114" ht="15.75" customHeight="1">
      <c r="A11114" s="12" t="s">
        <v>26059</v>
      </c>
      <c r="B11114" s="13" t="s">
        <v>26060</v>
      </c>
      <c r="C11114" s="14" t="s">
        <v>26061</v>
      </c>
      <c r="D11114" s="1" t="str">
        <f>IFERROR(__xludf.DUMMYFUNCTION("GOOGLETRANSLATE(A11114 , ""auto"", ""ar"")"),"الجو حار جدا")</f>
        <v>الجو حار جدا</v>
      </c>
    </row>
    <row r="11115" ht="15.75" customHeight="1">
      <c r="A11115" s="12" t="s">
        <v>26062</v>
      </c>
      <c r="B11115" s="13" t="s">
        <v>26063</v>
      </c>
      <c r="C11115" s="14" t="s">
        <v>26064</v>
      </c>
      <c r="D11115" s="1" t="str">
        <f>IFERROR(__xludf.DUMMYFUNCTION("GOOGLETRANSLATE(A11115 , ""auto"", ""ar"")"),"الجو حلو")</f>
        <v>الجو حلو</v>
      </c>
    </row>
    <row r="11116" ht="15.75" customHeight="1">
      <c r="A11116" s="12" t="s">
        <v>26065</v>
      </c>
      <c r="B11116" s="13" t="s">
        <v>26066</v>
      </c>
      <c r="C11116" s="14" t="s">
        <v>26067</v>
      </c>
      <c r="D11116" s="1" t="str">
        <f>IFERROR(__xludf.DUMMYFUNCTION("GOOGLETRANSLATE(A11116 , ""auto"", ""ar"")"),"أتمنى أن يكون الأمر مشمسًا غدًا")</f>
        <v>أتمنى أن يكون الأمر مشمسًا غدًا</v>
      </c>
    </row>
    <row r="11117" ht="15.75" customHeight="1">
      <c r="A11117" s="12" t="s">
        <v>26068</v>
      </c>
      <c r="B11117" s="13" t="s">
        <v>26069</v>
      </c>
      <c r="C11117" s="14" t="s">
        <v>26070</v>
      </c>
      <c r="D11117" s="1" t="str">
        <f>IFERROR(__xludf.DUMMYFUNCTION("GOOGLETRANSLATE(A11117 , ""auto"", ""ar"")"),"دعونا نأمل أن يسير كل شيء على ما يرام")</f>
        <v>دعونا نأمل أن يسير كل شيء على ما يرام</v>
      </c>
    </row>
    <row r="11118" ht="15.75" customHeight="1">
      <c r="A11118" s="12" t="s">
        <v>26071</v>
      </c>
      <c r="B11118" s="13" t="s">
        <v>26072</v>
      </c>
      <c r="C11118" s="14" t="s">
        <v>26073</v>
      </c>
      <c r="D11118" s="1" t="str">
        <f>IFERROR(__xludf.DUMMYFUNCTION("GOOGLETRANSLATE(A11118 , ""auto"", ""ar"")"),"إذا كنا محظوظين")</f>
        <v>إذا كنا محظوظين</v>
      </c>
    </row>
    <row r="11119" ht="15.75" customHeight="1">
      <c r="A11119" s="12" t="s">
        <v>26074</v>
      </c>
      <c r="B11119" s="13" t="s">
        <v>26075</v>
      </c>
      <c r="C11119" s="14" t="s">
        <v>26076</v>
      </c>
      <c r="D11119" s="1" t="str">
        <f>IFERROR(__xludf.DUMMYFUNCTION("GOOGLETRANSLATE(A11119 , ""auto"", ""ar"")"),"لو كنت مكانك")</f>
        <v>لو كنت مكانك</v>
      </c>
    </row>
    <row r="11120" ht="15.75" customHeight="1">
      <c r="A11120" s="12" t="s">
        <v>26074</v>
      </c>
      <c r="B11120" s="13" t="s">
        <v>26077</v>
      </c>
      <c r="C11120" s="14" t="s">
        <v>26078</v>
      </c>
      <c r="D11120" s="1" t="str">
        <f>IFERROR(__xludf.DUMMYFUNCTION("GOOGLETRANSLATE(A11120 , ""auto"", ""ar"")"),"لو كنت مكانك")</f>
        <v>لو كنت مكانك</v>
      </c>
    </row>
    <row r="11121" ht="15.75" customHeight="1">
      <c r="A11121" s="12" t="s">
        <v>26079</v>
      </c>
      <c r="B11121" s="13" t="s">
        <v>26080</v>
      </c>
      <c r="C11121" s="14" t="s">
        <v>26081</v>
      </c>
      <c r="D11121" s="1" t="str">
        <f>IFERROR(__xludf.DUMMYFUNCTION("GOOGLETRANSLATE(A11121 , ""auto"", ""ar"")"),"أقترح عليك التوقف الآن")</f>
        <v>أقترح عليك التوقف الآن</v>
      </c>
    </row>
    <row r="11122" ht="15.75" customHeight="1">
      <c r="A11122" s="12" t="s">
        <v>26082</v>
      </c>
      <c r="B11122" s="13" t="s">
        <v>26083</v>
      </c>
      <c r="C11122" s="14" t="s">
        <v>26084</v>
      </c>
      <c r="D11122" s="1" t="str">
        <f>IFERROR(__xludf.DUMMYFUNCTION("GOOGLETRANSLATE(A11122 , ""auto"", ""ar"")"),"لماذا لا تتوقف الآن؟")</f>
        <v>لماذا لا تتوقف الآن؟</v>
      </c>
    </row>
    <row r="11123" ht="15.75" customHeight="1">
      <c r="A11123" s="12" t="s">
        <v>19633</v>
      </c>
      <c r="B11123" s="13" t="s">
        <v>26085</v>
      </c>
      <c r="C11123" s="14" t="s">
        <v>26086</v>
      </c>
      <c r="D11123" s="1" t="str">
        <f>IFERROR(__xludf.DUMMYFUNCTION("GOOGLETRANSLATE(A11123 , ""auto"", ""ar"")"),"انت محظوظ")</f>
        <v>انت محظوظ</v>
      </c>
    </row>
    <row r="11124" ht="15.75" customHeight="1">
      <c r="A11124" s="12" t="s">
        <v>26087</v>
      </c>
      <c r="B11124" s="13" t="s">
        <v>26088</v>
      </c>
      <c r="C11124" s="14" t="s">
        <v>26089</v>
      </c>
      <c r="D11124" s="1" t="str">
        <f>IFERROR(__xludf.DUMMYFUNCTION("GOOGLETRANSLATE(A11124 , ""auto"", ""ar"")"),"من فضلك لا تغضب مني")</f>
        <v>من فضلك لا تغضب مني</v>
      </c>
    </row>
    <row r="11125" ht="15.75" customHeight="1">
      <c r="A11125" s="12" t="s">
        <v>26090</v>
      </c>
      <c r="B11125" s="13" t="s">
        <v>26091</v>
      </c>
      <c r="C11125" s="14" t="s">
        <v>26092</v>
      </c>
      <c r="D11125" s="1" t="str">
        <f>IFERROR(__xludf.DUMMYFUNCTION("GOOGLETRANSLATE(A11125 , ""auto"", ""ar"")"),"من فضلك قبول اعتذاري")</f>
        <v>من فضلك قبول اعتذاري</v>
      </c>
    </row>
    <row r="11126" ht="15.75" customHeight="1">
      <c r="A11126" s="12" t="s">
        <v>26093</v>
      </c>
      <c r="B11126" s="13" t="s">
        <v>26094</v>
      </c>
      <c r="C11126" s="14" t="s">
        <v>26095</v>
      </c>
      <c r="D11126" s="1" t="str">
        <f>IFERROR(__xludf.DUMMYFUNCTION("GOOGLETRANSLATE(A11126 , ""auto"", ""ar"")"),"آمل أن كل شيء على ما يرام؟")</f>
        <v>آمل أن كل شيء على ما يرام؟</v>
      </c>
    </row>
    <row r="11127" ht="15.75" customHeight="1">
      <c r="A11127" s="12" t="s">
        <v>26096</v>
      </c>
      <c r="B11127" s="13" t="s">
        <v>26097</v>
      </c>
      <c r="C11127" s="14" t="s">
        <v>26098</v>
      </c>
      <c r="D11127" s="1" t="str">
        <f>IFERROR(__xludf.DUMMYFUNCTION("GOOGLETRANSLATE(A11127 , ""auto"", ""ar"")"),"أود أن أعلم")</f>
        <v>أود أن أعلم</v>
      </c>
    </row>
    <row r="11128" ht="15.75" customHeight="1">
      <c r="A11128" s="12" t="s">
        <v>26099</v>
      </c>
      <c r="B11128" s="13" t="s">
        <v>26100</v>
      </c>
      <c r="C11128" s="14" t="s">
        <v>26101</v>
      </c>
      <c r="D11128" s="1" t="str">
        <f>IFERROR(__xludf.DUMMYFUNCTION("GOOGLETRANSLATE(A11128 , ""auto"", ""ar"")"),"هل يمكن لأي شخص أن يخبرني ما هي المشكلة؟")</f>
        <v>هل يمكن لأي شخص أن يخبرني ما هي المشكلة؟</v>
      </c>
    </row>
    <row r="11129" ht="15.75" customHeight="1">
      <c r="A11129" s="12" t="s">
        <v>26102</v>
      </c>
      <c r="B11129" s="13" t="s">
        <v>26103</v>
      </c>
      <c r="C11129" s="14" t="s">
        <v>26104</v>
      </c>
      <c r="D11129" s="1" t="str">
        <f>IFERROR(__xludf.DUMMYFUNCTION("GOOGLETRANSLATE(A11129 , ""auto"", ""ar"")"),"انتظر و شاهد")</f>
        <v>انتظر و شاهد</v>
      </c>
    </row>
    <row r="11130" ht="15.75" customHeight="1">
      <c r="A11130" s="12" t="s">
        <v>26105</v>
      </c>
      <c r="B11130" s="13" t="s">
        <v>26106</v>
      </c>
      <c r="C11130" s="14" t="s">
        <v>26107</v>
      </c>
      <c r="D11130" s="1" t="str">
        <f>IFERROR(__xludf.DUMMYFUNCTION("GOOGLETRANSLATE(A11130 , ""auto"", ""ar"")"),"عليك فقط التحلي بالصبر")</f>
        <v>عليك فقط التحلي بالصبر</v>
      </c>
    </row>
    <row r="11131" ht="15.75" customHeight="1">
      <c r="A11131" s="12" t="s">
        <v>26108</v>
      </c>
      <c r="B11131" s="13" t="s">
        <v>26109</v>
      </c>
      <c r="C11131" s="14" t="s">
        <v>26110</v>
      </c>
      <c r="D11131" s="1" t="str">
        <f>IFERROR(__xludf.DUMMYFUNCTION("GOOGLETRANSLATE(A11131 , ""auto"", ""ar"")"),"أعطني نصيحة")</f>
        <v>أعطني نصيحة</v>
      </c>
    </row>
    <row r="11132" ht="15.75" customHeight="1">
      <c r="A11132" s="12" t="s">
        <v>26111</v>
      </c>
      <c r="B11132" s="13" t="s">
        <v>26112</v>
      </c>
      <c r="C11132" s="14" t="s">
        <v>26113</v>
      </c>
      <c r="D11132" s="1" t="str">
        <f>IFERROR(__xludf.DUMMYFUNCTION("GOOGLETRANSLATE(A11132 , ""auto"", ""ar"")"),"لا تكن صبرًا جدًا")</f>
        <v>لا تكن صبرًا جدًا</v>
      </c>
    </row>
    <row r="11133" ht="15.75" customHeight="1">
      <c r="A11133" s="12" t="s">
        <v>26114</v>
      </c>
      <c r="B11133" s="13" t="s">
        <v>26115</v>
      </c>
      <c r="C11133" s="14" t="s">
        <v>26116</v>
      </c>
      <c r="D11133" s="1" t="str">
        <f>IFERROR(__xludf.DUMMYFUNCTION("GOOGLETRANSLATE(A11133 , ""auto"", ""ar"")"),"سأكون على حق معك")</f>
        <v>سأكون على حق معك</v>
      </c>
    </row>
    <row r="11134" ht="15.75" customHeight="1">
      <c r="A11134" s="12" t="s">
        <v>26117</v>
      </c>
      <c r="B11134" s="13" t="s">
        <v>26118</v>
      </c>
      <c r="C11134" s="14" t="s">
        <v>26119</v>
      </c>
      <c r="D11134" s="1" t="str">
        <f>IFERROR(__xludf.DUMMYFUNCTION("GOOGLETRANSLATE(A11134 , ""auto"", ""ar"")"),"أنا مرتبط قليلاً")</f>
        <v>أنا مرتبط قليلاً</v>
      </c>
    </row>
    <row r="11135" ht="15.75" customHeight="1">
      <c r="A11135" s="12" t="s">
        <v>26120</v>
      </c>
      <c r="B11135" s="13" t="s">
        <v>26121</v>
      </c>
      <c r="C11135" s="14" t="s">
        <v>26122</v>
      </c>
      <c r="D11135" s="1" t="str">
        <f>IFERROR(__xludf.DUMMYFUNCTION("GOOGLETRANSLATE(A11135 , ""auto"", ""ar"")"),"يمكنك أن تتأكد")</f>
        <v>يمكنك أن تتأكد</v>
      </c>
    </row>
    <row r="11136" ht="15.75" customHeight="1">
      <c r="A11136" s="12" t="s">
        <v>26123</v>
      </c>
      <c r="B11136" s="13" t="s">
        <v>26124</v>
      </c>
      <c r="C11136" s="14" t="s">
        <v>26125</v>
      </c>
      <c r="D11136" s="1" t="str">
        <f>IFERROR(__xludf.DUMMYFUNCTION("GOOGLETRANSLATE(A11136 , ""auto"", ""ar"")"),"ليس لدي شك على الإطلاق")</f>
        <v>ليس لدي شك على الإطلاق</v>
      </c>
    </row>
    <row r="11137" ht="15.75" customHeight="1">
      <c r="A11137" s="12" t="s">
        <v>26126</v>
      </c>
      <c r="B11137" s="13" t="s">
        <v>26127</v>
      </c>
      <c r="C11137" s="14" t="s">
        <v>26128</v>
      </c>
      <c r="D11137" s="1" t="str">
        <f>IFERROR(__xludf.DUMMYFUNCTION("GOOGLETRANSLATE(A11137 , ""auto"", ""ar"")"),"أنا مؤكد مائة في المئة")</f>
        <v>أنا مؤكد مائة في المئة</v>
      </c>
    </row>
    <row r="11138" ht="15.75" customHeight="1">
      <c r="A11138" s="12" t="s">
        <v>26129</v>
      </c>
      <c r="B11138" s="13" t="s">
        <v>26130</v>
      </c>
      <c r="C11138" s="14" t="s">
        <v>26131</v>
      </c>
      <c r="D11138" s="1" t="str">
        <f>IFERROR(__xludf.DUMMYFUNCTION("GOOGLETRANSLATE(A11138 , ""auto"", ""ar"")"),"يبتسم!")</f>
        <v>يبتسم!</v>
      </c>
    </row>
    <row r="11139" ht="15.75" customHeight="1">
      <c r="A11139" s="12" t="s">
        <v>26132</v>
      </c>
      <c r="B11139" s="13" t="s">
        <v>26133</v>
      </c>
      <c r="C11139" s="14" t="s">
        <v>26134</v>
      </c>
      <c r="D11139" s="1" t="str">
        <f>IFERROR(__xludf.DUMMYFUNCTION("GOOGLETRANSLATE(A11139 , ""auto"", ""ar"")"),"انها ليست نهايه العالم")</f>
        <v>انها ليست نهايه العالم</v>
      </c>
    </row>
    <row r="11140" ht="15.75" customHeight="1">
      <c r="A11140" s="12" t="s">
        <v>26135</v>
      </c>
      <c r="B11140" s="13" t="s">
        <v>26136</v>
      </c>
      <c r="C11140" s="14" t="s">
        <v>26137</v>
      </c>
      <c r="D11140" s="1" t="str">
        <f>IFERROR(__xludf.DUMMYFUNCTION("GOOGLETRANSLATE(A11140 , ""auto"", ""ar"")"),"ننظر إلى الجانب المشرق")</f>
        <v>ننظر إلى الجانب المشرق</v>
      </c>
    </row>
    <row r="11141" ht="15.75" customHeight="1">
      <c r="A11141" s="12" t="s">
        <v>26138</v>
      </c>
      <c r="B11141" s="13" t="s">
        <v>26139</v>
      </c>
      <c r="C11141" s="14" t="s">
        <v>26140</v>
      </c>
      <c r="D11141" s="1" t="str">
        <f>IFERROR(__xludf.DUMMYFUNCTION("GOOGLETRANSLATE(A11141 , ""auto"", ""ar"")"),"لم أسرق أبدًا")</f>
        <v>لم أسرق أبدًا</v>
      </c>
    </row>
    <row r="11142" ht="15.75" customHeight="1">
      <c r="A11142" s="12" t="s">
        <v>26141</v>
      </c>
      <c r="B11142" s="13" t="s">
        <v>26142</v>
      </c>
      <c r="C11142" s="14" t="s">
        <v>26143</v>
      </c>
      <c r="D11142" s="1" t="str">
        <f>IFERROR(__xludf.DUMMYFUNCTION("GOOGLETRANSLATE(A11142 , ""auto"", ""ar"")"),"يا لها من كارثة")</f>
        <v>يا لها من كارثة</v>
      </c>
    </row>
    <row r="11143" ht="15.75" customHeight="1">
      <c r="A11143" s="12" t="s">
        <v>26141</v>
      </c>
      <c r="B11143" s="13" t="s">
        <v>26144</v>
      </c>
      <c r="C11143" s="14" t="s">
        <v>26145</v>
      </c>
      <c r="D11143" s="1" t="str">
        <f>IFERROR(__xludf.DUMMYFUNCTION("GOOGLETRANSLATE(A11143 , ""auto"", ""ar"")"),"يا لها من كارثة")</f>
        <v>يا لها من كارثة</v>
      </c>
    </row>
    <row r="11144" ht="15.75" customHeight="1">
      <c r="A11144" s="12" t="s">
        <v>26146</v>
      </c>
      <c r="B11144" s="13" t="s">
        <v>26147</v>
      </c>
      <c r="C11144" s="14" t="s">
        <v>26148</v>
      </c>
      <c r="D11144" s="1" t="str">
        <f>IFERROR(__xludf.DUMMYFUNCTION("GOOGLETRANSLATE(A11144 , ""auto"", ""ar"")"),"في احلامك!")</f>
        <v>في احلامك!</v>
      </c>
    </row>
    <row r="11145" ht="15.75" customHeight="1">
      <c r="A11145" s="12" t="s">
        <v>26149</v>
      </c>
      <c r="B11145" s="13" t="s">
        <v>26150</v>
      </c>
      <c r="C11145" s="14" t="s">
        <v>26151</v>
      </c>
      <c r="D11145" s="1" t="str">
        <f>IFERROR(__xludf.DUMMYFUNCTION("GOOGLETRANSLATE(A11145 , ""auto"", ""ar"")"),"من الممكن ان تكون محقا")</f>
        <v>من الممكن ان تكون محقا</v>
      </c>
    </row>
    <row r="11146" ht="15.75" customHeight="1">
      <c r="A11146" s="12" t="s">
        <v>26152</v>
      </c>
      <c r="B11146" s="13" t="s">
        <v>26153</v>
      </c>
      <c r="C11146" s="14" t="s">
        <v>20787</v>
      </c>
      <c r="D11146" s="1" t="str">
        <f>IFERROR(__xludf.DUMMYFUNCTION("GOOGLETRANSLATE(A11146 , ""auto"", ""ar"")"),"كلام فارغ")</f>
        <v>كلام فارغ</v>
      </c>
    </row>
    <row r="11147" ht="15.75" customHeight="1">
      <c r="A11147" s="12" t="s">
        <v>26154</v>
      </c>
      <c r="B11147" s="13" t="s">
        <v>26155</v>
      </c>
      <c r="C11147" s="14" t="s">
        <v>26156</v>
      </c>
      <c r="D11147" s="1" t="str">
        <f>IFERROR(__xludf.DUMMYFUNCTION("GOOGLETRANSLATE(A11147 , ""auto"", ""ar"")"),"القمامة!")</f>
        <v>القمامة!</v>
      </c>
    </row>
    <row r="11148" ht="15.75" customHeight="1">
      <c r="A11148" s="12" t="s">
        <v>26157</v>
      </c>
      <c r="B11148" s="13" t="s">
        <v>26158</v>
      </c>
      <c r="C11148" s="14" t="s">
        <v>26159</v>
      </c>
      <c r="D11148" s="1" t="str">
        <f>IFERROR(__xludf.DUMMYFUNCTION("GOOGLETRANSLATE(A11148 , ""auto"", ""ar"")"),"أنت قادم بشكل جيد")</f>
        <v>أنت قادم بشكل جيد</v>
      </c>
    </row>
    <row r="11149" ht="15.75" customHeight="1">
      <c r="A11149" s="12" t="s">
        <v>26160</v>
      </c>
      <c r="B11149" s="13" t="s">
        <v>26161</v>
      </c>
      <c r="C11149" s="14" t="s">
        <v>26162</v>
      </c>
      <c r="D11149" s="1" t="str">
        <f>IFERROR(__xludf.DUMMYFUNCTION("GOOGLETRANSLATE(A11149 , ""auto"", ""ar"")"),"أنت على الخط الأيمن")</f>
        <v>أنت على الخط الأيمن</v>
      </c>
    </row>
    <row r="11150" ht="15.75" customHeight="1">
      <c r="A11150" s="12" t="s">
        <v>26163</v>
      </c>
      <c r="B11150" s="13" t="s">
        <v>26164</v>
      </c>
      <c r="C11150" s="14" t="s">
        <v>26165</v>
      </c>
      <c r="D11150" s="1" t="str">
        <f>IFERROR(__xludf.DUMMYFUNCTION("GOOGLETRANSLATE(A11150 , ""auto"", ""ar"")"),"تعال! يمكنك أن تفعل ذلك")</f>
        <v>تعال! يمكنك أن تفعل ذلك</v>
      </c>
    </row>
    <row r="11151" ht="15.75" customHeight="1">
      <c r="A11151" s="12" t="s">
        <v>26166</v>
      </c>
      <c r="B11151" s="13" t="s">
        <v>26167</v>
      </c>
      <c r="C11151" s="14" t="s">
        <v>26168</v>
      </c>
      <c r="D11151" s="1" t="str">
        <f>IFERROR(__xludf.DUMMYFUNCTION("GOOGLETRANSLATE(A11151 , ""auto"", ""ar"")"),"وكانت الحافلة في وقت متأخر")</f>
        <v>وكانت الحافلة في وقت متأخر</v>
      </c>
    </row>
    <row r="11152" ht="15.75" customHeight="1">
      <c r="A11152" s="12" t="s">
        <v>26169</v>
      </c>
      <c r="B11152" s="13" t="s">
        <v>26170</v>
      </c>
      <c r="C11152" s="14" t="s">
        <v>26171</v>
      </c>
      <c r="D11152" s="1" t="str">
        <f>IFERROR(__xludf.DUMMYFUNCTION("GOOGLETRANSLATE(A11152 , ""auto"", ""ar"")"),"اضطررت إلى الانتظار على الأعمار لحافلة")</f>
        <v>اضطررت إلى الانتظار على الأعمار لحافلة</v>
      </c>
    </row>
    <row r="11153" ht="15.75" customHeight="1">
      <c r="A11153" s="12" t="s">
        <v>26172</v>
      </c>
      <c r="B11153" s="13" t="s">
        <v>26173</v>
      </c>
      <c r="C11153" s="14" t="s">
        <v>26174</v>
      </c>
      <c r="D11153" s="1" t="str">
        <f>IFERROR(__xludf.DUMMYFUNCTION("GOOGLETRANSLATE(A11153 , ""auto"", ""ar"")"),"لم أتمكن من العثور على مساحة لوقوف السيارات")</f>
        <v>لم أتمكن من العثور على مساحة لوقوف السيارات</v>
      </c>
    </row>
    <row r="11154" ht="15.75" customHeight="1">
      <c r="A11154" s="12" t="s">
        <v>26175</v>
      </c>
      <c r="B11154" s="13" t="s">
        <v>26176</v>
      </c>
      <c r="C11154" s="14" t="s">
        <v>26177</v>
      </c>
      <c r="D11154" s="1" t="str">
        <f>IFERROR(__xludf.DUMMYFUNCTION("GOOGLETRANSLATE(A11154 , ""auto"", ""ar"")"),"لقد فقدت المجيء إلى هنا")</f>
        <v>لقد فقدت المجيء إلى هنا</v>
      </c>
    </row>
    <row r="11155" ht="15.75" customHeight="1">
      <c r="A11155" s="12" t="s">
        <v>26178</v>
      </c>
      <c r="B11155" s="13" t="s">
        <v>26179</v>
      </c>
      <c r="C11155" s="14" t="s">
        <v>26180</v>
      </c>
      <c r="D11155" s="1" t="str">
        <f>IFERROR(__xludf.DUMMYFUNCTION("GOOGLETRANSLATE(A11155 , ""auto"", ""ar"")"),"كان يرتدي عبوس")</f>
        <v>كان يرتدي عبوس</v>
      </c>
    </row>
    <row r="11156" ht="15.75" customHeight="1">
      <c r="A11156" s="12" t="s">
        <v>26181</v>
      </c>
      <c r="B11156" s="13" t="s">
        <v>26182</v>
      </c>
      <c r="C11156" s="14" t="s">
        <v>26183</v>
      </c>
      <c r="D11156" s="1" t="str">
        <f>IFERROR(__xludf.DUMMYFUNCTION("GOOGLETRANSLATE(A11156 , ""auto"", ""ar"")"),"أعطاني نظرة قذرة")</f>
        <v>أعطاني نظرة قذرة</v>
      </c>
    </row>
    <row r="11157" ht="15.75" customHeight="1">
      <c r="A11157" s="12" t="s">
        <v>26184</v>
      </c>
      <c r="B11157" s="13" t="s">
        <v>26185</v>
      </c>
      <c r="C11157" s="14" t="s">
        <v>26186</v>
      </c>
      <c r="D11157" s="1" t="str">
        <f>IFERROR(__xludf.DUMMYFUNCTION("GOOGLETRANSLATE(A11157 , ""auto"", ""ar"")"),"رفع حواجبه")</f>
        <v>رفع حواجبه</v>
      </c>
    </row>
    <row r="11158" ht="15.75" customHeight="1">
      <c r="A11158" s="12" t="s">
        <v>26187</v>
      </c>
      <c r="B11158" s="13" t="s">
        <v>26188</v>
      </c>
      <c r="C11158" s="14" t="s">
        <v>26189</v>
      </c>
      <c r="D11158" s="1" t="str">
        <f>IFERROR(__xludf.DUMMYFUNCTION("GOOGLETRANSLATE(A11158 , ""auto"", ""ar"")"),"أنا ذاهب إلى الفراش")</f>
        <v>أنا ذاهب إلى الفراش</v>
      </c>
    </row>
    <row r="11159" ht="15.75" customHeight="1">
      <c r="A11159" s="12" t="s">
        <v>26190</v>
      </c>
      <c r="B11159" s="13" t="s">
        <v>26191</v>
      </c>
      <c r="C11159" s="14" t="s">
        <v>26192</v>
      </c>
      <c r="D11159" s="1" t="str">
        <f>IFERROR(__xludf.DUMMYFUNCTION("GOOGLETRANSLATE(A11159 , ""auto"", ""ar"")"),"ميعاد النوم")</f>
        <v>ميعاد النوم</v>
      </c>
    </row>
    <row r="11160" ht="15.75" customHeight="1">
      <c r="A11160" s="12" t="s">
        <v>26193</v>
      </c>
      <c r="B11160" s="13" t="s">
        <v>26194</v>
      </c>
      <c r="C11160" s="14" t="s">
        <v>26195</v>
      </c>
      <c r="D11160" s="1" t="str">
        <f>IFERROR(__xludf.DUMMYFUNCTION("GOOGLETRANSLATE(A11160 , ""auto"", ""ar"")"),"لا أستطيع أن أبقي عيني مفتوحة")</f>
        <v>لا أستطيع أن أبقي عيني مفتوحة</v>
      </c>
    </row>
    <row r="11161" ht="15.75" customHeight="1">
      <c r="A11161" s="12" t="s">
        <v>26196</v>
      </c>
      <c r="B11161" s="13" t="s">
        <v>26197</v>
      </c>
      <c r="C11161" s="14" t="s">
        <v>26198</v>
      </c>
      <c r="D11161" s="1" t="str">
        <f>IFERROR(__xludf.DUMMYFUNCTION("GOOGLETRANSLATE(A11161 , ""auto"", ""ar"")"),"لا أستطيع أن أتذكر")</f>
        <v>لا أستطيع أن أتذكر</v>
      </c>
    </row>
    <row r="11162" ht="15.75" customHeight="1">
      <c r="A11162" s="12" t="s">
        <v>26199</v>
      </c>
      <c r="B11162" s="13" t="s">
        <v>26200</v>
      </c>
      <c r="C11162" s="14" t="s">
        <v>26201</v>
      </c>
      <c r="D11162" s="1" t="str">
        <f>IFERROR(__xludf.DUMMYFUNCTION("GOOGLETRANSLATE(A11162 , ""auto"", ""ar"")"),"أنا نسيت تماما")</f>
        <v>أنا نسيت تماما</v>
      </c>
    </row>
    <row r="11163" ht="15.75" customHeight="1">
      <c r="A11163" s="12" t="s">
        <v>26202</v>
      </c>
      <c r="B11163" s="13" t="s">
        <v>26203</v>
      </c>
      <c r="C11163" s="14" t="s">
        <v>26204</v>
      </c>
      <c r="D11163" s="1" t="str">
        <f>IFERROR(__xludf.DUMMYFUNCTION("GOOGLETRANSLATE(A11163 , ""auto"", ""ar"")"),"ماذا كنت أفكر؟")</f>
        <v>ماذا كنت أفكر؟</v>
      </c>
    </row>
    <row r="11164" ht="15.75" customHeight="1">
      <c r="A11164" s="12" t="s">
        <v>26205</v>
      </c>
      <c r="B11164" s="13" t="s">
        <v>26206</v>
      </c>
      <c r="C11164" s="14" t="s">
        <v>26207</v>
      </c>
      <c r="D11164" s="1" t="str">
        <f>IFERROR(__xludf.DUMMYFUNCTION("GOOGLETRANSLATE(A11164 , ""auto"", ""ar"")"),"انزلق تماما ذهني")</f>
        <v>انزلق تماما ذهني</v>
      </c>
    </row>
    <row r="11165" ht="15.75" customHeight="1">
      <c r="A11165" s="12" t="s">
        <v>26208</v>
      </c>
      <c r="B11165" s="13" t="s">
        <v>3040</v>
      </c>
      <c r="C11165" s="14" t="s">
        <v>26209</v>
      </c>
      <c r="D11165" s="1" t="str">
        <f>IFERROR(__xludf.DUMMYFUNCTION("GOOGLETRANSLATE(A11165 , ""auto"", ""ar"")"),"عادة")</f>
        <v>عادة</v>
      </c>
    </row>
    <row r="11166" ht="15.75" customHeight="1">
      <c r="A11166" s="12" t="s">
        <v>26210</v>
      </c>
      <c r="B11166" s="13" t="s">
        <v>26211</v>
      </c>
      <c r="C11166" s="14" t="s">
        <v>26212</v>
      </c>
      <c r="D11166" s="1" t="str">
        <f>IFERROR(__xludf.DUMMYFUNCTION("GOOGLETRANSLATE(A11166 , ""auto"", ""ar"")"),"على العموم")</f>
        <v>على العموم</v>
      </c>
    </row>
    <row r="11167" ht="15.75" customHeight="1">
      <c r="A11167" s="12" t="s">
        <v>26213</v>
      </c>
      <c r="B11167" s="13" t="s">
        <v>26214</v>
      </c>
      <c r="C11167" s="14" t="s">
        <v>26215</v>
      </c>
      <c r="D11167" s="1" t="str">
        <f>IFERROR(__xludf.DUMMYFUNCTION("GOOGLETRANSLATE(A11167 , ""auto"", ""ar"")"),"إستعد")</f>
        <v>إستعد</v>
      </c>
    </row>
    <row r="11168" ht="15.75" customHeight="1">
      <c r="A11168" s="12" t="s">
        <v>26216</v>
      </c>
      <c r="B11168" s="13" t="s">
        <v>26217</v>
      </c>
      <c r="C11168" s="14" t="s">
        <v>26218</v>
      </c>
      <c r="D11168" s="1" t="str">
        <f>IFERROR(__xludf.DUMMYFUNCTION("GOOGLETRANSLATE(A11168 , ""auto"", ""ar"")"),"Dood كبير")</f>
        <v>Dood كبير</v>
      </c>
    </row>
    <row r="11169" ht="15.75" customHeight="1">
      <c r="A11169" s="12" t="s">
        <v>26219</v>
      </c>
      <c r="B11169" s="13" t="s">
        <v>26220</v>
      </c>
      <c r="C11169" s="14" t="s">
        <v>26221</v>
      </c>
      <c r="D11169" s="1" t="str">
        <f>IFERROR(__xludf.DUMMYFUNCTION("GOOGLETRANSLATE(A11169 , ""auto"", ""ar"")"),"نتمنى لك الشفاء العاجل")</f>
        <v>نتمنى لك الشفاء العاجل</v>
      </c>
    </row>
    <row r="11170" ht="15.75" customHeight="1">
      <c r="A11170" s="12" t="s">
        <v>26222</v>
      </c>
      <c r="B11170" s="13" t="s">
        <v>26223</v>
      </c>
      <c r="C11170" s="14" t="s">
        <v>26224</v>
      </c>
      <c r="D11170" s="1" t="str">
        <f>IFERROR(__xludf.DUMMYFUNCTION("GOOGLETRANSLATE(A11170 , ""auto"", ""ar"")"),"ابتعد عن طريقي")</f>
        <v>ابتعد عن طريقي</v>
      </c>
    </row>
    <row r="11171" ht="15.75" customHeight="1">
      <c r="A11171" s="12" t="s">
        <v>26225</v>
      </c>
      <c r="B11171" s="13" t="s">
        <v>26226</v>
      </c>
      <c r="C11171" s="14" t="s">
        <v>26227</v>
      </c>
      <c r="D11171" s="1" t="str">
        <f>IFERROR(__xludf.DUMMYFUNCTION("GOOGLETRANSLATE(A11171 , ""auto"", ""ar"")"),"الخيار لك")</f>
        <v>الخيار لك</v>
      </c>
    </row>
    <row r="11172" ht="15.75" customHeight="1">
      <c r="A11172" s="12" t="s">
        <v>26228</v>
      </c>
      <c r="B11172" s="13" t="s">
        <v>26229</v>
      </c>
      <c r="C11172" s="14" t="s">
        <v>26230</v>
      </c>
      <c r="D11172" s="1" t="str">
        <f>IFERROR(__xludf.DUMMYFUNCTION("GOOGLETRANSLATE(A11172 , ""auto"", ""ar"")"),"انت صاحب القرار")</f>
        <v>انت صاحب القرار</v>
      </c>
    </row>
    <row r="11173" ht="15.75" customHeight="1">
      <c r="A11173" s="12" t="s">
        <v>26231</v>
      </c>
      <c r="B11173" s="13" t="s">
        <v>26232</v>
      </c>
      <c r="C11173" s="14" t="s">
        <v>26233</v>
      </c>
      <c r="D11173" s="1" t="str">
        <f>IFERROR(__xludf.DUMMYFUNCTION("GOOGLETRANSLATE(A11173 , ""auto"", ""ar"")"),"وأنا شخصيا أعتقد...")</f>
        <v>وأنا شخصيا أعتقد...</v>
      </c>
    </row>
    <row r="11174" ht="15.75" customHeight="1">
      <c r="A11174" s="12" t="s">
        <v>26234</v>
      </c>
      <c r="B11174" s="13" t="s">
        <v>26235</v>
      </c>
      <c r="C11174" s="14" t="s">
        <v>26236</v>
      </c>
      <c r="D11174" s="1" t="str">
        <f>IFERROR(__xludf.DUMMYFUNCTION("GOOGLETRANSLATE(A11174 , ""auto"", ""ar"")"),"برأيي المتواضع")</f>
        <v>برأيي المتواضع</v>
      </c>
    </row>
    <row r="11175" ht="15.75" customHeight="1">
      <c r="A11175" s="12" t="s">
        <v>26237</v>
      </c>
      <c r="B11175" s="13" t="s">
        <v>26238</v>
      </c>
      <c r="C11175" s="14" t="s">
        <v>26239</v>
      </c>
      <c r="D11175" s="1" t="str">
        <f>IFERROR(__xludf.DUMMYFUNCTION("GOOGLETRANSLATE(A11175 , ""auto"", ""ar"")"),"قضيت الكثير من الوقت في اللعب")</f>
        <v>قضيت الكثير من الوقت في اللعب</v>
      </c>
    </row>
    <row r="11176" ht="15.75" customHeight="1">
      <c r="A11176" s="12" t="s">
        <v>26240</v>
      </c>
      <c r="B11176" s="13" t="s">
        <v>26241</v>
      </c>
      <c r="C11176" s="14" t="s">
        <v>26242</v>
      </c>
      <c r="D11176" s="1" t="str">
        <f>IFERROR(__xludf.DUMMYFUNCTION("GOOGLETRANSLATE(A11176 , ""auto"", ""ar"")"),"ستجدني دائمًا أعمل")</f>
        <v>ستجدني دائمًا أعمل</v>
      </c>
    </row>
    <row r="11177" ht="15.75" customHeight="1">
      <c r="A11177" s="12" t="s">
        <v>26243</v>
      </c>
      <c r="B11177" s="13" t="s">
        <v>26244</v>
      </c>
      <c r="C11177" s="14" t="s">
        <v>26245</v>
      </c>
      <c r="D11177" s="1" t="str">
        <f>IFERROR(__xludf.DUMMYFUNCTION("GOOGLETRANSLATE(A11177 , ""auto"", ""ar"")"),"كلما أتيحت لي الفرصة")</f>
        <v>كلما أتيحت لي الفرصة</v>
      </c>
    </row>
    <row r="11178" ht="15.75" customHeight="1">
      <c r="A11178" s="12" t="s">
        <v>26246</v>
      </c>
      <c r="B11178" s="13" t="s">
        <v>26247</v>
      </c>
      <c r="C11178" s="14" t="s">
        <v>26248</v>
      </c>
      <c r="D11178" s="1" t="str">
        <f>IFERROR(__xludf.DUMMYFUNCTION("GOOGLETRANSLATE(A11178 , ""auto"", ""ar"")"),"لدي عادة النوم كثيرا")</f>
        <v>لدي عادة النوم كثيرا</v>
      </c>
    </row>
    <row r="11179" ht="15.75" customHeight="1">
      <c r="A11179" s="12" t="s">
        <v>26249</v>
      </c>
      <c r="B11179" s="13" t="s">
        <v>26250</v>
      </c>
      <c r="C11179" s="14" t="s">
        <v>26251</v>
      </c>
      <c r="D11179" s="1" t="str">
        <f>IFERROR(__xludf.DUMMYFUNCTION("GOOGLETRANSLATE(A11179 , ""auto"", ""ar"")"),"لا أتوقع أن يفوزوا")</f>
        <v>لا أتوقع أن يفوزوا</v>
      </c>
    </row>
    <row r="11180" ht="15.75" customHeight="1">
      <c r="A11180" s="12" t="s">
        <v>26252</v>
      </c>
      <c r="B11180" s="13" t="s">
        <v>26253</v>
      </c>
      <c r="C11180" s="14" t="s">
        <v>26254</v>
      </c>
      <c r="D11180" s="1" t="str">
        <f>IFERROR(__xludf.DUMMYFUNCTION("GOOGLETRANSLATE(A11180 , ""auto"", ""ar"")"),"لا يوجد فرصة")</f>
        <v>لا يوجد فرصة</v>
      </c>
    </row>
    <row r="11181" ht="15.75" customHeight="1">
      <c r="A11181" s="12" t="s">
        <v>26255</v>
      </c>
      <c r="B11181" s="13" t="s">
        <v>26256</v>
      </c>
      <c r="C11181" s="14" t="s">
        <v>26257</v>
      </c>
      <c r="D11181" s="1" t="str">
        <f>IFERROR(__xludf.DUMMYFUNCTION("GOOGLETRANSLATE(A11181 , ""auto"", ""ar"")"),"في المستقبل القريب")</f>
        <v>في المستقبل القريب</v>
      </c>
    </row>
    <row r="11182" ht="15.75" customHeight="1">
      <c r="A11182" s="12" t="s">
        <v>26258</v>
      </c>
      <c r="B11182" s="13" t="s">
        <v>26259</v>
      </c>
      <c r="C11182" s="14" t="s">
        <v>26260</v>
      </c>
      <c r="D11182" s="1" t="str">
        <f>IFERROR(__xludf.DUMMYFUNCTION("GOOGLETRANSLATE(A11182 , ""auto"", ""ar"")"),"لا يوجد شيء أحبه أكثر من المطبخ المغربي")</f>
        <v>لا يوجد شيء أحبه أكثر من المطبخ المغربي</v>
      </c>
    </row>
    <row r="11183" ht="15.75" customHeight="1">
      <c r="A11183" s="12" t="s">
        <v>26261</v>
      </c>
      <c r="B11183" s="13" t="s">
        <v>26262</v>
      </c>
      <c r="C11183" s="14" t="s">
        <v>26263</v>
      </c>
      <c r="D11183" s="1" t="str">
        <f>IFERROR(__xludf.DUMMYFUNCTION("GOOGLETRANSLATE(A11183 , ""auto"", ""ar"")"),"يجب أن تكون زوجته")</f>
        <v>يجب أن تكون زوجته</v>
      </c>
    </row>
    <row r="11184" ht="15.75" customHeight="1">
      <c r="A11184" s="12" t="s">
        <v>26264</v>
      </c>
      <c r="B11184" s="13" t="s">
        <v>26265</v>
      </c>
      <c r="C11184" s="14" t="s">
        <v>26266</v>
      </c>
      <c r="D11184" s="1" t="str">
        <f>IFERROR(__xludf.DUMMYFUNCTION("GOOGLETRANSLATE(A11184 , ""auto"", ""ar"")"),"كيف حال زوجتك؟")</f>
        <v>كيف حال زوجتك؟</v>
      </c>
    </row>
    <row r="11185" ht="15.75" customHeight="1">
      <c r="A11185" s="12" t="s">
        <v>26267</v>
      </c>
      <c r="B11185" s="13" t="s">
        <v>26268</v>
      </c>
      <c r="C11185" s="14" t="s">
        <v>26269</v>
      </c>
      <c r="D11185" s="1" t="str">
        <f>IFERROR(__xludf.DUMMYFUNCTION("GOOGLETRANSLATE(A11185 , ""auto"", ""ar"")"),"يالها من صدفة!")</f>
        <v>يالها من صدفة!</v>
      </c>
    </row>
    <row r="11186" ht="15.75" customHeight="1">
      <c r="A11186" s="12" t="s">
        <v>26270</v>
      </c>
      <c r="B11186" s="13" t="s">
        <v>26271</v>
      </c>
      <c r="C11186" s="14" t="s">
        <v>26272</v>
      </c>
      <c r="D11186" s="1" t="str">
        <f>IFERROR(__xludf.DUMMYFUNCTION("GOOGLETRANSLATE(A11186 , ""auto"", ""ar"")"),"أنا مكتئب بعض الشيء")</f>
        <v>أنا مكتئب بعض الشيء</v>
      </c>
    </row>
    <row r="11187" ht="15.75" customHeight="1">
      <c r="A11187" s="12" t="s">
        <v>26273</v>
      </c>
      <c r="B11187" s="13" t="s">
        <v>26274</v>
      </c>
      <c r="C11187" s="14" t="s">
        <v>26275</v>
      </c>
      <c r="D11187" s="1" t="str">
        <f>IFERROR(__xludf.DUMMYFUNCTION("GOOGLETRANSLATE(A11187 , ""auto"", ""ar"")"),"كم عدد الاولاد؟")</f>
        <v>كم عدد الاولاد؟</v>
      </c>
    </row>
    <row r="11188" ht="15.75" customHeight="1">
      <c r="A11188" s="12" t="s">
        <v>26276</v>
      </c>
      <c r="B11188" s="13" t="s">
        <v>26277</v>
      </c>
      <c r="C11188" s="14" t="s">
        <v>26278</v>
      </c>
      <c r="D11188" s="1" t="str">
        <f>IFERROR(__xludf.DUMMYFUNCTION("GOOGLETRANSLATE(A11188 , ""auto"", ""ar"")"),"فقط حول الزاوية")</f>
        <v>فقط حول الزاوية</v>
      </c>
    </row>
    <row r="11189" ht="15.75" customHeight="1">
      <c r="A11189" s="12" t="s">
        <v>26279</v>
      </c>
      <c r="B11189" s="13" t="s">
        <v>26280</v>
      </c>
      <c r="C11189" s="14" t="s">
        <v>26281</v>
      </c>
      <c r="D11189" s="1" t="str">
        <f>IFERROR(__xludf.DUMMYFUNCTION("GOOGLETRANSLATE(A11189 , ""auto"", ""ar"")"),"لا أستطيع حقًا أن أقول")</f>
        <v>لا أستطيع حقًا أن أقول</v>
      </c>
    </row>
    <row r="11190" ht="15.75" customHeight="1">
      <c r="A11190" s="12" t="s">
        <v>26282</v>
      </c>
      <c r="B11190" s="13" t="s">
        <v>26283</v>
      </c>
      <c r="C11190" s="14" t="s">
        <v>26284</v>
      </c>
      <c r="D11190" s="1" t="str">
        <f>IFERROR(__xludf.DUMMYFUNCTION("GOOGLETRANSLATE(A11190 , ""auto"", ""ar"")"),"لا يؤثر علي")</f>
        <v>لا يؤثر علي</v>
      </c>
    </row>
    <row r="11191" ht="15.75" customHeight="1">
      <c r="A11191" s="12" t="s">
        <v>26285</v>
      </c>
      <c r="B11191" s="13" t="s">
        <v>26286</v>
      </c>
      <c r="C11191" s="14" t="s">
        <v>26287</v>
      </c>
      <c r="D11191" s="1" t="str">
        <f>IFERROR(__xludf.DUMMYFUNCTION("GOOGLETRANSLATE(A11191 , ""auto"", ""ar"")"),"هذا سؤال مهم")</f>
        <v>هذا سؤال مهم</v>
      </c>
    </row>
    <row r="11192" ht="15.75" customHeight="1">
      <c r="A11192" s="12" t="s">
        <v>26288</v>
      </c>
      <c r="B11192" s="13" t="s">
        <v>26289</v>
      </c>
      <c r="C11192" s="14" t="s">
        <v>26290</v>
      </c>
      <c r="D11192" s="1" t="str">
        <f>IFERROR(__xludf.DUMMYFUNCTION("GOOGLETRANSLATE(A11192 , ""auto"", ""ar"")"),"كم أتمنى أن تكون هنا")</f>
        <v>كم أتمنى أن تكون هنا</v>
      </c>
    </row>
    <row r="11193" ht="15.75" customHeight="1">
      <c r="A11193" s="12" t="s">
        <v>26291</v>
      </c>
      <c r="B11193" s="13" t="s">
        <v>26292</v>
      </c>
      <c r="C11193" s="14" t="s">
        <v>26293</v>
      </c>
      <c r="D11193" s="1" t="str">
        <f>IFERROR(__xludf.DUMMYFUNCTION("GOOGLETRANSLATE(A11193 , ""auto"", ""ar"")"),"ما الغاية من رحلتك؟")</f>
        <v>ما الغاية من رحلتك؟</v>
      </c>
    </row>
    <row r="11194" ht="15.75" customHeight="1">
      <c r="A11194" s="12" t="s">
        <v>26294</v>
      </c>
      <c r="B11194" s="13" t="s">
        <v>26295</v>
      </c>
      <c r="C11194" s="14" t="s">
        <v>26296</v>
      </c>
      <c r="D11194" s="1" t="str">
        <f>IFERROR(__xludf.DUMMYFUNCTION("GOOGLETRANSLATE(A11194 , ""auto"", ""ar"")"),"ربما سوف تمطر غدا")</f>
        <v>ربما سوف تمطر غدا</v>
      </c>
    </row>
    <row r="11195" ht="15.75" customHeight="1">
      <c r="A11195" s="12" t="s">
        <v>26297</v>
      </c>
      <c r="B11195" s="13" t="s">
        <v>26298</v>
      </c>
      <c r="C11195" s="14" t="s">
        <v>26299</v>
      </c>
      <c r="D11195" s="1" t="str">
        <f>IFERROR(__xludf.DUMMYFUNCTION("GOOGLETRANSLATE(A11195 , ""auto"", ""ar"")"),"قد تمطر غدا")</f>
        <v>قد تمطر غدا</v>
      </c>
    </row>
    <row r="11196" ht="15.75" customHeight="1">
      <c r="A11196" s="12" t="s">
        <v>26300</v>
      </c>
      <c r="B11196" s="13" t="s">
        <v>26301</v>
      </c>
      <c r="C11196" s="14" t="s">
        <v>26302</v>
      </c>
      <c r="D11196" s="1" t="str">
        <f>IFERROR(__xludf.DUMMYFUNCTION("GOOGLETRANSLATE(A11196 , ""auto"", ""ar"")"),"الطعام رائع")</f>
        <v>الطعام رائع</v>
      </c>
    </row>
    <row r="11197" ht="15.75" customHeight="1">
      <c r="A11197" s="12" t="s">
        <v>26303</v>
      </c>
      <c r="B11197" s="13" t="s">
        <v>26304</v>
      </c>
      <c r="C11197" s="14" t="s">
        <v>26305</v>
      </c>
      <c r="D11197" s="1" t="str">
        <f>IFERROR(__xludf.DUMMYFUNCTION("GOOGLETRANSLATE(A11197 , ""auto"", ""ar"")"),"مجرد الاستلقاء على الشاطئ")</f>
        <v>مجرد الاستلقاء على الشاطئ</v>
      </c>
    </row>
    <row r="11198" ht="15.75" customHeight="1">
      <c r="A11198" s="12" t="s">
        <v>26306</v>
      </c>
      <c r="B11198" s="13" t="s">
        <v>26307</v>
      </c>
      <c r="C11198" s="14" t="s">
        <v>26308</v>
      </c>
      <c r="D11198" s="1" t="str">
        <f>IFERROR(__xludf.DUMMYFUNCTION("GOOGLETRANSLATE(A11198 , ""auto"", ""ar"")"),"هذه هي الحياة")</f>
        <v>هذه هي الحياة</v>
      </c>
    </row>
    <row r="11199" ht="15.75" customHeight="1">
      <c r="A11199" s="12" t="s">
        <v>26309</v>
      </c>
      <c r="B11199" s="13" t="s">
        <v>26310</v>
      </c>
      <c r="C11199" s="14" t="s">
        <v>26311</v>
      </c>
      <c r="D11199" s="1" t="str">
        <f>IFERROR(__xludf.DUMMYFUNCTION("GOOGLETRANSLATE(A11199 , ""auto"", ""ar"")"),"هذا ليس ما كنت أتوقعه")</f>
        <v>هذا ليس ما كنت أتوقعه</v>
      </c>
    </row>
    <row r="11200" ht="15.75" customHeight="1">
      <c r="A11200" s="12" t="s">
        <v>26312</v>
      </c>
      <c r="B11200" s="13" t="s">
        <v>26313</v>
      </c>
      <c r="C11200" s="14" t="s">
        <v>26314</v>
      </c>
      <c r="D11200" s="1" t="str">
        <f>IFERROR(__xludf.DUMMYFUNCTION("GOOGLETRANSLATE(A11200 , ""auto"", ""ar"")"),"لا يوجد شيء للقيام به")</f>
        <v>لا يوجد شيء للقيام به</v>
      </c>
    </row>
    <row r="11201" ht="15.75" customHeight="1">
      <c r="A11201" s="12" t="s">
        <v>26315</v>
      </c>
      <c r="B11201" s="13" t="s">
        <v>26316</v>
      </c>
      <c r="C11201" s="14" t="s">
        <v>26317</v>
      </c>
      <c r="D11201" s="1" t="str">
        <f>IFERROR(__xludf.DUMMYFUNCTION("GOOGLETRANSLATE(A11201 , ""auto"", ""ar"")"),"أفضل البقاء في المنزل")</f>
        <v>أفضل البقاء في المنزل</v>
      </c>
    </row>
    <row r="11202" ht="15.75" customHeight="1">
      <c r="A11202" s="12" t="s">
        <v>26318</v>
      </c>
      <c r="B11202" s="13" t="s">
        <v>26319</v>
      </c>
      <c r="C11202" s="14" t="s">
        <v>26320</v>
      </c>
      <c r="D11202" s="1" t="str">
        <f>IFERROR(__xludf.DUMMYFUNCTION("GOOGLETRANSLATE(A11202 , ""auto"", ""ar"")"),"ستكون بخير")</f>
        <v>ستكون بخير</v>
      </c>
    </row>
    <row r="11203" ht="15.75" customHeight="1">
      <c r="A11203" s="12" t="s">
        <v>26321</v>
      </c>
      <c r="B11203" s="13" t="s">
        <v>26322</v>
      </c>
      <c r="C11203" s="14" t="s">
        <v>26323</v>
      </c>
      <c r="D11203" s="1" t="str">
        <f>IFERROR(__xludf.DUMMYFUNCTION("GOOGLETRANSLATE(A11203 , ""auto"", ""ar"")"),"لا داعي للقلق")</f>
        <v>لا داعي للقلق</v>
      </c>
    </row>
    <row r="11204" ht="15.75" customHeight="1">
      <c r="A11204" s="12" t="s">
        <v>26324</v>
      </c>
      <c r="B11204" s="13" t="s">
        <v>26325</v>
      </c>
      <c r="C11204" s="14" t="s">
        <v>26326</v>
      </c>
      <c r="D11204" s="1" t="str">
        <f>IFERROR(__xludf.DUMMYFUNCTION("GOOGLETRANSLATE(A11204 , ""auto"", ""ar"")"),"نشأ بسرعة")</f>
        <v>نشأ بسرعة</v>
      </c>
    </row>
    <row r="11205" ht="15.75" customHeight="1">
      <c r="A11205" s="12" t="s">
        <v>26327</v>
      </c>
      <c r="B11205" s="13" t="s">
        <v>26328</v>
      </c>
      <c r="C11205" s="14" t="s">
        <v>26329</v>
      </c>
      <c r="D11205" s="1" t="str">
        <f>IFERROR(__xludf.DUMMYFUNCTION("GOOGLETRANSLATE(A11205 , ""auto"", ""ar"")"),"بالطبع لا")</f>
        <v>بالطبع لا</v>
      </c>
    </row>
    <row r="11206" ht="15.75" customHeight="1">
      <c r="A11206" s="12" t="s">
        <v>26330</v>
      </c>
      <c r="B11206" s="13" t="s">
        <v>26331</v>
      </c>
      <c r="C11206" s="14" t="s">
        <v>26332</v>
      </c>
      <c r="D11206" s="1" t="str">
        <f>IFERROR(__xludf.DUMMYFUNCTION("GOOGLETRANSLATE(A11206 , ""auto"", ""ar"")"),"لا، ولكن شكرا للسؤال")</f>
        <v>لا، ولكن شكرا للسؤال</v>
      </c>
    </row>
    <row r="11207" ht="15.75" customHeight="1">
      <c r="A11207" s="12" t="s">
        <v>26333</v>
      </c>
      <c r="B11207" s="13" t="s">
        <v>26334</v>
      </c>
      <c r="C11207" s="14" t="s">
        <v>26335</v>
      </c>
      <c r="D11207" s="1" t="str">
        <f>IFERROR(__xludf.DUMMYFUNCTION("GOOGLETRANSLATE(A11207 , ""auto"", ""ar"")"),"أتذكره جيدًا")</f>
        <v>أتذكره جيدًا</v>
      </c>
    </row>
    <row r="11208" ht="15.75" customHeight="1">
      <c r="A11208" s="12" t="s">
        <v>26336</v>
      </c>
      <c r="B11208" s="13" t="s">
        <v>26337</v>
      </c>
      <c r="C11208" s="14" t="s">
        <v>26338</v>
      </c>
      <c r="D11208" s="1" t="str">
        <f>IFERROR(__xludf.DUMMYFUNCTION("GOOGLETRANSLATE(A11208 , ""auto"", ""ar"")"),"لن أنسى أبدا")</f>
        <v>لن أنسى أبدا</v>
      </c>
    </row>
    <row r="11209" ht="15.75" customHeight="1">
      <c r="A11209" s="12" t="s">
        <v>26339</v>
      </c>
      <c r="B11209" s="13" t="s">
        <v>26340</v>
      </c>
      <c r="C11209" s="14" t="s">
        <v>26341</v>
      </c>
      <c r="D11209" s="1" t="str">
        <f>IFERROR(__xludf.DUMMYFUNCTION("GOOGLETRANSLATE(A11209 , ""auto"", ""ar"")"),"انها على طرف لساني")</f>
        <v>انها على طرف لساني</v>
      </c>
    </row>
    <row r="11210" ht="15.75" customHeight="1">
      <c r="A11210" s="12" t="s">
        <v>26342</v>
      </c>
      <c r="B11210" s="13" t="s">
        <v>26343</v>
      </c>
      <c r="C11210" s="14" t="s">
        <v>26344</v>
      </c>
      <c r="D11210" s="1" t="str">
        <f>IFERROR(__xludf.DUMMYFUNCTION("GOOGLETRANSLATE(A11210 , ""auto"", ""ar"")"),"أتمنى ألا تنسى")</f>
        <v>أتمنى ألا تنسى</v>
      </c>
    </row>
    <row r="11211" ht="15.75" customHeight="1">
      <c r="A11211" s="12" t="s">
        <v>26345</v>
      </c>
      <c r="B11211" s="13" t="s">
        <v>26346</v>
      </c>
      <c r="C11211" s="14" t="s">
        <v>26347</v>
      </c>
      <c r="D11211" s="1" t="str">
        <f>IFERROR(__xludf.DUMMYFUNCTION("GOOGLETRANSLATE(A11211 , ""auto"", ""ar"")"),"وداعا الآن")</f>
        <v>وداعا الآن</v>
      </c>
    </row>
    <row r="11212" ht="15.75" customHeight="1">
      <c r="A11212" s="12" t="s">
        <v>9410</v>
      </c>
      <c r="B11212" s="13" t="s">
        <v>26348</v>
      </c>
      <c r="C11212" s="14" t="s">
        <v>26349</v>
      </c>
      <c r="D11212" s="1" t="str">
        <f>IFERROR(__xludf.DUMMYFUNCTION("GOOGLETRANSLATE(A11212 , ""auto"", ""ar"")"),"اراك قريبا")</f>
        <v>اراك قريبا</v>
      </c>
    </row>
    <row r="11213" ht="15.75" customHeight="1">
      <c r="A11213" s="12" t="s">
        <v>9406</v>
      </c>
      <c r="B11213" s="13" t="s">
        <v>26350</v>
      </c>
      <c r="C11213" s="14" t="s">
        <v>26351</v>
      </c>
      <c r="D11213" s="1" t="str">
        <f>IFERROR(__xludf.DUMMYFUNCTION("GOOGLETRANSLATE(A11213 , ""auto"", ""ar"")"),"طاب مساؤك")</f>
        <v>طاب مساؤك</v>
      </c>
    </row>
    <row r="11214" ht="15.75" customHeight="1">
      <c r="A11214" s="12" t="s">
        <v>26352</v>
      </c>
      <c r="B11214" s="13" t="s">
        <v>26353</v>
      </c>
      <c r="C11214" s="14" t="s">
        <v>26354</v>
      </c>
      <c r="D11214" s="1" t="str">
        <f>IFERROR(__xludf.DUMMYFUNCTION("GOOGLETRANSLATE(A11214 , ""auto"", ""ar"")"),"في كلمة واحدة")</f>
        <v>في كلمة واحدة</v>
      </c>
    </row>
    <row r="11215" ht="15.75" customHeight="1">
      <c r="A11215" s="12" t="s">
        <v>26355</v>
      </c>
      <c r="B11215" s="13" t="s">
        <v>26356</v>
      </c>
      <c r="C11215" s="14" t="s">
        <v>26357</v>
      </c>
      <c r="D11215" s="1" t="str">
        <f>IFERROR(__xludf.DUMMYFUNCTION("GOOGLETRANSLATE(A11215 , ""auto"", ""ar"")"),"انها ليست سهلة جدا")</f>
        <v>انها ليست سهلة جدا</v>
      </c>
    </row>
    <row r="11216" ht="15.75" customHeight="1">
      <c r="A11216" s="12" t="s">
        <v>26358</v>
      </c>
      <c r="B11216" s="13" t="s">
        <v>26359</v>
      </c>
      <c r="C11216" s="14" t="s">
        <v>26360</v>
      </c>
      <c r="D11216" s="1" t="str">
        <f>IFERROR(__xludf.DUMMYFUNCTION("GOOGLETRANSLATE(A11216 , ""auto"", ""ar"")"),"يمكنني أن أفعل ذلك بعيني مغلقة")</f>
        <v>يمكنني أن أفعل ذلك بعيني مغلقة</v>
      </c>
    </row>
    <row r="11217" ht="15.75" customHeight="1">
      <c r="A11217" s="12" t="s">
        <v>26361</v>
      </c>
      <c r="B11217" s="13" t="s">
        <v>26362</v>
      </c>
      <c r="C11217" s="14" t="s">
        <v>26363</v>
      </c>
      <c r="D11217" s="1" t="str">
        <f>IFERROR(__xludf.DUMMYFUNCTION("GOOGLETRANSLATE(A11217 , ""auto"", ""ar"")"),"اي شخص يستطيع فعله")</f>
        <v>اي شخص يستطيع فعله</v>
      </c>
    </row>
    <row r="11218" ht="15.75" customHeight="1">
      <c r="A11218" s="12" t="s">
        <v>26364</v>
      </c>
      <c r="B11218" s="13" t="s">
        <v>26365</v>
      </c>
      <c r="C11218" s="14" t="s">
        <v>26366</v>
      </c>
      <c r="D11218" s="1" t="str">
        <f>IFERROR(__xludf.DUMMYFUNCTION("GOOGLETRANSLATE(A11218 , ""auto"", ""ar"")"),"أنا مندهش جدا")</f>
        <v>أنا مندهش جدا</v>
      </c>
    </row>
    <row r="11219" ht="15.75" customHeight="1">
      <c r="A11219" s="12" t="s">
        <v>26367</v>
      </c>
      <c r="B11219" s="13" t="s">
        <v>26368</v>
      </c>
      <c r="C11219" s="14" t="s">
        <v>26369</v>
      </c>
      <c r="D11219" s="1" t="str">
        <f>IFERROR(__xludf.DUMMYFUNCTION("GOOGLETRANSLATE(A11219 , ""auto"", ""ar"")"),"إنه أفضل ما رأيته على الإطلاق")</f>
        <v>إنه أفضل ما رأيته على الإطلاق</v>
      </c>
    </row>
    <row r="11220" ht="15.75" customHeight="1">
      <c r="A11220" s="12" t="s">
        <v>26370</v>
      </c>
      <c r="B11220" s="13" t="s">
        <v>26371</v>
      </c>
      <c r="C11220" s="14" t="s">
        <v>26372</v>
      </c>
      <c r="D11220" s="1" t="str">
        <f>IFERROR(__xludf.DUMMYFUNCTION("GOOGLETRANSLATE(A11220 , ""auto"", ""ar"")"),"ليس جيدا بما يكفي")</f>
        <v>ليس جيدا بما يكفي</v>
      </c>
    </row>
    <row r="11221" ht="15.75" customHeight="1">
      <c r="A11221" s="12" t="s">
        <v>26373</v>
      </c>
      <c r="B11221" s="13" t="s">
        <v>26374</v>
      </c>
      <c r="C11221" s="14" t="s">
        <v>26375</v>
      </c>
      <c r="D11221" s="1" t="str">
        <f>IFERROR(__xludf.DUMMYFUNCTION("GOOGLETRANSLATE(A11221 , ""auto"", ""ar"")"),"ليس عظيما جدا")</f>
        <v>ليس عظيما جدا</v>
      </c>
    </row>
    <row r="11222" ht="15.75" customHeight="1">
      <c r="A11222" s="12" t="s">
        <v>26376</v>
      </c>
      <c r="B11222" s="13" t="s">
        <v>26377</v>
      </c>
      <c r="C11222" s="14" t="s">
        <v>26378</v>
      </c>
      <c r="D11222" s="1" t="str">
        <f>IFERROR(__xludf.DUMMYFUNCTION("GOOGLETRANSLATE(A11222 , ""auto"", ""ar"")"),"هذه قصة مريب")</f>
        <v>هذه قصة مريب</v>
      </c>
    </row>
    <row r="11223" ht="15.75" customHeight="1">
      <c r="A11223" s="12" t="s">
        <v>26376</v>
      </c>
      <c r="B11223" s="13" t="s">
        <v>26379</v>
      </c>
      <c r="C11223" s="14" t="s">
        <v>26380</v>
      </c>
      <c r="D11223" s="1" t="str">
        <f>IFERROR(__xludf.DUMMYFUNCTION("GOOGLETRANSLATE(A11223 , ""auto"", ""ar"")"),"هذه قصة مريب")</f>
        <v>هذه قصة مريب</v>
      </c>
    </row>
    <row r="11224" ht="15.75" customHeight="1">
      <c r="A11224" s="12" t="s">
        <v>26381</v>
      </c>
      <c r="B11224" s="13" t="s">
        <v>26382</v>
      </c>
      <c r="C11224" s="14" t="s">
        <v>26383</v>
      </c>
      <c r="D11224" s="1" t="str">
        <f>IFERROR(__xludf.DUMMYFUNCTION("GOOGLETRANSLATE(A11224 , ""auto"", ""ar"")"),"نصف الحقيقة")</f>
        <v>نصف الحقيقة</v>
      </c>
    </row>
    <row r="11225" ht="15.75" customHeight="1">
      <c r="A11225" s="12" t="s">
        <v>26384</v>
      </c>
      <c r="B11225" s="13" t="s">
        <v>26385</v>
      </c>
      <c r="C11225" s="14" t="s">
        <v>26386</v>
      </c>
      <c r="D11225" s="1" t="str">
        <f>IFERROR(__xludf.DUMMYFUNCTION("GOOGLETRANSLATE(A11225 , ""auto"", ""ar"")"),"لا تسألني")</f>
        <v>لا تسألني</v>
      </c>
    </row>
    <row r="11226" ht="15.75" customHeight="1">
      <c r="A11226" s="12" t="s">
        <v>26387</v>
      </c>
      <c r="B11226" s="13" t="s">
        <v>26388</v>
      </c>
      <c r="C11226" s="14" t="s">
        <v>26389</v>
      </c>
      <c r="D11226" s="1" t="str">
        <f>IFERROR(__xludf.DUMMYFUNCTION("GOOGLETRANSLATE(A11226 , ""auto"", ""ar"")"),"كيف بحق الجحيم يجب أن أعرف؟")</f>
        <v>كيف بحق الجحيم يجب أن أعرف؟</v>
      </c>
    </row>
    <row r="11227" ht="15.75" customHeight="1">
      <c r="A11227" s="12" t="s">
        <v>9238</v>
      </c>
      <c r="B11227" s="13" t="s">
        <v>26390</v>
      </c>
      <c r="C11227" s="14" t="s">
        <v>26391</v>
      </c>
      <c r="D11227" s="1" t="str">
        <f>IFERROR(__xludf.DUMMYFUNCTION("GOOGLETRANSLATE(A11227 , ""auto"", ""ar"")"),"ما أخبارك؟")</f>
        <v>ما أخبارك؟</v>
      </c>
    </row>
    <row r="11228" ht="15.75" customHeight="1">
      <c r="A11228" s="12" t="s">
        <v>26392</v>
      </c>
      <c r="B11228" s="13" t="s">
        <v>26393</v>
      </c>
      <c r="C11228" s="14" t="s">
        <v>26394</v>
      </c>
      <c r="D11228" s="1" t="str">
        <f>IFERROR(__xludf.DUMMYFUNCTION("GOOGLETRANSLATE(A11228 , ""auto"", ""ar"")"),"تنظر قليلاً")</f>
        <v>تنظر قليلاً</v>
      </c>
    </row>
    <row r="11229" ht="15.75" customHeight="1">
      <c r="A11229" s="12" t="s">
        <v>26395</v>
      </c>
      <c r="B11229" s="13" t="s">
        <v>26396</v>
      </c>
      <c r="C11229" s="14" t="s">
        <v>26397</v>
      </c>
      <c r="D11229" s="1" t="str">
        <f>IFERROR(__xludf.DUMMYFUNCTION("GOOGLETRANSLATE(A11229 , ""auto"", ""ar"")"),"أين يمكنني أن أجد الشاي؟")</f>
        <v>أين يمكنني أن أجد الشاي؟</v>
      </c>
    </row>
    <row r="11230" ht="15.75" customHeight="1">
      <c r="A11230" s="12" t="s">
        <v>26398</v>
      </c>
      <c r="B11230" s="13" t="s">
        <v>26399</v>
      </c>
      <c r="C11230" s="14" t="s">
        <v>26400</v>
      </c>
      <c r="D11230" s="1" t="str">
        <f>IFERROR(__xludf.DUMMYFUNCTION("GOOGLETRANSLATE(A11230 , ""auto"", ""ar"")"),"إنه خارج المخزون")</f>
        <v>إنه خارج المخزون</v>
      </c>
    </row>
    <row r="11231" ht="15.75" customHeight="1">
      <c r="A11231" s="12" t="s">
        <v>26401</v>
      </c>
      <c r="B11231" s="13" t="s">
        <v>26402</v>
      </c>
      <c r="C11231" s="14" t="s">
        <v>26403</v>
      </c>
      <c r="D11231" s="1" t="str">
        <f>IFERROR(__xludf.DUMMYFUNCTION("GOOGLETRANSLATE(A11231 , ""auto"", ""ar"")"),"كيف تريد الدفع؟")</f>
        <v>كيف تريد الدفع؟</v>
      </c>
    </row>
    <row r="11232" ht="15.75" customHeight="1">
      <c r="A11232" s="12" t="s">
        <v>26404</v>
      </c>
      <c r="B11232" s="13" t="s">
        <v>26405</v>
      </c>
      <c r="C11232" s="14" t="s">
        <v>26406</v>
      </c>
      <c r="D11232" s="1" t="str">
        <f>IFERROR(__xludf.DUMMYFUNCTION("GOOGLETRANSLATE(A11232 , ""auto"", ""ar"")"),"هل ترغب في استلام؟")</f>
        <v>هل ترغب في استلام؟</v>
      </c>
    </row>
    <row r="11233" ht="15.75" customHeight="1">
      <c r="A11233" s="12" t="s">
        <v>26407</v>
      </c>
      <c r="B11233" s="13" t="s">
        <v>26408</v>
      </c>
      <c r="C11233" s="14" t="s">
        <v>26409</v>
      </c>
      <c r="D11233" s="1" t="str">
        <f>IFERROR(__xludf.DUMMYFUNCTION("GOOGLETRANSLATE(A11233 , ""auto"", ""ar"")"),"هذا هو آخر شيء توقعته")</f>
        <v>هذا هو آخر شيء توقعته</v>
      </c>
    </row>
    <row r="11234" ht="15.75" customHeight="1">
      <c r="A11234" s="12" t="s">
        <v>26410</v>
      </c>
      <c r="B11234" s="13" t="s">
        <v>26411</v>
      </c>
      <c r="C11234" s="14" t="s">
        <v>26412</v>
      </c>
      <c r="D11234" s="1" t="str">
        <f>IFERROR(__xludf.DUMMYFUNCTION("GOOGLETRANSLATE(A11234 , ""auto"", ""ar"")"),"لا يزال طفلاً")</f>
        <v>لا يزال طفلاً</v>
      </c>
    </row>
    <row r="11235" ht="15.75" customHeight="1">
      <c r="A11235" s="12" t="s">
        <v>26413</v>
      </c>
      <c r="B11235" s="13" t="s">
        <v>26414</v>
      </c>
      <c r="C11235" s="14" t="s">
        <v>26415</v>
      </c>
      <c r="D11235" s="1" t="str">
        <f>IFERROR(__xludf.DUMMYFUNCTION("GOOGLETRANSLATE(A11235 , ""auto"", ""ar"")"),"اعجبتني هذه الفكرة")</f>
        <v>اعجبتني هذه الفكرة</v>
      </c>
    </row>
    <row r="11236" ht="15.75" customHeight="1">
      <c r="A11236" s="12" t="s">
        <v>26416</v>
      </c>
      <c r="B11236" s="13" t="s">
        <v>26417</v>
      </c>
      <c r="C11236" s="14" t="s">
        <v>26418</v>
      </c>
      <c r="D11236" s="1" t="str">
        <f>IFERROR(__xludf.DUMMYFUNCTION("GOOGLETRANSLATE(A11236 , ""auto"", ""ar"")"),"أتعلم؟")</f>
        <v>أتعلم؟</v>
      </c>
    </row>
    <row r="11237" ht="15.75" customHeight="1">
      <c r="A11237" s="12" t="s">
        <v>26419</v>
      </c>
      <c r="B11237" s="13" t="s">
        <v>26420</v>
      </c>
      <c r="C11237" s="14" t="s">
        <v>26421</v>
      </c>
      <c r="D11237" s="1" t="str">
        <f>IFERROR(__xludf.DUMMYFUNCTION("GOOGLETRANSLATE(A11237 , ""auto"", ""ar"")"),"إنها تبدأ")</f>
        <v>إنها تبدأ</v>
      </c>
    </row>
    <row r="11238" ht="15.75" customHeight="1">
      <c r="A11238" s="12" t="s">
        <v>26422</v>
      </c>
      <c r="B11238" s="13" t="s">
        <v>26423</v>
      </c>
      <c r="C11238" s="14" t="s">
        <v>26424</v>
      </c>
      <c r="D11238" s="1" t="str">
        <f>IFERROR(__xludf.DUMMYFUNCTION("GOOGLETRANSLATE(A11238 , ""auto"", ""ar"")"),"أين جهاز التحكم عن بعد؟")</f>
        <v>أين جهاز التحكم عن بعد؟</v>
      </c>
    </row>
    <row r="11239" ht="15.75" customHeight="1">
      <c r="A11239" s="12" t="s">
        <v>26425</v>
      </c>
      <c r="B11239" s="13" t="s">
        <v>26426</v>
      </c>
      <c r="C11239" s="14" t="s">
        <v>26427</v>
      </c>
      <c r="D11239" s="1" t="str">
        <f>IFERROR(__xludf.DUMMYFUNCTION("GOOGLETRANSLATE(A11239 , ""auto"", ""ar"")"),"إنه تكرار")</f>
        <v>إنه تكرار</v>
      </c>
    </row>
    <row r="11240" ht="15.75" customHeight="1">
      <c r="A11240" s="12" t="s">
        <v>26428</v>
      </c>
      <c r="B11240" s="13" t="s">
        <v>26429</v>
      </c>
      <c r="C11240" s="14" t="s">
        <v>26430</v>
      </c>
      <c r="D11240" s="1" t="str">
        <f>IFERROR(__xludf.DUMMYFUNCTION("GOOGLETRANSLATE(A11240 , ""auto"", ""ar"")"),"أنت تراقب؟")</f>
        <v>أنت تراقب؟</v>
      </c>
    </row>
    <row r="11241" ht="15.75" customHeight="1">
      <c r="A11241" s="12" t="s">
        <v>26431</v>
      </c>
      <c r="B11241" s="13" t="s">
        <v>26432</v>
      </c>
      <c r="C11241" s="14" t="s">
        <v>26433</v>
      </c>
      <c r="D11241" s="1" t="str">
        <f>IFERROR(__xludf.DUMMYFUNCTION("GOOGLETRANSLATE(A11241 , ""auto"", ""ar"")"),"هل يمكنني تسليمها؟")</f>
        <v>هل يمكنني تسليمها؟</v>
      </c>
    </row>
    <row r="11242" ht="15.75" customHeight="1">
      <c r="A11242" s="12" t="s">
        <v>26434</v>
      </c>
      <c r="B11242" s="13" t="s">
        <v>26435</v>
      </c>
      <c r="C11242" s="14" t="s">
        <v>26436</v>
      </c>
      <c r="D11242" s="1" t="str">
        <f>IFERROR(__xludf.DUMMYFUNCTION("GOOGLETRANSLATE(A11242 , ""auto"", ""ar"")"),"برنامجي يعمل في دقيقة واحدة")</f>
        <v>برنامجي يعمل في دقيقة واحدة</v>
      </c>
    </row>
    <row r="11243" ht="15.75" customHeight="1">
      <c r="A11243" s="12" t="s">
        <v>26437</v>
      </c>
      <c r="B11243" s="13" t="s">
        <v>26438</v>
      </c>
      <c r="C11243" s="14" t="s">
        <v>26439</v>
      </c>
      <c r="D11243" s="1" t="str">
        <f>IFERROR(__xludf.DUMMYFUNCTION("GOOGLETRANSLATE(A11243 , ""auto"", ""ar"")"),"إنه أقل من الصفر")</f>
        <v>إنه أقل من الصفر</v>
      </c>
    </row>
    <row r="11244" ht="15.75" customHeight="1">
      <c r="A11244" s="12" t="s">
        <v>26440</v>
      </c>
      <c r="B11244" s="13" t="s">
        <v>26441</v>
      </c>
      <c r="C11244" s="14" t="s">
        <v>26442</v>
      </c>
      <c r="D11244" s="1" t="str">
        <f>IFERROR(__xludf.DUMMYFUNCTION("GOOGLETRANSLATE(A11244 , ""auto"", ""ar"")"),"ماذا فعلت الليلة الماضية؟")</f>
        <v>ماذا فعلت الليلة الماضية؟</v>
      </c>
    </row>
    <row r="11245" ht="15.75" customHeight="1">
      <c r="A11245" s="12" t="s">
        <v>26443</v>
      </c>
      <c r="B11245" s="13" t="s">
        <v>26444</v>
      </c>
      <c r="C11245" s="14" t="s">
        <v>26445</v>
      </c>
      <c r="D11245" s="1" t="str">
        <f>IFERROR(__xludf.DUMMYFUNCTION("GOOGLETRANSLATE(A11245 , ""auto"", ""ar"")"),"هل ذهبت للخارج الليلة الماضية؟")</f>
        <v>هل ذهبت للخارج الليلة الماضية؟</v>
      </c>
    </row>
    <row r="11246" ht="15.75" customHeight="1">
      <c r="A11246" s="12" t="s">
        <v>26446</v>
      </c>
      <c r="B11246" s="13" t="s">
        <v>26447</v>
      </c>
      <c r="C11246" s="14" t="s">
        <v>26448</v>
      </c>
      <c r="D11246" s="1" t="str">
        <f>IFERROR(__xludf.DUMMYFUNCTION("GOOGLETRANSLATE(A11246 , ""auto"", ""ar"")"),"القهوة هي فقط ما أحتاجه.")</f>
        <v>القهوة هي فقط ما أحتاجه.</v>
      </c>
    </row>
    <row r="11247" ht="15.75" customHeight="1">
      <c r="A11247" s="12" t="s">
        <v>10149</v>
      </c>
      <c r="B11247" s="13" t="s">
        <v>26449</v>
      </c>
      <c r="C11247" s="14" t="s">
        <v>26450</v>
      </c>
      <c r="D11247" s="1" t="str">
        <f>IFERROR(__xludf.DUMMYFUNCTION("GOOGLETRANSLATE(A11247 , ""auto"", ""ar"")"),"دعنى ارى")</f>
        <v>دعنى ارى</v>
      </c>
    </row>
    <row r="11248" ht="15.75" customHeight="1">
      <c r="A11248" s="12" t="s">
        <v>26451</v>
      </c>
      <c r="B11248" s="13" t="s">
        <v>26452</v>
      </c>
      <c r="C11248" s="14" t="s">
        <v>26453</v>
      </c>
      <c r="D11248" s="1" t="str">
        <f>IFERROR(__xludf.DUMMYFUNCTION("GOOGLETRANSLATE(A11248 , ""auto"", ""ar"")"),"كيف يجب أن أضعه؟")</f>
        <v>كيف يجب أن أضعه؟</v>
      </c>
    </row>
    <row r="11249" ht="15.75" customHeight="1">
      <c r="A11249" s="12" t="s">
        <v>26454</v>
      </c>
      <c r="B11249" s="13" t="s">
        <v>26455</v>
      </c>
      <c r="C11249" s="14" t="s">
        <v>3502</v>
      </c>
      <c r="D11249" s="1" t="str">
        <f>IFERROR(__xludf.DUMMYFUNCTION("GOOGLETRANSLATE(A11249 , ""auto"", ""ar"")"),"يسمع")</f>
        <v>يسمع</v>
      </c>
    </row>
    <row r="11250" ht="15.75" customHeight="1">
      <c r="A11250" s="12" t="s">
        <v>26456</v>
      </c>
      <c r="B11250" s="13" t="s">
        <v>26457</v>
      </c>
      <c r="C11250" s="14" t="s">
        <v>26458</v>
      </c>
      <c r="D11250" s="1" t="str">
        <f>IFERROR(__xludf.DUMMYFUNCTION("GOOGLETRANSLATE(A11250 , ""auto"", ""ar"")"),"هل انت مشغول غدا؟")</f>
        <v>هل انت مشغول غدا؟</v>
      </c>
    </row>
    <row r="11251" ht="15.75" customHeight="1">
      <c r="A11251" s="12" t="s">
        <v>26459</v>
      </c>
      <c r="B11251" s="13" t="s">
        <v>26460</v>
      </c>
      <c r="C11251" s="14" t="s">
        <v>26461</v>
      </c>
      <c r="D11251" s="1" t="str">
        <f>IFERROR(__xludf.DUMMYFUNCTION("GOOGLETRANSLATE(A11251 , ""auto"", ""ar"")"),"تحريف ذراعه")</f>
        <v>تحريف ذراعه</v>
      </c>
    </row>
    <row r="11252" ht="15.75" customHeight="1">
      <c r="A11252" s="12" t="s">
        <v>26462</v>
      </c>
      <c r="B11252" s="13" t="s">
        <v>26463</v>
      </c>
      <c r="C11252" s="14" t="s">
        <v>26464</v>
      </c>
      <c r="D11252" s="1" t="str">
        <f>IFERROR(__xludf.DUMMYFUNCTION("GOOGLETRANSLATE(A11252 , ""auto"", ""ar"")"),"طعنني في الظهر")</f>
        <v>طعنني في الظهر</v>
      </c>
    </row>
    <row r="11253" ht="15.75" customHeight="1">
      <c r="A11253" s="12" t="s">
        <v>26465</v>
      </c>
      <c r="B11253" s="13" t="s">
        <v>26466</v>
      </c>
      <c r="C11253" s="14" t="s">
        <v>26467</v>
      </c>
      <c r="D11253" s="1" t="str">
        <f>IFERROR(__xludf.DUMMYFUNCTION("GOOGLETRANSLATE(A11253 , ""auto"", ""ar"")"),"واجه الموسيقى")</f>
        <v>واجه الموسيقى</v>
      </c>
    </row>
    <row r="11254" ht="15.75" customHeight="1">
      <c r="A11254" s="12" t="s">
        <v>26468</v>
      </c>
      <c r="B11254" s="13" t="s">
        <v>17681</v>
      </c>
      <c r="C11254" s="14" t="s">
        <v>17682</v>
      </c>
      <c r="D11254" s="1" t="str">
        <f>IFERROR(__xludf.DUMMYFUNCTION("GOOGLETRANSLATE(A11254 , ""auto"", ""ar"")"),"أنا تحت الطقس")</f>
        <v>أنا تحت الطقس</v>
      </c>
    </row>
    <row r="11255" ht="15.75" customHeight="1">
      <c r="A11255" s="12" t="s">
        <v>26469</v>
      </c>
      <c r="B11255" s="13" t="s">
        <v>26470</v>
      </c>
      <c r="C11255" s="14" t="s">
        <v>26471</v>
      </c>
      <c r="D11255" s="1" t="str">
        <f>IFERROR(__xludf.DUMMYFUNCTION("GOOGLETRANSLATE(A11255 , ""auto"", ""ar"")"),"نحن بحاجة إلى وضع خطة")</f>
        <v>نحن بحاجة إلى وضع خطة</v>
      </c>
    </row>
    <row r="11256" ht="15.75" customHeight="1">
      <c r="A11256" s="12" t="s">
        <v>26472</v>
      </c>
      <c r="B11256" s="13" t="s">
        <v>26473</v>
      </c>
      <c r="C11256" s="14" t="s">
        <v>26474</v>
      </c>
      <c r="D11256" s="1" t="str">
        <f>IFERROR(__xludf.DUMMYFUNCTION("GOOGLETRANSLATE(A11256 , ""auto"", ""ar"")"),"لن أفعل ذلك لو كنت أنت")</f>
        <v>لن أفعل ذلك لو كنت أنت</v>
      </c>
    </row>
    <row r="11257" ht="15.75" customHeight="1">
      <c r="A11257" s="12" t="s">
        <v>26475</v>
      </c>
      <c r="B11257" s="13" t="s">
        <v>26476</v>
      </c>
      <c r="C11257" s="14" t="s">
        <v>26477</v>
      </c>
      <c r="D11257" s="1" t="str">
        <f>IFERROR(__xludf.DUMMYFUNCTION("GOOGLETRANSLATE(A11257 , ""auto"", ""ar"")"),"يمكن ان يكون افضل")</f>
        <v>يمكن ان يكون افضل</v>
      </c>
    </row>
    <row r="11258" ht="15.75" customHeight="1">
      <c r="A11258" s="12" t="s">
        <v>26478</v>
      </c>
      <c r="B11258" s="13" t="s">
        <v>26479</v>
      </c>
      <c r="C11258" s="14" t="s">
        <v>26480</v>
      </c>
      <c r="D11258" s="1" t="str">
        <f>IFERROR(__xludf.DUMMYFUNCTION("GOOGLETRANSLATE(A11258 , ""auto"", ""ar"")"),"كنت مشغولا")</f>
        <v>كنت مشغولا</v>
      </c>
    </row>
    <row r="11259" ht="15.75" customHeight="1">
      <c r="A11259" s="12" t="s">
        <v>26481</v>
      </c>
      <c r="B11259" s="13" t="s">
        <v>26482</v>
      </c>
      <c r="C11259" s="14" t="s">
        <v>26483</v>
      </c>
      <c r="D11259" s="1" t="str">
        <f>IFERROR(__xludf.DUMMYFUNCTION("GOOGLETRANSLATE(A11259 , ""auto"", ""ar"")"),"مثل البارحة")</f>
        <v>مثل البارحة</v>
      </c>
    </row>
    <row r="11260" ht="15.75" customHeight="1">
      <c r="A11260" s="12" t="s">
        <v>26484</v>
      </c>
      <c r="B11260" s="13" t="s">
        <v>26485</v>
      </c>
      <c r="C11260" s="14" t="s">
        <v>26486</v>
      </c>
      <c r="D11260" s="1" t="str">
        <f>IFERROR(__xludf.DUMMYFUNCTION("GOOGLETRANSLATE(A11260 , ""auto"", ""ar"")"),"أنا مدين لك")</f>
        <v>أنا مدين لك</v>
      </c>
    </row>
    <row r="11261" ht="15.75" customHeight="1">
      <c r="A11261" s="12" t="s">
        <v>23329</v>
      </c>
      <c r="B11261" s="13" t="s">
        <v>23330</v>
      </c>
      <c r="C11261" s="14" t="s">
        <v>23331</v>
      </c>
      <c r="D11261" s="1" t="str">
        <f>IFERROR(__xludf.DUMMYFUNCTION("GOOGLETRANSLATE(A11261 , ""auto"", ""ar"")"),"كان أقل ما يمكنني فعله")</f>
        <v>كان أقل ما يمكنني فعله</v>
      </c>
    </row>
    <row r="11262" ht="15.75" customHeight="1">
      <c r="A11262" s="12" t="s">
        <v>26487</v>
      </c>
      <c r="B11262" s="13" t="s">
        <v>26488</v>
      </c>
      <c r="C11262" s="14" t="s">
        <v>26489</v>
      </c>
      <c r="D11262" s="1" t="str">
        <f>IFERROR(__xludf.DUMMYFUNCTION("GOOGLETRANSLATE(A11262 , ""auto"", ""ar"")"),"سعيد للمساعدة")</f>
        <v>سعيد للمساعدة</v>
      </c>
    </row>
    <row r="11263" ht="15.75" customHeight="1">
      <c r="A11263" s="12" t="s">
        <v>26490</v>
      </c>
      <c r="B11263" s="13" t="s">
        <v>26491</v>
      </c>
      <c r="C11263" s="14" t="s">
        <v>26492</v>
      </c>
      <c r="D11263" s="1" t="str">
        <f>IFERROR(__xludf.DUMMYFUNCTION("GOOGLETRANSLATE(A11263 , ""auto"", ""ar"")"),"يحدث ذلك")</f>
        <v>يحدث ذلك</v>
      </c>
    </row>
    <row r="11264" ht="15.75" customHeight="1">
      <c r="A11264" s="12" t="s">
        <v>26493</v>
      </c>
      <c r="B11264" s="13" t="s">
        <v>26494</v>
      </c>
      <c r="C11264" s="14" t="s">
        <v>26495</v>
      </c>
      <c r="D11264" s="1" t="str">
        <f>IFERROR(__xludf.DUMMYFUNCTION("GOOGLETRANSLATE(A11264 , ""auto"", ""ar"")"),"أنا أسامحكم")</f>
        <v>أنا أسامحكم</v>
      </c>
    </row>
    <row r="11265" ht="15.75" customHeight="1">
      <c r="A11265" s="12" t="s">
        <v>26496</v>
      </c>
      <c r="B11265" s="13" t="s">
        <v>26497</v>
      </c>
      <c r="C11265" s="14" t="s">
        <v>26498</v>
      </c>
      <c r="D11265" s="1" t="str">
        <f>IFERROR(__xludf.DUMMYFUNCTION("GOOGLETRANSLATE(A11265 , ""auto"", ""ar"")"),"أود مقابلة أمي")</f>
        <v>أود مقابلة أمي</v>
      </c>
    </row>
    <row r="11266" ht="15.75" customHeight="1">
      <c r="A11266" s="12" t="s">
        <v>26499</v>
      </c>
      <c r="B11266" s="13" t="s">
        <v>26500</v>
      </c>
      <c r="C11266" s="14" t="s">
        <v>26501</v>
      </c>
      <c r="D11266" s="1" t="str">
        <f>IFERROR(__xludf.DUMMYFUNCTION("GOOGLETRANSLATE(A11266 , ""auto"", ""ar"")"),"هل قابلت أخي؟")</f>
        <v>هل قابلت أخي؟</v>
      </c>
    </row>
    <row r="11267" ht="15.75" customHeight="1">
      <c r="A11267" s="12" t="s">
        <v>26502</v>
      </c>
      <c r="B11267" s="13" t="s">
        <v>26503</v>
      </c>
      <c r="C11267" s="14" t="s">
        <v>26504</v>
      </c>
      <c r="D11267" s="1" t="str">
        <f>IFERROR(__xludf.DUMMYFUNCTION("GOOGLETRANSLATE(A11267 , ""auto"", ""ar"")"),"مثله")</f>
        <v>مثله</v>
      </c>
    </row>
    <row r="11268" ht="15.75" customHeight="1">
      <c r="A11268" s="12" t="s">
        <v>26505</v>
      </c>
      <c r="B11268" s="13" t="s">
        <v>17477</v>
      </c>
      <c r="C11268" s="14" t="s">
        <v>17478</v>
      </c>
      <c r="D11268" s="1" t="str">
        <f>IFERROR(__xludf.DUMMYFUNCTION("GOOGLETRANSLATE(A11268 , ""auto"", ""ar"")"),"وأنت؟")</f>
        <v>وأنت؟</v>
      </c>
    </row>
    <row r="11269" ht="15.75" customHeight="1">
      <c r="A11269" s="12" t="s">
        <v>26506</v>
      </c>
      <c r="B11269" s="13" t="s">
        <v>26507</v>
      </c>
      <c r="C11269" s="14" t="s">
        <v>26508</v>
      </c>
      <c r="D11269" s="1" t="str">
        <f>IFERROR(__xludf.DUMMYFUNCTION("GOOGLETRANSLATE(A11269 , ""auto"", ""ar"")"),"لقد تأخرت")</f>
        <v>لقد تأخرت</v>
      </c>
    </row>
    <row r="11270" ht="15.75" customHeight="1">
      <c r="A11270" s="12" t="s">
        <v>26509</v>
      </c>
      <c r="B11270" s="13" t="s">
        <v>26510</v>
      </c>
      <c r="C11270" s="14" t="s">
        <v>26511</v>
      </c>
      <c r="D11270" s="1" t="str">
        <f>IFERROR(__xludf.DUMMYFUNCTION("GOOGLETRANSLATE(A11270 , ""auto"", ""ar"")"),"هل يمكنني التحدث مع رئيسك في العمل؟")</f>
        <v>هل يمكنني التحدث مع رئيسك في العمل؟</v>
      </c>
    </row>
    <row r="11271" ht="15.75" customHeight="1">
      <c r="A11271" s="12" t="s">
        <v>26512</v>
      </c>
      <c r="B11271" s="13" t="s">
        <v>26513</v>
      </c>
      <c r="C11271" s="14" t="s">
        <v>26514</v>
      </c>
      <c r="D11271" s="1" t="str">
        <f>IFERROR(__xludf.DUMMYFUNCTION("GOOGLETRANSLATE(A11271 , ""auto"", ""ar"")"),"هو ليس هنا")</f>
        <v>هو ليس هنا</v>
      </c>
    </row>
    <row r="11272" ht="15.75" customHeight="1">
      <c r="A11272" s="12" t="s">
        <v>26515</v>
      </c>
      <c r="B11272" s="13" t="s">
        <v>26516</v>
      </c>
      <c r="C11272" s="14" t="s">
        <v>26517</v>
      </c>
      <c r="D11272" s="1" t="str">
        <f>IFERROR(__xludf.DUMMYFUNCTION("GOOGLETRANSLATE(A11272 , ""auto"", ""ar"")"),"هل ترغب في ترك رسالة ؟")</f>
        <v>هل ترغب في ترك رسالة ؟</v>
      </c>
    </row>
    <row r="11273" ht="15.75" customHeight="1">
      <c r="A11273" s="12" t="s">
        <v>26518</v>
      </c>
      <c r="B11273" s="13" t="s">
        <v>26519</v>
      </c>
      <c r="C11273" s="14" t="s">
        <v>26520</v>
      </c>
      <c r="D11273" s="1" t="str">
        <f>IFERROR(__xludf.DUMMYFUNCTION("GOOGLETRANSLATE(A11273 , ""auto"", ""ar"")"),"هل يمكن أن تطلب منه الاتصال بي؟")</f>
        <v>هل يمكن أن تطلب منه الاتصال بي؟</v>
      </c>
    </row>
    <row r="11274" ht="15.75" customHeight="1">
      <c r="A11274" s="12" t="s">
        <v>26521</v>
      </c>
      <c r="B11274" s="13" t="s">
        <v>26522</v>
      </c>
      <c r="C11274" s="14" t="s">
        <v>26523</v>
      </c>
      <c r="D11274" s="1" t="str">
        <f>IFERROR(__xludf.DUMMYFUNCTION("GOOGLETRANSLATE(A11274 , ""auto"", ""ar"")"),"شكرا على الاتصال")</f>
        <v>شكرا على الاتصال</v>
      </c>
    </row>
    <row r="11275" ht="15.75" customHeight="1">
      <c r="A11275" s="12" t="s">
        <v>26524</v>
      </c>
      <c r="B11275" s="13" t="s">
        <v>26525</v>
      </c>
      <c r="C11275" s="14" t="s">
        <v>26526</v>
      </c>
      <c r="D11275" s="1" t="str">
        <f>IFERROR(__xludf.DUMMYFUNCTION("GOOGLETRANSLATE(A11275 , ""auto"", ""ar"")"),"كنت أتساءل")</f>
        <v>كنت أتساءل</v>
      </c>
    </row>
    <row r="11276" ht="15.75" customHeight="1">
      <c r="A11276" s="12" t="s">
        <v>26527</v>
      </c>
      <c r="B11276" s="13" t="s">
        <v>26528</v>
      </c>
      <c r="C11276" s="14" t="s">
        <v>26529</v>
      </c>
      <c r="D11276" s="1" t="str">
        <f>IFERROR(__xludf.DUMMYFUNCTION("GOOGLETRANSLATE(A11276 , ""auto"", ""ar"")"),"من وجهة نظري")</f>
        <v>من وجهة نظري</v>
      </c>
    </row>
    <row r="11277" ht="15.75" customHeight="1">
      <c r="A11277" s="12" t="s">
        <v>26530</v>
      </c>
      <c r="B11277" s="13" t="s">
        <v>26531</v>
      </c>
      <c r="C11277" s="14" t="s">
        <v>26532</v>
      </c>
      <c r="D11277" s="1" t="str">
        <f>IFERROR(__xludf.DUMMYFUNCTION("GOOGLETRANSLATE(A11277 , ""auto"", ""ar"")"),"لم أفكر بها كثيرًا")</f>
        <v>لم أفكر بها كثيرًا</v>
      </c>
    </row>
    <row r="11278" ht="15.75" customHeight="1">
      <c r="A11278" s="12" t="s">
        <v>26533</v>
      </c>
      <c r="B11278" s="13" t="s">
        <v>26534</v>
      </c>
      <c r="C11278" s="14" t="s">
        <v>26535</v>
      </c>
      <c r="D11278" s="1" t="str">
        <f>IFERROR(__xludf.DUMMYFUNCTION("GOOGLETRANSLATE(A11278 , ""auto"", ""ar"")"),"لا يحدث أي فرق بالنسبة لي")</f>
        <v>لا يحدث أي فرق بالنسبة لي</v>
      </c>
    </row>
    <row r="11279" ht="15.75" customHeight="1">
      <c r="A11279" s="12" t="s">
        <v>26536</v>
      </c>
      <c r="B11279" s="13" t="s">
        <v>26537</v>
      </c>
      <c r="C11279" s="14" t="s">
        <v>26538</v>
      </c>
      <c r="D11279" s="1" t="str">
        <f>IFERROR(__xludf.DUMMYFUNCTION("GOOGLETRANSLATE(A11279 , ""auto"", ""ar"")"),"ليس لدي رأي في هذا الأمر")</f>
        <v>ليس لدي رأي في هذا الأمر</v>
      </c>
    </row>
    <row r="11280" ht="15.75" customHeight="1">
      <c r="A11280" s="12" t="s">
        <v>26539</v>
      </c>
      <c r="B11280" s="13" t="s">
        <v>26540</v>
      </c>
      <c r="C11280" s="14" t="s">
        <v>26541</v>
      </c>
      <c r="D11280" s="1" t="str">
        <f>IFERROR(__xludf.DUMMYFUNCTION("GOOGLETRANSLATE(A11280 , ""auto"", ""ar"")"),"أيا كان")</f>
        <v>أيا كان</v>
      </c>
    </row>
    <row r="11281" ht="15.75" customHeight="1">
      <c r="A11281" s="12" t="s">
        <v>26542</v>
      </c>
      <c r="B11281" s="13" t="s">
        <v>26543</v>
      </c>
      <c r="C11281" s="14" t="s">
        <v>26544</v>
      </c>
      <c r="D11281" s="1" t="str">
        <f>IFERROR(__xludf.DUMMYFUNCTION("GOOGLETRANSLATE(A11281 , ""auto"", ""ar"")"),"ليس بالضرورة")</f>
        <v>ليس بالضرورة</v>
      </c>
    </row>
    <row r="11282" ht="15.75" customHeight="1">
      <c r="A11282" s="12" t="s">
        <v>9471</v>
      </c>
      <c r="B11282" s="13" t="s">
        <v>26545</v>
      </c>
      <c r="C11282" s="14" t="s">
        <v>9348</v>
      </c>
      <c r="D11282" s="1" t="str">
        <f>IFERROR(__xludf.DUMMYFUNCTION("GOOGLETRANSLATE(A11282 , ""auto"", ""ar"")"),"تهانينا")</f>
        <v>تهانينا</v>
      </c>
    </row>
    <row r="11283" ht="15.75" customHeight="1">
      <c r="A11283" s="12" t="s">
        <v>26546</v>
      </c>
      <c r="B11283" s="13" t="s">
        <v>26547</v>
      </c>
      <c r="C11283" s="14" t="s">
        <v>26548</v>
      </c>
      <c r="D11283" s="1" t="str">
        <f>IFERROR(__xludf.DUMMYFUNCTION("GOOGLETRANSLATE(A11283 , ""auto"", ""ar"")"),"انا سعيد جدا لك")</f>
        <v>انا سعيد جدا لك</v>
      </c>
    </row>
    <row r="11284" ht="15.75" customHeight="1">
      <c r="A11284" s="12" t="s">
        <v>26549</v>
      </c>
      <c r="B11284" s="13" t="s">
        <v>26550</v>
      </c>
      <c r="C11284" s="14" t="s">
        <v>26551</v>
      </c>
      <c r="D11284" s="1" t="str">
        <f>IFERROR(__xludf.DUMMYFUNCTION("GOOGLETRANSLATE(A11284 , ""auto"", ""ar"")"),"أنت مسكين")</f>
        <v>أنت مسكين</v>
      </c>
    </row>
    <row r="11285" ht="15.75" customHeight="1">
      <c r="A11285" s="12" t="s">
        <v>26552</v>
      </c>
      <c r="B11285" s="13" t="s">
        <v>26553</v>
      </c>
      <c r="C11285" s="14" t="s">
        <v>26554</v>
      </c>
      <c r="D11285" s="1" t="str">
        <f>IFERROR(__xludf.DUMMYFUNCTION("GOOGLETRANSLATE(A11285 , ""auto"", ""ar"")"),"لا أعتقد أنني أستطيع")</f>
        <v>لا أعتقد أنني أستطيع</v>
      </c>
    </row>
    <row r="11286" ht="15.75" customHeight="1">
      <c r="A11286" s="12" t="s">
        <v>26555</v>
      </c>
      <c r="B11286" s="13" t="s">
        <v>26556</v>
      </c>
      <c r="C11286" s="14" t="s">
        <v>26557</v>
      </c>
      <c r="D11286" s="1" t="str">
        <f>IFERROR(__xludf.DUMMYFUNCTION("GOOGLETRANSLATE(A11286 , ""auto"", ""ar"")"),"ربما في وقت أخر")</f>
        <v>ربما في وقت أخر</v>
      </c>
    </row>
    <row r="11287" ht="15.75" customHeight="1">
      <c r="A11287" s="12" t="s">
        <v>26558</v>
      </c>
      <c r="B11287" s="13" t="s">
        <v>26559</v>
      </c>
      <c r="C11287" s="14" t="s">
        <v>26560</v>
      </c>
      <c r="D11287" s="1" t="str">
        <f>IFERROR(__xludf.DUMMYFUNCTION("GOOGLETRANSLATE(A11287 , ""auto"", ""ar"")"),"هل تريد بعض الماء؟")</f>
        <v>هل تريد بعض الماء؟</v>
      </c>
    </row>
    <row r="11288" ht="15.75" customHeight="1">
      <c r="A11288" s="12" t="s">
        <v>26561</v>
      </c>
      <c r="B11288" s="13" t="s">
        <v>26562</v>
      </c>
      <c r="C11288" s="14" t="s">
        <v>26563</v>
      </c>
      <c r="D11288" s="1" t="str">
        <f>IFERROR(__xludf.DUMMYFUNCTION("GOOGLETRANSLATE(A11288 , ""auto"", ""ar"")"),"هل بامكاني جلب شي للاكل؟")</f>
        <v>هل بامكاني جلب شي للاكل؟</v>
      </c>
    </row>
    <row r="11289" ht="15.75" customHeight="1">
      <c r="A11289" s="12" t="s">
        <v>26564</v>
      </c>
      <c r="B11289" s="13" t="s">
        <v>26565</v>
      </c>
      <c r="C11289" s="14" t="s">
        <v>26566</v>
      </c>
      <c r="D11289" s="1" t="str">
        <f>IFERROR(__xludf.DUMMYFUNCTION("GOOGLETRANSLATE(A11289 , ""auto"", ""ar"")"),"ماذا عن تناول وجبة خفيفة؟")</f>
        <v>ماذا عن تناول وجبة خفيفة؟</v>
      </c>
    </row>
    <row r="11290" ht="15.75" customHeight="1">
      <c r="A11290" s="12" t="s">
        <v>26567</v>
      </c>
      <c r="B11290" s="13" t="s">
        <v>26568</v>
      </c>
      <c r="C11290" s="14" t="s">
        <v>26569</v>
      </c>
      <c r="D11290" s="1" t="str">
        <f>IFERROR(__xludf.DUMMYFUNCTION("GOOGLETRANSLATE(A11290 , ""auto"", ""ar"")"),"ربما يجب أن نغادر")</f>
        <v>ربما يجب أن نغادر</v>
      </c>
    </row>
    <row r="11291" ht="15.75" customHeight="1">
      <c r="A11291" s="12" t="s">
        <v>26570</v>
      </c>
      <c r="B11291" s="13" t="s">
        <v>26571</v>
      </c>
      <c r="C11291" s="14" t="s">
        <v>26572</v>
      </c>
      <c r="D11291" s="1" t="str">
        <f>IFERROR(__xludf.DUMMYFUNCTION("GOOGLETRANSLATE(A11291 , ""auto"", ""ar"")"),"أوصي بالذهاب إلى الطبيب.")</f>
        <v>أوصي بالذهاب إلى الطبيب.</v>
      </c>
    </row>
    <row r="11292" ht="15.75" customHeight="1">
      <c r="A11292" s="12" t="s">
        <v>26573</v>
      </c>
      <c r="B11292" s="13" t="s">
        <v>26574</v>
      </c>
      <c r="C11292" s="14" t="s">
        <v>26575</v>
      </c>
      <c r="D11292" s="1" t="str">
        <f>IFERROR(__xludf.DUMMYFUNCTION("GOOGLETRANSLATE(A11292 , ""auto"", ""ar"")"),"أين تعمل؟")</f>
        <v>أين تعمل؟</v>
      </c>
    </row>
    <row r="11293" ht="15.75" customHeight="1">
      <c r="A11293" s="12" t="s">
        <v>26576</v>
      </c>
      <c r="B11293" s="13" t="s">
        <v>26577</v>
      </c>
      <c r="C11293" s="14" t="s">
        <v>26578</v>
      </c>
      <c r="D11293" s="1" t="str">
        <f>IFERROR(__xludf.DUMMYFUNCTION("GOOGLETRANSLATE(A11293 , ""auto"", ""ar"")"),"انا لست مريض")</f>
        <v>انا لست مريض</v>
      </c>
    </row>
    <row r="11294" ht="15.75" customHeight="1">
      <c r="A11294" s="12" t="s">
        <v>26579</v>
      </c>
      <c r="B11294" s="13" t="s">
        <v>26580</v>
      </c>
      <c r="C11294" s="14" t="s">
        <v>26581</v>
      </c>
      <c r="D11294" s="1" t="str">
        <f>IFERROR(__xludf.DUMMYFUNCTION("GOOGLETRANSLATE(A11294 , ""auto"", ""ar"")"),"أدير عملي الخاص")</f>
        <v>أدير عملي الخاص</v>
      </c>
    </row>
    <row r="11295" ht="15.75" customHeight="1">
      <c r="A11295" s="12" t="s">
        <v>26582</v>
      </c>
      <c r="B11295" s="13" t="s">
        <v>26583</v>
      </c>
      <c r="C11295" s="14" t="s">
        <v>26584</v>
      </c>
      <c r="D11295" s="1" t="str">
        <f>IFERROR(__xludf.DUMMYFUNCTION("GOOGLETRANSLATE(A11295 , ""auto"", ""ar"")"),"أنا متقاعد")</f>
        <v>أنا متقاعد</v>
      </c>
    </row>
    <row r="11296" ht="15.75" customHeight="1">
      <c r="A11296" s="12" t="s">
        <v>26585</v>
      </c>
      <c r="B11296" s="13" t="s">
        <v>26586</v>
      </c>
      <c r="C11296" s="14" t="s">
        <v>26587</v>
      </c>
      <c r="D11296" s="1" t="str">
        <f>IFERROR(__xludf.DUMMYFUNCTION("GOOGLETRANSLATE(A11296 , ""auto"", ""ar"")"),"أخيراً وليس آخراً")</f>
        <v>أخيراً وليس آخراً</v>
      </c>
    </row>
    <row r="11297" ht="15.75" customHeight="1">
      <c r="A11297" s="12" t="s">
        <v>26588</v>
      </c>
      <c r="B11297" s="13" t="s">
        <v>26589</v>
      </c>
      <c r="C11297" s="14" t="s">
        <v>26590</v>
      </c>
      <c r="D11297" s="1" t="str">
        <f>IFERROR(__xludf.DUMMYFUNCTION("GOOGLETRANSLATE(A11297 , ""auto"", ""ar"")"),"شيأ فشيأ")</f>
        <v>شيأ فشيأ</v>
      </c>
    </row>
    <row r="11298" ht="15.75" customHeight="1">
      <c r="A11298" s="12" t="s">
        <v>26591</v>
      </c>
      <c r="B11298" s="13" t="s">
        <v>26592</v>
      </c>
      <c r="C11298" s="14" t="s">
        <v>26593</v>
      </c>
      <c r="D11298" s="1" t="str">
        <f>IFERROR(__xludf.DUMMYFUNCTION("GOOGLETRANSLATE(A11298 , ""auto"", ""ar"")"),"استمع لي")</f>
        <v>استمع لي</v>
      </c>
    </row>
    <row r="11299" ht="15.75" customHeight="1">
      <c r="A11299" s="12" t="s">
        <v>26594</v>
      </c>
      <c r="B11299" s="13" t="s">
        <v>26595</v>
      </c>
      <c r="C11299" s="14" t="s">
        <v>26596</v>
      </c>
      <c r="D11299" s="1" t="str">
        <f>IFERROR(__xludf.DUMMYFUNCTION("GOOGLETRANSLATE(A11299 , ""auto"", ""ar"")"),"خطوة بخطوة")</f>
        <v>خطوة بخطوة</v>
      </c>
    </row>
    <row r="11300" ht="15.75" customHeight="1">
      <c r="A11300" s="12" t="s">
        <v>26597</v>
      </c>
      <c r="B11300" s="13" t="s">
        <v>26598</v>
      </c>
      <c r="C11300" s="14" t="s">
        <v>26599</v>
      </c>
      <c r="D11300" s="1" t="str">
        <f>IFERROR(__xludf.DUMMYFUNCTION("GOOGLETRANSLATE(A11300 , ""auto"", ""ar"")"),"يرى؟")</f>
        <v>يرى؟</v>
      </c>
    </row>
    <row r="11301" ht="15.75" customHeight="1">
      <c r="A11301" s="12" t="s">
        <v>26600</v>
      </c>
      <c r="B11301" s="13" t="s">
        <v>26601</v>
      </c>
      <c r="C11301" s="14" t="s">
        <v>26602</v>
      </c>
      <c r="D11301" s="1" t="str">
        <f>IFERROR(__xludf.DUMMYFUNCTION("GOOGLETRANSLATE(A11301 , ""auto"", ""ar"")"),"خذها أو اتركها")</f>
        <v>خذها أو اتركها</v>
      </c>
    </row>
    <row r="11302" ht="15.75" customHeight="1">
      <c r="A11302" s="12" t="s">
        <v>26603</v>
      </c>
      <c r="B11302" s="13" t="s">
        <v>26604</v>
      </c>
      <c r="C11302" s="14" t="s">
        <v>26605</v>
      </c>
      <c r="D11302" s="1" t="str">
        <f>IFERROR(__xludf.DUMMYFUNCTION("GOOGLETRANSLATE(A11302 , ""auto"", ""ar"")"),"أعدك بأنه سأنتهي في الوقت المحدد")</f>
        <v>أعدك بأنه سأنتهي في الوقت المحدد</v>
      </c>
    </row>
    <row r="11303" ht="15.75" customHeight="1">
      <c r="A11303" s="12" t="s">
        <v>26606</v>
      </c>
      <c r="B11303" s="13" t="s">
        <v>26607</v>
      </c>
      <c r="C11303" s="14" t="s">
        <v>26608</v>
      </c>
      <c r="D11303" s="1" t="str">
        <f>IFERROR(__xludf.DUMMYFUNCTION("GOOGLETRANSLATE(A11303 , ""auto"", ""ar"")"),"أحتاج إلى حلقة جديدة")</f>
        <v>أحتاج إلى حلقة جديدة</v>
      </c>
    </row>
    <row r="11304" ht="15.75" customHeight="1">
      <c r="A11304" s="12" t="s">
        <v>26609</v>
      </c>
      <c r="B11304" s="13" t="s">
        <v>26610</v>
      </c>
      <c r="C11304" s="14" t="s">
        <v>26611</v>
      </c>
      <c r="D11304" s="1" t="str">
        <f>IFERROR(__xludf.DUMMYFUNCTION("GOOGLETRANSLATE(A11304 , ""auto"", ""ar"")"),"إنه أرجوحة")</f>
        <v>إنه أرجوحة</v>
      </c>
    </row>
    <row r="11305" ht="15.75" customHeight="1">
      <c r="A11305" s="12" t="s">
        <v>26612</v>
      </c>
      <c r="B11305" s="13" t="s">
        <v>26613</v>
      </c>
      <c r="C11305" s="14" t="s">
        <v>26614</v>
      </c>
      <c r="D11305" s="1" t="str">
        <f>IFERROR(__xludf.DUMMYFUNCTION("GOOGLETRANSLATE(A11305 , ""auto"", ""ar"")"),"هل تحب اللعب مع الأرجوحة؟")</f>
        <v>هل تحب اللعب مع الأرجوحة؟</v>
      </c>
    </row>
    <row r="11306" ht="15.75" customHeight="1">
      <c r="A11306" s="12" t="s">
        <v>26615</v>
      </c>
      <c r="B11306" s="13" t="s">
        <v>26616</v>
      </c>
      <c r="C11306" s="14" t="s">
        <v>26617</v>
      </c>
      <c r="D11306" s="1" t="str">
        <f>IFERROR(__xludf.DUMMYFUNCTION("GOOGLETRANSLATE(A11306 , ""auto"", ""ar"")"),"وسوف أكون هناك في الوقت المحدد")</f>
        <v>وسوف أكون هناك في الوقت المحدد</v>
      </c>
    </row>
    <row r="11307" ht="15.75" customHeight="1">
      <c r="A11307" s="12" t="s">
        <v>26618</v>
      </c>
      <c r="B11307" s="13" t="s">
        <v>26619</v>
      </c>
      <c r="C11307" s="14" t="s">
        <v>26620</v>
      </c>
      <c r="D11307" s="1" t="str">
        <f>IFERROR(__xludf.DUMMYFUNCTION("GOOGLETRANSLATE(A11307 , ""auto"", ""ar"")"),"حافظ على وعدك")</f>
        <v>حافظ على وعدك</v>
      </c>
    </row>
    <row r="11308" ht="15.75" customHeight="1">
      <c r="A11308" s="12" t="s">
        <v>26621</v>
      </c>
      <c r="B11308" s="13" t="s">
        <v>26622</v>
      </c>
      <c r="C11308" s="14" t="s">
        <v>26623</v>
      </c>
      <c r="D11308" s="1" t="str">
        <f>IFERROR(__xludf.DUMMYFUNCTION("GOOGLETRANSLATE(A11308 , ""auto"", ""ar"")"),"فقط دع الوقت يظهر لك")</f>
        <v>فقط دع الوقت يظهر لك</v>
      </c>
    </row>
    <row r="11309" ht="15.75" customHeight="1">
      <c r="A11309" s="12" t="s">
        <v>26621</v>
      </c>
      <c r="B11309" s="13" t="s">
        <v>26624</v>
      </c>
      <c r="C11309" s="14" t="s">
        <v>26625</v>
      </c>
      <c r="D11309" s="1" t="str">
        <f>IFERROR(__xludf.DUMMYFUNCTION("GOOGLETRANSLATE(A11309 , ""auto"", ""ar"")"),"فقط دع الوقت يظهر لك")</f>
        <v>فقط دع الوقت يظهر لك</v>
      </c>
    </row>
    <row r="11310" ht="15.75" customHeight="1">
      <c r="A11310" s="12" t="s">
        <v>26626</v>
      </c>
      <c r="B11310" s="13" t="s">
        <v>26627</v>
      </c>
      <c r="C11310" s="14" t="s">
        <v>26628</v>
      </c>
      <c r="D11310" s="1" t="str">
        <f>IFERROR(__xludf.DUMMYFUNCTION("GOOGLETRANSLATE(A11310 , ""auto"", ""ar"")"),"لا بد لي من الاعتراف بذلك")</f>
        <v>لا بد لي من الاعتراف بذلك</v>
      </c>
    </row>
    <row r="11311" ht="15.75" customHeight="1">
      <c r="A11311" s="12" t="s">
        <v>26629</v>
      </c>
      <c r="B11311" s="13" t="s">
        <v>26630</v>
      </c>
      <c r="C11311" s="14" t="s">
        <v>26631</v>
      </c>
      <c r="D11311" s="1" t="str">
        <f>IFERROR(__xludf.DUMMYFUNCTION("GOOGLETRANSLATE(A11311 , ""auto"", ""ar"")"),"لقد ارتكبت خطأ")</f>
        <v>لقد ارتكبت خطأ</v>
      </c>
    </row>
    <row r="11312" ht="15.75" customHeight="1">
      <c r="A11312" s="12" t="s">
        <v>26632</v>
      </c>
      <c r="B11312" s="13" t="s">
        <v>26633</v>
      </c>
      <c r="C11312" s="14" t="s">
        <v>26634</v>
      </c>
      <c r="D11312" s="1" t="str">
        <f>IFERROR(__xludf.DUMMYFUNCTION("GOOGLETRANSLATE(A11312 , ""auto"", ""ar"")"),"كنت الشخص الذي ألام اللوم")</f>
        <v>كنت الشخص الذي ألام اللوم</v>
      </c>
    </row>
    <row r="11313" ht="15.75" customHeight="1">
      <c r="A11313" s="12" t="s">
        <v>26635</v>
      </c>
      <c r="B11313" s="13" t="s">
        <v>26636</v>
      </c>
      <c r="C11313" s="14" t="s">
        <v>26637</v>
      </c>
      <c r="D11313" s="1" t="str">
        <f>IFERROR(__xludf.DUMMYFUNCTION("GOOGLETRANSLATE(A11313 , ""auto"", ""ar"")"),"لدي مقلاة جوية")</f>
        <v>لدي مقلاة جوية</v>
      </c>
    </row>
    <row r="11314" ht="15.75" customHeight="1">
      <c r="A11314" s="12" t="s">
        <v>26638</v>
      </c>
      <c r="B11314" s="13" t="s">
        <v>26639</v>
      </c>
      <c r="C11314" s="14" t="s">
        <v>26640</v>
      </c>
      <c r="D11314" s="1" t="str">
        <f>IFERROR(__xludf.DUMMYFUNCTION("GOOGLETRANSLATE(A11314 , ""auto"", ""ar"")"),"لا تفعل ذلك مرة أخرى")</f>
        <v>لا تفعل ذلك مرة أخرى</v>
      </c>
    </row>
    <row r="11315" ht="15.75" customHeight="1">
      <c r="A11315" s="12" t="s">
        <v>26641</v>
      </c>
      <c r="B11315" s="13" t="s">
        <v>26642</v>
      </c>
      <c r="C11315" s="14" t="s">
        <v>26643</v>
      </c>
      <c r="D11315" s="1" t="str">
        <f>IFERROR(__xludf.DUMMYFUNCTION("GOOGLETRANSLATE(A11315 , ""auto"", ""ar"")"),"كيف تشعر؟")</f>
        <v>كيف تشعر؟</v>
      </c>
    </row>
    <row r="11316" ht="15.75" customHeight="1">
      <c r="A11316" s="12" t="s">
        <v>26644</v>
      </c>
      <c r="B11316" s="13" t="s">
        <v>26645</v>
      </c>
      <c r="C11316" s="14" t="s">
        <v>26646</v>
      </c>
      <c r="D11316" s="1" t="str">
        <f>IFERROR(__xludf.DUMMYFUNCTION("GOOGLETRANSLATE(A11316 , ""auto"", ""ar"")"),"هل نريد أن نتحدث عن ذلك؟")</f>
        <v>هل نريد أن نتحدث عن ذلك؟</v>
      </c>
    </row>
    <row r="11317" ht="15.75" customHeight="1">
      <c r="A11317" s="12" t="s">
        <v>26647</v>
      </c>
      <c r="B11317" s="13" t="s">
        <v>26648</v>
      </c>
      <c r="C11317" s="14" t="s">
        <v>26649</v>
      </c>
      <c r="D11317" s="1" t="str">
        <f>IFERROR(__xludf.DUMMYFUNCTION("GOOGLETRANSLATE(A11317 , ""auto"", ""ar"")"),"كان يومًا صعبًا")</f>
        <v>كان يومًا صعبًا</v>
      </c>
    </row>
    <row r="11318" ht="15.75" customHeight="1">
      <c r="A11318" s="12" t="s">
        <v>26650</v>
      </c>
      <c r="B11318" s="13" t="s">
        <v>26651</v>
      </c>
      <c r="C11318" s="14" t="s">
        <v>26652</v>
      </c>
      <c r="D11318" s="1" t="str">
        <f>IFERROR(__xludf.DUMMYFUNCTION("GOOGLETRANSLATE(A11318 , ""auto"", ""ar"")"),"جعلها غاضبة جدا")</f>
        <v>جعلها غاضبة جدا</v>
      </c>
    </row>
    <row r="11319" ht="15.75" customHeight="1">
      <c r="A11319" s="12" t="s">
        <v>26653</v>
      </c>
      <c r="B11319" s="13" t="s">
        <v>26654</v>
      </c>
      <c r="C11319" s="14" t="s">
        <v>26655</v>
      </c>
      <c r="D11319" s="1" t="str">
        <f>IFERROR(__xludf.DUMMYFUNCTION("GOOGLETRANSLATE(A11319 , ""auto"", ""ar"")"),"ما الذي يقودك هنا؟")</f>
        <v>ما الذي يقودك هنا؟</v>
      </c>
    </row>
    <row r="11320" ht="15.75" customHeight="1">
      <c r="A11320" s="12" t="s">
        <v>26656</v>
      </c>
      <c r="B11320" s="13" t="s">
        <v>26657</v>
      </c>
      <c r="C11320" s="14" t="s">
        <v>26658</v>
      </c>
      <c r="D11320" s="1" t="str">
        <f>IFERROR(__xludf.DUMMYFUNCTION("GOOGLETRANSLATE(A11320 , ""auto"", ""ar"")"),"أنا في عطلة")</f>
        <v>أنا في عطلة</v>
      </c>
    </row>
    <row r="11321" ht="15.75" customHeight="1">
      <c r="A11321" s="12" t="s">
        <v>26659</v>
      </c>
      <c r="B11321" s="13" t="s">
        <v>26660</v>
      </c>
      <c r="C11321" s="14" t="s">
        <v>26661</v>
      </c>
      <c r="D11321" s="1" t="str">
        <f>IFERROR(__xludf.DUMMYFUNCTION("GOOGLETRANSLATE(A11321 , ""auto"", ""ar"")"),"اشتريت دراجة")</f>
        <v>اشتريت دراجة</v>
      </c>
    </row>
    <row r="11322" ht="15.75" customHeight="1">
      <c r="A11322" s="12" t="s">
        <v>26662</v>
      </c>
      <c r="B11322" s="13" t="s">
        <v>26663</v>
      </c>
      <c r="C11322" s="14" t="s">
        <v>26664</v>
      </c>
      <c r="D11322" s="1" t="str">
        <f>IFERROR(__xludf.DUMMYFUNCTION("GOOGLETRANSLATE(A11322 , ""auto"", ""ar"")"),"أحببت الدراجة")</f>
        <v>أحببت الدراجة</v>
      </c>
    </row>
    <row r="11323" ht="15.75" customHeight="1">
      <c r="A11323" s="12" t="s">
        <v>26665</v>
      </c>
      <c r="B11323" s="13" t="s">
        <v>26666</v>
      </c>
      <c r="C11323" s="14" t="s">
        <v>26667</v>
      </c>
      <c r="D11323" s="1" t="str">
        <f>IFERROR(__xludf.DUMMYFUNCTION("GOOGLETRANSLATE(A11323 , ""auto"", ""ar"")"),"الدراجة صغيرة")</f>
        <v>الدراجة صغيرة</v>
      </c>
    </row>
    <row r="11324" ht="15.75" customHeight="1">
      <c r="A11324" s="12" t="s">
        <v>26668</v>
      </c>
      <c r="B11324" s="13" t="s">
        <v>26669</v>
      </c>
      <c r="C11324" s="14" t="s">
        <v>26670</v>
      </c>
      <c r="D11324" s="1" t="str">
        <f>IFERROR(__xludf.DUMMYFUNCTION("GOOGLETRANSLATE(A11324 , ""auto"", ""ar"")"),"هل لديك حساب فيسبوك؟")</f>
        <v>هل لديك حساب فيسبوك؟</v>
      </c>
    </row>
    <row r="11325" ht="15.75" customHeight="1">
      <c r="A11325" s="12" t="s">
        <v>26671</v>
      </c>
      <c r="B11325" s="13" t="s">
        <v>26672</v>
      </c>
      <c r="C11325" s="14" t="s">
        <v>26673</v>
      </c>
      <c r="D11325" s="1" t="str">
        <f>IFERROR(__xludf.DUMMYFUNCTION("GOOGLETRANSLATE(A11325 , ""auto"", ""ar"")"),"هل لديك حساب Instagram")</f>
        <v>هل لديك حساب Instagram</v>
      </c>
    </row>
    <row r="11326" ht="15.75" customHeight="1">
      <c r="A11326" s="12" t="s">
        <v>26674</v>
      </c>
      <c r="B11326" s="13" t="s">
        <v>26675</v>
      </c>
      <c r="C11326" s="14" t="s">
        <v>26676</v>
      </c>
      <c r="D11326" s="1" t="str">
        <f>IFERROR(__xludf.DUMMYFUNCTION("GOOGLETRANSLATE(A11326 , ""auto"", ""ar"")"),"أنا أعيش مع أصدقائي")</f>
        <v>أنا أعيش مع أصدقائي</v>
      </c>
    </row>
    <row r="11327" ht="15.75" customHeight="1">
      <c r="A11327" s="12" t="s">
        <v>26677</v>
      </c>
      <c r="B11327" s="13" t="s">
        <v>26678</v>
      </c>
      <c r="C11327" s="14" t="s">
        <v>26679</v>
      </c>
      <c r="D11327" s="1" t="str">
        <f>IFERROR(__xludf.DUMMYFUNCTION("GOOGLETRANSLATE(A11327 , ""auto"", ""ar"")"),"أنا فقط لم آكل الكثير")</f>
        <v>أنا فقط لم آكل الكثير</v>
      </c>
    </row>
    <row r="11328" ht="15.75" customHeight="1">
      <c r="A11328" s="12" t="s">
        <v>26680</v>
      </c>
      <c r="B11328" s="13" t="s">
        <v>26681</v>
      </c>
      <c r="C11328" s="14" t="s">
        <v>26682</v>
      </c>
      <c r="D11328" s="1" t="str">
        <f>IFERROR(__xludf.DUMMYFUNCTION("GOOGLETRANSLATE(A11328 , ""auto"", ""ar"")"),"إذا كنت قد دفعت بعناية")</f>
        <v>إذا كنت قد دفعت بعناية</v>
      </c>
    </row>
    <row r="11329" ht="15.75" customHeight="1">
      <c r="A11329" s="12" t="s">
        <v>26683</v>
      </c>
      <c r="B11329" s="13" t="s">
        <v>26684</v>
      </c>
      <c r="C11329" s="14" t="s">
        <v>26685</v>
      </c>
      <c r="D11329" s="1" t="str">
        <f>IFERROR(__xludf.DUMMYFUNCTION("GOOGLETRANSLATE(A11329 , ""auto"", ""ar"")"),"أنت جديد هنا")</f>
        <v>أنت جديد هنا</v>
      </c>
    </row>
    <row r="11330" ht="15.75" customHeight="1">
      <c r="A11330" s="12" t="s">
        <v>26686</v>
      </c>
      <c r="B11330" s="13" t="s">
        <v>26687</v>
      </c>
      <c r="C11330" s="14" t="s">
        <v>26688</v>
      </c>
      <c r="D11330" s="1" t="str">
        <f>IFERROR(__xludf.DUMMYFUNCTION("GOOGLETRANSLATE(A11330 , ""auto"", ""ar"")"),"إنه يعرف الجواب")</f>
        <v>إنه يعرف الجواب</v>
      </c>
    </row>
    <row r="11331" ht="15.75" customHeight="1">
      <c r="A11331" s="12" t="s">
        <v>26689</v>
      </c>
      <c r="B11331" s="13" t="s">
        <v>26690</v>
      </c>
      <c r="C11331" s="14" t="s">
        <v>26691</v>
      </c>
      <c r="D11331" s="1" t="str">
        <f>IFERROR(__xludf.DUMMYFUNCTION("GOOGLETRANSLATE(A11331 , ""auto"", ""ar"")"),"ربما يريد ترك الوظيفة")</f>
        <v>ربما يريد ترك الوظيفة</v>
      </c>
    </row>
    <row r="11332" ht="15.75" customHeight="1">
      <c r="A11332" s="12" t="s">
        <v>26692</v>
      </c>
      <c r="B11332" s="13" t="s">
        <v>26693</v>
      </c>
      <c r="C11332" s="14" t="s">
        <v>26694</v>
      </c>
      <c r="D11332" s="1" t="str">
        <f>IFERROR(__xludf.DUMMYFUNCTION("GOOGLETRANSLATE(A11332 , ""auto"", ""ar"")"),"أعتقد أنك تزيد عن 30 عامًا")</f>
        <v>أعتقد أنك تزيد عن 30 عامًا</v>
      </c>
    </row>
    <row r="11333" ht="15.75" customHeight="1">
      <c r="A11333" s="12" t="s">
        <v>26695</v>
      </c>
      <c r="B11333" s="13" t="s">
        <v>26696</v>
      </c>
      <c r="C11333" s="14" t="s">
        <v>26697</v>
      </c>
      <c r="D11333" s="1" t="str">
        <f>IFERROR(__xludf.DUMMYFUNCTION("GOOGLETRANSLATE(A11333 , ""auto"", ""ar"")"),"أنا أتعاطف معك")</f>
        <v>أنا أتعاطف معك</v>
      </c>
    </row>
    <row r="11334" ht="15.75" customHeight="1">
      <c r="A11334" s="12" t="s">
        <v>26698</v>
      </c>
      <c r="B11334" s="13" t="s">
        <v>26699</v>
      </c>
      <c r="C11334" s="14" t="s">
        <v>26700</v>
      </c>
      <c r="D11334" s="1" t="str">
        <f>IFERROR(__xludf.DUMMYFUNCTION("GOOGLETRANSLATE(A11334 , ""auto"", ""ar"")"),"شكرا لدعمكم")</f>
        <v>شكرا لدعمكم</v>
      </c>
    </row>
    <row r="11335" ht="15.75" customHeight="1">
      <c r="A11335" s="12" t="s">
        <v>26701</v>
      </c>
      <c r="B11335" s="13" t="s">
        <v>26702</v>
      </c>
      <c r="C11335" s="14" t="s">
        <v>26703</v>
      </c>
      <c r="D11335" s="1" t="str">
        <f>IFERROR(__xludf.DUMMYFUNCTION("GOOGLETRANSLATE(A11335 , ""auto"", ""ar"")"),"لديك صوت جميل")</f>
        <v>لديك صوت جميل</v>
      </c>
    </row>
    <row r="11336" ht="15.75" customHeight="1">
      <c r="A11336" s="12" t="s">
        <v>26704</v>
      </c>
      <c r="B11336" s="13" t="s">
        <v>26705</v>
      </c>
      <c r="C11336" s="14" t="s">
        <v>26706</v>
      </c>
      <c r="D11336" s="1" t="str">
        <f>IFERROR(__xludf.DUMMYFUNCTION("GOOGLETRANSLATE(A11336 , ""auto"", ""ar"")"),"يعجبنى قصة شعرك")</f>
        <v>يعجبنى قصة شعرك</v>
      </c>
    </row>
    <row r="11337" ht="15.75" customHeight="1">
      <c r="A11337" s="12" t="s">
        <v>26707</v>
      </c>
      <c r="B11337" s="13" t="s">
        <v>26708</v>
      </c>
      <c r="C11337" s="14" t="s">
        <v>26709</v>
      </c>
      <c r="D11337" s="1" t="str">
        <f>IFERROR(__xludf.DUMMYFUNCTION("GOOGLETRANSLATE(A11337 , ""auto"", ""ar"")"),"دعني اساعدك")</f>
        <v>دعني اساعدك</v>
      </c>
    </row>
    <row r="11338" ht="15.75" customHeight="1">
      <c r="A11338" s="12" t="s">
        <v>26710</v>
      </c>
      <c r="B11338" s="13" t="s">
        <v>26711</v>
      </c>
      <c r="C11338" s="14" t="s">
        <v>26712</v>
      </c>
      <c r="D11338" s="1" t="str">
        <f>IFERROR(__xludf.DUMMYFUNCTION("GOOGLETRANSLATE(A11338 , ""auto"", ""ar"")"),"إذا كنت لا تمانع")</f>
        <v>إذا كنت لا تمانع</v>
      </c>
    </row>
    <row r="11339" ht="15.75" customHeight="1">
      <c r="A11339" s="12" t="s">
        <v>26713</v>
      </c>
      <c r="B11339" s="13" t="s">
        <v>26714</v>
      </c>
      <c r="C11339" s="14" t="s">
        <v>26715</v>
      </c>
      <c r="D11339" s="1" t="str">
        <f>IFERROR(__xludf.DUMMYFUNCTION("GOOGLETRANSLATE(A11339 , ""auto"", ""ar"")"),"هل يمكن ان توضح؟")</f>
        <v>هل يمكن ان توضح؟</v>
      </c>
    </row>
    <row r="11340" ht="15.75" customHeight="1">
      <c r="A11340" s="12" t="s">
        <v>26716</v>
      </c>
      <c r="B11340" s="13" t="s">
        <v>26717</v>
      </c>
      <c r="C11340" s="14" t="s">
        <v>26718</v>
      </c>
      <c r="D11340" s="1" t="str">
        <f>IFERROR(__xludf.DUMMYFUNCTION("GOOGLETRANSLATE(A11340 , ""auto"", ""ar"")"),"كيف حدث؟")</f>
        <v>كيف حدث؟</v>
      </c>
    </row>
    <row r="11341" ht="15.75" customHeight="1">
      <c r="A11341" s="12" t="s">
        <v>26719</v>
      </c>
      <c r="B11341" s="13" t="s">
        <v>26720</v>
      </c>
      <c r="C11341" s="14" t="s">
        <v>26721</v>
      </c>
      <c r="D11341" s="1" t="str">
        <f>IFERROR(__xludf.DUMMYFUNCTION("GOOGLETRANSLATE(A11341 , ""auto"", ""ar"")"),"لا أفهم لماذا؟")</f>
        <v>لا أفهم لماذا؟</v>
      </c>
    </row>
    <row r="11342" ht="15.75" customHeight="1">
      <c r="A11342" s="12" t="s">
        <v>26722</v>
      </c>
      <c r="B11342" s="13" t="s">
        <v>26723</v>
      </c>
      <c r="C11342" s="14" t="s">
        <v>26724</v>
      </c>
      <c r="D11342" s="1" t="str">
        <f>IFERROR(__xludf.DUMMYFUNCTION("GOOGLETRANSLATE(A11342 , ""auto"", ""ar"")"),"هل تستطيع ان تقول لي لماذا؟")</f>
        <v>هل تستطيع ان تقول لي لماذا؟</v>
      </c>
    </row>
    <row r="11343" ht="15.75" customHeight="1">
      <c r="A11343" s="12" t="s">
        <v>26725</v>
      </c>
      <c r="B11343" s="13" t="s">
        <v>26726</v>
      </c>
      <c r="C11343" s="14" t="s">
        <v>26727</v>
      </c>
      <c r="D11343" s="1" t="str">
        <f>IFERROR(__xludf.DUMMYFUNCTION("GOOGLETRANSLATE(A11343 , ""auto"", ""ar"")"),"هل تحب التنس؟")</f>
        <v>هل تحب التنس؟</v>
      </c>
    </row>
    <row r="11344" ht="15.75" customHeight="1">
      <c r="A11344" s="12" t="s">
        <v>26728</v>
      </c>
      <c r="B11344" s="13" t="s">
        <v>26729</v>
      </c>
      <c r="C11344" s="14" t="s">
        <v>26730</v>
      </c>
      <c r="D11344" s="1" t="str">
        <f>IFERROR(__xludf.DUMMYFUNCTION("GOOGLETRANSLATE(A11344 , ""auto"", ""ar"")"),"لا أستطيع تحمله")</f>
        <v>لا أستطيع تحمله</v>
      </c>
    </row>
    <row r="11345" ht="15.75" customHeight="1">
      <c r="A11345" s="12" t="s">
        <v>26731</v>
      </c>
      <c r="B11345" s="13" t="s">
        <v>26732</v>
      </c>
      <c r="C11345" s="14" t="s">
        <v>26733</v>
      </c>
      <c r="D11345" s="1" t="str">
        <f>IFERROR(__xludf.DUMMYFUNCTION("GOOGLETRANSLATE(A11345 , ""auto"", ""ar"")"),"أكره الذهاب الى طبيب الأسنان")</f>
        <v>أكره الذهاب الى طبيب الأسنان</v>
      </c>
    </row>
    <row r="11346" ht="15.75" customHeight="1">
      <c r="A11346" s="12" t="s">
        <v>26734</v>
      </c>
      <c r="B11346" s="13" t="s">
        <v>26735</v>
      </c>
      <c r="C11346" s="14" t="s">
        <v>26736</v>
      </c>
      <c r="D11346" s="1" t="str">
        <f>IFERROR(__xludf.DUMMYFUNCTION("GOOGLETRANSLATE(A11346 , ""auto"", ""ar"")"),"لا أحب غسل الصحون")</f>
        <v>لا أحب غسل الصحون</v>
      </c>
    </row>
    <row r="11347" ht="15.75" customHeight="1">
      <c r="A11347" s="12" t="s">
        <v>26737</v>
      </c>
      <c r="B11347" s="13" t="s">
        <v>26738</v>
      </c>
      <c r="C11347" s="14" t="s">
        <v>26739</v>
      </c>
      <c r="D11347" s="1" t="str">
        <f>IFERROR(__xludf.DUMMYFUNCTION("GOOGLETRANSLATE(A11347 , ""auto"", ""ar"")"),"لا أستطيع تحمل هذه الرائحة")</f>
        <v>لا أستطيع تحمل هذه الرائحة</v>
      </c>
    </row>
    <row r="11348" ht="15.75" customHeight="1">
      <c r="A11348" s="12" t="s">
        <v>26740</v>
      </c>
      <c r="B11348" s="13" t="s">
        <v>26741</v>
      </c>
      <c r="C11348" s="14" t="s">
        <v>26742</v>
      </c>
      <c r="D11348" s="1" t="str">
        <f>IFERROR(__xludf.DUMMYFUNCTION("GOOGLETRANSLATE(A11348 , ""auto"", ""ar"")"),"هل يمكن أن نلتقي يوم الجمعة المقبل؟")</f>
        <v>هل يمكن أن نلتقي يوم الجمعة المقبل؟</v>
      </c>
    </row>
    <row r="11349" ht="15.75" customHeight="1">
      <c r="A11349" s="12" t="s">
        <v>26743</v>
      </c>
      <c r="B11349" s="13" t="s">
        <v>26744</v>
      </c>
      <c r="C11349" s="14" t="s">
        <v>26745</v>
      </c>
      <c r="D11349" s="1" t="str">
        <f>IFERROR(__xludf.DUMMYFUNCTION("GOOGLETRANSLATE(A11349 , ""auto"", ""ar"")"),"دعونا نلتقي هذا المساء")</f>
        <v>دعونا نلتقي هذا المساء</v>
      </c>
    </row>
    <row r="11350" ht="15.75" customHeight="1">
      <c r="A11350" s="12" t="s">
        <v>26746</v>
      </c>
      <c r="B11350" s="13" t="s">
        <v>26747</v>
      </c>
      <c r="C11350" s="14" t="s">
        <v>26748</v>
      </c>
      <c r="D11350" s="1" t="str">
        <f>IFERROR(__xludf.DUMMYFUNCTION("GOOGLETRANSLATE(A11350 , ""auto"", ""ar"")"),"متى يمكنني التحدث معك؟")</f>
        <v>متى يمكنني التحدث معك؟</v>
      </c>
    </row>
    <row r="11351" ht="15.75" customHeight="1">
      <c r="A11351" s="12" t="s">
        <v>26749</v>
      </c>
      <c r="B11351" s="13" t="s">
        <v>26750</v>
      </c>
      <c r="C11351" s="14" t="s">
        <v>26751</v>
      </c>
      <c r="D11351" s="1" t="str">
        <f>IFERROR(__xludf.DUMMYFUNCTION("GOOGLETRANSLATE(A11351 , ""auto"", ""ar"")"),"بالتأكيد سآتي")</f>
        <v>بالتأكيد سآتي</v>
      </c>
    </row>
    <row r="11352" ht="15.75" customHeight="1">
      <c r="A11352" s="12" t="s">
        <v>26752</v>
      </c>
      <c r="B11352" s="13" t="s">
        <v>26753</v>
      </c>
      <c r="C11352" s="14" t="s">
        <v>26754</v>
      </c>
      <c r="D11352" s="1" t="str">
        <f>IFERROR(__xludf.DUMMYFUNCTION("GOOGLETRANSLATE(A11352 , ""auto"", ""ar"")"),"السبت بخير")</f>
        <v>السبت بخير</v>
      </c>
    </row>
    <row r="11353" ht="15.75" customHeight="1">
      <c r="A11353" s="12" t="s">
        <v>26755</v>
      </c>
      <c r="B11353" s="13" t="s">
        <v>26756</v>
      </c>
      <c r="C11353" s="14" t="s">
        <v>26757</v>
      </c>
      <c r="D11353" s="1" t="str">
        <f>IFERROR(__xludf.DUMMYFUNCTION("GOOGLETRANSLATE(A11353 , ""auto"", ""ar"")"),"سأكون هناك في ذلك الوقت")</f>
        <v>سأكون هناك في ذلك الوقت</v>
      </c>
    </row>
    <row r="11354" ht="15.75" customHeight="1">
      <c r="A11354" s="12" t="s">
        <v>26758</v>
      </c>
      <c r="B11354" s="13" t="s">
        <v>26759</v>
      </c>
      <c r="C11354" s="14" t="s">
        <v>26760</v>
      </c>
      <c r="D11354" s="1" t="str">
        <f>IFERROR(__xludf.DUMMYFUNCTION("GOOGLETRANSLATE(A11354 , ""auto"", ""ar"")"),"لدي موعد آخر")</f>
        <v>لدي موعد آخر</v>
      </c>
    </row>
    <row r="11355" ht="15.75" customHeight="1">
      <c r="A11355" s="12" t="s">
        <v>26761</v>
      </c>
      <c r="B11355" s="13" t="s">
        <v>26762</v>
      </c>
      <c r="C11355" s="14" t="s">
        <v>26763</v>
      </c>
      <c r="D11355" s="1" t="str">
        <f>IFERROR(__xludf.DUMMYFUNCTION("GOOGLETRANSLATE(A11355 , ""auto"", ""ar"")"),"لا أستطيع المجيء")</f>
        <v>لا أستطيع المجيء</v>
      </c>
    </row>
    <row r="11356" ht="15.75" customHeight="1">
      <c r="A11356" s="12" t="s">
        <v>26764</v>
      </c>
      <c r="B11356" s="13" t="s">
        <v>26765</v>
      </c>
      <c r="C11356" s="14" t="s">
        <v>26766</v>
      </c>
      <c r="D11356" s="1" t="str">
        <f>IFERROR(__xludf.DUMMYFUNCTION("GOOGLETRANSLATE(A11356 , ""auto"", ""ar"")"),"اعذرني لمقاطعتك")</f>
        <v>اعذرني لمقاطعتك</v>
      </c>
    </row>
    <row r="11357" ht="15.75" customHeight="1">
      <c r="A11357" s="12" t="s">
        <v>26767</v>
      </c>
      <c r="B11357" s="13" t="s">
        <v>26768</v>
      </c>
      <c r="C11357" s="14" t="s">
        <v>26769</v>
      </c>
      <c r="D11357" s="1" t="str">
        <f>IFERROR(__xludf.DUMMYFUNCTION("GOOGLETRANSLATE(A11357 , ""auto"", ""ar"")"),"هل استطيع قول شيء؟")</f>
        <v>هل استطيع قول شيء؟</v>
      </c>
    </row>
    <row r="11358" ht="15.75" customHeight="1">
      <c r="A11358" s="12" t="s">
        <v>26770</v>
      </c>
      <c r="B11358" s="13" t="s">
        <v>26771</v>
      </c>
      <c r="C11358" s="14" t="s">
        <v>26772</v>
      </c>
      <c r="D11358" s="1" t="str">
        <f>IFERROR(__xludf.DUMMYFUNCTION("GOOGLETRANSLATE(A11358 , ""auto"", ""ar"")"),"هل تمانع إذا قاطعتك؟")</f>
        <v>هل تمانع إذا قاطعتك؟</v>
      </c>
    </row>
    <row r="11359" ht="15.75" customHeight="1">
      <c r="A11359" s="12" t="s">
        <v>26773</v>
      </c>
      <c r="B11359" s="13" t="s">
        <v>26774</v>
      </c>
      <c r="C11359" s="14" t="s">
        <v>26775</v>
      </c>
      <c r="D11359" s="1" t="str">
        <f>IFERROR(__xludf.DUMMYFUNCTION("GOOGLETRANSLATE(A11359 , ""auto"", ""ar"")"),"هل من الممكن التكرار؟")</f>
        <v>هل من الممكن التكرار؟</v>
      </c>
    </row>
    <row r="11360" ht="15.75" customHeight="1">
      <c r="A11360" s="12" t="s">
        <v>26776</v>
      </c>
      <c r="B11360" s="13" t="s">
        <v>26777</v>
      </c>
      <c r="C11360" s="14" t="s">
        <v>26778</v>
      </c>
      <c r="D11360" s="1" t="str">
        <f>IFERROR(__xludf.DUMMYFUNCTION("GOOGLETRANSLATE(A11360 , ""auto"", ""ar"")"),"قبل الانتقال")</f>
        <v>قبل الانتقال</v>
      </c>
    </row>
    <row r="11361" ht="15.75" customHeight="1">
      <c r="A11361" s="12" t="s">
        <v>26779</v>
      </c>
      <c r="B11361" s="13" t="s">
        <v>26780</v>
      </c>
      <c r="C11361" s="14" t="s">
        <v>26781</v>
      </c>
      <c r="D11361" s="1" t="str">
        <f>IFERROR(__xludf.DUMMYFUNCTION("GOOGLETRANSLATE(A11361 , ""auto"", ""ar"")"),"هل يمكنني فقط إضافة شيء ما؟")</f>
        <v>هل يمكنني فقط إضافة شيء ما؟</v>
      </c>
    </row>
    <row r="11362" ht="15.75" customHeight="1">
      <c r="A11362" s="12" t="s">
        <v>26782</v>
      </c>
      <c r="B11362" s="13" t="s">
        <v>26783</v>
      </c>
      <c r="C11362" s="14" t="s">
        <v>26784</v>
      </c>
      <c r="D11362" s="1" t="str">
        <f>IFERROR(__xludf.DUMMYFUNCTION("GOOGLETRANSLATE(A11362 , ""auto"", ""ar"")"),"لقد صدمت")</f>
        <v>لقد صدمت</v>
      </c>
    </row>
    <row r="11363" ht="15.75" customHeight="1">
      <c r="A11363" s="12" t="s">
        <v>26785</v>
      </c>
      <c r="B11363" s="13" t="s">
        <v>26786</v>
      </c>
      <c r="C11363" s="14" t="s">
        <v>26787</v>
      </c>
      <c r="D11363" s="1" t="str">
        <f>IFERROR(__xludf.DUMMYFUNCTION("GOOGLETRANSLATE(A11363 , ""auto"", ""ar"")"),"نحن جميعًا في صدمة كاملة")</f>
        <v>نحن جميعًا في صدمة كاملة</v>
      </c>
    </row>
    <row r="11364" ht="15.75" customHeight="1">
      <c r="A11364" s="12" t="s">
        <v>26788</v>
      </c>
      <c r="B11364" s="13" t="s">
        <v>26789</v>
      </c>
      <c r="C11364" s="14" t="s">
        <v>26790</v>
      </c>
      <c r="D11364" s="1" t="str">
        <f>IFERROR(__xludf.DUMMYFUNCTION("GOOGLETRANSLATE(A11364 , ""auto"", ""ar"")"),"الأخبار تأتي بمثابة صدمة كاملة")</f>
        <v>الأخبار تأتي بمثابة صدمة كاملة</v>
      </c>
    </row>
    <row r="11365" ht="15.75" customHeight="1">
      <c r="A11365" s="12" t="s">
        <v>26791</v>
      </c>
      <c r="B11365" s="13" t="s">
        <v>26792</v>
      </c>
      <c r="C11365" s="14" t="s">
        <v>26793</v>
      </c>
      <c r="D11365" s="1" t="str">
        <f>IFERROR(__xludf.DUMMYFUNCTION("GOOGLETRANSLATE(A11365 , ""auto"", ""ar"")"),"لم أظن أبدًا")</f>
        <v>لم أظن أبدًا</v>
      </c>
    </row>
    <row r="11366" ht="15.75" customHeight="1">
      <c r="A11366" s="12" t="s">
        <v>26794</v>
      </c>
      <c r="B11366" s="13" t="s">
        <v>26795</v>
      </c>
      <c r="C11366" s="14" t="s">
        <v>26796</v>
      </c>
      <c r="D11366" s="1" t="str">
        <f>IFERROR(__xludf.DUMMYFUNCTION("GOOGLETRANSLATE(A11366 , ""auto"", ""ar"")"),"يا إلاهي! حقًا؟")</f>
        <v>يا إلاهي! حقًا؟</v>
      </c>
    </row>
    <row r="11367" ht="15.75" customHeight="1">
      <c r="A11367" s="12" t="s">
        <v>26797</v>
      </c>
      <c r="B11367" s="13" t="s">
        <v>26798</v>
      </c>
      <c r="C11367" s="14" t="s">
        <v>26799</v>
      </c>
      <c r="D11367" s="1" t="str">
        <f>IFERROR(__xludf.DUMMYFUNCTION("GOOGLETRANSLATE(A11367 , ""auto"", ""ar"")"),"هل تخاف من القطط؟")</f>
        <v>هل تخاف من القطط؟</v>
      </c>
    </row>
    <row r="11368" ht="15.75" customHeight="1">
      <c r="A11368" s="12" t="s">
        <v>26800</v>
      </c>
      <c r="B11368" s="13" t="s">
        <v>26801</v>
      </c>
      <c r="C11368" s="14" t="s">
        <v>26802</v>
      </c>
      <c r="D11368" s="1" t="str">
        <f>IFERROR(__xludf.DUMMYFUNCTION("GOOGLETRANSLATE(A11368 , ""auto"", ""ar"")"),"أخشى أن أكون وحدي")</f>
        <v>أخشى أن أكون وحدي</v>
      </c>
    </row>
    <row r="11369" ht="15.75" customHeight="1">
      <c r="A11369" s="12" t="s">
        <v>26803</v>
      </c>
      <c r="B11369" s="13" t="s">
        <v>26804</v>
      </c>
      <c r="C11369" s="14" t="s">
        <v>26805</v>
      </c>
      <c r="D11369" s="1" t="str">
        <f>IFERROR(__xludf.DUMMYFUNCTION("GOOGLETRANSLATE(A11369 , ""auto"", ""ar"")"),"أنا خائف من الثعابين")</f>
        <v>أنا خائف من الثعابين</v>
      </c>
    </row>
    <row r="11370" ht="15.75" customHeight="1">
      <c r="A11370" s="12" t="s">
        <v>26806</v>
      </c>
      <c r="B11370" s="13" t="s">
        <v>26807</v>
      </c>
      <c r="C11370" s="14" t="s">
        <v>26808</v>
      </c>
      <c r="D11370" s="1" t="str">
        <f>IFERROR(__xludf.DUMMYFUNCTION("GOOGLETRANSLATE(A11370 , ""auto"", ""ar"")"),"أنا خائف من العناكب")</f>
        <v>أنا خائف من العناكب</v>
      </c>
    </row>
    <row r="11371" ht="15.75" customHeight="1">
      <c r="A11371" s="12" t="s">
        <v>26806</v>
      </c>
      <c r="B11371" s="13" t="s">
        <v>26809</v>
      </c>
      <c r="C11371" s="14" t="s">
        <v>26810</v>
      </c>
      <c r="D11371" s="1" t="str">
        <f>IFERROR(__xludf.DUMMYFUNCTION("GOOGLETRANSLATE(A11371 , ""auto"", ""ar"")"),"أنا خائف من العناكب")</f>
        <v>أنا خائف من العناكب</v>
      </c>
    </row>
    <row r="11372" ht="15.75" customHeight="1">
      <c r="A11372" s="12" t="s">
        <v>26811</v>
      </c>
      <c r="B11372" s="13" t="s">
        <v>26812</v>
      </c>
      <c r="C11372" s="14" t="s">
        <v>26813</v>
      </c>
      <c r="D11372" s="1" t="str">
        <f>IFERROR(__xludf.DUMMYFUNCTION("GOOGLETRANSLATE(A11372 , ""auto"", ""ar"")"),"أشعر بالخوف بسهولة شديدة")</f>
        <v>أشعر بالخوف بسهولة شديدة</v>
      </c>
    </row>
    <row r="11373" ht="15.75" customHeight="1">
      <c r="A11373" s="12" t="s">
        <v>26814</v>
      </c>
      <c r="B11373" s="13" t="s">
        <v>26815</v>
      </c>
      <c r="C11373" s="14" t="s">
        <v>26816</v>
      </c>
      <c r="D11373" s="1" t="str">
        <f>IFERROR(__xludf.DUMMYFUNCTION("GOOGLETRANSLATE(A11373 , ""auto"", ""ar"")"),"أنا قلق على صحتها")</f>
        <v>أنا قلق على صحتها</v>
      </c>
    </row>
    <row r="11374" ht="15.75" customHeight="1">
      <c r="A11374" s="12" t="s">
        <v>26817</v>
      </c>
      <c r="B11374" s="13" t="s">
        <v>26818</v>
      </c>
      <c r="C11374" s="14" t="s">
        <v>26819</v>
      </c>
      <c r="D11374" s="1" t="str">
        <f>IFERROR(__xludf.DUMMYFUNCTION("GOOGLETRANSLATE(A11374 , ""auto"", ""ar"")"),"لا يوجد شيء يخاف منه")</f>
        <v>لا يوجد شيء يخاف منه</v>
      </c>
    </row>
    <row r="11375" ht="15.75" customHeight="1">
      <c r="A11375" s="12" t="s">
        <v>26820</v>
      </c>
      <c r="B11375" s="13" t="s">
        <v>26821</v>
      </c>
      <c r="C11375" s="14" t="s">
        <v>26822</v>
      </c>
      <c r="D11375" s="1" t="str">
        <f>IFERROR(__xludf.DUMMYFUNCTION("GOOGLETRANSLATE(A11375 , ""auto"", ""ar"")"),"هل جننت؟")</f>
        <v>هل جننت؟</v>
      </c>
    </row>
    <row r="11376" ht="15.75" customHeight="1">
      <c r="A11376" s="12" t="s">
        <v>26823</v>
      </c>
      <c r="B11376" s="13" t="s">
        <v>21266</v>
      </c>
      <c r="C11376" s="14" t="s">
        <v>21267</v>
      </c>
      <c r="D11376" s="1" t="str">
        <f>IFERROR(__xludf.DUMMYFUNCTION("GOOGLETRANSLATE(A11376 , ""auto"", ""ar"")"),"قبل ان تبدأ")</f>
        <v>قبل ان تبدأ</v>
      </c>
    </row>
    <row r="11377" ht="15.75" customHeight="1">
      <c r="A11377" s="12" t="s">
        <v>26824</v>
      </c>
      <c r="B11377" s="13" t="s">
        <v>26825</v>
      </c>
      <c r="C11377" s="14" t="s">
        <v>26826</v>
      </c>
      <c r="D11377" s="1" t="str">
        <f>IFERROR(__xludf.DUMMYFUNCTION("GOOGLETRANSLATE(A11377 , ""auto"", ""ar"")"),"اشتريت نظارة شمسية")</f>
        <v>اشتريت نظارة شمسية</v>
      </c>
    </row>
    <row r="11378" ht="15.75" customHeight="1">
      <c r="A11378" s="12" t="s">
        <v>26827</v>
      </c>
      <c r="B11378" s="13" t="s">
        <v>26828</v>
      </c>
      <c r="C11378" s="14" t="s">
        <v>26829</v>
      </c>
      <c r="D11378" s="1" t="str">
        <f>IFERROR(__xludf.DUMMYFUNCTION("GOOGLETRANSLATE(A11378 , ""auto"", ""ar"")"),"نظف اسنانك")</f>
        <v>نظف اسنانك</v>
      </c>
    </row>
    <row r="11379" ht="15.75" customHeight="1">
      <c r="A11379" s="12" t="s">
        <v>26830</v>
      </c>
      <c r="B11379" s="13" t="s">
        <v>26831</v>
      </c>
      <c r="C11379" s="14" t="s">
        <v>26832</v>
      </c>
      <c r="D11379" s="1" t="str">
        <f>IFERROR(__xludf.DUMMYFUNCTION("GOOGLETRANSLATE(A11379 , ""auto"", ""ar"")"),"خذ حماما")</f>
        <v>خذ حماما</v>
      </c>
    </row>
    <row r="11380" ht="15.75" customHeight="1">
      <c r="A11380" s="12" t="s">
        <v>26833</v>
      </c>
      <c r="B11380" s="13" t="s">
        <v>26834</v>
      </c>
      <c r="C11380" s="14" t="s">
        <v>26835</v>
      </c>
      <c r="D11380" s="1" t="str">
        <f>IFERROR(__xludf.DUMMYFUNCTION("GOOGLETRANSLATE(A11380 , ""auto"", ""ar"")"),"اذهب لتستحم")</f>
        <v>اذهب لتستحم</v>
      </c>
    </row>
    <row r="11381" ht="15.75" customHeight="1">
      <c r="A11381" s="12" t="s">
        <v>26836</v>
      </c>
      <c r="B11381" s="13" t="s">
        <v>26837</v>
      </c>
      <c r="C11381" s="14" t="s">
        <v>26838</v>
      </c>
      <c r="D11381" s="1" t="str">
        <f>IFERROR(__xludf.DUMMYFUNCTION("GOOGLETRANSLATE(A11381 , ""auto"", ""ar"")"),"أفضل مكان للبدء")</f>
        <v>أفضل مكان للبدء</v>
      </c>
    </row>
    <row r="11382" ht="15.75" customHeight="1">
      <c r="A11382" s="12" t="s">
        <v>26839</v>
      </c>
      <c r="B11382" s="13" t="s">
        <v>26840</v>
      </c>
      <c r="C11382" s="14" t="s">
        <v>26841</v>
      </c>
      <c r="D11382" s="1" t="str">
        <f>IFERROR(__xludf.DUMMYFUNCTION("GOOGLETRANSLATE(A11382 , ""auto"", ""ar"")"),"سأبدأ من خلال عمل مكياجي")</f>
        <v>سأبدأ من خلال عمل مكياجي</v>
      </c>
    </row>
    <row r="11383" ht="15.75" customHeight="1">
      <c r="A11383" s="12" t="s">
        <v>26842</v>
      </c>
      <c r="B11383" s="13" t="s">
        <v>26843</v>
      </c>
      <c r="C11383" s="14" t="s">
        <v>26844</v>
      </c>
      <c r="D11383" s="1" t="str">
        <f>IFERROR(__xludf.DUMMYFUNCTION("GOOGLETRANSLATE(A11383 , ""auto"", ""ar"")"),"بعد ذلك")</f>
        <v>بعد ذلك</v>
      </c>
    </row>
    <row r="11384" ht="15.75" customHeight="1">
      <c r="A11384" s="12" t="s">
        <v>26845</v>
      </c>
      <c r="B11384" s="13" t="s">
        <v>26846</v>
      </c>
      <c r="C11384" s="14" t="s">
        <v>26847</v>
      </c>
      <c r="D11384" s="1" t="str">
        <f>IFERROR(__xludf.DUMMYFUNCTION("GOOGLETRANSLATE(A11384 , ""auto"", ""ar"")"),"الخطوة التالية هي ..")</f>
        <v>الخطوة التالية هي ..</v>
      </c>
    </row>
    <row r="11385" ht="15.75" customHeight="1">
      <c r="A11385" s="12" t="s">
        <v>26848</v>
      </c>
      <c r="B11385" s="13" t="s">
        <v>26849</v>
      </c>
      <c r="C11385" s="14" t="s">
        <v>26850</v>
      </c>
      <c r="D11385" s="1" t="str">
        <f>IFERROR(__xludf.DUMMYFUNCTION("GOOGLETRANSLATE(A11385 , ""auto"", ""ar"")"),"عندما تنتهي من ذلك ..")</f>
        <v>عندما تنتهي من ذلك ..</v>
      </c>
    </row>
    <row r="11386" ht="15.75" customHeight="1">
      <c r="A11386" s="12" t="s">
        <v>26851</v>
      </c>
      <c r="B11386" s="13" t="s">
        <v>26852</v>
      </c>
      <c r="C11386" s="14" t="s">
        <v>26853</v>
      </c>
      <c r="D11386" s="1" t="str">
        <f>IFERROR(__xludf.DUMMYFUNCTION("GOOGLETRANSLATE(A11386 , ""auto"", ""ar"")"),"الخطوة الأخيرة هي ..")</f>
        <v>الخطوة الأخيرة هي ..</v>
      </c>
    </row>
    <row r="11387" ht="15.75" customHeight="1">
      <c r="A11387" s="12" t="s">
        <v>26854</v>
      </c>
      <c r="B11387" s="13" t="s">
        <v>26855</v>
      </c>
      <c r="C11387" s="14" t="s">
        <v>26856</v>
      </c>
      <c r="D11387" s="1" t="str">
        <f>IFERROR(__xludf.DUMMYFUNCTION("GOOGLETRANSLATE(A11387 , ""auto"", ""ar"")"),"في النهاية")</f>
        <v>في النهاية</v>
      </c>
    </row>
    <row r="11388" ht="15.75" customHeight="1">
      <c r="A11388" s="12" t="s">
        <v>26857</v>
      </c>
      <c r="B11388" s="13" t="s">
        <v>26858</v>
      </c>
      <c r="C11388" s="14" t="s">
        <v>26859</v>
      </c>
      <c r="D11388" s="1" t="str">
        <f>IFERROR(__xludf.DUMMYFUNCTION("GOOGLETRANSLATE(A11388 , ""auto"", ""ar"")"),"عندما أكملت جميع الخطوات ...")</f>
        <v>عندما أكملت جميع الخطوات ...</v>
      </c>
    </row>
    <row r="11389" ht="15.75" customHeight="1">
      <c r="A11389" s="12" t="s">
        <v>26857</v>
      </c>
      <c r="B11389" s="13" t="s">
        <v>26860</v>
      </c>
      <c r="C11389" s="14" t="s">
        <v>26861</v>
      </c>
      <c r="D11389" s="1" t="str">
        <f>IFERROR(__xludf.DUMMYFUNCTION("GOOGLETRANSLATE(A11389 , ""auto"", ""ar"")"),"عندما أكملت جميع الخطوات ...")</f>
        <v>عندما أكملت جميع الخطوات ...</v>
      </c>
    </row>
    <row r="11390" ht="15.75" customHeight="1">
      <c r="A11390" s="12" t="s">
        <v>26862</v>
      </c>
      <c r="B11390" s="13" t="s">
        <v>26863</v>
      </c>
      <c r="C11390" s="14" t="s">
        <v>26864</v>
      </c>
      <c r="D11390" s="1" t="str">
        <f>IFERROR(__xludf.DUMMYFUNCTION("GOOGLETRANSLATE(A11390 , ""auto"", ""ar"")"),"في أي وقت تحتاج إلى التحدث فقط اتصل بي")</f>
        <v>في أي وقت تحتاج إلى التحدث فقط اتصل بي</v>
      </c>
    </row>
    <row r="11391" ht="15.75" customHeight="1">
      <c r="A11391" s="12" t="s">
        <v>26862</v>
      </c>
      <c r="B11391" s="13" t="s">
        <v>26865</v>
      </c>
      <c r="C11391" s="14" t="s">
        <v>26866</v>
      </c>
      <c r="D11391" s="1" t="str">
        <f>IFERROR(__xludf.DUMMYFUNCTION("GOOGLETRANSLATE(A11391 , ""auto"", ""ar"")"),"في أي وقت تحتاج إلى التحدث فقط اتصل بي")</f>
        <v>في أي وقت تحتاج إلى التحدث فقط اتصل بي</v>
      </c>
    </row>
    <row r="11392" ht="15.75" customHeight="1">
      <c r="A11392" s="12" t="s">
        <v>26867</v>
      </c>
      <c r="B11392" s="13" t="s">
        <v>26868</v>
      </c>
      <c r="C11392" s="14" t="s">
        <v>26869</v>
      </c>
      <c r="D11392" s="1" t="str">
        <f>IFERROR(__xludf.DUMMYFUNCTION("GOOGLETRANSLATE(A11392 , ""auto"", ""ar"")"),"فقط دعني اعرف")</f>
        <v>فقط دعني اعرف</v>
      </c>
    </row>
    <row r="11393" ht="15.75" customHeight="1">
      <c r="A11393" s="12" t="s">
        <v>26870</v>
      </c>
      <c r="B11393" s="13" t="s">
        <v>26871</v>
      </c>
      <c r="C11393" s="14" t="s">
        <v>26872</v>
      </c>
      <c r="D11393" s="1" t="str">
        <f>IFERROR(__xludf.DUMMYFUNCTION("GOOGLETRANSLATE(A11393 , ""auto"", ""ar"")"),"علمني")</f>
        <v>علمني</v>
      </c>
    </row>
    <row r="11394" ht="15.75" customHeight="1">
      <c r="A11394" s="12" t="s">
        <v>26870</v>
      </c>
      <c r="B11394" s="13" t="s">
        <v>26873</v>
      </c>
      <c r="C11394" s="14" t="s">
        <v>26874</v>
      </c>
      <c r="D11394" s="1" t="str">
        <f>IFERROR(__xludf.DUMMYFUNCTION("GOOGLETRANSLATE(A11394 , ""auto"", ""ar"")"),"علمني")</f>
        <v>علمني</v>
      </c>
    </row>
    <row r="11395" ht="15.75" customHeight="1">
      <c r="A11395" s="12" t="s">
        <v>26875</v>
      </c>
      <c r="B11395" s="13" t="s">
        <v>26876</v>
      </c>
      <c r="C11395" s="14" t="s">
        <v>26877</v>
      </c>
      <c r="D11395" s="1" t="str">
        <f>IFERROR(__xludf.DUMMYFUNCTION("GOOGLETRANSLATE(A11395 , ""auto"", ""ar"")"),"تحل بالصبر معي")</f>
        <v>تحل بالصبر معي</v>
      </c>
    </row>
    <row r="11396" ht="15.75" customHeight="1">
      <c r="A11396" s="12" t="s">
        <v>26878</v>
      </c>
      <c r="B11396" s="13" t="s">
        <v>26879</v>
      </c>
      <c r="C11396" s="14" t="s">
        <v>26880</v>
      </c>
      <c r="D11396" s="1" t="str">
        <f>IFERROR(__xludf.DUMMYFUNCTION("GOOGLETRANSLATE(A11396 , ""auto"", ""ar"")"),"أنا سعيد حقًا بإبلاغك أنك نجحت")</f>
        <v>أنا سعيد حقًا بإبلاغك أنك نجحت</v>
      </c>
    </row>
    <row r="11397" ht="15.75" customHeight="1">
      <c r="A11397" s="12" t="s">
        <v>26881</v>
      </c>
      <c r="B11397" s="13" t="s">
        <v>26882</v>
      </c>
      <c r="C11397" s="14" t="s">
        <v>26883</v>
      </c>
      <c r="D11397" s="1" t="str">
        <f>IFERROR(__xludf.DUMMYFUNCTION("GOOGLETRANSLATE(A11397 , ""auto"", ""ar"")"),"هل انت مستعد لهذا؟")</f>
        <v>هل انت مستعد لهذا؟</v>
      </c>
    </row>
    <row r="11398" ht="15.75" customHeight="1">
      <c r="A11398" s="12" t="s">
        <v>26884</v>
      </c>
      <c r="B11398" s="13" t="s">
        <v>26885</v>
      </c>
      <c r="C11398" s="14" t="s">
        <v>26886</v>
      </c>
      <c r="D11398" s="1" t="str">
        <f>IFERROR(__xludf.DUMMYFUNCTION("GOOGLETRANSLATE(A11398 , ""auto"", ""ar"")"),"لا يُسمح لك بالجلوس هنا")</f>
        <v>لا يُسمح لك بالجلوس هنا</v>
      </c>
    </row>
    <row r="11399" ht="15.75" customHeight="1">
      <c r="A11399" s="12" t="s">
        <v>26887</v>
      </c>
      <c r="B11399" s="13" t="s">
        <v>26888</v>
      </c>
      <c r="C11399" s="14" t="s">
        <v>26889</v>
      </c>
      <c r="D11399" s="1" t="str">
        <f>IFERROR(__xludf.DUMMYFUNCTION("GOOGLETRANSLATE(A11399 , ""auto"", ""ar"")"),"من المحظور التدخين")</f>
        <v>من المحظور التدخين</v>
      </c>
    </row>
    <row r="11400" ht="15.75" customHeight="1">
      <c r="A11400" s="12" t="s">
        <v>26890</v>
      </c>
      <c r="B11400" s="13" t="s">
        <v>26891</v>
      </c>
      <c r="C11400" s="14" t="s">
        <v>26892</v>
      </c>
      <c r="D11400" s="1" t="str">
        <f>IFERROR(__xludf.DUMMYFUNCTION("GOOGLETRANSLATE(A11400 , ""auto"", ""ar"")"),"يجب ألا تقول ذلك")</f>
        <v>يجب ألا تقول ذلك</v>
      </c>
    </row>
    <row r="11401" ht="15.75" customHeight="1">
      <c r="A11401" s="12" t="s">
        <v>26893</v>
      </c>
      <c r="B11401" s="13" t="s">
        <v>26894</v>
      </c>
      <c r="C11401" s="14" t="s">
        <v>26895</v>
      </c>
      <c r="D11401" s="1" t="str">
        <f>IFERROR(__xludf.DUMMYFUNCTION("GOOGLETRANSLATE(A11401 , ""auto"", ""ar"")"),"اترك النافذة مفتوحة")</f>
        <v>اترك النافذة مفتوحة</v>
      </c>
    </row>
    <row r="11402" ht="15.75" customHeight="1">
      <c r="A11402" s="12" t="s">
        <v>26896</v>
      </c>
      <c r="B11402" s="13" t="s">
        <v>26897</v>
      </c>
      <c r="C11402" s="14" t="s">
        <v>26898</v>
      </c>
      <c r="D11402" s="1" t="str">
        <f>IFERROR(__xludf.DUMMYFUNCTION("GOOGLETRANSLATE(A11402 , ""auto"", ""ar"")"),"إطعام الحيوانات")</f>
        <v>إطعام الحيوانات</v>
      </c>
    </row>
    <row r="11403" ht="15.75" customHeight="1">
      <c r="A11403" s="12" t="s">
        <v>26899</v>
      </c>
      <c r="B11403" s="13" t="s">
        <v>26900</v>
      </c>
      <c r="C11403" s="14" t="s">
        <v>26901</v>
      </c>
      <c r="D11403" s="1" t="str">
        <f>IFERROR(__xludf.DUMMYFUNCTION("GOOGLETRANSLATE(A11403 , ""auto"", ""ar"")"),"لا تسبح هنا")</f>
        <v>لا تسبح هنا</v>
      </c>
    </row>
    <row r="11404" ht="15.75" customHeight="1">
      <c r="A11404" s="12" t="s">
        <v>26902</v>
      </c>
      <c r="B11404" s="13" t="s">
        <v>26903</v>
      </c>
      <c r="C11404" s="14" t="s">
        <v>26904</v>
      </c>
      <c r="D11404" s="1" t="str">
        <f>IFERROR(__xludf.DUMMYFUNCTION("GOOGLETRANSLATE(A11404 , ""auto"", ""ar"")"),"اشتريت خاتم")</f>
        <v>اشتريت خاتم</v>
      </c>
    </row>
    <row r="11405" ht="15.75" customHeight="1">
      <c r="A11405" s="12" t="s">
        <v>26905</v>
      </c>
      <c r="B11405" s="13" t="s">
        <v>26906</v>
      </c>
      <c r="C11405" s="14" t="s">
        <v>26907</v>
      </c>
      <c r="D11405" s="1" t="str">
        <f>IFERROR(__xludf.DUMMYFUNCTION("GOOGLETRANSLATE(A11405 , ""auto"", ""ar"")"),"هل تعرف أين متجره؟")</f>
        <v>هل تعرف أين متجره؟</v>
      </c>
    </row>
    <row r="11406" ht="15.75" customHeight="1">
      <c r="A11406" s="12" t="s">
        <v>26908</v>
      </c>
      <c r="B11406" s="13" t="s">
        <v>26909</v>
      </c>
      <c r="C11406" s="14" t="s">
        <v>26910</v>
      </c>
      <c r="D11406" s="1" t="str">
        <f>IFERROR(__xludf.DUMMYFUNCTION("GOOGLETRANSLATE(A11406 , ""auto"", ""ar"")"),"كيف يمكنني الوصول إلى محطة القطار؟")</f>
        <v>كيف يمكنني الوصول إلى محطة القطار؟</v>
      </c>
    </row>
    <row r="11407" ht="15.75" customHeight="1">
      <c r="A11407" s="12" t="s">
        <v>26911</v>
      </c>
      <c r="B11407" s="13" t="s">
        <v>26912</v>
      </c>
      <c r="C11407" s="14" t="s">
        <v>26913</v>
      </c>
      <c r="D11407" s="1" t="str">
        <f>IFERROR(__xludf.DUMMYFUNCTION("GOOGLETRANSLATE(A11407 , ""auto"", ""ar"")"),"هل تستطيع ان تريني الطريق؟")</f>
        <v>هل تستطيع ان تريني الطريق؟</v>
      </c>
    </row>
    <row r="11408" ht="15.75" customHeight="1">
      <c r="A11408" s="12" t="s">
        <v>26914</v>
      </c>
      <c r="B11408" s="13" t="s">
        <v>26915</v>
      </c>
      <c r="C11408" s="14" t="s">
        <v>26916</v>
      </c>
      <c r="D11408" s="1" t="str">
        <f>IFERROR(__xludf.DUMMYFUNCTION("GOOGLETRANSLATE(A11408 , ""auto"", ""ar"")"),"اين مكتب البريد؟")</f>
        <v>اين مكتب البريد؟</v>
      </c>
    </row>
    <row r="11409" ht="15.75" customHeight="1">
      <c r="A11409" s="12" t="s">
        <v>18608</v>
      </c>
      <c r="B11409" s="13" t="s">
        <v>18609</v>
      </c>
      <c r="C11409" s="14" t="s">
        <v>18610</v>
      </c>
      <c r="D11409" s="1" t="str">
        <f>IFERROR(__xludf.DUMMYFUNCTION("GOOGLETRANSLATE(A11409 , ""auto"", ""ar"")"),"أين المستشفى؟")</f>
        <v>أين المستشفى؟</v>
      </c>
    </row>
    <row r="11410" ht="15.75" customHeight="1">
      <c r="A11410" s="12" t="s">
        <v>26917</v>
      </c>
      <c r="B11410" s="13" t="s">
        <v>26918</v>
      </c>
      <c r="C11410" s="14" t="s">
        <v>26919</v>
      </c>
      <c r="D11410" s="1" t="str">
        <f>IFERROR(__xludf.DUMMYFUNCTION("GOOGLETRANSLATE(A11410 , ""auto"", ""ar"")"),"هل يمكنك أن تريني على الخريطة؟")</f>
        <v>هل يمكنك أن تريني على الخريطة؟</v>
      </c>
    </row>
    <row r="11411" ht="15.75" customHeight="1">
      <c r="A11411" s="12" t="s">
        <v>26920</v>
      </c>
      <c r="B11411" s="13" t="s">
        <v>26921</v>
      </c>
      <c r="C11411" s="14" t="s">
        <v>26922</v>
      </c>
      <c r="D11411" s="1" t="str">
        <f>IFERROR(__xludf.DUMMYFUNCTION("GOOGLETRANSLATE(A11411 , ""auto"", ""ar"")"),"ما هي أفضل طريقة؟")</f>
        <v>ما هي أفضل طريقة؟</v>
      </c>
    </row>
    <row r="11412" ht="15.75" customHeight="1">
      <c r="A11412" s="12" t="s">
        <v>26923</v>
      </c>
      <c r="B11412" s="13" t="s">
        <v>26924</v>
      </c>
      <c r="C11412" s="14" t="s">
        <v>26925</v>
      </c>
      <c r="D11412" s="1" t="str">
        <f>IFERROR(__xludf.DUMMYFUNCTION("GOOGLETRANSLATE(A11412 , ""auto"", ""ar"")"),"أين هو المطار؟")</f>
        <v>أين هو المطار؟</v>
      </c>
    </row>
    <row r="11413" ht="15.75" customHeight="1">
      <c r="A11413" s="12" t="s">
        <v>26926</v>
      </c>
      <c r="B11413" s="13" t="s">
        <v>26927</v>
      </c>
      <c r="C11413" s="14" t="s">
        <v>26928</v>
      </c>
      <c r="D11413" s="1" t="str">
        <f>IFERROR(__xludf.DUMMYFUNCTION("GOOGLETRANSLATE(A11413 , ""auto"", ""ar"")"),"كم تبعد من هنا؟")</f>
        <v>كم تبعد من هنا؟</v>
      </c>
    </row>
    <row r="11414" ht="15.75" customHeight="1">
      <c r="A11414" s="12" t="s">
        <v>26929</v>
      </c>
      <c r="B11414" s="13" t="s">
        <v>26930</v>
      </c>
      <c r="C11414" s="14" t="s">
        <v>26931</v>
      </c>
      <c r="D11414" s="1" t="str">
        <f>IFERROR(__xludf.DUMMYFUNCTION("GOOGLETRANSLATE(A11414 , ""auto"", ""ar"")"),"ما هو الشارع هذا؟")</f>
        <v>ما هو الشارع هذا؟</v>
      </c>
    </row>
    <row r="11415" ht="15.75" customHeight="1">
      <c r="A11415" s="12" t="s">
        <v>26932</v>
      </c>
      <c r="B11415" s="13" t="s">
        <v>26933</v>
      </c>
      <c r="C11415" s="14" t="s">
        <v>26934</v>
      </c>
      <c r="D11415" s="1" t="str">
        <f>IFERROR(__xludf.DUMMYFUNCTION("GOOGLETRANSLATE(A11415 , ""auto"", ""ar"")"),"هل هذا هو الطريق إلى مركز الشرطة؟")</f>
        <v>هل هذا هو الطريق إلى مركز الشرطة؟</v>
      </c>
    </row>
    <row r="11416" ht="15.75" customHeight="1">
      <c r="A11416" s="12" t="s">
        <v>26935</v>
      </c>
      <c r="B11416" s="13" t="s">
        <v>26936</v>
      </c>
      <c r="C11416" s="14" t="s">
        <v>26937</v>
      </c>
      <c r="D11416" s="1" t="str">
        <f>IFERROR(__xludf.DUMMYFUNCTION("GOOGLETRANSLATE(A11416 , ""auto"", ""ar"")"),"يوجد سوبر ماركت بالقرب من هنا؟")</f>
        <v>يوجد سوبر ماركت بالقرب من هنا؟</v>
      </c>
    </row>
    <row r="11417" ht="15.75" customHeight="1">
      <c r="A11417" s="12" t="s">
        <v>26938</v>
      </c>
      <c r="B11417" s="13" t="s">
        <v>26939</v>
      </c>
      <c r="C11417" s="14" t="s">
        <v>26940</v>
      </c>
      <c r="D11417" s="1" t="str">
        <f>IFERROR(__xludf.DUMMYFUNCTION("GOOGLETRANSLATE(A11417 , ""auto"", ""ar"")"),"ماذا تقصد؟")</f>
        <v>ماذا تقصد؟</v>
      </c>
    </row>
    <row r="11418" ht="15.75" customHeight="1">
      <c r="A11418" s="12" t="s">
        <v>26941</v>
      </c>
      <c r="B11418" s="13" t="s">
        <v>26942</v>
      </c>
      <c r="C11418" s="14" t="s">
        <v>26943</v>
      </c>
      <c r="D11418" s="1" t="str">
        <f>IFERROR(__xludf.DUMMYFUNCTION("GOOGLETRANSLATE(A11418 , ""auto"", ""ar"")"),"هل تتبعني؟")</f>
        <v>هل تتبعني؟</v>
      </c>
    </row>
    <row r="11419" ht="15.75" customHeight="1">
      <c r="A11419" s="12" t="s">
        <v>26944</v>
      </c>
      <c r="B11419" s="13" t="s">
        <v>26945</v>
      </c>
      <c r="C11419" s="14" t="s">
        <v>26946</v>
      </c>
      <c r="D11419" s="1" t="str">
        <f>IFERROR(__xludf.DUMMYFUNCTION("GOOGLETRANSLATE(A11419 , ""auto"", ""ar"")"),"هل تفهم ما أقصد؟")</f>
        <v>هل تفهم ما أقصد؟</v>
      </c>
    </row>
    <row r="11420" ht="15.75" customHeight="1">
      <c r="A11420" s="12" t="s">
        <v>26947</v>
      </c>
      <c r="B11420" s="13" t="s">
        <v>26948</v>
      </c>
      <c r="C11420" s="14" t="s">
        <v>26949</v>
      </c>
      <c r="D11420" s="1" t="str">
        <f>IFERROR(__xludf.DUMMYFUNCTION("GOOGLETRANSLATE(A11420 , ""auto"", ""ar"")"),"هل تفهم ما اقول؟")</f>
        <v>هل تفهم ما اقول؟</v>
      </c>
    </row>
    <row r="11421" ht="15.75" customHeight="1">
      <c r="A11421" s="12" t="s">
        <v>26950</v>
      </c>
      <c r="B11421" s="13" t="s">
        <v>26951</v>
      </c>
      <c r="C11421" s="14" t="s">
        <v>26952</v>
      </c>
      <c r="D11421" s="1" t="str">
        <f>IFERROR(__xludf.DUMMYFUNCTION("GOOGLETRANSLATE(A11421 , ""auto"", ""ar"")"),"أي سؤال؟")</f>
        <v>أي سؤال؟</v>
      </c>
    </row>
    <row r="11422" ht="15.75" customHeight="1">
      <c r="A11422" s="12" t="s">
        <v>26953</v>
      </c>
      <c r="B11422" s="13" t="s">
        <v>23182</v>
      </c>
      <c r="C11422" s="14" t="s">
        <v>23183</v>
      </c>
      <c r="D11422" s="1" t="str">
        <f>IFERROR(__xludf.DUMMYFUNCTION("GOOGLETRANSLATE(A11422 , ""auto"", ""ar"")"),"فهمتها؟")</f>
        <v>فهمتها؟</v>
      </c>
    </row>
    <row r="11423" ht="15.75" customHeight="1">
      <c r="A11423" s="12" t="s">
        <v>26954</v>
      </c>
      <c r="B11423" s="13" t="s">
        <v>26955</v>
      </c>
      <c r="C11423" s="14" t="s">
        <v>26956</v>
      </c>
      <c r="D11423" s="1" t="str">
        <f>IFERROR(__xludf.DUMMYFUNCTION("GOOGLETRANSLATE(A11423 , ""auto"", ""ar"")"),"أنا لا أتبعك")</f>
        <v>أنا لا أتبعك</v>
      </c>
    </row>
    <row r="11424" ht="15.75" customHeight="1">
      <c r="A11424" s="12" t="s">
        <v>26957</v>
      </c>
      <c r="B11424" s="13" t="s">
        <v>26958</v>
      </c>
      <c r="C11424" s="14" t="s">
        <v>26959</v>
      </c>
      <c r="D11424" s="1" t="str">
        <f>IFERROR(__xludf.DUMMYFUNCTION("GOOGLETRANSLATE(A11424 , ""auto"", ""ar"")"),"السيارات كثيرة")</f>
        <v>السيارات كثيرة</v>
      </c>
    </row>
    <row r="11425" ht="15.75" customHeight="1">
      <c r="A11425" s="12" t="s">
        <v>26960</v>
      </c>
      <c r="B11425" s="13" t="s">
        <v>26961</v>
      </c>
      <c r="C11425" s="14" t="s">
        <v>26962</v>
      </c>
      <c r="D11425" s="1" t="str">
        <f>IFERROR(__xludf.DUMMYFUNCTION("GOOGLETRANSLATE(A11425 , ""auto"", ""ar"")"),"هل يمكنك توضيح ذلك؟")</f>
        <v>هل يمكنك توضيح ذلك؟</v>
      </c>
    </row>
    <row r="11426" ht="15.75" customHeight="1">
      <c r="A11426" s="12" t="s">
        <v>26963</v>
      </c>
      <c r="B11426" s="13" t="s">
        <v>26964</v>
      </c>
      <c r="C11426" s="14" t="s">
        <v>26965</v>
      </c>
      <c r="D11426" s="1" t="str">
        <f>IFERROR(__xludf.DUMMYFUNCTION("GOOGLETRANSLATE(A11426 , ""auto"", ""ar"")"),"هل يمكن أن تشرح ذلك؟")</f>
        <v>هل يمكن أن تشرح ذلك؟</v>
      </c>
    </row>
    <row r="11427" ht="15.75" customHeight="1">
      <c r="A11427" s="12" t="s">
        <v>26966</v>
      </c>
      <c r="B11427" s="13" t="s">
        <v>26967</v>
      </c>
      <c r="C11427" s="14" t="s">
        <v>26968</v>
      </c>
      <c r="D11427" s="1" t="str">
        <f>IFERROR(__xludf.DUMMYFUNCTION("GOOGLETRANSLATE(A11427 , ""auto"", ""ar"")"),"هل بإمكانك قول ذلك مجددا؟")</f>
        <v>هل بإمكانك قول ذلك مجددا؟</v>
      </c>
    </row>
    <row r="11428" ht="15.75" customHeight="1">
      <c r="A11428" s="12" t="s">
        <v>26969</v>
      </c>
      <c r="B11428" s="13" t="s">
        <v>26970</v>
      </c>
      <c r="C11428" s="14" t="s">
        <v>26971</v>
      </c>
      <c r="D11428" s="1" t="str">
        <f>IFERROR(__xludf.DUMMYFUNCTION("GOOGLETRANSLATE(A11428 , ""auto"", ""ar"")"),"هل يمكنك وضعها بشكل مختلف؟")</f>
        <v>هل يمكنك وضعها بشكل مختلف؟</v>
      </c>
    </row>
    <row r="11429" ht="15.75" customHeight="1">
      <c r="A11429" s="12" t="s">
        <v>26972</v>
      </c>
      <c r="B11429" s="13" t="s">
        <v>26973</v>
      </c>
      <c r="C11429" s="14" t="s">
        <v>26974</v>
      </c>
      <c r="D11429" s="1" t="str">
        <f>IFERROR(__xludf.DUMMYFUNCTION("GOOGLETRANSLATE(A11429 , ""auto"", ""ar"")"),"دعني أشرح")</f>
        <v>دعني أشرح</v>
      </c>
    </row>
    <row r="11430" ht="15.75" customHeight="1">
      <c r="A11430" s="12" t="s">
        <v>26975</v>
      </c>
      <c r="B11430" s="13" t="s">
        <v>26976</v>
      </c>
      <c r="C11430" s="14" t="s">
        <v>26977</v>
      </c>
      <c r="D11430" s="1" t="str">
        <f>IFERROR(__xludf.DUMMYFUNCTION("GOOGLETRANSLATE(A11430 , ""auto"", ""ar"")"),"اسمحوا لي أن أوضح لك")</f>
        <v>اسمحوا لي أن أوضح لك</v>
      </c>
    </row>
    <row r="11431" ht="15.75" customHeight="1">
      <c r="A11431" s="12" t="s">
        <v>26978</v>
      </c>
      <c r="B11431" s="13" t="s">
        <v>26979</v>
      </c>
      <c r="C11431" s="14" t="s">
        <v>26980</v>
      </c>
      <c r="D11431" s="1" t="str">
        <f>IFERROR(__xludf.DUMMYFUNCTION("GOOGLETRANSLATE(A11431 , ""auto"", ""ar"")"),"اتمنى ان اراك")</f>
        <v>اتمنى ان اراك</v>
      </c>
    </row>
    <row r="11432" ht="15.75" customHeight="1">
      <c r="A11432" s="12" t="s">
        <v>26981</v>
      </c>
      <c r="B11432" s="13" t="s">
        <v>26982</v>
      </c>
      <c r="C11432" s="14" t="s">
        <v>26983</v>
      </c>
      <c r="D11432" s="1" t="str">
        <f>IFERROR(__xludf.DUMMYFUNCTION("GOOGLETRANSLATE(A11432 , ""auto"", ""ar"")"),"سيفوز بالعرض")</f>
        <v>سيفوز بالعرض</v>
      </c>
    </row>
    <row r="11433" ht="15.75" customHeight="1">
      <c r="A11433" s="12" t="s">
        <v>26984</v>
      </c>
      <c r="B11433" s="13" t="s">
        <v>26985</v>
      </c>
      <c r="C11433" s="14" t="s">
        <v>26986</v>
      </c>
      <c r="D11433" s="1" t="str">
        <f>IFERROR(__xludf.DUMMYFUNCTION("GOOGLETRANSLATE(A11433 , ""auto"", ""ar"")"),"سأشتري سيارة جديدة")</f>
        <v>سأشتري سيارة جديدة</v>
      </c>
    </row>
    <row r="11434" ht="15.75" customHeight="1">
      <c r="A11434" s="12" t="s">
        <v>26987</v>
      </c>
      <c r="B11434" s="13" t="s">
        <v>26988</v>
      </c>
      <c r="C11434" s="14" t="s">
        <v>26989</v>
      </c>
      <c r="D11434" s="1" t="str">
        <f>IFERROR(__xludf.DUMMYFUNCTION("GOOGLETRANSLATE(A11434 , ""auto"", ""ar"")"),"أود أن أسمع وجهة نظرك")</f>
        <v>أود أن أسمع وجهة نظرك</v>
      </c>
    </row>
    <row r="11435" ht="15.75" customHeight="1">
      <c r="A11435" s="12" t="s">
        <v>26990</v>
      </c>
      <c r="B11435" s="13" t="s">
        <v>26991</v>
      </c>
      <c r="C11435" s="14" t="s">
        <v>26992</v>
      </c>
      <c r="D11435" s="1" t="str">
        <f>IFERROR(__xludf.DUMMYFUNCTION("GOOGLETRANSLATE(A11435 , ""auto"", ""ar"")"),"ما هي أعراضك؟")</f>
        <v>ما هي أعراضك؟</v>
      </c>
    </row>
    <row r="11436" ht="15.75" customHeight="1">
      <c r="A11436" s="12" t="s">
        <v>26993</v>
      </c>
      <c r="B11436" s="13" t="s">
        <v>26994</v>
      </c>
      <c r="C11436" s="14" t="s">
        <v>26995</v>
      </c>
      <c r="D11436" s="1" t="str">
        <f>IFERROR(__xludf.DUMMYFUNCTION("GOOGLETRANSLATE(A11436 , ""auto"", ""ar"")"),"كيف تشعر اليوم؟")</f>
        <v>كيف تشعر اليوم؟</v>
      </c>
    </row>
    <row r="11437" ht="15.75" customHeight="1">
      <c r="A11437" s="12" t="s">
        <v>26996</v>
      </c>
      <c r="B11437" s="13" t="s">
        <v>26997</v>
      </c>
      <c r="C11437" s="14" t="s">
        <v>26998</v>
      </c>
      <c r="D11437" s="1" t="str">
        <f>IFERROR(__xludf.DUMMYFUNCTION("GOOGLETRANSLATE(A11437 , ""auto"", ""ar"")"),"هل تشعر بتحسن؟")</f>
        <v>هل تشعر بتحسن؟</v>
      </c>
    </row>
    <row r="11438" ht="15.75" customHeight="1">
      <c r="A11438" s="12" t="s">
        <v>26999</v>
      </c>
      <c r="B11438" s="13" t="s">
        <v>27000</v>
      </c>
      <c r="C11438" s="14" t="s">
        <v>27001</v>
      </c>
      <c r="D11438" s="1" t="str">
        <f>IFERROR(__xludf.DUMMYFUNCTION("GOOGLETRANSLATE(A11438 , ""auto"", ""ar"")"),"هل لديك أي نوع من الحساسية؟")</f>
        <v>هل لديك أي نوع من الحساسية؟</v>
      </c>
    </row>
    <row r="11439" ht="15.75" customHeight="1">
      <c r="A11439" s="12" t="s">
        <v>27002</v>
      </c>
      <c r="B11439" s="13" t="s">
        <v>27003</v>
      </c>
      <c r="C11439" s="14" t="s">
        <v>27004</v>
      </c>
      <c r="D11439" s="1" t="str">
        <f>IFERROR(__xludf.DUMMYFUNCTION("GOOGLETRANSLATE(A11439 , ""auto"", ""ar"")"),"منذ متى وأنت تشعر بهذا؟")</f>
        <v>منذ متى وأنت تشعر بهذا؟</v>
      </c>
    </row>
    <row r="11440" ht="15.75" customHeight="1">
      <c r="A11440" s="12" t="s">
        <v>27005</v>
      </c>
      <c r="B11440" s="13" t="s">
        <v>27006</v>
      </c>
      <c r="C11440" s="14" t="s">
        <v>27007</v>
      </c>
      <c r="D11440" s="1" t="str">
        <f>IFERROR(__xludf.DUMMYFUNCTION("GOOGLETRANSLATE(A11440 , ""auto"", ""ar"")"),"هل لديك أي دواء؟")</f>
        <v>هل لديك أي دواء؟</v>
      </c>
    </row>
    <row r="11441" ht="15.75" customHeight="1">
      <c r="A11441" s="12" t="s">
        <v>27008</v>
      </c>
      <c r="B11441" s="13" t="s">
        <v>27009</v>
      </c>
      <c r="C11441" s="14" t="s">
        <v>27010</v>
      </c>
      <c r="D11441" s="1" t="str">
        <f>IFERROR(__xludf.DUMMYFUNCTION("GOOGLETRANSLATE(A11441 , ""auto"", ""ar"")"),"لدي التهاب في الحلق")</f>
        <v>لدي التهاب في الحلق</v>
      </c>
    </row>
    <row r="11442" ht="15.75" customHeight="1">
      <c r="A11442" s="12" t="s">
        <v>27011</v>
      </c>
      <c r="B11442" s="13" t="s">
        <v>27012</v>
      </c>
      <c r="C11442" s="14" t="s">
        <v>27013</v>
      </c>
      <c r="D11442" s="1" t="str">
        <f>IFERROR(__xludf.DUMMYFUNCTION("GOOGLETRANSLATE(A11442 , ""auto"", ""ar"")"),"أنا أعاني من ضغط دم عالي")</f>
        <v>أنا أعاني من ضغط دم عالي</v>
      </c>
    </row>
    <row r="11443" ht="15.75" customHeight="1">
      <c r="A11443" s="12" t="s">
        <v>27014</v>
      </c>
      <c r="B11443" s="13" t="s">
        <v>27015</v>
      </c>
      <c r="C11443" s="14" t="s">
        <v>27016</v>
      </c>
      <c r="D11443" s="1" t="str">
        <f>IFERROR(__xludf.DUMMYFUNCTION("GOOGLETRANSLATE(A11443 , ""auto"", ""ar"")"),"لدي ألم في ظهري")</f>
        <v>لدي ألم في ظهري</v>
      </c>
    </row>
    <row r="11444" ht="15.75" customHeight="1">
      <c r="A11444" s="12" t="s">
        <v>27017</v>
      </c>
      <c r="B11444" s="13" t="s">
        <v>27018</v>
      </c>
      <c r="C11444" s="14" t="s">
        <v>27019</v>
      </c>
      <c r="D11444" s="1" t="str">
        <f>IFERROR(__xludf.DUMMYFUNCTION("GOOGLETRANSLATE(A11444 , ""auto"", ""ar"")"),"أنا في كثير من الألم")</f>
        <v>أنا في كثير من الألم</v>
      </c>
    </row>
    <row r="11445" ht="15.75" customHeight="1">
      <c r="A11445" s="12" t="s">
        <v>27020</v>
      </c>
      <c r="B11445" s="13" t="s">
        <v>27021</v>
      </c>
      <c r="C11445" s="14" t="s">
        <v>27022</v>
      </c>
      <c r="D11445" s="1" t="str">
        <f>IFERROR(__xludf.DUMMYFUNCTION("GOOGLETRANSLATE(A11445 , ""auto"", ""ar"")"),"عندي ألم في المعدة")</f>
        <v>عندي ألم في المعدة</v>
      </c>
    </row>
    <row r="11446" ht="15.75" customHeight="1">
      <c r="A11446" s="12" t="s">
        <v>27023</v>
      </c>
      <c r="B11446" s="13" t="s">
        <v>27024</v>
      </c>
      <c r="C11446" s="14" t="s">
        <v>27025</v>
      </c>
      <c r="D11446" s="1" t="str">
        <f>IFERROR(__xludf.DUMMYFUNCTION("GOOGLETRANSLATE(A11446 , ""auto"", ""ar"")"),"اشعر بالدوار")</f>
        <v>اشعر بالدوار</v>
      </c>
    </row>
    <row r="11447" ht="15.75" customHeight="1">
      <c r="A11447" s="12" t="s">
        <v>27026</v>
      </c>
      <c r="B11447" s="13" t="s">
        <v>27027</v>
      </c>
      <c r="C11447" s="14" t="s">
        <v>27028</v>
      </c>
      <c r="D11447" s="1" t="str">
        <f>IFERROR(__xludf.DUMMYFUNCTION("GOOGLETRANSLATE(A11447 , ""auto"", ""ar"")"),"أنا بالدوار")</f>
        <v>أنا بالدوار</v>
      </c>
    </row>
    <row r="11448" ht="15.75" customHeight="1">
      <c r="A11448" s="12" t="s">
        <v>27029</v>
      </c>
      <c r="B11448" s="13" t="s">
        <v>27030</v>
      </c>
      <c r="C11448" s="14" t="s">
        <v>27031</v>
      </c>
      <c r="D11448" s="1" t="str">
        <f>IFERROR(__xludf.DUMMYFUNCTION("GOOGLETRANSLATE(A11448 , ""auto"", ""ar"")"),"لدي صعوبة في التنفس")</f>
        <v>لدي صعوبة في التنفس</v>
      </c>
    </row>
    <row r="11449" ht="15.75" customHeight="1">
      <c r="A11449" s="12" t="s">
        <v>27032</v>
      </c>
      <c r="B11449" s="13" t="s">
        <v>27033</v>
      </c>
      <c r="C11449" s="14" t="s">
        <v>27034</v>
      </c>
      <c r="D11449" s="1" t="str">
        <f>IFERROR(__xludf.DUMMYFUNCTION("GOOGLETRANSLATE(A11449 , ""auto"", ""ar"")"),"أنا لا أنام جيدًا")</f>
        <v>أنا لا أنام جيدًا</v>
      </c>
    </row>
    <row r="11450" ht="15.75" customHeight="1">
      <c r="A11450" s="12" t="s">
        <v>27035</v>
      </c>
      <c r="B11450" s="13" t="s">
        <v>27036</v>
      </c>
      <c r="C11450" s="14" t="s">
        <v>27037</v>
      </c>
      <c r="D11450" s="1" t="str">
        <f>IFERROR(__xludf.DUMMYFUNCTION("GOOGLETRANSLATE(A11450 , ""auto"", ""ar"")"),"التهاني على تعزيز الخاص بك")</f>
        <v>التهاني على تعزيز الخاص بك</v>
      </c>
    </row>
    <row r="11451" ht="15.75" customHeight="1">
      <c r="A11451" s="12" t="s">
        <v>27038</v>
      </c>
      <c r="B11451" s="13" t="s">
        <v>27039</v>
      </c>
      <c r="C11451" s="14" t="s">
        <v>27040</v>
      </c>
      <c r="D11451" s="1" t="str">
        <f>IFERROR(__xludf.DUMMYFUNCTION("GOOGLETRANSLATE(A11451 , ""auto"", ""ar"")"),"مبروك على تخرجك")</f>
        <v>مبروك على تخرجك</v>
      </c>
    </row>
    <row r="11452" ht="15.75" customHeight="1">
      <c r="A11452" s="12" t="s">
        <v>27041</v>
      </c>
      <c r="B11452" s="13" t="s">
        <v>27042</v>
      </c>
      <c r="C11452" s="14" t="s">
        <v>27043</v>
      </c>
      <c r="D11452" s="1" t="str">
        <f>IFERROR(__xludf.DUMMYFUNCTION("GOOGLETRANSLATE(A11452 , ""auto"", ""ar"")"),"تستحقها!")</f>
        <v>تستحقها!</v>
      </c>
    </row>
    <row r="11453" ht="15.75" customHeight="1">
      <c r="A11453" s="12" t="s">
        <v>27044</v>
      </c>
      <c r="B11453" s="13" t="s">
        <v>27045</v>
      </c>
      <c r="C11453" s="14" t="s">
        <v>27046</v>
      </c>
      <c r="D11453" s="1" t="str">
        <f>IFERROR(__xludf.DUMMYFUNCTION("GOOGLETRANSLATE(A11453 , ""auto"", ""ar"")"),"أتمنى حياة زوجية سعيدة")</f>
        <v>أتمنى حياة زوجية سعيدة</v>
      </c>
    </row>
    <row r="11454" ht="15.75" customHeight="1">
      <c r="A11454" s="12" t="s">
        <v>27047</v>
      </c>
      <c r="B11454" s="13" t="s">
        <v>27048</v>
      </c>
      <c r="C11454" s="14" t="s">
        <v>27049</v>
      </c>
      <c r="D11454" s="1" t="str">
        <f>IFERROR(__xludf.DUMMYFUNCTION("GOOGLETRANSLATE(A11454 , ""auto"", ""ar"")"),"أنا أساعدك لأنني معجب بك")</f>
        <v>أنا أساعدك لأنني معجب بك</v>
      </c>
    </row>
    <row r="11455" ht="15.75" customHeight="1">
      <c r="A11455" s="12" t="s">
        <v>27050</v>
      </c>
      <c r="B11455" s="13" t="s">
        <v>27051</v>
      </c>
      <c r="C11455" s="14" t="s">
        <v>27052</v>
      </c>
      <c r="D11455" s="1" t="str">
        <f>IFERROR(__xludf.DUMMYFUNCTION("GOOGLETRANSLATE(A11455 , ""auto"", ""ar"")"),"أريد اجتياز الامتحان")</f>
        <v>أريد اجتياز الامتحان</v>
      </c>
    </row>
    <row r="11456" ht="15.75" customHeight="1">
      <c r="A11456" s="12" t="s">
        <v>27053</v>
      </c>
      <c r="B11456" s="13" t="s">
        <v>27054</v>
      </c>
      <c r="C11456" s="14" t="s">
        <v>27055</v>
      </c>
      <c r="D11456" s="1" t="str">
        <f>IFERROR(__xludf.DUMMYFUNCTION("GOOGLETRANSLATE(A11456 , ""auto"", ""ar"")"),"أنا سمين")</f>
        <v>أنا سمين</v>
      </c>
    </row>
    <row r="11457" ht="15.75" customHeight="1">
      <c r="A11457" s="12" t="s">
        <v>27056</v>
      </c>
      <c r="B11457" s="13" t="s">
        <v>27057</v>
      </c>
      <c r="C11457" s="14" t="s">
        <v>27058</v>
      </c>
      <c r="D11457" s="1" t="str">
        <f>IFERROR(__xludf.DUMMYFUNCTION("GOOGLETRANSLATE(A11457 , ""auto"", ""ar"")"),"أنا نحيف للغاية")</f>
        <v>أنا نحيف للغاية</v>
      </c>
    </row>
    <row r="11458" ht="15.75" customHeight="1">
      <c r="A11458" s="12" t="s">
        <v>27059</v>
      </c>
      <c r="B11458" s="13" t="s">
        <v>27060</v>
      </c>
      <c r="C11458" s="14" t="s">
        <v>27061</v>
      </c>
      <c r="D11458" s="1" t="str">
        <f>IFERROR(__xludf.DUMMYFUNCTION("GOOGLETRANSLATE(A11458 , ""auto"", ""ar"")"),"لا أستطيع الركض بسرعة")</f>
        <v>لا أستطيع الركض بسرعة</v>
      </c>
    </row>
    <row r="11459" ht="15.75" customHeight="1">
      <c r="A11459" s="12" t="s">
        <v>27062</v>
      </c>
      <c r="B11459" s="13" t="s">
        <v>27063</v>
      </c>
      <c r="C11459" s="14" t="s">
        <v>27064</v>
      </c>
      <c r="D11459" s="1" t="str">
        <f>IFERROR(__xludf.DUMMYFUNCTION("GOOGLETRANSLATE(A11459 , ""auto"", ""ar"")"),"سأفعل أي شيء لتجعلك سعيدًا")</f>
        <v>سأفعل أي شيء لتجعلك سعيدًا</v>
      </c>
    </row>
    <row r="11460" ht="15.75" customHeight="1">
      <c r="A11460" s="12" t="s">
        <v>27065</v>
      </c>
      <c r="B11460" s="13" t="s">
        <v>27066</v>
      </c>
      <c r="C11460" s="14" t="s">
        <v>27067</v>
      </c>
      <c r="D11460" s="1" t="str">
        <f>IFERROR(__xludf.DUMMYFUNCTION("GOOGLETRANSLATE(A11460 , ""auto"", ""ar"")"),"لم آكل أي شيء")</f>
        <v>لم آكل أي شيء</v>
      </c>
    </row>
    <row r="11461" ht="15.75" customHeight="1">
      <c r="A11461" s="12" t="s">
        <v>27068</v>
      </c>
      <c r="B11461" s="13" t="s">
        <v>27069</v>
      </c>
      <c r="C11461" s="14" t="s">
        <v>27070</v>
      </c>
      <c r="D11461" s="1" t="str">
        <f>IFERROR(__xludf.DUMMYFUNCTION("GOOGLETRANSLATE(A11461 , ""auto"", ""ar"")"),"لقد فعلت ذلك بسببك")</f>
        <v>لقد فعلت ذلك بسببك</v>
      </c>
    </row>
    <row r="11462" ht="15.75" customHeight="1">
      <c r="A11462" s="12" t="s">
        <v>27068</v>
      </c>
      <c r="B11462" s="13" t="s">
        <v>27071</v>
      </c>
      <c r="C11462" s="14" t="s">
        <v>27072</v>
      </c>
      <c r="D11462" s="1" t="str">
        <f>IFERROR(__xludf.DUMMYFUNCTION("GOOGLETRANSLATE(A11462 , ""auto"", ""ar"")"),"لقد فعلت ذلك بسببك")</f>
        <v>لقد فعلت ذلك بسببك</v>
      </c>
    </row>
    <row r="11463" ht="15.75" customHeight="1">
      <c r="A11463" s="12" t="s">
        <v>27073</v>
      </c>
      <c r="B11463" s="13" t="s">
        <v>27074</v>
      </c>
      <c r="C11463" s="14" t="s">
        <v>27075</v>
      </c>
      <c r="D11463" s="1" t="str">
        <f>IFERROR(__xludf.DUMMYFUNCTION("GOOGLETRANSLATE(A11463 , ""auto"", ""ar"")"),"تم إلغاء الرحلة")</f>
        <v>تم إلغاء الرحلة</v>
      </c>
    </row>
    <row r="11464" ht="15.75" customHeight="1">
      <c r="A11464" s="12" t="s">
        <v>27076</v>
      </c>
      <c r="B11464" s="13" t="s">
        <v>27077</v>
      </c>
      <c r="C11464" s="14" t="s">
        <v>27078</v>
      </c>
      <c r="D11464" s="1" t="str">
        <f>IFERROR(__xludf.DUMMYFUNCTION("GOOGLETRANSLATE(A11464 , ""auto"", ""ar"")"),"تمت إقالته")</f>
        <v>تمت إقالته</v>
      </c>
    </row>
    <row r="11465" ht="15.75" customHeight="1">
      <c r="A11465" s="12" t="s">
        <v>27076</v>
      </c>
      <c r="B11465" s="13" t="s">
        <v>27079</v>
      </c>
      <c r="C11465" s="14" t="s">
        <v>27080</v>
      </c>
      <c r="D11465" s="1" t="str">
        <f>IFERROR(__xludf.DUMMYFUNCTION("GOOGLETRANSLATE(A11465 , ""auto"", ""ar"")"),"تمت إقالته")</f>
        <v>تمت إقالته</v>
      </c>
    </row>
    <row r="11466" ht="15.75" customHeight="1">
      <c r="A11466" s="12" t="s">
        <v>27081</v>
      </c>
      <c r="B11466" s="13" t="s">
        <v>27082</v>
      </c>
      <c r="C11466" s="14" t="s">
        <v>27083</v>
      </c>
      <c r="D11466" s="1" t="str">
        <f>IFERROR(__xludf.DUMMYFUNCTION("GOOGLETRANSLATE(A11466 , ""auto"", ""ar"")"),"لم أستطع المجيء إلى حزبكم")</f>
        <v>لم أستطع المجيء إلى حزبكم</v>
      </c>
    </row>
    <row r="11467" ht="15.75" customHeight="1">
      <c r="A11467" s="12" t="s">
        <v>27084</v>
      </c>
      <c r="B11467" s="13" t="s">
        <v>27085</v>
      </c>
      <c r="C11467" s="14" t="s">
        <v>27086</v>
      </c>
      <c r="D11467" s="1" t="str">
        <f>IFERROR(__xludf.DUMMYFUNCTION("GOOGLETRANSLATE(A11467 , ""auto"", ""ar"")"),"هل لي أن أقدم نفسي؟")</f>
        <v>هل لي أن أقدم نفسي؟</v>
      </c>
    </row>
    <row r="11468" ht="15.75" customHeight="1">
      <c r="A11468" s="12" t="s">
        <v>27087</v>
      </c>
      <c r="B11468" s="13" t="s">
        <v>27088</v>
      </c>
      <c r="C11468" s="14" t="s">
        <v>27089</v>
      </c>
      <c r="D11468" s="1" t="str">
        <f>IFERROR(__xludf.DUMMYFUNCTION("GOOGLETRANSLATE(A11468 , ""auto"", ""ar"")"),"أود أن أقدم نفسي")</f>
        <v>أود أن أقدم نفسي</v>
      </c>
    </row>
    <row r="11469" ht="15.75" customHeight="1">
      <c r="A11469" s="12" t="s">
        <v>27087</v>
      </c>
      <c r="B11469" s="13" t="s">
        <v>27090</v>
      </c>
      <c r="C11469" s="14" t="s">
        <v>27091</v>
      </c>
      <c r="D11469" s="1" t="str">
        <f>IFERROR(__xludf.DUMMYFUNCTION("GOOGLETRANSLATE(A11469 , ""auto"", ""ar"")"),"أود أن أقدم نفسي")</f>
        <v>أود أن أقدم نفسي</v>
      </c>
    </row>
    <row r="11470" ht="15.75" customHeight="1">
      <c r="A11470" s="12" t="s">
        <v>9547</v>
      </c>
      <c r="B11470" s="13" t="s">
        <v>27092</v>
      </c>
      <c r="C11470" s="14" t="s">
        <v>27093</v>
      </c>
      <c r="D11470" s="1" t="str">
        <f>IFERROR(__xludf.DUMMYFUNCTION("GOOGLETRANSLATE(A11470 , ""auto"", ""ar"")"),"أي ساعة؟")</f>
        <v>أي ساعة؟</v>
      </c>
    </row>
    <row r="11471" ht="15.75" customHeight="1">
      <c r="A11471" s="12" t="s">
        <v>27094</v>
      </c>
      <c r="B11471" s="13" t="s">
        <v>27095</v>
      </c>
      <c r="C11471" s="14" t="s">
        <v>27096</v>
      </c>
      <c r="D11471" s="1" t="str">
        <f>IFERROR(__xludf.DUMMYFUNCTION("GOOGLETRANSLATE(A11471 , ""auto"", ""ar"")"),"كم انتظرت من الوقت؟")</f>
        <v>كم انتظرت من الوقت؟</v>
      </c>
    </row>
    <row r="11472" ht="15.75" customHeight="1">
      <c r="A11472" s="12" t="s">
        <v>27097</v>
      </c>
      <c r="B11472" s="13" t="s">
        <v>27098</v>
      </c>
      <c r="C11472" s="14" t="s">
        <v>27099</v>
      </c>
      <c r="D11472" s="1" t="str">
        <f>IFERROR(__xludf.DUMMYFUNCTION("GOOGLETRANSLATE(A11472 , ""auto"", ""ar"")"),"في اي وقت يمكن ان نلتقي؟")</f>
        <v>في اي وقت يمكن ان نلتقي؟</v>
      </c>
    </row>
    <row r="11473" ht="15.75" customHeight="1">
      <c r="A11473" s="12" t="s">
        <v>27100</v>
      </c>
      <c r="B11473" s="13" t="s">
        <v>27101</v>
      </c>
      <c r="C11473" s="14" t="s">
        <v>27102</v>
      </c>
      <c r="D11473" s="1" t="str">
        <f>IFERROR(__xludf.DUMMYFUNCTION("GOOGLETRANSLATE(A11473 , ""auto"", ""ar"")"),"إنها الساعة العاشرة")</f>
        <v>إنها الساعة العاشرة</v>
      </c>
    </row>
    <row r="11474" ht="15.75" customHeight="1">
      <c r="A11474" s="12" t="s">
        <v>27103</v>
      </c>
      <c r="B11474" s="13" t="s">
        <v>27104</v>
      </c>
      <c r="C11474" s="14" t="s">
        <v>27105</v>
      </c>
      <c r="D11474" s="1" t="str">
        <f>IFERROR(__xludf.DUMMYFUNCTION("GOOGLETRANSLATE(A11474 , ""auto"", ""ar"")"),"الوقت منتصف الليل")</f>
        <v>الوقت منتصف الليل</v>
      </c>
    </row>
    <row r="11475" ht="15.75" customHeight="1">
      <c r="A11475" s="12" t="s">
        <v>27106</v>
      </c>
      <c r="B11475" s="13" t="s">
        <v>27107</v>
      </c>
      <c r="C11475" s="14" t="s">
        <v>27108</v>
      </c>
      <c r="D11475" s="1" t="str">
        <f>IFERROR(__xludf.DUMMYFUNCTION("GOOGLETRANSLATE(A11475 , ""auto"", ""ar"")"),"الساعة 6 صباحًا")</f>
        <v>الساعة 6 صباحًا</v>
      </c>
    </row>
    <row r="11476" ht="15.75" customHeight="1">
      <c r="A11476" s="12" t="s">
        <v>27109</v>
      </c>
      <c r="B11476" s="13" t="s">
        <v>27110</v>
      </c>
      <c r="C11476" s="14" t="s">
        <v>27111</v>
      </c>
      <c r="D11476" s="1" t="str">
        <f>IFERROR(__xludf.DUMMYFUNCTION("GOOGLETRANSLATE(A11476 , ""auto"", ""ar"")"),"نراكم في الساعة 8 مساءً")</f>
        <v>نراكم في الساعة 8 مساءً</v>
      </c>
    </row>
    <row r="11477" ht="15.75" customHeight="1">
      <c r="A11477" s="12" t="s">
        <v>27112</v>
      </c>
      <c r="B11477" s="13" t="s">
        <v>27113</v>
      </c>
      <c r="C11477" s="14" t="s">
        <v>27114</v>
      </c>
      <c r="D11477" s="1" t="str">
        <f>IFERROR(__xludf.DUMMYFUNCTION("GOOGLETRANSLATE(A11477 , ""auto"", ""ar"")"),"ساعتي توقفت")</f>
        <v>ساعتي توقفت</v>
      </c>
    </row>
    <row r="11478" ht="15.75" customHeight="1">
      <c r="A11478" s="12" t="s">
        <v>27115</v>
      </c>
      <c r="B11478" s="13" t="s">
        <v>27116</v>
      </c>
      <c r="C11478" s="14" t="s">
        <v>27117</v>
      </c>
      <c r="D11478" s="1" t="str">
        <f>IFERROR(__xludf.DUMMYFUNCTION("GOOGLETRANSLATE(A11478 , ""auto"", ""ar"")"),"لا تضيع وقتك")</f>
        <v>لا تضيع وقتك</v>
      </c>
    </row>
    <row r="11479" ht="15.75" customHeight="1">
      <c r="A11479" s="12" t="s">
        <v>27118</v>
      </c>
      <c r="B11479" s="13" t="s">
        <v>27119</v>
      </c>
      <c r="C11479" s="14" t="s">
        <v>27120</v>
      </c>
      <c r="D11479" s="1" t="str">
        <f>IFERROR(__xludf.DUMMYFUNCTION("GOOGLETRANSLATE(A11479 , ""auto"", ""ar"")"),"لدينا الكثير من الوقت")</f>
        <v>لدينا الكثير من الوقت</v>
      </c>
    </row>
    <row r="11480" ht="15.75" customHeight="1">
      <c r="A11480" s="12" t="s">
        <v>27121</v>
      </c>
      <c r="B11480" s="13" t="s">
        <v>27122</v>
      </c>
      <c r="C11480" s="14" t="s">
        <v>27123</v>
      </c>
      <c r="D11480" s="1" t="str">
        <f>IFERROR(__xludf.DUMMYFUNCTION("GOOGLETRANSLATE(A11480 , ""auto"", ""ar"")"),"أعطني المزيد من الوقت")</f>
        <v>أعطني المزيد من الوقت</v>
      </c>
    </row>
    <row r="11481" ht="15.75" customHeight="1">
      <c r="A11481" s="12" t="s">
        <v>27124</v>
      </c>
      <c r="B11481" s="13" t="s">
        <v>27125</v>
      </c>
      <c r="C11481" s="14" t="s">
        <v>27126</v>
      </c>
      <c r="D11481" s="1" t="str">
        <f>IFERROR(__xludf.DUMMYFUNCTION("GOOGLETRANSLATE(A11481 , ""auto"", ""ar"")"),"الوقت يمر بسرعة")</f>
        <v>الوقت يمر بسرعة</v>
      </c>
    </row>
    <row r="11482" ht="15.75" customHeight="1">
      <c r="A11482" s="12" t="s">
        <v>27127</v>
      </c>
      <c r="B11482" s="13" t="s">
        <v>27128</v>
      </c>
      <c r="C11482" s="14" t="s">
        <v>27129</v>
      </c>
      <c r="D11482" s="1" t="str">
        <f>IFERROR(__xludf.DUMMYFUNCTION("GOOGLETRANSLATE(A11482 , ""auto"", ""ar"")"),"أنا أستطيع القراءة")</f>
        <v>أنا أستطيع القراءة</v>
      </c>
    </row>
    <row r="11483" ht="15.75" customHeight="1">
      <c r="A11483" s="12" t="s">
        <v>27130</v>
      </c>
      <c r="B11483" s="13" t="s">
        <v>27131</v>
      </c>
      <c r="C11483" s="14" t="s">
        <v>27132</v>
      </c>
      <c r="D11483" s="1" t="str">
        <f>IFERROR(__xludf.DUMMYFUNCTION("GOOGLETRANSLATE(A11483 , ""auto"", ""ar"")"),"أستطيع أن أكتب")</f>
        <v>أستطيع أن أكتب</v>
      </c>
    </row>
    <row r="11484" ht="15.75" customHeight="1">
      <c r="A11484" s="12" t="s">
        <v>27133</v>
      </c>
      <c r="B11484" s="13" t="s">
        <v>27134</v>
      </c>
      <c r="C11484" s="14" t="s">
        <v>27135</v>
      </c>
      <c r="D11484" s="1" t="str">
        <f>IFERROR(__xludf.DUMMYFUNCTION("GOOGLETRANSLATE(A11484 , ""auto"", ""ar"")"),"استطيع التحدث")</f>
        <v>استطيع التحدث</v>
      </c>
    </row>
    <row r="11485" ht="15.75" customHeight="1">
      <c r="A11485" s="12" t="s">
        <v>27136</v>
      </c>
      <c r="B11485" s="13" t="s">
        <v>27137</v>
      </c>
      <c r="C11485" s="14" t="s">
        <v>27138</v>
      </c>
      <c r="D11485" s="1" t="str">
        <f>IFERROR(__xludf.DUMMYFUNCTION("GOOGLETRANSLATE(A11485 , ""auto"", ""ar"")"),"لديك نطق جيد")</f>
        <v>لديك نطق جيد</v>
      </c>
    </row>
    <row r="11486" ht="15.75" customHeight="1">
      <c r="A11486" s="12" t="s">
        <v>27139</v>
      </c>
      <c r="B11486" s="13" t="s">
        <v>27140</v>
      </c>
      <c r="C11486" s="14" t="s">
        <v>27141</v>
      </c>
      <c r="D11486" s="1" t="str">
        <f>IFERROR(__xludf.DUMMYFUNCTION("GOOGLETRANSLATE(A11486 , ""auto"", ""ar"")"),"أود أن أحسن نفسي")</f>
        <v>أود أن أحسن نفسي</v>
      </c>
    </row>
    <row r="11487" ht="15.75" customHeight="1">
      <c r="A11487" s="12" t="s">
        <v>27142</v>
      </c>
      <c r="B11487" s="13" t="s">
        <v>27143</v>
      </c>
      <c r="C11487" s="14" t="s">
        <v>27144</v>
      </c>
      <c r="D11487" s="1" t="str">
        <f>IFERROR(__xludf.DUMMYFUNCTION("GOOGLETRANSLATE(A11487 , ""auto"", ""ar"")"),"لغتي الانجليزية ليست جيدة")</f>
        <v>لغتي الانجليزية ليست جيدة</v>
      </c>
    </row>
    <row r="11488" ht="15.75" customHeight="1">
      <c r="A11488" s="12" t="s">
        <v>27145</v>
      </c>
      <c r="B11488" s="13" t="s">
        <v>27146</v>
      </c>
      <c r="C11488" s="14" t="s">
        <v>27147</v>
      </c>
      <c r="D11488" s="1" t="str">
        <f>IFERROR(__xludf.DUMMYFUNCTION("GOOGLETRANSLATE(A11488 , ""auto"", ""ar"")"),"من فضلك تحدث ببطء")</f>
        <v>من فضلك تحدث ببطء</v>
      </c>
    </row>
    <row r="11489" ht="15.75" customHeight="1">
      <c r="A11489" s="12" t="s">
        <v>27148</v>
      </c>
      <c r="B11489" s="13" t="s">
        <v>27149</v>
      </c>
      <c r="C11489" s="14" t="s">
        <v>27150</v>
      </c>
      <c r="D11489" s="1" t="str">
        <f>IFERROR(__xludf.DUMMYFUNCTION("GOOGLETRANSLATE(A11489 , ""auto"", ""ar"")"),"رأيت أسد")</f>
        <v>رأيت أسد</v>
      </c>
    </row>
    <row r="11490" ht="15.75" customHeight="1">
      <c r="A11490" s="12" t="s">
        <v>27151</v>
      </c>
      <c r="B11490" s="13" t="s">
        <v>27152</v>
      </c>
      <c r="C11490" s="14" t="s">
        <v>27153</v>
      </c>
      <c r="D11490" s="1" t="str">
        <f>IFERROR(__xludf.DUMMYFUNCTION("GOOGLETRANSLATE(A11490 , ""auto"", ""ar"")"),"اجب على الهاتف")</f>
        <v>اجب على الهاتف</v>
      </c>
    </row>
    <row r="11491" ht="15.75" customHeight="1">
      <c r="A11491" s="12" t="s">
        <v>27154</v>
      </c>
      <c r="B11491" s="13" t="s">
        <v>27155</v>
      </c>
      <c r="C11491" s="14" t="s">
        <v>27156</v>
      </c>
      <c r="D11491" s="1" t="str">
        <f>IFERROR(__xludf.DUMMYFUNCTION("GOOGLETRANSLATE(A11491 , ""auto"", ""ar"")"),"أطفئ التلفاز")</f>
        <v>أطفئ التلفاز</v>
      </c>
    </row>
    <row r="11492" ht="15.75" customHeight="1">
      <c r="A11492" s="12" t="s">
        <v>27157</v>
      </c>
      <c r="B11492" s="13" t="s">
        <v>27158</v>
      </c>
      <c r="C11492" s="14" t="s">
        <v>27159</v>
      </c>
      <c r="D11492" s="1" t="str">
        <f>IFERROR(__xludf.DUMMYFUNCTION("GOOGLETRANSLATE(A11492 , ""auto"", ""ar"")"),"ليس لدي شك")</f>
        <v>ليس لدي شك</v>
      </c>
    </row>
    <row r="11493" ht="15.75" customHeight="1">
      <c r="A11493" s="12" t="s">
        <v>27160</v>
      </c>
      <c r="B11493" s="13" t="s">
        <v>27161</v>
      </c>
      <c r="C11493" s="14" t="s">
        <v>27162</v>
      </c>
      <c r="D11493" s="1" t="str">
        <f>IFERROR(__xludf.DUMMYFUNCTION("GOOGLETRANSLATE(A11493 , ""auto"", ""ar"")"),"أنا لا أعرف حتى الآن")</f>
        <v>أنا لا أعرف حتى الآن</v>
      </c>
    </row>
    <row r="11494" ht="15.75" customHeight="1">
      <c r="A11494" s="12" t="s">
        <v>27163</v>
      </c>
      <c r="B11494" s="13" t="s">
        <v>27164</v>
      </c>
      <c r="C11494" s="14" t="s">
        <v>27165</v>
      </c>
      <c r="D11494" s="1" t="str">
        <f>IFERROR(__xludf.DUMMYFUNCTION("GOOGLETRANSLATE(A11494 , ""auto"", ""ar"")"),"رأيتك هذا الصباح")</f>
        <v>رأيتك هذا الصباح</v>
      </c>
    </row>
    <row r="11495" ht="15.75" customHeight="1">
      <c r="A11495" s="12" t="s">
        <v>27166</v>
      </c>
      <c r="B11495" s="13" t="s">
        <v>27167</v>
      </c>
      <c r="C11495" s="14" t="s">
        <v>27168</v>
      </c>
      <c r="D11495" s="1" t="str">
        <f>IFERROR(__xludf.DUMMYFUNCTION("GOOGLETRANSLATE(A11495 , ""auto"", ""ar"")"),"دعونا نلعب البطاقات")</f>
        <v>دعونا نلعب البطاقات</v>
      </c>
    </row>
    <row r="11496" ht="15.75" customHeight="1">
      <c r="A11496" s="12" t="s">
        <v>27169</v>
      </c>
      <c r="B11496" s="13" t="s">
        <v>27170</v>
      </c>
      <c r="C11496" s="14" t="s">
        <v>27171</v>
      </c>
      <c r="D11496" s="1" t="str">
        <f>IFERROR(__xludf.DUMMYFUNCTION("GOOGLETRANSLATE(A11496 , ""auto"", ""ar"")"),"أشكركم على دعوتكم")</f>
        <v>أشكركم على دعوتكم</v>
      </c>
    </row>
    <row r="11497" ht="15.75" customHeight="1">
      <c r="A11497" s="12" t="s">
        <v>27172</v>
      </c>
      <c r="B11497" s="13" t="s">
        <v>27173</v>
      </c>
      <c r="C11497" s="14" t="s">
        <v>27174</v>
      </c>
      <c r="D11497" s="1" t="str">
        <f>IFERROR(__xludf.DUMMYFUNCTION("GOOGLETRANSLATE(A11497 , ""auto"", ""ar"")"),"هذا لطف منك")</f>
        <v>هذا لطف منك</v>
      </c>
    </row>
    <row r="11498" ht="15.75" customHeight="1">
      <c r="A11498" s="12" t="s">
        <v>27175</v>
      </c>
      <c r="B11498" s="13" t="s">
        <v>27176</v>
      </c>
      <c r="C11498" s="14" t="s">
        <v>27177</v>
      </c>
      <c r="D11498" s="1" t="str">
        <f>IFERROR(__xludf.DUMMYFUNCTION("GOOGLETRANSLATE(A11498 , ""auto"", ""ar"")"),"أنا لا أحب نفسي")</f>
        <v>أنا لا أحب نفسي</v>
      </c>
    </row>
    <row r="11499" ht="15.75" customHeight="1">
      <c r="A11499" s="12" t="s">
        <v>27178</v>
      </c>
      <c r="B11499" s="13" t="s">
        <v>27179</v>
      </c>
      <c r="C11499" s="14" t="s">
        <v>27180</v>
      </c>
      <c r="D11499" s="1" t="str">
        <f>IFERROR(__xludf.DUMMYFUNCTION("GOOGLETRANSLATE(A11499 , ""auto"", ""ar"")"),"أعطني الكتاب")</f>
        <v>أعطني الكتاب</v>
      </c>
    </row>
    <row r="11500" ht="15.75" customHeight="1">
      <c r="A11500" s="12" t="s">
        <v>27181</v>
      </c>
      <c r="B11500" s="13" t="s">
        <v>27182</v>
      </c>
      <c r="C11500" s="14" t="s">
        <v>27183</v>
      </c>
      <c r="D11500" s="1" t="str">
        <f>IFERROR(__xludf.DUMMYFUNCTION("GOOGLETRANSLATE(A11500 , ""auto"", ""ar"")"),"خذنى إلى المنزل")</f>
        <v>خذنى إلى المنزل</v>
      </c>
    </row>
    <row r="11501" ht="15.75" customHeight="1">
      <c r="A11501" s="12" t="s">
        <v>27184</v>
      </c>
      <c r="B11501" s="13" t="s">
        <v>27185</v>
      </c>
      <c r="C11501" s="14" t="s">
        <v>27186</v>
      </c>
      <c r="D11501" s="1" t="str">
        <f>IFERROR(__xludf.DUMMYFUNCTION("GOOGLETRANSLATE(A11501 , ""auto"", ""ar"")"),"أخبرني بما حدث")</f>
        <v>أخبرني بما حدث</v>
      </c>
    </row>
    <row r="11502" ht="15.75" customHeight="1">
      <c r="A11502" s="12" t="s">
        <v>27187</v>
      </c>
      <c r="B11502" s="13" t="s">
        <v>27188</v>
      </c>
      <c r="C11502" s="14" t="s">
        <v>27189</v>
      </c>
      <c r="D11502" s="1" t="str">
        <f>IFERROR(__xludf.DUMMYFUNCTION("GOOGLETRANSLATE(A11502 , ""auto"", ""ar"")"),"ماذا كنت تفعل مؤخرا؟")</f>
        <v>ماذا كنت تفعل مؤخرا؟</v>
      </c>
    </row>
    <row r="11503" ht="15.75" customHeight="1">
      <c r="A11503" s="12" t="s">
        <v>27190</v>
      </c>
      <c r="B11503" s="13" t="s">
        <v>27191</v>
      </c>
      <c r="C11503" s="14" t="s">
        <v>27192</v>
      </c>
      <c r="D11503" s="1" t="str">
        <f>IFERROR(__xludf.DUMMYFUNCTION("GOOGLETRANSLATE(A11503 , ""auto"", ""ar"")"),"أنا خائف منك")</f>
        <v>أنا خائف منك</v>
      </c>
    </row>
    <row r="11504" ht="15.75" customHeight="1">
      <c r="A11504" s="12" t="s">
        <v>27193</v>
      </c>
      <c r="B11504" s="13" t="s">
        <v>27194</v>
      </c>
      <c r="C11504" s="14" t="s">
        <v>27195</v>
      </c>
      <c r="D11504" s="1" t="str">
        <f>IFERROR(__xludf.DUMMYFUNCTION("GOOGLETRANSLATE(A11504 , ""auto"", ""ar"")"),"أحب والدي")</f>
        <v>أحب والدي</v>
      </c>
    </row>
    <row r="11505" ht="15.75" customHeight="1">
      <c r="A11505" s="12" t="s">
        <v>27196</v>
      </c>
      <c r="B11505" s="13" t="s">
        <v>27197</v>
      </c>
      <c r="C11505" s="14" t="s">
        <v>27198</v>
      </c>
      <c r="D11505" s="1" t="str">
        <f>IFERROR(__xludf.DUMMYFUNCTION("GOOGLETRANSLATE(A11505 , ""auto"", ""ar"")"),"أريد أن أسافر في العالم")</f>
        <v>أريد أن أسافر في العالم</v>
      </c>
    </row>
    <row r="11506" ht="15.75" customHeight="1">
      <c r="A11506" s="12" t="s">
        <v>27199</v>
      </c>
      <c r="B11506" s="13" t="s">
        <v>27200</v>
      </c>
      <c r="C11506" s="14" t="s">
        <v>27201</v>
      </c>
      <c r="D11506" s="1" t="str">
        <f>IFERROR(__xludf.DUMMYFUNCTION("GOOGLETRANSLATE(A11506 , ""auto"", ""ar"")"),"ثقافات جديدة")</f>
        <v>ثقافات جديدة</v>
      </c>
    </row>
    <row r="11507" ht="15.75" customHeight="1">
      <c r="A11507" s="12" t="s">
        <v>27202</v>
      </c>
      <c r="B11507" s="13" t="s">
        <v>27203</v>
      </c>
      <c r="C11507" s="14" t="s">
        <v>27204</v>
      </c>
      <c r="D11507" s="1" t="str">
        <f>IFERROR(__xludf.DUMMYFUNCTION("GOOGLETRANSLATE(A11507 , ""auto"", ""ar"")"),"أريد أن أكتشف الثقافة الهندية")</f>
        <v>أريد أن أكتشف الثقافة الهندية</v>
      </c>
    </row>
    <row r="11508" ht="15.75" customHeight="1">
      <c r="A11508" s="12" t="s">
        <v>27205</v>
      </c>
      <c r="B11508" s="13" t="s">
        <v>27206</v>
      </c>
      <c r="C11508" s="14" t="s">
        <v>27207</v>
      </c>
      <c r="D11508" s="1" t="str">
        <f>IFERROR(__xludf.DUMMYFUNCTION("GOOGLETRANSLATE(A11508 , ""auto"", ""ar"")"),"لا أخاف أحدا")</f>
        <v>لا أخاف أحدا</v>
      </c>
    </row>
    <row r="11509" ht="15.75" customHeight="1">
      <c r="A11509" s="12" t="s">
        <v>27208</v>
      </c>
      <c r="B11509" s="13" t="s">
        <v>27209</v>
      </c>
      <c r="C11509" s="14" t="s">
        <v>27210</v>
      </c>
      <c r="D11509" s="1" t="str">
        <f>IFERROR(__xludf.DUMMYFUNCTION("GOOGLETRANSLATE(A11509 , ""auto"", ""ar"")"),"أخشى الله فقط")</f>
        <v>أخشى الله فقط</v>
      </c>
    </row>
    <row r="11510" ht="15.75" customHeight="1">
      <c r="A11510" s="12" t="s">
        <v>27211</v>
      </c>
      <c r="B11510" s="13" t="s">
        <v>27212</v>
      </c>
      <c r="C11510" s="14" t="s">
        <v>27213</v>
      </c>
      <c r="D11510" s="1" t="str">
        <f>IFERROR(__xludf.DUMMYFUNCTION("GOOGLETRANSLATE(A11510 , ""auto"", ""ar"")"),"الله قريب منا")</f>
        <v>الله قريب منا</v>
      </c>
    </row>
    <row r="11511" ht="15.75" customHeight="1">
      <c r="A11511" s="12" t="s">
        <v>27214</v>
      </c>
      <c r="B11511" s="13" t="s">
        <v>27215</v>
      </c>
      <c r="C11511" s="14" t="s">
        <v>27216</v>
      </c>
      <c r="D11511" s="1" t="str">
        <f>IFERROR(__xludf.DUMMYFUNCTION("GOOGLETRANSLATE(A11511 , ""auto"", ""ar"")"),"هل يمكنك ترجمته لي؟")</f>
        <v>هل يمكنك ترجمته لي؟</v>
      </c>
    </row>
    <row r="11512" ht="15.75" customHeight="1">
      <c r="A11512" s="12" t="s">
        <v>27217</v>
      </c>
      <c r="B11512" s="13" t="s">
        <v>27218</v>
      </c>
      <c r="C11512" s="14" t="s">
        <v>27219</v>
      </c>
      <c r="D11512" s="1" t="str">
        <f>IFERROR(__xludf.DUMMYFUNCTION("GOOGLETRANSLATE(A11512 , ""auto"", ""ar"")"),"الجميع يعلم")</f>
        <v>الجميع يعلم</v>
      </c>
    </row>
    <row r="11513" ht="15.75" customHeight="1">
      <c r="A11513" s="12" t="s">
        <v>27217</v>
      </c>
      <c r="B11513" s="13" t="s">
        <v>27220</v>
      </c>
      <c r="C11513" s="14" t="s">
        <v>27221</v>
      </c>
      <c r="D11513" s="1" t="str">
        <f>IFERROR(__xludf.DUMMYFUNCTION("GOOGLETRANSLATE(A11513 , ""auto"", ""ar"")"),"الجميع يعلم")</f>
        <v>الجميع يعلم</v>
      </c>
    </row>
    <row r="11514" ht="15.75" customHeight="1">
      <c r="A11514" s="12" t="s">
        <v>27222</v>
      </c>
      <c r="B11514" s="13" t="s">
        <v>27223</v>
      </c>
      <c r="C11514" s="14" t="s">
        <v>27224</v>
      </c>
      <c r="D11514" s="1" t="str">
        <f>IFERROR(__xludf.DUMMYFUNCTION("GOOGLETRANSLATE(A11514 , ""auto"", ""ar"")"),"انقذني")</f>
        <v>انقذني</v>
      </c>
    </row>
    <row r="11515" ht="15.75" customHeight="1">
      <c r="A11515" s="12" t="s">
        <v>27225</v>
      </c>
      <c r="B11515" s="13" t="s">
        <v>27226</v>
      </c>
      <c r="C11515" s="14" t="s">
        <v>27227</v>
      </c>
      <c r="D11515" s="1" t="str">
        <f>IFERROR(__xludf.DUMMYFUNCTION("GOOGLETRANSLATE(A11515 , ""auto"", ""ar"")"),"لا أعرف كيفية استخدامه")</f>
        <v>لا أعرف كيفية استخدامه</v>
      </c>
    </row>
    <row r="11516" ht="15.75" customHeight="1">
      <c r="A11516" s="12" t="s">
        <v>10248</v>
      </c>
      <c r="B11516" s="13" t="s">
        <v>27228</v>
      </c>
      <c r="C11516" s="14" t="s">
        <v>27229</v>
      </c>
      <c r="D11516" s="1" t="str">
        <f>IFERROR(__xludf.DUMMYFUNCTION("GOOGLETRANSLATE(A11516 , ""auto"", ""ar"")"),"لا أريد أن أزعجك")</f>
        <v>لا أريد أن أزعجك</v>
      </c>
    </row>
    <row r="11517" ht="15.75" customHeight="1">
      <c r="A11517" s="12" t="s">
        <v>27230</v>
      </c>
      <c r="B11517" s="13" t="s">
        <v>27231</v>
      </c>
      <c r="C11517" s="14" t="s">
        <v>27232</v>
      </c>
      <c r="D11517" s="1" t="str">
        <f>IFERROR(__xludf.DUMMYFUNCTION("GOOGLETRANSLATE(A11517 , ""auto"", ""ar"")"),"لا أريده")</f>
        <v>لا أريده</v>
      </c>
    </row>
    <row r="11518" ht="15.75" customHeight="1">
      <c r="A11518" s="12" t="s">
        <v>27233</v>
      </c>
      <c r="B11518" s="13" t="s">
        <v>27234</v>
      </c>
      <c r="C11518" s="14" t="s">
        <v>27235</v>
      </c>
      <c r="D11518" s="1" t="str">
        <f>IFERROR(__xludf.DUMMYFUNCTION("GOOGLETRANSLATE(A11518 , ""auto"", ""ar"")"),"أنا قادم لأخذك")</f>
        <v>أنا قادم لأخذك</v>
      </c>
    </row>
    <row r="11519" ht="15.75" customHeight="1">
      <c r="A11519" s="12" t="s">
        <v>27236</v>
      </c>
      <c r="B11519" s="13" t="s">
        <v>27237</v>
      </c>
      <c r="C11519" s="14" t="s">
        <v>27238</v>
      </c>
      <c r="D11519" s="1" t="str">
        <f>IFERROR(__xludf.DUMMYFUNCTION("GOOGLETRANSLATE(A11519 , ""auto"", ""ar"")"),"أحتاج إلى تغيير ملابسي")</f>
        <v>أحتاج إلى تغيير ملابسي</v>
      </c>
    </row>
    <row r="11520" ht="15.75" customHeight="1">
      <c r="A11520" s="12" t="s">
        <v>27239</v>
      </c>
      <c r="B11520" s="13" t="s">
        <v>27240</v>
      </c>
      <c r="C11520" s="14" t="s">
        <v>27241</v>
      </c>
      <c r="D11520" s="1" t="str">
        <f>IFERROR(__xludf.DUMMYFUNCTION("GOOGLETRANSLATE(A11520 , ""auto"", ""ar"")"),"لقد كنت هنا لمدة يومين")</f>
        <v>لقد كنت هنا لمدة يومين</v>
      </c>
    </row>
    <row r="11521" ht="15.75" customHeight="1">
      <c r="A11521" s="12" t="s">
        <v>27242</v>
      </c>
      <c r="B11521" s="13" t="s">
        <v>21598</v>
      </c>
      <c r="C11521" s="14" t="s">
        <v>21599</v>
      </c>
      <c r="D11521" s="1" t="str">
        <f>IFERROR(__xludf.DUMMYFUNCTION("GOOGLETRANSLATE(A11521 , ""auto"", ""ar"")"),"قليلا فقط")</f>
        <v>قليلا فقط</v>
      </c>
    </row>
    <row r="11522" ht="15.75" customHeight="1">
      <c r="A11522" s="12" t="s">
        <v>19898</v>
      </c>
      <c r="B11522" s="13" t="s">
        <v>27243</v>
      </c>
      <c r="C11522" s="14" t="s">
        <v>27244</v>
      </c>
      <c r="D11522" s="1" t="str">
        <f>IFERROR(__xludf.DUMMYFUNCTION("GOOGLETRANSLATE(A11522 , ""auto"", ""ar"")"),"دعني أتحقق")</f>
        <v>دعني أتحقق</v>
      </c>
    </row>
    <row r="11523" ht="15.75" customHeight="1">
      <c r="A11523" s="12" t="s">
        <v>27245</v>
      </c>
      <c r="B11523" s="13" t="s">
        <v>27246</v>
      </c>
      <c r="C11523" s="14" t="s">
        <v>27247</v>
      </c>
      <c r="D11523" s="1" t="str">
        <f>IFERROR(__xludf.DUMMYFUNCTION("GOOGLETRANSLATE(A11523 , ""auto"", ""ar"")"),"هنا")</f>
        <v>هنا</v>
      </c>
    </row>
    <row r="11524" ht="15.75" customHeight="1">
      <c r="A11524" s="12" t="s">
        <v>27248</v>
      </c>
      <c r="B11524" s="13" t="s">
        <v>27249</v>
      </c>
      <c r="C11524" s="14" t="s">
        <v>27250</v>
      </c>
      <c r="D11524" s="1" t="str">
        <f>IFERROR(__xludf.DUMMYFUNCTION("GOOGLETRANSLATE(A11524 , ""auto"", ""ar"")"),"رائحتها سيئة")</f>
        <v>رائحتها سيئة</v>
      </c>
    </row>
    <row r="11525" ht="15.75" customHeight="1">
      <c r="A11525" s="12" t="s">
        <v>27251</v>
      </c>
      <c r="B11525" s="13" t="s">
        <v>27252</v>
      </c>
      <c r="C11525" s="14" t="s">
        <v>27253</v>
      </c>
      <c r="D11525" s="1" t="str">
        <f>IFERROR(__xludf.DUMMYFUNCTION("GOOGLETRANSLATE(A11525 , ""auto"", ""ar"")"),"أشياءك كلها هنا")</f>
        <v>أشياءك كلها هنا</v>
      </c>
    </row>
    <row r="11526" ht="15.75" customHeight="1">
      <c r="A11526" s="12" t="s">
        <v>27254</v>
      </c>
      <c r="B11526" s="13" t="s">
        <v>27255</v>
      </c>
      <c r="C11526" s="14" t="s">
        <v>27256</v>
      </c>
      <c r="D11526" s="1" t="str">
        <f>IFERROR(__xludf.DUMMYFUNCTION("GOOGLETRANSLATE(A11526 , ""auto"", ""ar"")"),"أريد أن أغادر")</f>
        <v>أريد أن أغادر</v>
      </c>
    </row>
    <row r="11527" ht="15.75" customHeight="1">
      <c r="A11527" s="12" t="s">
        <v>27257</v>
      </c>
      <c r="B11527" s="13" t="s">
        <v>27258</v>
      </c>
      <c r="C11527" s="14" t="s">
        <v>27259</v>
      </c>
      <c r="D11527" s="1" t="str">
        <f>IFERROR(__xludf.DUMMYFUNCTION("GOOGLETRANSLATE(A11527 , ""auto"", ""ar"")"),"يتسرب من المدرسة")</f>
        <v>يتسرب من المدرسة</v>
      </c>
    </row>
    <row r="11528" ht="15.75" customHeight="1">
      <c r="A11528" s="12" t="s">
        <v>27260</v>
      </c>
      <c r="B11528" s="13" t="s">
        <v>27261</v>
      </c>
      <c r="C11528" s="14" t="s">
        <v>27262</v>
      </c>
      <c r="D11528" s="1" t="str">
        <f>IFERROR(__xludf.DUMMYFUNCTION("GOOGLETRANSLATE(A11528 , ""auto"", ""ar"")"),"هل يمكنني الوصول إلى المرحاض؟")</f>
        <v>هل يمكنني الوصول إلى المرحاض؟</v>
      </c>
    </row>
    <row r="11529" ht="15.75" customHeight="1">
      <c r="A11529" s="12" t="s">
        <v>27263</v>
      </c>
      <c r="B11529" s="13" t="s">
        <v>27264</v>
      </c>
      <c r="C11529" s="14" t="s">
        <v>27265</v>
      </c>
      <c r="D11529" s="1" t="str">
        <f>IFERROR(__xludf.DUMMYFUNCTION("GOOGLETRANSLATE(A11529 , ""auto"", ""ar"")"),"أطفئ الأنوار")</f>
        <v>أطفئ الأنوار</v>
      </c>
    </row>
    <row r="11530" ht="15.75" customHeight="1">
      <c r="A11530" s="12" t="s">
        <v>27266</v>
      </c>
      <c r="B11530" s="13" t="s">
        <v>27267</v>
      </c>
      <c r="C11530" s="14" t="s">
        <v>27268</v>
      </c>
      <c r="D11530" s="1" t="str">
        <f>IFERROR(__xludf.DUMMYFUNCTION("GOOGLETRANSLATE(A11530 , ""auto"", ""ar"")"),"يمكنني بدء ؟")</f>
        <v>يمكنني بدء ؟</v>
      </c>
    </row>
    <row r="11531" ht="15.75" customHeight="1">
      <c r="A11531" s="12" t="s">
        <v>27269</v>
      </c>
      <c r="B11531" s="13" t="s">
        <v>27270</v>
      </c>
      <c r="C11531" s="14" t="s">
        <v>27271</v>
      </c>
      <c r="D11531" s="1" t="str">
        <f>IFERROR(__xludf.DUMMYFUNCTION("GOOGLETRANSLATE(A11531 , ""auto"", ""ar"")"),"هل يمكنني التوقف؟")</f>
        <v>هل يمكنني التوقف؟</v>
      </c>
    </row>
    <row r="11532" ht="15.75" customHeight="1">
      <c r="A11532" s="12" t="s">
        <v>27272</v>
      </c>
      <c r="B11532" s="13" t="s">
        <v>27273</v>
      </c>
      <c r="C11532" s="14" t="s">
        <v>27274</v>
      </c>
      <c r="D11532" s="1" t="str">
        <f>IFERROR(__xludf.DUMMYFUNCTION("GOOGLETRANSLATE(A11532 , ""auto"", ""ar"")"),"هل يمكنني الوقوف؟")</f>
        <v>هل يمكنني الوقوف؟</v>
      </c>
    </row>
    <row r="11533" ht="15.75" customHeight="1">
      <c r="A11533" s="12" t="s">
        <v>27275</v>
      </c>
      <c r="B11533" s="13" t="s">
        <v>27276</v>
      </c>
      <c r="C11533" s="14" t="s">
        <v>27277</v>
      </c>
      <c r="D11533" s="1" t="str">
        <f>IFERROR(__xludf.DUMMYFUNCTION("GOOGLETRANSLATE(A11533 , ""auto"", ""ar"")"),"بتغدر تعلي صوتك؟")</f>
        <v>بتغدر تعلي صوتك؟</v>
      </c>
    </row>
    <row r="11534" ht="15.75" customHeight="1">
      <c r="A11534" s="12" t="s">
        <v>27278</v>
      </c>
      <c r="B11534" s="13" t="s">
        <v>27279</v>
      </c>
      <c r="C11534" s="14" t="s">
        <v>27280</v>
      </c>
      <c r="D11534" s="1" t="str">
        <f>IFERROR(__xludf.DUMMYFUNCTION("GOOGLETRANSLATE(A11534 , ""auto"", ""ar"")"),"هل علينا أن نكتب هذا؟")</f>
        <v>هل علينا أن نكتب هذا؟</v>
      </c>
    </row>
    <row r="11535" ht="15.75" customHeight="1">
      <c r="A11535" s="12" t="s">
        <v>27281</v>
      </c>
      <c r="B11535" s="13" t="s">
        <v>27282</v>
      </c>
      <c r="C11535" s="14" t="s">
        <v>27283</v>
      </c>
      <c r="D11535" s="1" t="str">
        <f>IFERROR(__xludf.DUMMYFUNCTION("GOOGLETRANSLATE(A11535 , ""auto"", ""ar"")"),"قم بتنظيف اللوح")</f>
        <v>قم بتنظيف اللوح</v>
      </c>
    </row>
    <row r="11536" ht="15.75" customHeight="1">
      <c r="A11536" s="12" t="s">
        <v>27284</v>
      </c>
      <c r="B11536" s="13" t="s">
        <v>27285</v>
      </c>
      <c r="C11536" s="14" t="s">
        <v>27286</v>
      </c>
      <c r="D11536" s="1" t="str">
        <f>IFERROR(__xludf.DUMMYFUNCTION("GOOGLETRANSLATE(A11536 , ""auto"", ""ar"")"),"من هو معلمك؟")</f>
        <v>من هو معلمك؟</v>
      </c>
    </row>
    <row r="11537" ht="15.75" customHeight="1">
      <c r="A11537" s="12" t="s">
        <v>27287</v>
      </c>
      <c r="B11537" s="13" t="s">
        <v>27288</v>
      </c>
      <c r="C11537" s="14" t="s">
        <v>27289</v>
      </c>
      <c r="D11537" s="1" t="str">
        <f>IFERROR(__xludf.DUMMYFUNCTION("GOOGLETRANSLATE(A11537 , ""auto"", ""ar"")"),"أليس صديقك قادم اليوم؟")</f>
        <v>أليس صديقك قادم اليوم؟</v>
      </c>
    </row>
    <row r="11538" ht="15.75" customHeight="1">
      <c r="A11538" s="12" t="s">
        <v>27290</v>
      </c>
      <c r="B11538" s="13" t="s">
        <v>27291</v>
      </c>
      <c r="C11538" s="14" t="s">
        <v>27292</v>
      </c>
      <c r="D11538" s="1" t="str">
        <f>IFERROR(__xludf.DUMMYFUNCTION("GOOGLETRANSLATE(A11538 , ""auto"", ""ar"")"),"ما هو لتناول طعام الغداء اليوم؟")</f>
        <v>ما هو لتناول طعام الغداء اليوم؟</v>
      </c>
    </row>
    <row r="11539" ht="15.75" customHeight="1">
      <c r="A11539" s="12" t="s">
        <v>27293</v>
      </c>
      <c r="B11539" s="13" t="s">
        <v>27294</v>
      </c>
      <c r="C11539" s="14" t="s">
        <v>27295</v>
      </c>
      <c r="D11539" s="1" t="str">
        <f>IFERROR(__xludf.DUMMYFUNCTION("GOOGLETRANSLATE(A11539 , ""auto"", ""ar"")"),"هل أتيت على الأقدام؟")</f>
        <v>هل أتيت على الأقدام؟</v>
      </c>
    </row>
    <row r="11540" ht="15.75" customHeight="1">
      <c r="A11540" s="12" t="s">
        <v>27296</v>
      </c>
      <c r="B11540" s="13" t="s">
        <v>27297</v>
      </c>
      <c r="C11540" s="14" t="s">
        <v>27298</v>
      </c>
      <c r="D11540" s="1" t="str">
        <f>IFERROR(__xludf.DUMMYFUNCTION("GOOGLETRANSLATE(A11540 , ""auto"", ""ar"")"),"اي صفحة؟")</f>
        <v>اي صفحة؟</v>
      </c>
    </row>
    <row r="11541" ht="15.75" customHeight="1">
      <c r="A11541" s="12" t="s">
        <v>27299</v>
      </c>
      <c r="B11541" s="13" t="s">
        <v>27300</v>
      </c>
      <c r="C11541" s="14" t="s">
        <v>27301</v>
      </c>
      <c r="D11541" s="1" t="str">
        <f>IFERROR(__xludf.DUMMYFUNCTION("GOOGLETRANSLATE(A11541 , ""auto"", ""ar"")"),"وضب أغراضك")</f>
        <v>وضب أغراضك</v>
      </c>
    </row>
    <row r="11542" ht="15.75" customHeight="1">
      <c r="A11542" s="12" t="s">
        <v>27302</v>
      </c>
      <c r="B11542" s="13" t="s">
        <v>27303</v>
      </c>
      <c r="C11542" s="14" t="s">
        <v>27304</v>
      </c>
      <c r="D11542" s="1" t="str">
        <f>IFERROR(__xludf.DUMMYFUNCTION("GOOGLETRANSLATE(A11542 , ""auto"", ""ar"")"),"لا توجد واجبات منزلية اليوم")</f>
        <v>لا توجد واجبات منزلية اليوم</v>
      </c>
    </row>
    <row r="11543" ht="15.75" customHeight="1">
      <c r="A11543" s="12" t="s">
        <v>27305</v>
      </c>
      <c r="B11543" s="13" t="s">
        <v>27306</v>
      </c>
      <c r="C11543" s="14" t="s">
        <v>27307</v>
      </c>
      <c r="D11543" s="1" t="str">
        <f>IFERROR(__xludf.DUMMYFUNCTION("GOOGLETRANSLATE(A11543 , ""auto"", ""ar"")"),"العودة إلى مكانك")</f>
        <v>العودة إلى مكانك</v>
      </c>
    </row>
    <row r="11544" ht="15.75" customHeight="1">
      <c r="A11544" s="12" t="s">
        <v>27308</v>
      </c>
      <c r="B11544" s="13" t="s">
        <v>27309</v>
      </c>
      <c r="C11544" s="14" t="s">
        <v>27310</v>
      </c>
      <c r="D11544" s="1" t="str">
        <f>IFERROR(__xludf.DUMMYFUNCTION("GOOGLETRANSLATE(A11544 , ""auto"", ""ar"")"),"هل فاتك الباص؟")</f>
        <v>هل فاتك الباص؟</v>
      </c>
    </row>
    <row r="11545" ht="15.75" customHeight="1">
      <c r="A11545" s="12" t="s">
        <v>27311</v>
      </c>
      <c r="B11545" s="13" t="s">
        <v>27312</v>
      </c>
      <c r="C11545" s="14" t="s">
        <v>27313</v>
      </c>
      <c r="D11545" s="1" t="str">
        <f>IFERROR(__xludf.DUMMYFUNCTION("GOOGLETRANSLATE(A11545 , ""auto"", ""ar"")"),"من غائب اليوم؟")</f>
        <v>من غائب اليوم؟</v>
      </c>
    </row>
  </sheetData>
  <printOptions/>
  <pageMargins bottom="0.75" footer="0.0" header="0.0" left="0.7" right="0.7" top="0.75"/>
  <pageSetup orientation="landscape"/>
  <drawing r:id="rId1"/>
</worksheet>
</file>